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4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NEW\TBO\TBO_Janvier_2026\STAT_jan26\"/>
    </mc:Choice>
  </mc:AlternateContent>
  <xr:revisionPtr revIDLastSave="0" documentId="13_ncr:1_{70AFD0BF-6F17-4379-B2B4-0C10116D2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DRAN" sheetId="1" r:id="rId1"/>
    <sheet name="graphes" sheetId="18" state="hidden" r:id="rId2"/>
    <sheet name="Environnement International" sheetId="2" r:id="rId3"/>
    <sheet name="Primaire" sheetId="3" r:id="rId4"/>
    <sheet name="Secteur Secondaire" sheetId="4" r:id="rId5"/>
    <sheet name="Indice Secondaire" sheetId="11" r:id="rId6"/>
    <sheet name="Transport" sheetId="5" r:id="rId7"/>
    <sheet name="ICAS et ICAC" sheetId="6" r:id="rId8"/>
    <sheet name="Prix Intérieurs" sheetId="8" r:id="rId9"/>
    <sheet name="Commerce Extérieur" sheetId="9" r:id="rId10"/>
    <sheet name="Finances Publiques " sheetId="10" r:id="rId11"/>
    <sheet name="Dette Publique Extérieure" sheetId="12" r:id="rId12"/>
    <sheet name="Sources" sheetId="17" r:id="rId13"/>
  </sheets>
  <externalReferences>
    <externalReference r:id="rId14"/>
  </externalReferences>
  <definedNames>
    <definedName name="rq">Transport!$C:$C</definedName>
    <definedName name="tg">Transport!$F$192:$H$197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7" i="4" l="1"/>
  <c r="K246" i="4"/>
  <c r="B235" i="6" l="1"/>
  <c r="K122" i="18" l="1"/>
  <c r="H122" i="18"/>
  <c r="E122" i="18"/>
  <c r="C122" i="18"/>
  <c r="B122" i="18"/>
  <c r="A122" i="18"/>
  <c r="P11" i="18"/>
  <c r="O7" i="18"/>
  <c r="B247" i="10"/>
  <c r="B235" i="10"/>
  <c r="B236" i="10" s="1"/>
  <c r="I3" i="2"/>
  <c r="B3" i="2"/>
  <c r="B2" i="3"/>
  <c r="F3" i="4"/>
  <c r="C3" i="4"/>
  <c r="B3" i="4"/>
  <c r="C2" i="5"/>
  <c r="F2" i="5"/>
  <c r="N2" i="5"/>
  <c r="T2" i="5"/>
  <c r="D2" i="5"/>
  <c r="E2" i="5"/>
  <c r="G2" i="5"/>
  <c r="H2" i="5"/>
  <c r="I2" i="5"/>
  <c r="J2" i="5"/>
  <c r="K2" i="5"/>
  <c r="L2" i="5"/>
  <c r="M2" i="5"/>
  <c r="O2" i="5"/>
  <c r="P2" i="5"/>
  <c r="Q2" i="5"/>
  <c r="R2" i="5"/>
  <c r="S2" i="5"/>
  <c r="U2" i="5"/>
  <c r="V2" i="5"/>
  <c r="W2" i="5"/>
  <c r="X2" i="5"/>
  <c r="Y2" i="5"/>
  <c r="Z2" i="5"/>
  <c r="B2" i="5"/>
  <c r="C247" i="5" l="1"/>
  <c r="C246" i="5"/>
  <c r="G247" i="5" l="1"/>
  <c r="G246" i="5"/>
  <c r="C2" i="3" l="1"/>
  <c r="D2" i="3"/>
  <c r="E2" i="3"/>
  <c r="Y3" i="4"/>
  <c r="D3" i="4"/>
  <c r="E3" i="4"/>
  <c r="G3" i="4"/>
  <c r="H3" i="4"/>
  <c r="I3" i="4"/>
  <c r="J3" i="4"/>
  <c r="L3" i="4"/>
  <c r="M3" i="4"/>
  <c r="N3" i="4"/>
  <c r="O3" i="4"/>
  <c r="P3" i="4"/>
  <c r="Q3" i="4"/>
  <c r="R3" i="4"/>
  <c r="S3" i="4"/>
  <c r="T3" i="4"/>
  <c r="U3" i="4"/>
  <c r="V3" i="4"/>
  <c r="W3" i="4"/>
  <c r="X3" i="4"/>
  <c r="C3" i="2"/>
  <c r="D3" i="2"/>
  <c r="E3" i="2"/>
  <c r="F3" i="2"/>
  <c r="G3" i="2"/>
  <c r="H3" i="2"/>
  <c r="J3" i="2"/>
  <c r="K3" i="2"/>
  <c r="C247" i="3" l="1"/>
  <c r="C246" i="3"/>
  <c r="C247" i="4" l="1"/>
  <c r="F246" i="4" l="1"/>
  <c r="F247" i="4"/>
  <c r="L121" i="18" l="1"/>
  <c r="I121" i="18"/>
  <c r="F121" i="18"/>
  <c r="C121" i="18"/>
  <c r="K121" i="18"/>
  <c r="H121" i="18"/>
  <c r="E121" i="18"/>
  <c r="B121" i="18"/>
  <c r="A121" i="18"/>
  <c r="B234" i="6" l="1"/>
  <c r="B233" i="6"/>
  <c r="B217" i="6" l="1"/>
  <c r="E3" i="9" l="1"/>
  <c r="H3" i="9"/>
  <c r="C3" i="9"/>
  <c r="D3" i="9"/>
  <c r="F3" i="9"/>
  <c r="G3" i="9"/>
  <c r="B3" i="9"/>
  <c r="R90" i="5" l="1"/>
  <c r="C234" i="5" l="1"/>
  <c r="C244" i="5"/>
  <c r="C245" i="5"/>
  <c r="F245" i="4" l="1"/>
  <c r="K232" i="4" l="1"/>
  <c r="C246" i="4" l="1"/>
  <c r="G245" i="5" l="1"/>
  <c r="K245" i="4" l="1"/>
  <c r="K3" i="4"/>
  <c r="C245" i="3" l="1"/>
  <c r="B232" i="6" l="1"/>
  <c r="F244" i="4" l="1"/>
  <c r="A120" i="18" l="1"/>
  <c r="B120" i="18"/>
  <c r="C120" i="18"/>
  <c r="E120" i="18"/>
  <c r="F120" i="18"/>
  <c r="H120" i="18"/>
  <c r="I120" i="18"/>
  <c r="K120" i="18"/>
  <c r="L120" i="18"/>
  <c r="A119" i="18"/>
  <c r="B119" i="18"/>
  <c r="C119" i="18"/>
  <c r="E119" i="18"/>
  <c r="F119" i="18"/>
  <c r="H119" i="18"/>
  <c r="I119" i="18"/>
  <c r="K119" i="18"/>
  <c r="L119" i="18"/>
  <c r="K244" i="4" l="1"/>
  <c r="C245" i="4" l="1"/>
  <c r="C236" i="4" l="1"/>
  <c r="C244" i="3" l="1"/>
  <c r="G244" i="5" l="1"/>
  <c r="C244" i="4" l="1"/>
  <c r="C243" i="5" l="1"/>
  <c r="B231" i="6" l="1"/>
  <c r="A118" i="18" l="1"/>
  <c r="B118" i="18"/>
  <c r="C118" i="18"/>
  <c r="E118" i="18"/>
  <c r="F118" i="18"/>
  <c r="H118" i="18"/>
  <c r="I118" i="18"/>
  <c r="K118" i="18"/>
  <c r="L118" i="18"/>
  <c r="G243" i="5" l="1"/>
  <c r="K243" i="4" l="1"/>
  <c r="F243" i="4" l="1"/>
  <c r="C243" i="4"/>
  <c r="C243" i="3" l="1"/>
  <c r="B230" i="6" l="1"/>
  <c r="B117" i="18" l="1"/>
  <c r="C117" i="18"/>
  <c r="E117" i="18"/>
  <c r="F117" i="18"/>
  <c r="H117" i="18"/>
  <c r="I117" i="18"/>
  <c r="K117" i="18"/>
  <c r="L117" i="18"/>
  <c r="A117" i="18"/>
  <c r="G242" i="5" l="1"/>
  <c r="C242" i="5"/>
  <c r="K242" i="4" l="1"/>
  <c r="F242" i="4" l="1"/>
  <c r="C242" i="4" l="1"/>
  <c r="C242" i="3"/>
  <c r="C241" i="3"/>
  <c r="B229" i="6" l="1"/>
  <c r="A116" i="18" l="1"/>
  <c r="B116" i="18"/>
  <c r="C116" i="18"/>
  <c r="E116" i="18"/>
  <c r="F116" i="18"/>
  <c r="H116" i="18"/>
  <c r="I116" i="18"/>
  <c r="K116" i="18"/>
  <c r="L116" i="18"/>
  <c r="K241" i="4" l="1"/>
  <c r="F241" i="4" l="1"/>
  <c r="C241" i="4"/>
  <c r="G241" i="5" l="1"/>
  <c r="C241" i="5"/>
  <c r="B228" i="6" l="1"/>
  <c r="A115" i="18" l="1"/>
  <c r="B115" i="18"/>
  <c r="C115" i="18"/>
  <c r="E115" i="18"/>
  <c r="F115" i="18"/>
  <c r="H115" i="18"/>
  <c r="I115" i="18"/>
  <c r="K115" i="18"/>
  <c r="L115" i="18"/>
  <c r="G240" i="5" l="1"/>
  <c r="C240" i="5"/>
  <c r="C240" i="3" l="1"/>
  <c r="K240" i="4" l="1"/>
  <c r="F240" i="4" l="1"/>
  <c r="C240" i="4" l="1"/>
  <c r="K239" i="4" l="1"/>
  <c r="F239" i="4"/>
  <c r="B227" i="6" l="1"/>
  <c r="B114" i="18" l="1"/>
  <c r="C114" i="18"/>
  <c r="E114" i="18"/>
  <c r="F114" i="18"/>
  <c r="H114" i="18"/>
  <c r="I114" i="18"/>
  <c r="K114" i="18"/>
  <c r="L114" i="18"/>
  <c r="A114" i="18"/>
  <c r="G239" i="5" l="1"/>
  <c r="C239" i="5"/>
  <c r="C239" i="4" l="1"/>
  <c r="C239" i="3" l="1"/>
  <c r="A113" i="18" l="1"/>
  <c r="B113" i="18"/>
  <c r="C113" i="18"/>
  <c r="E113" i="18"/>
  <c r="F113" i="18"/>
  <c r="H113" i="18"/>
  <c r="I113" i="18"/>
  <c r="K113" i="18"/>
  <c r="L113" i="18"/>
  <c r="B226" i="6" l="1"/>
  <c r="C238" i="5"/>
  <c r="C238" i="3" l="1"/>
  <c r="G238" i="5" l="1"/>
  <c r="K238" i="4" l="1"/>
  <c r="F238" i="4" l="1"/>
  <c r="C238" i="4"/>
  <c r="A112" i="18" l="1"/>
  <c r="B112" i="18"/>
  <c r="C112" i="18"/>
  <c r="E112" i="18"/>
  <c r="F112" i="18"/>
  <c r="H112" i="18"/>
  <c r="I112" i="18"/>
  <c r="K112" i="18"/>
  <c r="L112" i="18"/>
  <c r="A111" i="18"/>
  <c r="B116" i="6" l="1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8" i="6"/>
  <c r="B219" i="6"/>
  <c r="B220" i="6"/>
  <c r="B221" i="6"/>
  <c r="B222" i="6"/>
  <c r="B223" i="6"/>
  <c r="B224" i="6"/>
  <c r="B225" i="6"/>
  <c r="B115" i="6"/>
  <c r="C237" i="3" l="1"/>
  <c r="F237" i="4" l="1"/>
  <c r="C237" i="4" l="1"/>
  <c r="K237" i="4"/>
  <c r="G237" i="5" l="1"/>
  <c r="C237" i="5" l="1"/>
  <c r="B111" i="18" l="1"/>
  <c r="C111" i="18"/>
  <c r="E111" i="18"/>
  <c r="F111" i="18"/>
  <c r="H111" i="18"/>
  <c r="I111" i="18"/>
  <c r="K111" i="18"/>
  <c r="L111" i="18"/>
  <c r="C236" i="5" l="1"/>
  <c r="G236" i="5"/>
  <c r="K236" i="4" l="1"/>
  <c r="F236" i="4" l="1"/>
  <c r="C234" i="3"/>
  <c r="C236" i="3" l="1"/>
  <c r="A110" i="18" l="1"/>
  <c r="B110" i="18"/>
  <c r="C110" i="18"/>
  <c r="E110" i="18"/>
  <c r="F110" i="18"/>
  <c r="H110" i="18"/>
  <c r="I110" i="18"/>
  <c r="K110" i="18"/>
  <c r="L110" i="18"/>
  <c r="B237" i="10" l="1"/>
  <c r="B238" i="10" s="1"/>
  <c r="B239" i="10" s="1"/>
  <c r="B240" i="10" l="1"/>
  <c r="G235" i="5"/>
  <c r="B241" i="10" l="1"/>
  <c r="C235" i="5"/>
  <c r="C235" i="3"/>
  <c r="B242" i="10" l="1"/>
  <c r="B243" i="10" s="1"/>
  <c r="F235" i="4"/>
  <c r="C235" i="4" l="1"/>
  <c r="B244" i="10" l="1"/>
  <c r="B245" i="10" s="1"/>
  <c r="B246" i="10" s="1"/>
  <c r="K235" i="4"/>
  <c r="B18" i="1" l="1"/>
  <c r="A109" i="18"/>
  <c r="B109" i="18"/>
  <c r="C109" i="18"/>
  <c r="E109" i="18"/>
  <c r="F109" i="18"/>
  <c r="H109" i="18"/>
  <c r="I109" i="18"/>
  <c r="K109" i="18"/>
  <c r="L109" i="18"/>
  <c r="D234" i="10" l="1"/>
  <c r="C234" i="10" s="1"/>
  <c r="G234" i="5" l="1"/>
  <c r="F234" i="4"/>
  <c r="C234" i="4" l="1"/>
  <c r="K234" i="4"/>
  <c r="A108" i="18" l="1"/>
  <c r="B108" i="18"/>
  <c r="C108" i="18"/>
  <c r="E108" i="18"/>
  <c r="F108" i="18"/>
  <c r="H108" i="18"/>
  <c r="I108" i="18"/>
  <c r="K108" i="18"/>
  <c r="L108" i="18"/>
  <c r="D233" i="10" l="1"/>
  <c r="C233" i="10" s="1"/>
  <c r="C233" i="5" l="1"/>
  <c r="G233" i="5"/>
  <c r="K233" i="4" l="1"/>
  <c r="F233" i="4" l="1"/>
  <c r="C233" i="4" l="1"/>
  <c r="C233" i="3" l="1"/>
  <c r="B85" i="12" l="1"/>
  <c r="D232" i="10" l="1"/>
  <c r="C232" i="10" s="1"/>
  <c r="A107" i="18"/>
  <c r="B107" i="18"/>
  <c r="C107" i="18"/>
  <c r="E107" i="18"/>
  <c r="F107" i="18"/>
  <c r="H107" i="18"/>
  <c r="I107" i="18"/>
  <c r="K107" i="18"/>
  <c r="L107" i="18"/>
  <c r="C232" i="3" l="1"/>
  <c r="F232" i="4" l="1"/>
  <c r="C232" i="4"/>
  <c r="G232" i="5" l="1"/>
  <c r="C232" i="5"/>
  <c r="A106" i="18"/>
  <c r="B106" i="18"/>
  <c r="C106" i="18"/>
  <c r="E106" i="18"/>
  <c r="F106" i="18"/>
  <c r="H106" i="18"/>
  <c r="I106" i="18"/>
  <c r="K106" i="18"/>
  <c r="L106" i="18"/>
  <c r="D231" i="10" l="1"/>
  <c r="C231" i="10" s="1"/>
  <c r="C231" i="5" l="1"/>
  <c r="C226" i="5"/>
  <c r="C227" i="5"/>
  <c r="C228" i="5"/>
  <c r="C229" i="5"/>
  <c r="C230" i="5"/>
  <c r="G227" i="5"/>
  <c r="G228" i="5"/>
  <c r="G229" i="5"/>
  <c r="G230" i="5"/>
  <c r="G231" i="5"/>
  <c r="K231" i="4" l="1"/>
  <c r="F231" i="4" l="1"/>
  <c r="C231" i="4"/>
  <c r="F230" i="4"/>
  <c r="C231" i="3" l="1"/>
  <c r="A105" i="18" l="1"/>
  <c r="B105" i="18"/>
  <c r="C105" i="18"/>
  <c r="E105" i="18"/>
  <c r="F105" i="18"/>
  <c r="H105" i="18"/>
  <c r="I105" i="18"/>
  <c r="K105" i="18"/>
  <c r="L105" i="18"/>
  <c r="D230" i="10" l="1"/>
  <c r="C230" i="10" s="1"/>
  <c r="K230" i="4" l="1"/>
  <c r="F229" i="4"/>
  <c r="C230" i="4" l="1"/>
  <c r="C230" i="3" l="1"/>
  <c r="A104" i="18" l="1"/>
  <c r="B104" i="18"/>
  <c r="C104" i="18"/>
  <c r="E104" i="18"/>
  <c r="F104" i="18"/>
  <c r="H104" i="18"/>
  <c r="I104" i="18"/>
  <c r="K104" i="18"/>
  <c r="L104" i="18"/>
  <c r="B84" i="12"/>
  <c r="D229" i="10" l="1"/>
  <c r="C229" i="10" s="1"/>
  <c r="C229" i="3" l="1"/>
  <c r="K229" i="4" l="1"/>
  <c r="C229" i="4" l="1"/>
  <c r="A103" i="18" l="1"/>
  <c r="B103" i="18"/>
  <c r="C103" i="18"/>
  <c r="E103" i="18"/>
  <c r="F103" i="18"/>
  <c r="H103" i="18"/>
  <c r="I103" i="18"/>
  <c r="K103" i="18"/>
  <c r="L103" i="18"/>
  <c r="D228" i="10" l="1"/>
  <c r="C228" i="10" s="1"/>
  <c r="F228" i="4" l="1"/>
  <c r="C228" i="4" l="1"/>
  <c r="C228" i="3"/>
  <c r="K228" i="4" l="1"/>
  <c r="G223" i="5" l="1"/>
  <c r="G224" i="5"/>
  <c r="G225" i="5"/>
  <c r="G226" i="5"/>
  <c r="C223" i="5"/>
  <c r="C224" i="5"/>
  <c r="C225" i="5"/>
  <c r="B102" i="18" l="1"/>
  <c r="C102" i="18"/>
  <c r="E102" i="18"/>
  <c r="F102" i="18"/>
  <c r="H102" i="18"/>
  <c r="I102" i="18"/>
  <c r="K102" i="18"/>
  <c r="L102" i="18"/>
  <c r="A102" i="18"/>
  <c r="D227" i="10" l="1"/>
  <c r="C227" i="10" s="1"/>
  <c r="C227" i="3" l="1"/>
  <c r="F227" i="4" l="1"/>
  <c r="C227" i="4" l="1"/>
  <c r="K227" i="4"/>
  <c r="A101" i="18" l="1"/>
  <c r="B101" i="18"/>
  <c r="C101" i="18"/>
  <c r="E101" i="18"/>
  <c r="F101" i="18"/>
  <c r="H101" i="18"/>
  <c r="I101" i="18"/>
  <c r="K101" i="18"/>
  <c r="L101" i="18"/>
  <c r="C226" i="3" l="1"/>
  <c r="K226" i="4" l="1"/>
  <c r="G210" i="5" l="1"/>
  <c r="G211" i="5"/>
  <c r="G212" i="5"/>
  <c r="G213" i="5"/>
  <c r="G214" i="5"/>
  <c r="G215" i="5"/>
  <c r="G216" i="5"/>
  <c r="G217" i="5"/>
  <c r="G218" i="5"/>
  <c r="G219" i="5"/>
  <c r="G220" i="5"/>
  <c r="G221" i="5"/>
  <c r="G222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D226" i="10" l="1"/>
  <c r="C226" i="10" s="1"/>
  <c r="F226" i="4"/>
  <c r="C226" i="4"/>
  <c r="B82" i="12"/>
  <c r="B83" i="12"/>
  <c r="A100" i="18"/>
  <c r="B100" i="18"/>
  <c r="C100" i="18"/>
  <c r="E100" i="18"/>
  <c r="F100" i="18"/>
  <c r="H100" i="18"/>
  <c r="I100" i="18"/>
  <c r="K100" i="18"/>
  <c r="L100" i="18"/>
  <c r="D225" i="10"/>
  <c r="C225" i="10" s="1"/>
  <c r="K225" i="4" l="1"/>
  <c r="F225" i="4"/>
  <c r="C225" i="4" l="1"/>
  <c r="C225" i="3" l="1"/>
  <c r="D224" i="10"/>
  <c r="C224" i="10" s="1"/>
  <c r="A99" i="18"/>
  <c r="B99" i="18"/>
  <c r="C99" i="18"/>
  <c r="E99" i="18"/>
  <c r="F99" i="18"/>
  <c r="H99" i="18"/>
  <c r="I99" i="18"/>
  <c r="K99" i="18"/>
  <c r="L99" i="18"/>
  <c r="F224" i="4" l="1"/>
  <c r="C224" i="4" l="1"/>
  <c r="K224" i="4" l="1"/>
  <c r="C224" i="3"/>
  <c r="C222" i="3"/>
  <c r="B98" i="18" l="1"/>
  <c r="C98" i="18"/>
  <c r="E98" i="18"/>
  <c r="F98" i="18"/>
  <c r="H98" i="18"/>
  <c r="I98" i="18"/>
  <c r="K98" i="18"/>
  <c r="L98" i="18"/>
  <c r="A98" i="18"/>
  <c r="D223" i="10" l="1"/>
  <c r="C223" i="10" l="1"/>
  <c r="B223" i="10" s="1"/>
  <c r="B224" i="10" l="1"/>
  <c r="C223" i="3"/>
  <c r="B225" i="10" l="1"/>
  <c r="B226" i="10" l="1"/>
  <c r="C223" i="4"/>
  <c r="F223" i="4"/>
  <c r="K223" i="4"/>
  <c r="B227" i="10" l="1"/>
  <c r="B228" i="10" s="1"/>
  <c r="B229" i="10" s="1"/>
  <c r="A97" i="18"/>
  <c r="B97" i="18"/>
  <c r="C97" i="18"/>
  <c r="E97" i="18"/>
  <c r="F97" i="18"/>
  <c r="H97" i="18"/>
  <c r="I97" i="18"/>
  <c r="K97" i="18"/>
  <c r="L97" i="18"/>
  <c r="B230" i="10" l="1"/>
  <c r="D222" i="10"/>
  <c r="C222" i="10" s="1"/>
  <c r="B231" i="10" l="1"/>
  <c r="B232" i="10" s="1"/>
  <c r="B233" i="10" l="1"/>
  <c r="B234" i="10" l="1"/>
  <c r="F222" i="4"/>
  <c r="K222" i="4"/>
  <c r="P5" i="18" l="1"/>
  <c r="P6" i="18" s="1"/>
  <c r="C222" i="4"/>
  <c r="A96" i="18" l="1"/>
  <c r="B96" i="18"/>
  <c r="C96" i="18"/>
  <c r="E96" i="18"/>
  <c r="F96" i="18"/>
  <c r="H96" i="18"/>
  <c r="I96" i="18"/>
  <c r="K96" i="18"/>
  <c r="L96" i="18"/>
  <c r="D221" i="10" l="1"/>
  <c r="C221" i="10" s="1"/>
  <c r="K221" i="4" l="1"/>
  <c r="F221" i="4" l="1"/>
  <c r="C221" i="4" l="1"/>
  <c r="C220" i="4"/>
  <c r="F220" i="4"/>
  <c r="K220" i="4"/>
  <c r="C221" i="3"/>
  <c r="B81" i="12" l="1"/>
  <c r="A95" i="18"/>
  <c r="B95" i="18"/>
  <c r="C95" i="18"/>
  <c r="E95" i="18"/>
  <c r="F95" i="18"/>
  <c r="H95" i="18"/>
  <c r="I95" i="18"/>
  <c r="K95" i="18"/>
  <c r="L95" i="18"/>
  <c r="C220" i="3" l="1"/>
  <c r="D220" i="10" l="1"/>
  <c r="C220" i="10" s="1"/>
  <c r="A94" i="18" l="1"/>
  <c r="B94" i="18"/>
  <c r="C94" i="18"/>
  <c r="E94" i="18"/>
  <c r="F94" i="18"/>
  <c r="H94" i="18"/>
  <c r="I94" i="18"/>
  <c r="K94" i="18"/>
  <c r="L94" i="18"/>
  <c r="D219" i="10" l="1"/>
  <c r="C219" i="10" s="1"/>
  <c r="C219" i="3" l="1"/>
  <c r="K219" i="4" l="1"/>
  <c r="F219" i="4" l="1"/>
  <c r="C219" i="4"/>
  <c r="A93" i="18" l="1"/>
  <c r="B93" i="18"/>
  <c r="C93" i="18"/>
  <c r="E93" i="18"/>
  <c r="F93" i="18"/>
  <c r="H93" i="18"/>
  <c r="I93" i="18"/>
  <c r="K93" i="18"/>
  <c r="L93" i="18"/>
  <c r="D218" i="10" l="1"/>
  <c r="C218" i="10" s="1"/>
  <c r="K218" i="4" l="1"/>
  <c r="F218" i="4"/>
  <c r="C218" i="4"/>
  <c r="C218" i="3" l="1"/>
  <c r="C217" i="4" l="1"/>
  <c r="A92" i="18"/>
  <c r="B92" i="18"/>
  <c r="C92" i="18"/>
  <c r="E92" i="18"/>
  <c r="F92" i="18"/>
  <c r="H92" i="18"/>
  <c r="I92" i="18"/>
  <c r="K92" i="18"/>
  <c r="L92" i="18"/>
  <c r="K217" i="4" l="1"/>
  <c r="B80" i="12"/>
  <c r="D217" i="10" l="1"/>
  <c r="C217" i="10" s="1"/>
  <c r="C217" i="3" l="1"/>
  <c r="F217" i="4" l="1"/>
  <c r="A91" i="18" l="1"/>
  <c r="B91" i="18"/>
  <c r="C91" i="18"/>
  <c r="E91" i="18"/>
  <c r="F91" i="18"/>
  <c r="H91" i="18"/>
  <c r="I91" i="18"/>
  <c r="K91" i="18"/>
  <c r="L91" i="18"/>
  <c r="D216" i="10" l="1"/>
  <c r="C216" i="10" s="1"/>
  <c r="K216" i="4" l="1"/>
  <c r="F216" i="4" l="1"/>
  <c r="C216" i="4"/>
  <c r="C216" i="3" l="1"/>
  <c r="B90" i="18" l="1"/>
  <c r="C90" i="18"/>
  <c r="E90" i="18"/>
  <c r="F90" i="18"/>
  <c r="H90" i="18"/>
  <c r="I90" i="18"/>
  <c r="K90" i="18"/>
  <c r="L90" i="18"/>
  <c r="A90" i="18"/>
  <c r="C215" i="3" l="1"/>
  <c r="D215" i="10" l="1"/>
  <c r="C215" i="10" s="1"/>
  <c r="K215" i="4" l="1"/>
  <c r="F215" i="4"/>
  <c r="C215" i="4" l="1"/>
  <c r="A89" i="18" l="1"/>
  <c r="B89" i="18"/>
  <c r="C89" i="18"/>
  <c r="E89" i="18"/>
  <c r="F89" i="18"/>
  <c r="H89" i="18"/>
  <c r="I89" i="18"/>
  <c r="K89" i="18"/>
  <c r="L89" i="18"/>
  <c r="D214" i="10" l="1"/>
  <c r="C214" i="10" s="1"/>
  <c r="K214" i="4" l="1"/>
  <c r="F214" i="4"/>
  <c r="C214" i="4" l="1"/>
  <c r="C214" i="3" l="1"/>
  <c r="A88" i="18" l="1"/>
  <c r="B88" i="18"/>
  <c r="C88" i="18"/>
  <c r="E88" i="18"/>
  <c r="F88" i="18"/>
  <c r="H88" i="18"/>
  <c r="I88" i="18"/>
  <c r="K88" i="18"/>
  <c r="L88" i="18"/>
  <c r="B79" i="12" l="1"/>
  <c r="B78" i="12"/>
  <c r="B75" i="12"/>
  <c r="D213" i="10"/>
  <c r="C213" i="10" s="1"/>
  <c r="K212" i="4" l="1"/>
  <c r="K213" i="4" l="1"/>
  <c r="F213" i="4" l="1"/>
  <c r="C213" i="4"/>
  <c r="C213" i="3" l="1"/>
  <c r="A87" i="18" l="1"/>
  <c r="B87" i="18"/>
  <c r="C87" i="18"/>
  <c r="E87" i="18"/>
  <c r="F87" i="18"/>
  <c r="H87" i="18"/>
  <c r="I87" i="18"/>
  <c r="K87" i="18"/>
  <c r="L87" i="18"/>
  <c r="C212" i="4" l="1"/>
  <c r="F212" i="4"/>
  <c r="C212" i="3" l="1"/>
  <c r="D212" i="10"/>
  <c r="C212" i="10" s="1"/>
  <c r="D211" i="10" l="1"/>
  <c r="A86" i="18"/>
  <c r="B86" i="18"/>
  <c r="C86" i="18"/>
  <c r="E86" i="18"/>
  <c r="F86" i="18"/>
  <c r="H86" i="18"/>
  <c r="I86" i="18"/>
  <c r="K86" i="18"/>
  <c r="L86" i="18"/>
  <c r="C211" i="10" l="1"/>
  <c r="B211" i="10" l="1"/>
  <c r="B212" i="10" s="1"/>
  <c r="B213" i="10" s="1"/>
  <c r="B214" i="10" l="1"/>
  <c r="B215" i="10" l="1"/>
  <c r="B216" i="10" l="1"/>
  <c r="B217" i="10" s="1"/>
  <c r="K211" i="4"/>
  <c r="B218" i="10" l="1"/>
  <c r="C211" i="3"/>
  <c r="B219" i="10" l="1"/>
  <c r="F210" i="4"/>
  <c r="F211" i="4"/>
  <c r="B220" i="10" l="1"/>
  <c r="B221" i="10" s="1"/>
  <c r="C211" i="4"/>
  <c r="B222" i="10" l="1"/>
  <c r="A85" i="18"/>
  <c r="B85" i="18"/>
  <c r="C85" i="18"/>
  <c r="E85" i="18"/>
  <c r="F85" i="18"/>
  <c r="H85" i="18"/>
  <c r="I85" i="18"/>
  <c r="K85" i="18"/>
  <c r="L85" i="18"/>
  <c r="D210" i="10" l="1"/>
  <c r="K210" i="4" l="1"/>
  <c r="C210" i="4" l="1"/>
  <c r="C210" i="3" l="1"/>
  <c r="U210" i="5" l="1"/>
  <c r="U222" i="5" s="1"/>
  <c r="C210" i="5"/>
  <c r="B84" i="18" l="1"/>
  <c r="C84" i="18"/>
  <c r="E84" i="18"/>
  <c r="F84" i="18"/>
  <c r="H84" i="18"/>
  <c r="I84" i="18"/>
  <c r="K84" i="18"/>
  <c r="L84" i="18"/>
  <c r="A84" i="18"/>
  <c r="D209" i="10" l="1"/>
  <c r="C209" i="10" s="1"/>
  <c r="C209" i="4" l="1"/>
  <c r="F209" i="4"/>
  <c r="K209" i="4" l="1"/>
  <c r="K208" i="4"/>
  <c r="C209" i="3" l="1"/>
  <c r="G209" i="5" l="1"/>
  <c r="C209" i="5"/>
  <c r="A83" i="18" l="1"/>
  <c r="B83" i="18"/>
  <c r="C83" i="18"/>
  <c r="E83" i="18"/>
  <c r="F83" i="18"/>
  <c r="H83" i="18"/>
  <c r="I83" i="18"/>
  <c r="K83" i="18"/>
  <c r="L83" i="18"/>
  <c r="B77" i="12" l="1"/>
  <c r="G208" i="5" l="1"/>
  <c r="C208" i="5"/>
  <c r="C208" i="3" l="1"/>
  <c r="C208" i="4" l="1"/>
  <c r="F208" i="4"/>
  <c r="D208" i="10" l="1"/>
  <c r="C208" i="10" l="1"/>
  <c r="K82" i="18"/>
  <c r="L82" i="18"/>
  <c r="H82" i="18"/>
  <c r="I82" i="18"/>
  <c r="E82" i="18"/>
  <c r="F82" i="18"/>
  <c r="B82" i="18"/>
  <c r="C82" i="18"/>
  <c r="A82" i="18"/>
  <c r="K207" i="4" l="1"/>
  <c r="D207" i="10" l="1"/>
  <c r="C207" i="10" s="1"/>
  <c r="F207" i="4" l="1"/>
  <c r="C206" i="4"/>
  <c r="C207" i="4"/>
  <c r="C207" i="3" l="1"/>
  <c r="C207" i="5" l="1"/>
  <c r="G205" i="5"/>
  <c r="G206" i="5"/>
  <c r="G207" i="5"/>
  <c r="A81" i="18" l="1"/>
  <c r="B81" i="18"/>
  <c r="C81" i="18"/>
  <c r="E81" i="18"/>
  <c r="F81" i="18"/>
  <c r="H81" i="18"/>
  <c r="I81" i="18"/>
  <c r="K81" i="18"/>
  <c r="L81" i="18"/>
  <c r="C206" i="5" l="1"/>
  <c r="D206" i="10" l="1"/>
  <c r="C206" i="10" s="1"/>
  <c r="K206" i="4" l="1"/>
  <c r="F206" i="4" l="1"/>
  <c r="C206" i="3" l="1"/>
  <c r="B76" i="12" l="1"/>
  <c r="B69" i="12"/>
  <c r="B80" i="18"/>
  <c r="C80" i="18"/>
  <c r="E80" i="18"/>
  <c r="F80" i="18"/>
  <c r="H80" i="18"/>
  <c r="I80" i="18"/>
  <c r="A80" i="18"/>
  <c r="K80" i="18"/>
  <c r="L80" i="18"/>
  <c r="B74" i="12" l="1"/>
  <c r="B72" i="12"/>
  <c r="D205" i="10" l="1"/>
  <c r="C205" i="10" s="1"/>
  <c r="D204" i="10"/>
  <c r="C204" i="10" s="1"/>
  <c r="C205" i="3" l="1"/>
  <c r="F205" i="4" l="1"/>
  <c r="C205" i="4"/>
  <c r="K205" i="4" l="1"/>
  <c r="C205" i="5" l="1"/>
  <c r="B79" i="18" l="1"/>
  <c r="C79" i="18"/>
  <c r="E79" i="18"/>
  <c r="F79" i="18"/>
  <c r="H79" i="18"/>
  <c r="I79" i="18"/>
  <c r="K79" i="18"/>
  <c r="L79" i="18"/>
  <c r="A79" i="18"/>
  <c r="G204" i="5" l="1"/>
  <c r="C204" i="5"/>
  <c r="K204" i="4" l="1"/>
  <c r="F204" i="4"/>
  <c r="C204" i="4"/>
  <c r="C204" i="3" l="1"/>
  <c r="A78" i="18" l="1"/>
  <c r="B78" i="18"/>
  <c r="C78" i="18"/>
  <c r="E78" i="18"/>
  <c r="F78" i="18"/>
  <c r="H78" i="18"/>
  <c r="I78" i="18"/>
  <c r="K78" i="18"/>
  <c r="L78" i="18"/>
  <c r="D203" i="10" l="1"/>
  <c r="C203" i="10" s="1"/>
  <c r="D202" i="10"/>
  <c r="C202" i="10" s="1"/>
  <c r="K203" i="4" l="1"/>
  <c r="K202" i="4"/>
  <c r="C203" i="3" l="1"/>
  <c r="C202" i="3"/>
  <c r="G203" i="5" l="1"/>
  <c r="C203" i="5"/>
  <c r="C202" i="5"/>
  <c r="C203" i="4" l="1"/>
  <c r="C202" i="4"/>
  <c r="F203" i="4" l="1"/>
  <c r="A77" i="18" l="1"/>
  <c r="B77" i="18"/>
  <c r="C77" i="18"/>
  <c r="E77" i="18"/>
  <c r="F77" i="18"/>
  <c r="H77" i="18"/>
  <c r="I77" i="18"/>
  <c r="K77" i="18"/>
  <c r="L77" i="18"/>
  <c r="G202" i="5" l="1"/>
  <c r="F202" i="4" l="1"/>
  <c r="A76" i="18" l="1"/>
  <c r="B76" i="18"/>
  <c r="C76" i="18"/>
  <c r="E76" i="18"/>
  <c r="F76" i="18"/>
  <c r="H76" i="18"/>
  <c r="I76" i="18"/>
  <c r="K76" i="18"/>
  <c r="L76" i="18"/>
  <c r="AV7" i="3"/>
  <c r="D201" i="10" l="1"/>
  <c r="C201" i="10" s="1"/>
  <c r="G201" i="5" l="1"/>
  <c r="C201" i="5"/>
  <c r="K201" i="4" l="1"/>
  <c r="F201" i="4" l="1"/>
  <c r="C201" i="4"/>
  <c r="C201" i="3" l="1"/>
  <c r="A75" i="18" l="1"/>
  <c r="B75" i="18"/>
  <c r="C75" i="18"/>
  <c r="E75" i="18"/>
  <c r="F75" i="18"/>
  <c r="H75" i="18"/>
  <c r="I75" i="18"/>
  <c r="K75" i="18"/>
  <c r="L75" i="18"/>
  <c r="D200" i="10" l="1"/>
  <c r="C200" i="10" s="1"/>
  <c r="G199" i="5" l="1"/>
  <c r="G200" i="5"/>
  <c r="C199" i="5"/>
  <c r="C200" i="5"/>
  <c r="K200" i="4" l="1"/>
  <c r="F200" i="4" l="1"/>
  <c r="C200" i="4"/>
  <c r="C200" i="3" l="1"/>
  <c r="A74" i="18" l="1"/>
  <c r="B74" i="18"/>
  <c r="C74" i="18"/>
  <c r="E74" i="18"/>
  <c r="F74" i="18"/>
  <c r="H74" i="18"/>
  <c r="I74" i="18"/>
  <c r="K74" i="18"/>
  <c r="L74" i="18"/>
  <c r="D199" i="10" l="1"/>
  <c r="C199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l="1"/>
  <c r="B209" i="10" l="1"/>
  <c r="O9" i="18"/>
  <c r="O11" i="18" s="1"/>
  <c r="K199" i="4"/>
  <c r="F199" i="4" l="1"/>
  <c r="C199" i="4"/>
  <c r="C199" i="3"/>
  <c r="A73" i="18" l="1"/>
  <c r="B73" i="18"/>
  <c r="C73" i="18"/>
  <c r="E73" i="18"/>
  <c r="F73" i="18"/>
  <c r="H73" i="18"/>
  <c r="I73" i="18"/>
  <c r="K73" i="18"/>
  <c r="L73" i="18"/>
  <c r="D198" i="10" l="1"/>
  <c r="C198" i="10" s="1"/>
  <c r="G198" i="5" l="1"/>
  <c r="C198" i="5"/>
  <c r="K198" i="4" l="1"/>
  <c r="F198" i="4" l="1"/>
  <c r="C198" i="4"/>
  <c r="C198" i="3"/>
  <c r="A72" i="18" l="1"/>
  <c r="B72" i="18"/>
  <c r="C72" i="18"/>
  <c r="E72" i="18"/>
  <c r="F72" i="18"/>
  <c r="H72" i="18"/>
  <c r="I72" i="18"/>
  <c r="K72" i="18"/>
  <c r="L72" i="18"/>
  <c r="D197" i="10" l="1"/>
  <c r="C197" i="10" s="1"/>
  <c r="G197" i="5" l="1"/>
  <c r="C197" i="5"/>
  <c r="C197" i="3" l="1"/>
  <c r="K197" i="4" l="1"/>
  <c r="F197" i="4" l="1"/>
  <c r="C197" i="4"/>
  <c r="D196" i="10" l="1"/>
  <c r="C196" i="10" s="1"/>
  <c r="A71" i="18"/>
  <c r="B71" i="18"/>
  <c r="C71" i="18"/>
  <c r="E71" i="18"/>
  <c r="F71" i="18"/>
  <c r="H71" i="18"/>
  <c r="I71" i="18"/>
  <c r="K71" i="18"/>
  <c r="L71" i="18"/>
  <c r="G196" i="5" l="1"/>
  <c r="C196" i="5"/>
  <c r="K196" i="4" l="1"/>
  <c r="F196" i="4" l="1"/>
  <c r="C196" i="4"/>
  <c r="C196" i="3"/>
  <c r="C187" i="3"/>
  <c r="C188" i="3"/>
  <c r="C189" i="3"/>
  <c r="C190" i="3"/>
  <c r="C191" i="3"/>
  <c r="C192" i="3"/>
  <c r="C193" i="3"/>
  <c r="C194" i="3"/>
  <c r="C195" i="3"/>
  <c r="A70" i="18" l="1"/>
  <c r="B70" i="18"/>
  <c r="C70" i="18"/>
  <c r="E70" i="18"/>
  <c r="F70" i="18"/>
  <c r="H70" i="18"/>
  <c r="I70" i="18"/>
  <c r="K70" i="18"/>
  <c r="L70" i="18"/>
  <c r="B73" i="12" l="1"/>
  <c r="D195" i="10"/>
  <c r="C195" i="10" s="1"/>
  <c r="C195" i="5" l="1"/>
  <c r="G195" i="5"/>
  <c r="K195" i="4"/>
  <c r="F195" i="4" l="1"/>
  <c r="C195" i="4"/>
  <c r="A69" i="18" l="1"/>
  <c r="B69" i="18"/>
  <c r="C69" i="18"/>
  <c r="E69" i="18"/>
  <c r="F69" i="18"/>
  <c r="H69" i="18"/>
  <c r="I69" i="18"/>
  <c r="K69" i="18"/>
  <c r="L69" i="18"/>
  <c r="D194" i="10"/>
  <c r="C194" i="10" s="1"/>
  <c r="K194" i="4" l="1"/>
  <c r="C194" i="5" l="1"/>
  <c r="G194" i="5"/>
  <c r="F194" i="4" l="1"/>
  <c r="C194" i="4"/>
  <c r="A68" i="18" l="1"/>
  <c r="B68" i="18"/>
  <c r="C68" i="18"/>
  <c r="E68" i="18"/>
  <c r="F68" i="18"/>
  <c r="H68" i="18"/>
  <c r="I68" i="18"/>
  <c r="K68" i="18"/>
  <c r="L68" i="18"/>
  <c r="D193" i="10" l="1"/>
  <c r="C193" i="10" s="1"/>
  <c r="G193" i="5" l="1"/>
  <c r="C193" i="5"/>
  <c r="K193" i="4" l="1"/>
  <c r="F193" i="4" l="1"/>
  <c r="C193" i="4"/>
  <c r="A67" i="18" l="1"/>
  <c r="B67" i="18"/>
  <c r="C67" i="18"/>
  <c r="E67" i="18"/>
  <c r="F67" i="18"/>
  <c r="H67" i="18"/>
  <c r="I67" i="18"/>
  <c r="K67" i="18"/>
  <c r="L67" i="18"/>
  <c r="D192" i="10" l="1"/>
  <c r="C192" i="10" s="1"/>
  <c r="B71" i="12"/>
  <c r="G192" i="5"/>
  <c r="C192" i="5"/>
  <c r="K192" i="4" l="1"/>
  <c r="F192" i="4" l="1"/>
  <c r="C192" i="4"/>
  <c r="K191" i="4" l="1"/>
  <c r="A66" i="18"/>
  <c r="B66" i="18"/>
  <c r="C66" i="18"/>
  <c r="E66" i="18"/>
  <c r="F66" i="18"/>
  <c r="H66" i="18"/>
  <c r="I66" i="18"/>
  <c r="K66" i="18"/>
  <c r="L66" i="18"/>
  <c r="D191" i="10" l="1"/>
  <c r="C191" i="10" s="1"/>
  <c r="G191" i="5" l="1"/>
  <c r="C191" i="5"/>
  <c r="F191" i="4" l="1"/>
  <c r="C191" i="4"/>
  <c r="A65" i="18" l="1"/>
  <c r="B65" i="18"/>
  <c r="C65" i="18"/>
  <c r="E65" i="18"/>
  <c r="F65" i="18"/>
  <c r="H65" i="18"/>
  <c r="I65" i="18"/>
  <c r="K65" i="18"/>
  <c r="L65" i="18"/>
  <c r="G190" i="5" l="1"/>
  <c r="C190" i="5"/>
  <c r="D190" i="10" l="1"/>
  <c r="C190" i="10" s="1"/>
  <c r="C189" i="5" l="1"/>
  <c r="K190" i="4" l="1"/>
  <c r="C190" i="4"/>
  <c r="F190" i="4" l="1"/>
  <c r="A64" i="18" l="1"/>
  <c r="B64" i="18"/>
  <c r="C64" i="18"/>
  <c r="E64" i="18"/>
  <c r="F64" i="18"/>
  <c r="H64" i="18"/>
  <c r="I64" i="18"/>
  <c r="K64" i="18"/>
  <c r="L64" i="18"/>
  <c r="D189" i="10" l="1"/>
  <c r="C189" i="10" s="1"/>
  <c r="G189" i="5" l="1"/>
  <c r="K189" i="4" l="1"/>
  <c r="F189" i="4" l="1"/>
  <c r="C189" i="4"/>
  <c r="A63" i="18" l="1"/>
  <c r="B63" i="18"/>
  <c r="C63" i="18"/>
  <c r="E63" i="18"/>
  <c r="F63" i="18"/>
  <c r="H63" i="18"/>
  <c r="I63" i="18"/>
  <c r="K63" i="18"/>
  <c r="L63" i="18"/>
  <c r="D188" i="10" l="1"/>
  <c r="C188" i="10" s="1"/>
  <c r="B70" i="12" l="1"/>
  <c r="G188" i="5" l="1"/>
  <c r="C188" i="5"/>
  <c r="C187" i="5"/>
  <c r="K188" i="4" l="1"/>
  <c r="F188" i="4" l="1"/>
  <c r="C188" i="4"/>
  <c r="A62" i="18" l="1"/>
  <c r="B62" i="18"/>
  <c r="C62" i="18"/>
  <c r="E62" i="18"/>
  <c r="F62" i="18"/>
  <c r="H62" i="18"/>
  <c r="I62" i="18"/>
  <c r="K62" i="18"/>
  <c r="L62" i="18"/>
  <c r="D187" i="10" l="1"/>
  <c r="C187" i="10" s="1"/>
  <c r="B187" i="10" s="1"/>
  <c r="B188" i="10" s="1"/>
  <c r="B189" i="10" s="1"/>
  <c r="B190" i="10" s="1"/>
  <c r="B191" i="10" l="1"/>
  <c r="B192" i="10" s="1"/>
  <c r="B193" i="10" s="1"/>
  <c r="B194" i="10" s="1"/>
  <c r="B195" i="10" s="1"/>
  <c r="B196" i="10" s="1"/>
  <c r="B197" i="10" s="1"/>
  <c r="G187" i="5"/>
  <c r="B198" i="10" l="1"/>
  <c r="K187" i="4"/>
  <c r="F187" i="4" l="1"/>
  <c r="C187" i="4"/>
  <c r="A61" i="18" l="1"/>
  <c r="B61" i="18"/>
  <c r="C61" i="18"/>
  <c r="E61" i="18"/>
  <c r="F61" i="18"/>
  <c r="H61" i="18"/>
  <c r="I61" i="18"/>
  <c r="K61" i="18"/>
  <c r="L61" i="18"/>
  <c r="D186" i="10" l="1"/>
  <c r="C186" i="10" s="1"/>
  <c r="N186" i="5" l="1"/>
  <c r="J186" i="5"/>
  <c r="G186" i="5"/>
  <c r="C186" i="5"/>
  <c r="K186" i="4" l="1"/>
  <c r="F186" i="4" l="1"/>
  <c r="C186" i="4"/>
  <c r="C186" i="3"/>
  <c r="A60" i="18" l="1"/>
  <c r="B60" i="18"/>
  <c r="C60" i="18"/>
  <c r="E60" i="18"/>
  <c r="F60" i="18"/>
  <c r="H60" i="18"/>
  <c r="I60" i="18"/>
  <c r="K60" i="18"/>
  <c r="L60" i="18"/>
  <c r="D185" i="10" l="1"/>
  <c r="C185" i="10" s="1"/>
  <c r="K185" i="4"/>
  <c r="J185" i="5"/>
  <c r="N185" i="5"/>
  <c r="G185" i="5" l="1"/>
  <c r="C185" i="5"/>
  <c r="F185" i="4" l="1"/>
  <c r="C185" i="4"/>
  <c r="C185" i="3"/>
  <c r="A59" i="18" l="1"/>
  <c r="B59" i="18"/>
  <c r="C59" i="18"/>
  <c r="E59" i="18"/>
  <c r="F59" i="18"/>
  <c r="H59" i="18"/>
  <c r="I59" i="18"/>
  <c r="K59" i="18"/>
  <c r="L59" i="18"/>
  <c r="D184" i="10" l="1"/>
  <c r="C184" i="10" s="1"/>
  <c r="N184" i="5" l="1"/>
  <c r="J184" i="5"/>
  <c r="G183" i="5" l="1"/>
  <c r="G184" i="5"/>
  <c r="C183" i="5"/>
  <c r="C184" i="5"/>
  <c r="C184" i="4" l="1"/>
  <c r="K184" i="4"/>
  <c r="F184" i="4" l="1"/>
  <c r="C184" i="3" l="1"/>
  <c r="D183" i="10" l="1"/>
  <c r="C183" i="10" s="1"/>
  <c r="A58" i="18" l="1"/>
  <c r="B58" i="18"/>
  <c r="C58" i="18"/>
  <c r="E58" i="18"/>
  <c r="F58" i="18"/>
  <c r="H58" i="18"/>
  <c r="I58" i="18"/>
  <c r="K58" i="18"/>
  <c r="L58" i="18"/>
  <c r="J183" i="5" l="1"/>
  <c r="N183" i="5"/>
  <c r="K183" i="4" l="1"/>
  <c r="K182" i="4"/>
  <c r="F183" i="4" l="1"/>
  <c r="C183" i="4"/>
  <c r="C183" i="3" l="1"/>
  <c r="A57" i="18" l="1"/>
  <c r="B57" i="18"/>
  <c r="C57" i="18"/>
  <c r="E57" i="18"/>
  <c r="F57" i="18"/>
  <c r="H57" i="18"/>
  <c r="I57" i="18"/>
  <c r="K57" i="18"/>
  <c r="L57" i="18"/>
  <c r="J182" i="5" l="1"/>
  <c r="N182" i="5"/>
  <c r="G182" i="5"/>
  <c r="C182" i="5"/>
  <c r="D182" i="10" l="1"/>
  <c r="C182" i="10" s="1"/>
  <c r="F182" i="4" l="1"/>
  <c r="C182" i="4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A56" i="18" l="1"/>
  <c r="B56" i="18"/>
  <c r="C56" i="18"/>
  <c r="E56" i="18"/>
  <c r="F56" i="18"/>
  <c r="H56" i="18"/>
  <c r="I56" i="18"/>
  <c r="K56" i="18"/>
  <c r="L56" i="18"/>
  <c r="G181" i="5" l="1"/>
  <c r="C181" i="5"/>
  <c r="B68" i="12" l="1"/>
  <c r="D181" i="10"/>
  <c r="C181" i="10" s="1"/>
  <c r="J181" i="5" l="1"/>
  <c r="N181" i="5"/>
  <c r="C180" i="5"/>
  <c r="K181" i="4" l="1"/>
  <c r="K175" i="4"/>
  <c r="K176" i="4"/>
  <c r="K177" i="4"/>
  <c r="K178" i="4"/>
  <c r="K179" i="4"/>
  <c r="K180" i="4"/>
  <c r="F181" i="4" l="1"/>
  <c r="C181" i="4"/>
  <c r="A55" i="18" l="1"/>
  <c r="B55" i="18"/>
  <c r="C55" i="18"/>
  <c r="E55" i="18"/>
  <c r="F55" i="18"/>
  <c r="H55" i="18"/>
  <c r="I55" i="18"/>
  <c r="K55" i="18"/>
  <c r="L55" i="18"/>
  <c r="G179" i="5" l="1"/>
  <c r="G180" i="5"/>
  <c r="C179" i="5"/>
  <c r="N180" i="5" l="1"/>
  <c r="J180" i="5"/>
  <c r="D180" i="10" l="1"/>
  <c r="C180" i="10" s="1"/>
  <c r="F180" i="4" l="1"/>
  <c r="C180" i="4"/>
  <c r="C179" i="4" l="1"/>
  <c r="F179" i="4"/>
  <c r="C178" i="4"/>
  <c r="F178" i="4"/>
  <c r="D179" i="10" l="1"/>
  <c r="C179" i="10" s="1"/>
  <c r="A54" i="18" l="1"/>
  <c r="B54" i="18"/>
  <c r="C54" i="18"/>
  <c r="E54" i="18"/>
  <c r="F54" i="18"/>
  <c r="H54" i="18"/>
  <c r="I54" i="18"/>
  <c r="K54" i="18"/>
  <c r="L54" i="18"/>
  <c r="G178" i="5" l="1"/>
  <c r="C178" i="5"/>
  <c r="B67" i="12" l="1"/>
  <c r="J179" i="5" l="1"/>
  <c r="N179" i="5"/>
  <c r="A53" i="18" l="1"/>
  <c r="B53" i="18"/>
  <c r="C53" i="18"/>
  <c r="E53" i="18"/>
  <c r="F53" i="18"/>
  <c r="H53" i="18"/>
  <c r="I53" i="18"/>
  <c r="K53" i="18"/>
  <c r="L53" i="18"/>
  <c r="D178" i="10" l="1"/>
  <c r="C178" i="10" s="1"/>
  <c r="J178" i="5"/>
  <c r="N178" i="5"/>
  <c r="A52" i="18" l="1"/>
  <c r="B52" i="18"/>
  <c r="C52" i="18"/>
  <c r="E52" i="18"/>
  <c r="F52" i="18"/>
  <c r="H52" i="18"/>
  <c r="I52" i="18"/>
  <c r="K52" i="18"/>
  <c r="L52" i="18"/>
  <c r="D177" i="10" l="1"/>
  <c r="C177" i="10" s="1"/>
  <c r="D176" i="10"/>
  <c r="C176" i="10" s="1"/>
  <c r="N177" i="5" l="1"/>
  <c r="J177" i="5"/>
  <c r="G176" i="5"/>
  <c r="G177" i="5"/>
  <c r="C176" i="5"/>
  <c r="C177" i="5"/>
  <c r="F177" i="4" l="1"/>
  <c r="C177" i="4"/>
  <c r="A51" i="18" l="1"/>
  <c r="B51" i="18"/>
  <c r="C51" i="18"/>
  <c r="E51" i="18"/>
  <c r="F51" i="18"/>
  <c r="H51" i="18"/>
  <c r="I51" i="18"/>
  <c r="K51" i="18"/>
  <c r="L51" i="18"/>
  <c r="N176" i="5" l="1"/>
  <c r="J176" i="5"/>
  <c r="F176" i="4" l="1"/>
  <c r="C176" i="4"/>
  <c r="C175" i="4" l="1"/>
  <c r="F175" i="4"/>
  <c r="B66" i="12" l="1"/>
  <c r="A50" i="18" l="1"/>
  <c r="B50" i="18"/>
  <c r="C50" i="18"/>
  <c r="E50" i="18"/>
  <c r="F50" i="18"/>
  <c r="H50" i="18"/>
  <c r="I50" i="18"/>
  <c r="K50" i="18"/>
  <c r="L50" i="18"/>
  <c r="D175" i="10" l="1"/>
  <c r="C175" i="10" s="1"/>
  <c r="B175" i="10" s="1"/>
  <c r="B176" i="10" s="1"/>
  <c r="B177" i="10" s="1"/>
  <c r="B178" i="10" s="1"/>
  <c r="B179" i="10" l="1"/>
  <c r="J175" i="5"/>
  <c r="N175" i="5"/>
  <c r="B180" i="10" l="1"/>
  <c r="B181" i="10" s="1"/>
  <c r="C175" i="5"/>
  <c r="G175" i="5"/>
  <c r="B182" i="10" l="1"/>
  <c r="B183" i="10" s="1"/>
  <c r="B184" i="10" s="1"/>
  <c r="B185" i="10" s="1"/>
  <c r="A49" i="18"/>
  <c r="B49" i="18"/>
  <c r="C49" i="18"/>
  <c r="E49" i="18"/>
  <c r="F49" i="18"/>
  <c r="H49" i="18"/>
  <c r="I49" i="18"/>
  <c r="K49" i="18"/>
  <c r="L49" i="18"/>
  <c r="C174" i="5"/>
  <c r="G174" i="5"/>
  <c r="B186" i="10" l="1"/>
  <c r="D174" i="10"/>
  <c r="C174" i="10" s="1"/>
  <c r="J174" i="5" l="1"/>
  <c r="N174" i="5"/>
  <c r="K174" i="4" l="1"/>
  <c r="F174" i="4" l="1"/>
  <c r="C174" i="4"/>
  <c r="A48" i="18" l="1"/>
  <c r="B48" i="18"/>
  <c r="C48" i="18"/>
  <c r="E48" i="18"/>
  <c r="F48" i="18"/>
  <c r="H48" i="18"/>
  <c r="I48" i="18"/>
  <c r="K48" i="18"/>
  <c r="L48" i="18"/>
  <c r="D173" i="10" l="1"/>
  <c r="C173" i="10" s="1"/>
  <c r="J173" i="5" l="1"/>
  <c r="N173" i="5"/>
  <c r="G173" i="5"/>
  <c r="C173" i="5"/>
  <c r="C172" i="5"/>
  <c r="G172" i="5" l="1"/>
  <c r="K173" i="4" l="1"/>
  <c r="F173" i="4" l="1"/>
  <c r="C173" i="4" l="1"/>
  <c r="F172" i="4" l="1"/>
  <c r="A47" i="18"/>
  <c r="B47" i="18"/>
  <c r="C47" i="18"/>
  <c r="E47" i="18"/>
  <c r="F47" i="18"/>
  <c r="H47" i="18"/>
  <c r="I47" i="18"/>
  <c r="K47" i="18"/>
  <c r="L47" i="18"/>
  <c r="D172" i="10" l="1"/>
  <c r="C172" i="10" s="1"/>
  <c r="J172" i="5" l="1"/>
  <c r="N172" i="5"/>
  <c r="K172" i="4" l="1"/>
  <c r="C172" i="4" l="1"/>
  <c r="A46" i="18" l="1"/>
  <c r="B46" i="18"/>
  <c r="C46" i="18"/>
  <c r="E46" i="18"/>
  <c r="F46" i="18"/>
  <c r="H46" i="18"/>
  <c r="I46" i="18"/>
  <c r="K46" i="18"/>
  <c r="L46" i="18"/>
  <c r="J171" i="5" l="1"/>
  <c r="N171" i="5" l="1"/>
  <c r="B65" i="12"/>
  <c r="D171" i="10"/>
  <c r="C171" i="10" s="1"/>
  <c r="G171" i="5" l="1"/>
  <c r="C171" i="5"/>
  <c r="F171" i="4" l="1"/>
  <c r="C171" i="4"/>
  <c r="K171" i="4" l="1"/>
  <c r="A45" i="18" l="1"/>
  <c r="B45" i="18"/>
  <c r="C45" i="18"/>
  <c r="E45" i="18"/>
  <c r="F45" i="18"/>
  <c r="H45" i="18"/>
  <c r="I45" i="18"/>
  <c r="K45" i="18"/>
  <c r="L45" i="18"/>
  <c r="N170" i="5" l="1"/>
  <c r="J170" i="5"/>
  <c r="G170" i="5"/>
  <c r="C170" i="5"/>
  <c r="D170" i="10" l="1"/>
  <c r="C170" i="10" s="1"/>
  <c r="C170" i="4" l="1"/>
  <c r="F170" i="4"/>
  <c r="K170" i="4"/>
  <c r="B64" i="12" l="1"/>
  <c r="A44" i="18"/>
  <c r="B44" i="18"/>
  <c r="C44" i="18"/>
  <c r="E44" i="18"/>
  <c r="F44" i="18"/>
  <c r="H44" i="18"/>
  <c r="I44" i="18"/>
  <c r="K44" i="18"/>
  <c r="L44" i="18"/>
  <c r="D169" i="10" l="1"/>
  <c r="C169" i="10" s="1"/>
  <c r="N169" i="5" l="1"/>
  <c r="J169" i="5"/>
  <c r="G169" i="5"/>
  <c r="C169" i="5"/>
  <c r="K169" i="4" l="1"/>
  <c r="F169" i="4" l="1"/>
  <c r="C169" i="4"/>
  <c r="E43" i="18" l="1"/>
  <c r="F43" i="18"/>
  <c r="H43" i="18"/>
  <c r="I43" i="18"/>
  <c r="K43" i="18"/>
  <c r="L43" i="18"/>
  <c r="A43" i="18"/>
  <c r="B43" i="18"/>
  <c r="C43" i="18"/>
  <c r="B14" i="1"/>
  <c r="D168" i="10"/>
  <c r="C168" i="10" s="1"/>
  <c r="N167" i="5"/>
  <c r="N168" i="5"/>
  <c r="J168" i="5"/>
  <c r="C168" i="5"/>
  <c r="G168" i="5"/>
  <c r="K168" i="4"/>
  <c r="F168" i="4"/>
  <c r="C168" i="4"/>
  <c r="H9" i="1" s="1"/>
  <c r="G167" i="5"/>
  <c r="C167" i="5"/>
  <c r="D163" i="10"/>
  <c r="C163" i="10" s="1"/>
  <c r="B163" i="10" s="1"/>
  <c r="D164" i="10"/>
  <c r="C164" i="10" s="1"/>
  <c r="D165" i="10"/>
  <c r="C165" i="10" s="1"/>
  <c r="D166" i="10"/>
  <c r="C166" i="10" s="1"/>
  <c r="D167" i="10"/>
  <c r="C167" i="10" s="1"/>
  <c r="C166" i="5"/>
  <c r="G166" i="5"/>
  <c r="K166" i="4"/>
  <c r="K167" i="4"/>
  <c r="B42" i="18"/>
  <c r="C42" i="18"/>
  <c r="E42" i="18"/>
  <c r="F42" i="18"/>
  <c r="H42" i="18"/>
  <c r="I42" i="18"/>
  <c r="K42" i="18"/>
  <c r="L42" i="18"/>
  <c r="A42" i="18"/>
  <c r="C167" i="4"/>
  <c r="F167" i="4"/>
  <c r="B63" i="12"/>
  <c r="C41" i="18"/>
  <c r="E41" i="18"/>
  <c r="F41" i="18"/>
  <c r="H41" i="18"/>
  <c r="I41" i="18"/>
  <c r="K41" i="18"/>
  <c r="L41" i="18"/>
  <c r="A41" i="18"/>
  <c r="F166" i="4"/>
  <c r="C166" i="4"/>
  <c r="B41" i="18"/>
  <c r="G165" i="5"/>
  <c r="C165" i="5"/>
  <c r="C164" i="5"/>
  <c r="L7" i="1" s="1"/>
  <c r="K40" i="18"/>
  <c r="L40" i="18"/>
  <c r="H40" i="18"/>
  <c r="I40" i="18"/>
  <c r="E40" i="18"/>
  <c r="F40" i="18"/>
  <c r="C40" i="18"/>
  <c r="A40" i="18"/>
  <c r="O279" i="8"/>
  <c r="X279" i="8"/>
  <c r="W279" i="8"/>
  <c r="V279" i="8"/>
  <c r="U279" i="8"/>
  <c r="T279" i="8"/>
  <c r="S279" i="8"/>
  <c r="R279" i="8"/>
  <c r="Q279" i="8"/>
  <c r="P279" i="8"/>
  <c r="O260" i="8"/>
  <c r="C165" i="4"/>
  <c r="B40" i="18"/>
  <c r="K165" i="4"/>
  <c r="K164" i="4"/>
  <c r="F165" i="4"/>
  <c r="B19" i="1"/>
  <c r="P260" i="8"/>
  <c r="Q260" i="8"/>
  <c r="R260" i="8"/>
  <c r="S260" i="8"/>
  <c r="T260" i="8"/>
  <c r="U260" i="8"/>
  <c r="V260" i="8"/>
  <c r="W260" i="8"/>
  <c r="X260" i="8"/>
  <c r="K3" i="18"/>
  <c r="L3" i="18"/>
  <c r="K4" i="18"/>
  <c r="L4" i="18"/>
  <c r="K5" i="18"/>
  <c r="L5" i="18"/>
  <c r="K6" i="18"/>
  <c r="L6" i="18"/>
  <c r="K7" i="18"/>
  <c r="L7" i="18"/>
  <c r="K8" i="18"/>
  <c r="L8" i="18"/>
  <c r="K9" i="18"/>
  <c r="L9" i="18"/>
  <c r="K10" i="18"/>
  <c r="L10" i="18"/>
  <c r="K11" i="18"/>
  <c r="L11" i="18"/>
  <c r="K12" i="18"/>
  <c r="L12" i="18"/>
  <c r="K13" i="18"/>
  <c r="L13" i="18"/>
  <c r="K14" i="18"/>
  <c r="L14" i="18"/>
  <c r="K15" i="18"/>
  <c r="L15" i="18"/>
  <c r="K16" i="18"/>
  <c r="L16" i="18"/>
  <c r="K17" i="18"/>
  <c r="L17" i="18"/>
  <c r="K18" i="18"/>
  <c r="L18" i="18"/>
  <c r="K19" i="18"/>
  <c r="L19" i="18"/>
  <c r="K20" i="18"/>
  <c r="L20" i="18"/>
  <c r="K21" i="18"/>
  <c r="L21" i="18"/>
  <c r="K22" i="18"/>
  <c r="L22" i="18"/>
  <c r="K23" i="18"/>
  <c r="L23" i="18"/>
  <c r="K24" i="18"/>
  <c r="L24" i="18"/>
  <c r="K25" i="18"/>
  <c r="L25" i="18"/>
  <c r="K26" i="18"/>
  <c r="L26" i="18"/>
  <c r="K27" i="18"/>
  <c r="L27" i="18"/>
  <c r="K28" i="18"/>
  <c r="L28" i="18"/>
  <c r="K29" i="18"/>
  <c r="L29" i="18"/>
  <c r="K30" i="18"/>
  <c r="L30" i="18"/>
  <c r="K31" i="18"/>
  <c r="L31" i="18"/>
  <c r="K32" i="18"/>
  <c r="L32" i="18"/>
  <c r="K33" i="18"/>
  <c r="L33" i="18"/>
  <c r="K34" i="18"/>
  <c r="L34" i="18"/>
  <c r="K35" i="18"/>
  <c r="L35" i="18"/>
  <c r="K36" i="18"/>
  <c r="L36" i="18"/>
  <c r="K37" i="18"/>
  <c r="L37" i="18"/>
  <c r="K38" i="18"/>
  <c r="L38" i="18"/>
  <c r="K39" i="18"/>
  <c r="L39" i="18"/>
  <c r="L2" i="18"/>
  <c r="K2" i="18"/>
  <c r="H3" i="18"/>
  <c r="I3" i="18"/>
  <c r="H4" i="18"/>
  <c r="I4" i="18"/>
  <c r="H5" i="18"/>
  <c r="I5" i="18"/>
  <c r="H6" i="18"/>
  <c r="I6" i="18"/>
  <c r="H7" i="18"/>
  <c r="I7" i="18"/>
  <c r="H8" i="18"/>
  <c r="I8" i="18"/>
  <c r="H9" i="18"/>
  <c r="I9" i="18"/>
  <c r="H10" i="18"/>
  <c r="I10" i="18"/>
  <c r="H11" i="18"/>
  <c r="I11" i="18"/>
  <c r="H12" i="18"/>
  <c r="I12" i="18"/>
  <c r="H13" i="18"/>
  <c r="I13" i="18"/>
  <c r="H14" i="18"/>
  <c r="I14" i="18"/>
  <c r="H15" i="18"/>
  <c r="I15" i="18"/>
  <c r="H16" i="18"/>
  <c r="I16" i="18"/>
  <c r="H17" i="18"/>
  <c r="I17" i="18"/>
  <c r="H18" i="18"/>
  <c r="I18" i="18"/>
  <c r="H19" i="18"/>
  <c r="I19" i="18"/>
  <c r="H20" i="18"/>
  <c r="I20" i="18"/>
  <c r="H21" i="18"/>
  <c r="I21" i="18"/>
  <c r="H22" i="18"/>
  <c r="I22" i="18"/>
  <c r="H23" i="18"/>
  <c r="I23" i="18"/>
  <c r="H24" i="18"/>
  <c r="I24" i="18"/>
  <c r="H25" i="18"/>
  <c r="I25" i="18"/>
  <c r="H26" i="18"/>
  <c r="I26" i="18"/>
  <c r="H27" i="18"/>
  <c r="I27" i="18"/>
  <c r="H28" i="18"/>
  <c r="I28" i="18"/>
  <c r="H29" i="18"/>
  <c r="I29" i="18"/>
  <c r="H30" i="18"/>
  <c r="I30" i="18"/>
  <c r="H31" i="18"/>
  <c r="I31" i="18"/>
  <c r="H32" i="18"/>
  <c r="I32" i="18"/>
  <c r="H33" i="18"/>
  <c r="I33" i="18"/>
  <c r="H34" i="18"/>
  <c r="I34" i="18"/>
  <c r="H35" i="18"/>
  <c r="I35" i="18"/>
  <c r="H36" i="18"/>
  <c r="I36" i="18"/>
  <c r="H37" i="18"/>
  <c r="I37" i="18"/>
  <c r="H38" i="18"/>
  <c r="I38" i="18"/>
  <c r="H39" i="18"/>
  <c r="I39" i="18"/>
  <c r="I2" i="18"/>
  <c r="H2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E15" i="18"/>
  <c r="F15" i="18"/>
  <c r="E16" i="18"/>
  <c r="F16" i="18"/>
  <c r="E17" i="18"/>
  <c r="F17" i="18"/>
  <c r="E18" i="18"/>
  <c r="F18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E31" i="18"/>
  <c r="F31" i="18"/>
  <c r="E32" i="18"/>
  <c r="F32" i="18"/>
  <c r="E33" i="18"/>
  <c r="F33" i="18"/>
  <c r="E34" i="18"/>
  <c r="F34" i="18"/>
  <c r="E35" i="18"/>
  <c r="F35" i="18"/>
  <c r="E36" i="18"/>
  <c r="F36" i="18"/>
  <c r="E37" i="18"/>
  <c r="F37" i="18"/>
  <c r="E38" i="18"/>
  <c r="F38" i="18"/>
  <c r="E39" i="18"/>
  <c r="F39" i="18"/>
  <c r="F2" i="18"/>
  <c r="E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2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2" i="18"/>
  <c r="O28" i="1"/>
  <c r="O27" i="1"/>
  <c r="O26" i="1"/>
  <c r="O25" i="1"/>
  <c r="O20" i="1"/>
  <c r="O19" i="1"/>
  <c r="O18" i="1"/>
  <c r="O17" i="1"/>
  <c r="L30" i="1"/>
  <c r="L29" i="1"/>
  <c r="L28" i="1"/>
  <c r="L27" i="1"/>
  <c r="L25" i="1"/>
  <c r="L24" i="1"/>
  <c r="L23" i="1"/>
  <c r="L17" i="1"/>
  <c r="L18" i="1"/>
  <c r="L19" i="1"/>
  <c r="L22" i="1"/>
  <c r="L20" i="1"/>
  <c r="B8" i="1"/>
  <c r="B7" i="1"/>
  <c r="O14" i="1"/>
  <c r="O13" i="1"/>
  <c r="O12" i="1"/>
  <c r="O11" i="1"/>
  <c r="O5" i="1"/>
  <c r="O4" i="1"/>
  <c r="O3" i="1"/>
  <c r="O2" i="1"/>
  <c r="L5" i="1"/>
  <c r="L4" i="1"/>
  <c r="L3" i="1"/>
  <c r="L2" i="1"/>
  <c r="N125" i="5"/>
  <c r="H15" i="1"/>
  <c r="H14" i="1"/>
  <c r="H13" i="1"/>
  <c r="H12" i="1"/>
  <c r="H5" i="1"/>
  <c r="H3" i="1"/>
  <c r="H4" i="1"/>
  <c r="H2" i="1"/>
  <c r="D7" i="1"/>
  <c r="E4" i="1"/>
  <c r="E5" i="1"/>
  <c r="E3" i="1"/>
  <c r="E2" i="1"/>
  <c r="D2" i="1"/>
  <c r="B13" i="1"/>
  <c r="B9" i="1"/>
  <c r="B12" i="1"/>
  <c r="A12" i="1"/>
  <c r="B6" i="1"/>
  <c r="B39" i="18"/>
  <c r="E7" i="1"/>
  <c r="K163" i="4"/>
  <c r="F164" i="4"/>
  <c r="C164" i="4"/>
  <c r="H6" i="1" s="1"/>
  <c r="F163" i="4"/>
  <c r="G164" i="5"/>
  <c r="L12" i="1" s="1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7" i="5"/>
  <c r="C163" i="5"/>
  <c r="B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L13" i="1"/>
  <c r="L14" i="1"/>
  <c r="L15" i="1"/>
  <c r="L8" i="1"/>
  <c r="L9" i="1"/>
  <c r="L10" i="1"/>
  <c r="C148" i="4"/>
  <c r="AF240" i="8"/>
  <c r="AE240" i="8"/>
  <c r="AD240" i="8"/>
  <c r="AC240" i="8"/>
  <c r="AB240" i="8"/>
  <c r="AA240" i="8"/>
  <c r="Z240" i="8"/>
  <c r="Y240" i="8"/>
  <c r="W240" i="8"/>
  <c r="AG240" i="8" s="1"/>
  <c r="AG239" i="8"/>
  <c r="AF239" i="8"/>
  <c r="AE239" i="8"/>
  <c r="AD239" i="8"/>
  <c r="AC239" i="8"/>
  <c r="AB239" i="8"/>
  <c r="AA239" i="8"/>
  <c r="Z239" i="8"/>
  <c r="Y239" i="8"/>
  <c r="AG238" i="8"/>
  <c r="AF238" i="8"/>
  <c r="AE238" i="8"/>
  <c r="AD238" i="8"/>
  <c r="AC238" i="8"/>
  <c r="AB238" i="8"/>
  <c r="AA238" i="8"/>
  <c r="Z238" i="8"/>
  <c r="Y238" i="8"/>
  <c r="AG237" i="8"/>
  <c r="AF237" i="8"/>
  <c r="AE237" i="8"/>
  <c r="AD237" i="8"/>
  <c r="AC237" i="8"/>
  <c r="AB237" i="8"/>
  <c r="AA237" i="8"/>
  <c r="Z237" i="8"/>
  <c r="Y237" i="8"/>
  <c r="AG236" i="8"/>
  <c r="AF236" i="8"/>
  <c r="AE236" i="8"/>
  <c r="AD236" i="8"/>
  <c r="AC236" i="8"/>
  <c r="AB236" i="8"/>
  <c r="AA236" i="8"/>
  <c r="Z236" i="8"/>
  <c r="Y236" i="8"/>
  <c r="AG235" i="8"/>
  <c r="AF235" i="8"/>
  <c r="AE235" i="8"/>
  <c r="AD235" i="8"/>
  <c r="AC235" i="8"/>
  <c r="AB235" i="8"/>
  <c r="AA235" i="8"/>
  <c r="Z235" i="8"/>
  <c r="Y235" i="8"/>
  <c r="AG234" i="8"/>
  <c r="AF234" i="8"/>
  <c r="AE234" i="8"/>
  <c r="AD234" i="8"/>
  <c r="AC234" i="8"/>
  <c r="AB234" i="8"/>
  <c r="AA234" i="8"/>
  <c r="Z234" i="8"/>
  <c r="Y234" i="8"/>
  <c r="AG233" i="8"/>
  <c r="AF233" i="8"/>
  <c r="AE233" i="8"/>
  <c r="AD233" i="8"/>
  <c r="AC233" i="8"/>
  <c r="AB233" i="8"/>
  <c r="AA233" i="8"/>
  <c r="Z233" i="8"/>
  <c r="Y233" i="8"/>
  <c r="AG232" i="8"/>
  <c r="AF232" i="8"/>
  <c r="AE232" i="8"/>
  <c r="AD232" i="8"/>
  <c r="AC232" i="8"/>
  <c r="AB232" i="8"/>
  <c r="AA232" i="8"/>
  <c r="Z232" i="8"/>
  <c r="Y232" i="8"/>
  <c r="AG231" i="8"/>
  <c r="AF231" i="8"/>
  <c r="AE231" i="8"/>
  <c r="AD231" i="8"/>
  <c r="AC231" i="8"/>
  <c r="AB231" i="8"/>
  <c r="AA231" i="8"/>
  <c r="Z231" i="8"/>
  <c r="Y231" i="8"/>
  <c r="AG230" i="8"/>
  <c r="AF230" i="8"/>
  <c r="AE230" i="8"/>
  <c r="AD230" i="8"/>
  <c r="AC230" i="8"/>
  <c r="AB230" i="8"/>
  <c r="AA230" i="8"/>
  <c r="Z230" i="8"/>
  <c r="Y230" i="8"/>
  <c r="AG229" i="8"/>
  <c r="AF229" i="8"/>
  <c r="AE229" i="8"/>
  <c r="AD229" i="8"/>
  <c r="AC229" i="8"/>
  <c r="AB229" i="8"/>
  <c r="AA229" i="8"/>
  <c r="Z229" i="8"/>
  <c r="Y229" i="8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7" i="12"/>
  <c r="M114" i="10"/>
  <c r="M77" i="10"/>
  <c r="M78" i="10" s="1"/>
  <c r="M60" i="10"/>
  <c r="M8" i="10"/>
  <c r="L114" i="10"/>
  <c r="L77" i="10"/>
  <c r="L78" i="10" s="1"/>
  <c r="L42" i="10"/>
  <c r="L13" i="10"/>
  <c r="D8" i="10"/>
  <c r="C8" i="10" s="1"/>
  <c r="D9" i="10"/>
  <c r="C9" i="10" s="1"/>
  <c r="D10" i="10"/>
  <c r="C10" i="10" s="1"/>
  <c r="D11" i="10"/>
  <c r="C11" i="10" s="1"/>
  <c r="D12" i="10"/>
  <c r="C12" i="10" s="1"/>
  <c r="D13" i="10"/>
  <c r="C13" i="10" s="1"/>
  <c r="D14" i="10"/>
  <c r="C14" i="10" s="1"/>
  <c r="D15" i="10"/>
  <c r="C15" i="10" s="1"/>
  <c r="D16" i="10"/>
  <c r="C16" i="10" s="1"/>
  <c r="D17" i="10"/>
  <c r="C17" i="10" s="1"/>
  <c r="D18" i="10"/>
  <c r="C18" i="10" s="1"/>
  <c r="D19" i="10"/>
  <c r="C19" i="10" s="1"/>
  <c r="B19" i="10" s="1"/>
  <c r="D20" i="10"/>
  <c r="C20" i="10" s="1"/>
  <c r="D21" i="10"/>
  <c r="D22" i="10"/>
  <c r="C22" i="10" s="1"/>
  <c r="D23" i="10"/>
  <c r="C23" i="10" s="1"/>
  <c r="D24" i="10"/>
  <c r="C24" i="10" s="1"/>
  <c r="D25" i="10"/>
  <c r="C25" i="10" s="1"/>
  <c r="D26" i="10"/>
  <c r="C26" i="10" s="1"/>
  <c r="D27" i="10"/>
  <c r="C27" i="10" s="1"/>
  <c r="D28" i="10"/>
  <c r="C28" i="10" s="1"/>
  <c r="D29" i="10"/>
  <c r="C29" i="10" s="1"/>
  <c r="D30" i="10"/>
  <c r="C30" i="10" s="1"/>
  <c r="D31" i="10"/>
  <c r="C31" i="10" s="1"/>
  <c r="B31" i="10" s="1"/>
  <c r="D32" i="10"/>
  <c r="C32" i="10" s="1"/>
  <c r="D33" i="10"/>
  <c r="C33" i="10" s="1"/>
  <c r="D34" i="10"/>
  <c r="C34" i="10" s="1"/>
  <c r="D35" i="10"/>
  <c r="C35" i="10" s="1"/>
  <c r="D36" i="10"/>
  <c r="C36" i="10" s="1"/>
  <c r="D37" i="10"/>
  <c r="C37" i="10" s="1"/>
  <c r="D38" i="10"/>
  <c r="C38" i="10" s="1"/>
  <c r="D39" i="10"/>
  <c r="C39" i="10" s="1"/>
  <c r="D40" i="10"/>
  <c r="C40" i="10" s="1"/>
  <c r="D41" i="10"/>
  <c r="C41" i="10" s="1"/>
  <c r="D42" i="10"/>
  <c r="C42" i="10" s="1"/>
  <c r="D43" i="10"/>
  <c r="C43" i="10" s="1"/>
  <c r="B43" i="10" s="1"/>
  <c r="D44" i="10"/>
  <c r="C44" i="10" s="1"/>
  <c r="D45" i="10"/>
  <c r="C45" i="10" s="1"/>
  <c r="D46" i="10"/>
  <c r="C46" i="10" s="1"/>
  <c r="D47" i="10"/>
  <c r="C47" i="10" s="1"/>
  <c r="D48" i="10"/>
  <c r="C48" i="10" s="1"/>
  <c r="D49" i="10"/>
  <c r="C49" i="10" s="1"/>
  <c r="D50" i="10"/>
  <c r="C50" i="10" s="1"/>
  <c r="D51" i="10"/>
  <c r="C51" i="10" s="1"/>
  <c r="D52" i="10"/>
  <c r="C52" i="10" s="1"/>
  <c r="D53" i="10"/>
  <c r="C53" i="10" s="1"/>
  <c r="D54" i="10"/>
  <c r="C54" i="10" s="1"/>
  <c r="D55" i="10"/>
  <c r="C55" i="10" s="1"/>
  <c r="B55" i="10" s="1"/>
  <c r="D56" i="10"/>
  <c r="C56" i="10" s="1"/>
  <c r="D57" i="10"/>
  <c r="C57" i="10" s="1"/>
  <c r="D58" i="10"/>
  <c r="C58" i="10" s="1"/>
  <c r="D59" i="10"/>
  <c r="C59" i="10" s="1"/>
  <c r="D60" i="10"/>
  <c r="C60" i="10" s="1"/>
  <c r="D61" i="10"/>
  <c r="C61" i="10" s="1"/>
  <c r="D62" i="10"/>
  <c r="C62" i="10" s="1"/>
  <c r="D63" i="10"/>
  <c r="C63" i="10" s="1"/>
  <c r="D64" i="10"/>
  <c r="C64" i="10" s="1"/>
  <c r="D65" i="10"/>
  <c r="C65" i="10" s="1"/>
  <c r="D66" i="10"/>
  <c r="C66" i="10" s="1"/>
  <c r="D67" i="10"/>
  <c r="C67" i="10" s="1"/>
  <c r="B67" i="10" s="1"/>
  <c r="D68" i="10"/>
  <c r="C68" i="10" s="1"/>
  <c r="D69" i="10"/>
  <c r="C69" i="10" s="1"/>
  <c r="D70" i="10"/>
  <c r="C70" i="10" s="1"/>
  <c r="D71" i="10"/>
  <c r="C71" i="10" s="1"/>
  <c r="D72" i="10"/>
  <c r="C72" i="10" s="1"/>
  <c r="D73" i="10"/>
  <c r="C73" i="10" s="1"/>
  <c r="D74" i="10"/>
  <c r="C74" i="10" s="1"/>
  <c r="D75" i="10"/>
  <c r="C75" i="10" s="1"/>
  <c r="D76" i="10"/>
  <c r="C76" i="10" s="1"/>
  <c r="D77" i="10"/>
  <c r="C77" i="10" s="1"/>
  <c r="D78" i="10"/>
  <c r="C78" i="10" s="1"/>
  <c r="D79" i="10"/>
  <c r="C79" i="10" s="1"/>
  <c r="B79" i="10" s="1"/>
  <c r="D80" i="10"/>
  <c r="C80" i="10" s="1"/>
  <c r="D81" i="10"/>
  <c r="C81" i="10" s="1"/>
  <c r="D82" i="10"/>
  <c r="C82" i="10" s="1"/>
  <c r="D83" i="10"/>
  <c r="C83" i="10" s="1"/>
  <c r="D84" i="10"/>
  <c r="C84" i="10" s="1"/>
  <c r="D85" i="10"/>
  <c r="D86" i="10"/>
  <c r="C86" i="10" s="1"/>
  <c r="D87" i="10"/>
  <c r="C87" i="10" s="1"/>
  <c r="D88" i="10"/>
  <c r="C88" i="10" s="1"/>
  <c r="D89" i="10"/>
  <c r="C89" i="10" s="1"/>
  <c r="D90" i="10"/>
  <c r="C90" i="10" s="1"/>
  <c r="D91" i="10"/>
  <c r="C91" i="10" s="1"/>
  <c r="B91" i="10" s="1"/>
  <c r="D92" i="10"/>
  <c r="C92" i="10" s="1"/>
  <c r="D93" i="10"/>
  <c r="C93" i="10" s="1"/>
  <c r="D94" i="10"/>
  <c r="C94" i="10" s="1"/>
  <c r="D95" i="10"/>
  <c r="C95" i="10" s="1"/>
  <c r="D96" i="10"/>
  <c r="C96" i="10" s="1"/>
  <c r="D97" i="10"/>
  <c r="C97" i="10" s="1"/>
  <c r="D98" i="10"/>
  <c r="C98" i="10" s="1"/>
  <c r="D99" i="10"/>
  <c r="C99" i="10" s="1"/>
  <c r="D100" i="10"/>
  <c r="C100" i="10" s="1"/>
  <c r="D101" i="10"/>
  <c r="C101" i="10" s="1"/>
  <c r="D102" i="10"/>
  <c r="C102" i="10" s="1"/>
  <c r="D103" i="10"/>
  <c r="C103" i="10" s="1"/>
  <c r="B103" i="10" s="1"/>
  <c r="D104" i="10"/>
  <c r="C104" i="10" s="1"/>
  <c r="D105" i="10"/>
  <c r="C105" i="10" s="1"/>
  <c r="D106" i="10"/>
  <c r="C106" i="10" s="1"/>
  <c r="D107" i="10"/>
  <c r="C107" i="10" s="1"/>
  <c r="D108" i="10"/>
  <c r="C108" i="10" s="1"/>
  <c r="D109" i="10"/>
  <c r="C109" i="10" s="1"/>
  <c r="D110" i="10"/>
  <c r="C110" i="10" s="1"/>
  <c r="D111" i="10"/>
  <c r="C111" i="10" s="1"/>
  <c r="D112" i="10"/>
  <c r="C112" i="10" s="1"/>
  <c r="D113" i="10"/>
  <c r="C113" i="10" s="1"/>
  <c r="D114" i="10"/>
  <c r="C114" i="10" s="1"/>
  <c r="D115" i="10"/>
  <c r="C115" i="10" s="1"/>
  <c r="B115" i="10" s="1"/>
  <c r="D116" i="10"/>
  <c r="C116" i="10" s="1"/>
  <c r="D117" i="10"/>
  <c r="C117" i="10" s="1"/>
  <c r="D118" i="10"/>
  <c r="C118" i="10" s="1"/>
  <c r="D119" i="10"/>
  <c r="C119" i="10" s="1"/>
  <c r="D120" i="10"/>
  <c r="C120" i="10" s="1"/>
  <c r="D121" i="10"/>
  <c r="C121" i="10" s="1"/>
  <c r="D122" i="10"/>
  <c r="C122" i="10" s="1"/>
  <c r="D123" i="10"/>
  <c r="C123" i="10" s="1"/>
  <c r="D124" i="10"/>
  <c r="C124" i="10" s="1"/>
  <c r="D125" i="10"/>
  <c r="C125" i="10" s="1"/>
  <c r="D126" i="10"/>
  <c r="C126" i="10" s="1"/>
  <c r="D127" i="10"/>
  <c r="C127" i="10" s="1"/>
  <c r="B127" i="10" s="1"/>
  <c r="D128" i="10"/>
  <c r="C128" i="10" s="1"/>
  <c r="D129" i="10"/>
  <c r="C129" i="10" s="1"/>
  <c r="D130" i="10"/>
  <c r="C130" i="10" s="1"/>
  <c r="D131" i="10"/>
  <c r="C131" i="10" s="1"/>
  <c r="D132" i="10"/>
  <c r="C132" i="10" s="1"/>
  <c r="D133" i="10"/>
  <c r="D134" i="10"/>
  <c r="C134" i="10" s="1"/>
  <c r="D135" i="10"/>
  <c r="C135" i="10" s="1"/>
  <c r="D136" i="10"/>
  <c r="C136" i="10" s="1"/>
  <c r="D137" i="10"/>
  <c r="C137" i="10" s="1"/>
  <c r="D138" i="10"/>
  <c r="C138" i="10" s="1"/>
  <c r="D139" i="10"/>
  <c r="C139" i="10" s="1"/>
  <c r="B139" i="10" s="1"/>
  <c r="D140" i="10"/>
  <c r="C140" i="10" s="1"/>
  <c r="D141" i="10"/>
  <c r="C141" i="10" s="1"/>
  <c r="D142" i="10"/>
  <c r="C142" i="10" s="1"/>
  <c r="D143" i="10"/>
  <c r="C143" i="10" s="1"/>
  <c r="D144" i="10"/>
  <c r="C144" i="10" s="1"/>
  <c r="D145" i="10"/>
  <c r="C145" i="10" s="1"/>
  <c r="D146" i="10"/>
  <c r="C146" i="10" s="1"/>
  <c r="D147" i="10"/>
  <c r="C147" i="10" s="1"/>
  <c r="D148" i="10"/>
  <c r="C148" i="10" s="1"/>
  <c r="D149" i="10"/>
  <c r="C149" i="10" s="1"/>
  <c r="D150" i="10"/>
  <c r="C150" i="10" s="1"/>
  <c r="D151" i="10"/>
  <c r="C151" i="10" s="1"/>
  <c r="B151" i="10" s="1"/>
  <c r="D152" i="10"/>
  <c r="C152" i="10" s="1"/>
  <c r="D153" i="10"/>
  <c r="C153" i="10" s="1"/>
  <c r="D154" i="10"/>
  <c r="C154" i="10" s="1"/>
  <c r="D155" i="10"/>
  <c r="C155" i="10" s="1"/>
  <c r="D156" i="10"/>
  <c r="C156" i="10" s="1"/>
  <c r="D157" i="10"/>
  <c r="C157" i="10" s="1"/>
  <c r="D158" i="10"/>
  <c r="C158" i="10" s="1"/>
  <c r="D159" i="10"/>
  <c r="C159" i="10" s="1"/>
  <c r="D160" i="10"/>
  <c r="C160" i="10" s="1"/>
  <c r="D161" i="10"/>
  <c r="C161" i="10" s="1"/>
  <c r="D162" i="10"/>
  <c r="C162" i="10" s="1"/>
  <c r="D7" i="10"/>
  <c r="C7" i="10" s="1"/>
  <c r="B7" i="10" s="1"/>
  <c r="C21" i="10"/>
  <c r="C85" i="10"/>
  <c r="C133" i="10"/>
  <c r="D60" i="9"/>
  <c r="D49" i="9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7" i="5"/>
  <c r="R7" i="5"/>
  <c r="N7" i="5" s="1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4" i="5"/>
  <c r="N123" i="5"/>
  <c r="N122" i="5"/>
  <c r="N121" i="5"/>
  <c r="N120" i="5"/>
  <c r="N119" i="5"/>
  <c r="N118" i="5"/>
  <c r="R117" i="5"/>
  <c r="N117" i="5" s="1"/>
  <c r="R116" i="5"/>
  <c r="N116" i="5" s="1"/>
  <c r="R115" i="5"/>
  <c r="N115" i="5" s="1"/>
  <c r="R114" i="5"/>
  <c r="N114" i="5" s="1"/>
  <c r="R113" i="5"/>
  <c r="N113" i="5" s="1"/>
  <c r="R112" i="5"/>
  <c r="N112" i="5" s="1"/>
  <c r="R111" i="5"/>
  <c r="N111" i="5" s="1"/>
  <c r="R110" i="5"/>
  <c r="N110" i="5" s="1"/>
  <c r="R109" i="5"/>
  <c r="N109" i="5" s="1"/>
  <c r="R108" i="5"/>
  <c r="N108" i="5" s="1"/>
  <c r="R107" i="5"/>
  <c r="N107" i="5" s="1"/>
  <c r="R106" i="5"/>
  <c r="N106" i="5" s="1"/>
  <c r="R105" i="5"/>
  <c r="N105" i="5" s="1"/>
  <c r="R104" i="5"/>
  <c r="N104" i="5" s="1"/>
  <c r="R103" i="5"/>
  <c r="N103" i="5" s="1"/>
  <c r="R102" i="5"/>
  <c r="N102" i="5" s="1"/>
  <c r="R101" i="5"/>
  <c r="N101" i="5" s="1"/>
  <c r="R100" i="5"/>
  <c r="N100" i="5" s="1"/>
  <c r="R99" i="5"/>
  <c r="N99" i="5" s="1"/>
  <c r="R98" i="5"/>
  <c r="N98" i="5" s="1"/>
  <c r="R97" i="5"/>
  <c r="O97" i="5"/>
  <c r="R96" i="5"/>
  <c r="O96" i="5"/>
  <c r="R95" i="5"/>
  <c r="O95" i="5"/>
  <c r="R94" i="5"/>
  <c r="O94" i="5"/>
  <c r="R93" i="5"/>
  <c r="O93" i="5"/>
  <c r="R92" i="5"/>
  <c r="O92" i="5"/>
  <c r="R91" i="5"/>
  <c r="O91" i="5"/>
  <c r="N90" i="5"/>
  <c r="R89" i="5"/>
  <c r="N89" i="5" s="1"/>
  <c r="R88" i="5"/>
  <c r="N88" i="5" s="1"/>
  <c r="R87" i="5"/>
  <c r="N87" i="5" s="1"/>
  <c r="R86" i="5"/>
  <c r="N86" i="5" s="1"/>
  <c r="R85" i="5"/>
  <c r="N85" i="5" s="1"/>
  <c r="R84" i="5"/>
  <c r="N84" i="5" s="1"/>
  <c r="R83" i="5"/>
  <c r="N83" i="5" s="1"/>
  <c r="R82" i="5"/>
  <c r="N82" i="5" s="1"/>
  <c r="R81" i="5"/>
  <c r="N81" i="5" s="1"/>
  <c r="R80" i="5"/>
  <c r="N80" i="5" s="1"/>
  <c r="R79" i="5"/>
  <c r="N79" i="5" s="1"/>
  <c r="R78" i="5"/>
  <c r="N78" i="5" s="1"/>
  <c r="R77" i="5"/>
  <c r="N77" i="5" s="1"/>
  <c r="R76" i="5"/>
  <c r="N76" i="5" s="1"/>
  <c r="R75" i="5"/>
  <c r="N75" i="5" s="1"/>
  <c r="R74" i="5"/>
  <c r="N74" i="5" s="1"/>
  <c r="R73" i="5"/>
  <c r="N73" i="5" s="1"/>
  <c r="R72" i="5"/>
  <c r="N72" i="5" s="1"/>
  <c r="R71" i="5"/>
  <c r="N71" i="5" s="1"/>
  <c r="R70" i="5"/>
  <c r="N70" i="5" s="1"/>
  <c r="R69" i="5"/>
  <c r="N69" i="5" s="1"/>
  <c r="R68" i="5"/>
  <c r="N68" i="5" s="1"/>
  <c r="R67" i="5"/>
  <c r="N67" i="5" s="1"/>
  <c r="N66" i="5"/>
  <c r="R65" i="5"/>
  <c r="O65" i="5"/>
  <c r="R64" i="5"/>
  <c r="O64" i="5"/>
  <c r="R63" i="5"/>
  <c r="O63" i="5"/>
  <c r="R62" i="5"/>
  <c r="O62" i="5"/>
  <c r="R61" i="5"/>
  <c r="O61" i="5"/>
  <c r="R60" i="5"/>
  <c r="O60" i="5"/>
  <c r="R59" i="5"/>
  <c r="O59" i="5"/>
  <c r="R58" i="5"/>
  <c r="O58" i="5"/>
  <c r="R57" i="5"/>
  <c r="O57" i="5"/>
  <c r="R56" i="5"/>
  <c r="O56" i="5"/>
  <c r="N55" i="5"/>
  <c r="R54" i="5"/>
  <c r="N54" i="5" s="1"/>
  <c r="R53" i="5"/>
  <c r="N53" i="5" s="1"/>
  <c r="R52" i="5"/>
  <c r="N52" i="5" s="1"/>
  <c r="R51" i="5"/>
  <c r="O51" i="5"/>
  <c r="R50" i="5"/>
  <c r="O50" i="5"/>
  <c r="R49" i="5"/>
  <c r="O49" i="5"/>
  <c r="R48" i="5"/>
  <c r="N48" i="5" s="1"/>
  <c r="R47" i="5"/>
  <c r="N47" i="5" s="1"/>
  <c r="R46" i="5"/>
  <c r="N46" i="5" s="1"/>
  <c r="R45" i="5"/>
  <c r="N45" i="5" s="1"/>
  <c r="R44" i="5"/>
  <c r="N44" i="5" s="1"/>
  <c r="R43" i="5"/>
  <c r="N43" i="5" s="1"/>
  <c r="R42" i="5"/>
  <c r="N42" i="5" s="1"/>
  <c r="R41" i="5"/>
  <c r="N41" i="5" s="1"/>
  <c r="R40" i="5"/>
  <c r="N40" i="5" s="1"/>
  <c r="R39" i="5"/>
  <c r="N39" i="5" s="1"/>
  <c r="R38" i="5"/>
  <c r="N38" i="5" s="1"/>
  <c r="R37" i="5"/>
  <c r="N37" i="5" s="1"/>
  <c r="R36" i="5"/>
  <c r="N36" i="5" s="1"/>
  <c r="R35" i="5"/>
  <c r="N35" i="5" s="1"/>
  <c r="R34" i="5"/>
  <c r="N34" i="5" s="1"/>
  <c r="R33" i="5"/>
  <c r="N33" i="5" s="1"/>
  <c r="R32" i="5"/>
  <c r="N32" i="5" s="1"/>
  <c r="R31" i="5"/>
  <c r="O31" i="5"/>
  <c r="R30" i="5"/>
  <c r="O30" i="5"/>
  <c r="R29" i="5"/>
  <c r="N29" i="5" s="1"/>
  <c r="R28" i="5"/>
  <c r="N28" i="5" s="1"/>
  <c r="R27" i="5"/>
  <c r="N27" i="5" s="1"/>
  <c r="R26" i="5"/>
  <c r="N26" i="5" s="1"/>
  <c r="R25" i="5"/>
  <c r="N25" i="5" s="1"/>
  <c r="R24" i="5"/>
  <c r="N24" i="5" s="1"/>
  <c r="R23" i="5"/>
  <c r="N23" i="5" s="1"/>
  <c r="R22" i="5"/>
  <c r="N22" i="5" s="1"/>
  <c r="R21" i="5"/>
  <c r="N21" i="5" s="1"/>
  <c r="R20" i="5"/>
  <c r="N20" i="5" s="1"/>
  <c r="R19" i="5"/>
  <c r="O19" i="5"/>
  <c r="R18" i="5"/>
  <c r="O18" i="5"/>
  <c r="R17" i="5"/>
  <c r="O17" i="5"/>
  <c r="R16" i="5"/>
  <c r="O16" i="5"/>
  <c r="R15" i="5"/>
  <c r="N15" i="5" s="1"/>
  <c r="R14" i="5"/>
  <c r="N14" i="5" s="1"/>
  <c r="R13" i="5"/>
  <c r="N13" i="5" s="1"/>
  <c r="R12" i="5"/>
  <c r="N12" i="5" s="1"/>
  <c r="R11" i="5"/>
  <c r="N11" i="5" s="1"/>
  <c r="R10" i="5"/>
  <c r="N10" i="5" s="1"/>
  <c r="N9" i="5"/>
  <c r="R8" i="5"/>
  <c r="N8" i="5" s="1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K95" i="5"/>
  <c r="J95" i="5" s="1"/>
  <c r="K94" i="5"/>
  <c r="J94" i="5" s="1"/>
  <c r="K93" i="5"/>
  <c r="J93" i="5" s="1"/>
  <c r="K92" i="5"/>
  <c r="J92" i="5" s="1"/>
  <c r="K91" i="5"/>
  <c r="J91" i="5" s="1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K65" i="5"/>
  <c r="J65" i="5" s="1"/>
  <c r="K64" i="5"/>
  <c r="J64" i="5" s="1"/>
  <c r="K63" i="5"/>
  <c r="J63" i="5" s="1"/>
  <c r="K62" i="5"/>
  <c r="J62" i="5" s="1"/>
  <c r="K61" i="5"/>
  <c r="J61" i="5" s="1"/>
  <c r="K60" i="5"/>
  <c r="J60" i="5" s="1"/>
  <c r="K59" i="5"/>
  <c r="J59" i="5" s="1"/>
  <c r="K58" i="5"/>
  <c r="J58" i="5" s="1"/>
  <c r="K57" i="5"/>
  <c r="J57" i="5" s="1"/>
  <c r="K56" i="5"/>
  <c r="J56" i="5" s="1"/>
  <c r="J55" i="5"/>
  <c r="J54" i="5"/>
  <c r="J53" i="5"/>
  <c r="J52" i="5"/>
  <c r="K51" i="5"/>
  <c r="J51" i="5" s="1"/>
  <c r="K50" i="5"/>
  <c r="J50" i="5" s="1"/>
  <c r="K49" i="5"/>
  <c r="J49" i="5" s="1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K31" i="5"/>
  <c r="J31" i="5" s="1"/>
  <c r="K30" i="5"/>
  <c r="J30" i="5" s="1"/>
  <c r="J29" i="5"/>
  <c r="J28" i="5"/>
  <c r="J27" i="5"/>
  <c r="J26" i="5"/>
  <c r="J25" i="5"/>
  <c r="J24" i="5"/>
  <c r="J23" i="5"/>
  <c r="J22" i="5"/>
  <c r="J21" i="5"/>
  <c r="J20" i="5"/>
  <c r="K19" i="5"/>
  <c r="J19" i="5" s="1"/>
  <c r="K18" i="5"/>
  <c r="J18" i="5" s="1"/>
  <c r="K17" i="5"/>
  <c r="J17" i="5" s="1"/>
  <c r="K16" i="5"/>
  <c r="J16" i="5" s="1"/>
  <c r="J15" i="5"/>
  <c r="J14" i="5"/>
  <c r="J13" i="5"/>
  <c r="J12" i="5"/>
  <c r="J11" i="5"/>
  <c r="J10" i="5"/>
  <c r="J9" i="5"/>
  <c r="J8" i="5"/>
  <c r="J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7" i="5"/>
  <c r="Z81" i="4"/>
  <c r="AA66" i="4"/>
  <c r="AB58" i="4"/>
  <c r="AA53" i="4"/>
  <c r="Z53" i="4"/>
  <c r="Y135" i="4"/>
  <c r="W121" i="4"/>
  <c r="X101" i="4"/>
  <c r="Y101" i="4" s="1"/>
  <c r="X98" i="4"/>
  <c r="Y98" i="4" s="1"/>
  <c r="Y95" i="4"/>
  <c r="Y94" i="4"/>
  <c r="X94" i="4"/>
  <c r="Y93" i="4"/>
  <c r="X93" i="4"/>
  <c r="Y77" i="4"/>
  <c r="Y78" i="4" s="1"/>
  <c r="X77" i="4"/>
  <c r="X78" i="4" s="1"/>
  <c r="Y26" i="4"/>
  <c r="X26" i="4"/>
  <c r="W26" i="4"/>
  <c r="R16" i="4"/>
  <c r="R7" i="4"/>
  <c r="R65" i="4"/>
  <c r="R56" i="4"/>
  <c r="R50" i="4"/>
  <c r="T42" i="4"/>
  <c r="S42" i="4"/>
  <c r="R42" i="4"/>
  <c r="T41" i="4"/>
  <c r="S41" i="4"/>
  <c r="R41" i="4"/>
  <c r="T40" i="4"/>
  <c r="S40" i="4"/>
  <c r="R40" i="4"/>
  <c r="T39" i="4"/>
  <c r="S39" i="4"/>
  <c r="R39" i="4"/>
  <c r="T38" i="4"/>
  <c r="S38" i="4"/>
  <c r="R38" i="4"/>
  <c r="T37" i="4"/>
  <c r="S37" i="4"/>
  <c r="R37" i="4"/>
  <c r="T36" i="4"/>
  <c r="S36" i="4"/>
  <c r="R36" i="4"/>
  <c r="T35" i="4"/>
  <c r="S35" i="4"/>
  <c r="R35" i="4"/>
  <c r="T34" i="4"/>
  <c r="S34" i="4"/>
  <c r="R34" i="4"/>
  <c r="T33" i="4"/>
  <c r="S33" i="4"/>
  <c r="R33" i="4"/>
  <c r="T32" i="4"/>
  <c r="S32" i="4"/>
  <c r="R32" i="4"/>
  <c r="T31" i="4"/>
  <c r="S31" i="4"/>
  <c r="R31" i="4"/>
  <c r="T30" i="4"/>
  <c r="S30" i="4"/>
  <c r="R30" i="4"/>
  <c r="T29" i="4"/>
  <c r="S29" i="4"/>
  <c r="R29" i="4"/>
  <c r="T28" i="4"/>
  <c r="S28" i="4"/>
  <c r="R28" i="4"/>
  <c r="T27" i="4"/>
  <c r="S27" i="4"/>
  <c r="R27" i="4"/>
  <c r="T26" i="4"/>
  <c r="S26" i="4"/>
  <c r="R26" i="4"/>
  <c r="T25" i="4"/>
  <c r="S25" i="4"/>
  <c r="R25" i="4"/>
  <c r="T24" i="4"/>
  <c r="S24" i="4"/>
  <c r="R24" i="4"/>
  <c r="T23" i="4"/>
  <c r="S23" i="4"/>
  <c r="R23" i="4"/>
  <c r="T22" i="4"/>
  <c r="S22" i="4"/>
  <c r="R22" i="4"/>
  <c r="T21" i="4"/>
  <c r="S21" i="4"/>
  <c r="R21" i="4"/>
  <c r="T20" i="4"/>
  <c r="S20" i="4"/>
  <c r="R20" i="4"/>
  <c r="T19" i="4"/>
  <c r="S19" i="4"/>
  <c r="R19" i="4"/>
  <c r="T18" i="4"/>
  <c r="S18" i="4"/>
  <c r="R18" i="4"/>
  <c r="T17" i="4"/>
  <c r="S17" i="4"/>
  <c r="R17" i="4"/>
  <c r="T16" i="4"/>
  <c r="S16" i="4"/>
  <c r="T15" i="4"/>
  <c r="S15" i="4"/>
  <c r="R15" i="4"/>
  <c r="T14" i="4"/>
  <c r="S14" i="4"/>
  <c r="R14" i="4"/>
  <c r="T13" i="4"/>
  <c r="S13" i="4"/>
  <c r="R13" i="4"/>
  <c r="T12" i="4"/>
  <c r="S12" i="4"/>
  <c r="R12" i="4"/>
  <c r="T11" i="4"/>
  <c r="S11" i="4"/>
  <c r="R11" i="4"/>
  <c r="T10" i="4"/>
  <c r="S10" i="4"/>
  <c r="R10" i="4"/>
  <c r="T9" i="4"/>
  <c r="S9" i="4"/>
  <c r="R9" i="4"/>
  <c r="T8" i="4"/>
  <c r="S8" i="4"/>
  <c r="R8" i="4"/>
  <c r="T7" i="4"/>
  <c r="S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3" i="4"/>
  <c r="F25" i="4"/>
  <c r="F27" i="4"/>
  <c r="F29" i="4"/>
  <c r="F30" i="4"/>
  <c r="F34" i="4"/>
  <c r="F35" i="4"/>
  <c r="F36" i="4"/>
  <c r="F37" i="4"/>
  <c r="F38" i="4"/>
  <c r="F39" i="4"/>
  <c r="F40" i="4"/>
  <c r="F41" i="4"/>
  <c r="F42" i="4"/>
  <c r="F43" i="4"/>
  <c r="F52" i="4"/>
  <c r="F56" i="4"/>
  <c r="F59" i="4"/>
  <c r="F63" i="4"/>
  <c r="F66" i="4"/>
  <c r="F67" i="4"/>
  <c r="F70" i="4"/>
  <c r="F72" i="4"/>
  <c r="F76" i="4"/>
  <c r="F77" i="4"/>
  <c r="F78" i="4"/>
  <c r="F80" i="4"/>
  <c r="F84" i="4"/>
  <c r="F85" i="4"/>
  <c r="F87" i="4"/>
  <c r="F88" i="4"/>
  <c r="F89" i="4"/>
  <c r="F90" i="4"/>
  <c r="F92" i="4"/>
  <c r="F93" i="4"/>
  <c r="F94" i="4"/>
  <c r="F95" i="4"/>
  <c r="F96" i="4"/>
  <c r="F97" i="4"/>
  <c r="F98" i="4"/>
  <c r="F99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7" i="4"/>
  <c r="H100" i="4"/>
  <c r="F100" i="4" s="1"/>
  <c r="H91" i="4"/>
  <c r="F91" i="4" s="1"/>
  <c r="H86" i="4"/>
  <c r="F86" i="4" s="1"/>
  <c r="H83" i="4"/>
  <c r="F83" i="4" s="1"/>
  <c r="H82" i="4"/>
  <c r="F82" i="4" s="1"/>
  <c r="H81" i="4"/>
  <c r="F81" i="4" s="1"/>
  <c r="H79" i="4"/>
  <c r="F79" i="4" s="1"/>
  <c r="H75" i="4"/>
  <c r="F75" i="4" s="1"/>
  <c r="H74" i="4"/>
  <c r="F74" i="4" s="1"/>
  <c r="H73" i="4"/>
  <c r="F73" i="4" s="1"/>
  <c r="H71" i="4"/>
  <c r="F71" i="4" s="1"/>
  <c r="H69" i="4"/>
  <c r="F69" i="4" s="1"/>
  <c r="H68" i="4"/>
  <c r="F68" i="4" s="1"/>
  <c r="H65" i="4"/>
  <c r="F65" i="4" s="1"/>
  <c r="H64" i="4"/>
  <c r="F64" i="4" s="1"/>
  <c r="H62" i="4"/>
  <c r="F62" i="4" s="1"/>
  <c r="H61" i="4"/>
  <c r="F61" i="4" s="1"/>
  <c r="H60" i="4"/>
  <c r="F60" i="4" s="1"/>
  <c r="H58" i="4"/>
  <c r="F58" i="4" s="1"/>
  <c r="H57" i="4"/>
  <c r="F57" i="4" s="1"/>
  <c r="H55" i="4"/>
  <c r="F55" i="4" s="1"/>
  <c r="I54" i="4"/>
  <c r="G54" i="4"/>
  <c r="H53" i="4"/>
  <c r="F53" i="4" s="1"/>
  <c r="H51" i="4"/>
  <c r="F51" i="4" s="1"/>
  <c r="H50" i="4"/>
  <c r="H49" i="4"/>
  <c r="F49" i="4" s="1"/>
  <c r="H48" i="4"/>
  <c r="F48" i="4" s="1"/>
  <c r="H47" i="4"/>
  <c r="F47" i="4" s="1"/>
  <c r="H46" i="4"/>
  <c r="F46" i="4" s="1"/>
  <c r="H45" i="4"/>
  <c r="F45" i="4" s="1"/>
  <c r="H44" i="4"/>
  <c r="F44" i="4" s="1"/>
  <c r="H33" i="4"/>
  <c r="F33" i="4" s="1"/>
  <c r="H32" i="4"/>
  <c r="F32" i="4" s="1"/>
  <c r="H31" i="4"/>
  <c r="F31" i="4" s="1"/>
  <c r="H28" i="4"/>
  <c r="F28" i="4" s="1"/>
  <c r="H26" i="4"/>
  <c r="F26" i="4" s="1"/>
  <c r="H24" i="4"/>
  <c r="F24" i="4" s="1"/>
  <c r="H22" i="4"/>
  <c r="F22" i="4" s="1"/>
  <c r="H21" i="4"/>
  <c r="F21" i="4" s="1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E64" i="4"/>
  <c r="C64" i="4" s="1"/>
  <c r="E63" i="4"/>
  <c r="C63" i="4" s="1"/>
  <c r="C62" i="4"/>
  <c r="C61" i="4"/>
  <c r="C60" i="4"/>
  <c r="E59" i="4"/>
  <c r="C59" i="4" s="1"/>
  <c r="E58" i="4"/>
  <c r="C58" i="4" s="1"/>
  <c r="C57" i="4"/>
  <c r="C56" i="4"/>
  <c r="C55" i="4"/>
  <c r="E54" i="4"/>
  <c r="C54" i="4" s="1"/>
  <c r="C53" i="4"/>
  <c r="C52" i="4"/>
  <c r="C51" i="4"/>
  <c r="C50" i="4"/>
  <c r="C49" i="4"/>
  <c r="C48" i="4"/>
  <c r="C47" i="4"/>
  <c r="C46" i="4"/>
  <c r="E45" i="4"/>
  <c r="C45" i="4" s="1"/>
  <c r="C44" i="4"/>
  <c r="C43" i="4"/>
  <c r="E42" i="4"/>
  <c r="C42" i="4" s="1"/>
  <c r="E41" i="4"/>
  <c r="C41" i="4" s="1"/>
  <c r="E40" i="4"/>
  <c r="C40" i="4" s="1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H8" i="1"/>
  <c r="H7" i="1"/>
  <c r="N51" i="5" l="1"/>
  <c r="N62" i="5"/>
  <c r="N61" i="5"/>
  <c r="N49" i="5"/>
  <c r="N92" i="5"/>
  <c r="N96" i="5"/>
  <c r="N50" i="5"/>
  <c r="N16" i="5"/>
  <c r="N95" i="5"/>
  <c r="N31" i="5"/>
  <c r="B116" i="10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04" i="10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H54" i="4"/>
  <c r="F54" i="4" s="1"/>
  <c r="N91" i="5"/>
  <c r="N97" i="5"/>
  <c r="B20" i="10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F50" i="4"/>
  <c r="N56" i="5"/>
  <c r="B92" i="10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N18" i="5"/>
  <c r="N60" i="5"/>
  <c r="B8" i="10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N30" i="5"/>
  <c r="N63" i="5"/>
  <c r="B152" i="10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N64" i="5"/>
  <c r="N65" i="5"/>
  <c r="N93" i="5"/>
  <c r="B80" i="10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N17" i="5"/>
  <c r="N19" i="5"/>
  <c r="N57" i="5"/>
  <c r="N59" i="5"/>
  <c r="B68" i="10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44" i="10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N58" i="5"/>
  <c r="B128" i="10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32" i="10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140" i="10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N94" i="5"/>
  <c r="B56" i="10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164" i="10"/>
  <c r="B165" i="10" s="1"/>
  <c r="B166" i="10" s="1"/>
  <c r="B167" i="10" s="1"/>
  <c r="B168" i="10" s="1"/>
  <c r="B169" i="10" s="1"/>
  <c r="B170" i="10" s="1"/>
  <c r="B15" i="1"/>
  <c r="E8" i="1"/>
  <c r="E10" i="1"/>
  <c r="E9" i="1"/>
  <c r="B171" i="10" l="1"/>
  <c r="B172" i="10" l="1"/>
  <c r="B173" i="10" s="1"/>
  <c r="O20" i="18"/>
  <c r="O22" i="18" s="1"/>
  <c r="B174" i="10"/>
  <c r="B20" i="1" l="1"/>
  <c r="B21" i="1"/>
  <c r="B22" i="1"/>
  <c r="P9" i="18" l="1"/>
  <c r="C210" i="10" l="1"/>
  <c r="B210" i="10" s="1"/>
</calcChain>
</file>

<file path=xl/sharedStrings.xml><?xml version="1.0" encoding="utf-8"?>
<sst xmlns="http://schemas.openxmlformats.org/spreadsheetml/2006/main" count="3052" uniqueCount="488">
  <si>
    <t>DIRECTION DE LA PREVISION ET DES ETUDES ECONOMIQUES</t>
  </si>
  <si>
    <t xml:space="preserve">Huile d'arachide </t>
  </si>
  <si>
    <t xml:space="preserve">Huile de palme </t>
  </si>
  <si>
    <t xml:space="preserve">Riz </t>
  </si>
  <si>
    <t xml:space="preserve">Maïs  </t>
  </si>
  <si>
    <t xml:space="preserve">Phosphate </t>
  </si>
  <si>
    <t xml:space="preserve">  Pétrole, BRENT </t>
  </si>
  <si>
    <t xml:space="preserve"> ($/t)</t>
  </si>
  <si>
    <t>($/baril)</t>
  </si>
  <si>
    <t>Cours des matières premières</t>
  </si>
  <si>
    <t>EURO / DOLLAR USA</t>
  </si>
  <si>
    <t>1 DTS =</t>
  </si>
  <si>
    <t>1 Euro =</t>
  </si>
  <si>
    <t>1 Dollar USA =</t>
  </si>
  <si>
    <t xml:space="preserve">  France </t>
  </si>
  <si>
    <t xml:space="preserve">  USA</t>
  </si>
  <si>
    <t xml:space="preserve">  Allemagne</t>
  </si>
  <si>
    <t xml:space="preserve">  Japon</t>
  </si>
  <si>
    <t>Taux d'intérêt nominal (long terme)</t>
  </si>
  <si>
    <t>_</t>
  </si>
  <si>
    <t>1.890</t>
  </si>
  <si>
    <t xml:space="preserve">  France</t>
  </si>
  <si>
    <t xml:space="preserve">  Zone Euro</t>
  </si>
  <si>
    <t>Prix à la consommation (glissement sur 12 mois)</t>
  </si>
  <si>
    <t>CHANGES (par rapport au CFA UEMOA)</t>
  </si>
  <si>
    <t>Abattages controlés de viande</t>
  </si>
  <si>
    <t>Industrielle</t>
  </si>
  <si>
    <t>(tonnes)</t>
  </si>
  <si>
    <t>(1000 tonnes)</t>
  </si>
  <si>
    <t>Phosphates (PRODUCTION)</t>
  </si>
  <si>
    <t xml:space="preserve">  huile brute</t>
  </si>
  <si>
    <t xml:space="preserve">  huile raffinée</t>
  </si>
  <si>
    <t xml:space="preserve">  tourteaux</t>
  </si>
  <si>
    <t>(Kilogramme)</t>
  </si>
  <si>
    <t xml:space="preserve"> basse tension</t>
  </si>
  <si>
    <t xml:space="preserve"> moyenne tension</t>
  </si>
  <si>
    <t xml:space="preserve"> haute tension</t>
  </si>
  <si>
    <t>Exportations</t>
  </si>
  <si>
    <t>(millions kwh)</t>
  </si>
  <si>
    <t>Ventes d'électricité</t>
  </si>
  <si>
    <t>Production</t>
  </si>
  <si>
    <t>Ventes</t>
  </si>
  <si>
    <t>(millions m3)</t>
  </si>
  <si>
    <t xml:space="preserve"> Ventes locales</t>
  </si>
  <si>
    <t>CIMENT</t>
  </si>
  <si>
    <t xml:space="preserve"> Acide  phosphorique</t>
  </si>
  <si>
    <t>Engrais solides</t>
  </si>
  <si>
    <t>COTON</t>
  </si>
  <si>
    <t>Extraction de phosphates naturels</t>
  </si>
  <si>
    <t>Extraction de minerais metalliques</t>
  </si>
  <si>
    <t>Extraction d'hydrocarbure</t>
  </si>
  <si>
    <t>Autres extractions</t>
  </si>
  <si>
    <t>Activités de soutien aux industries extractives</t>
  </si>
  <si>
    <t>ACTIVITES EXTRACTIVES</t>
  </si>
  <si>
    <t>Abattage, transformation, et conservation des viandes</t>
  </si>
  <si>
    <t>Transformation et conservation des poissons, crustacés et mollusques</t>
  </si>
  <si>
    <t>Fabrication de corps gras alimentaires</t>
  </si>
  <si>
    <t>Travail des grains</t>
  </si>
  <si>
    <t>Fabrication d'aliments pour animaux</t>
  </si>
  <si>
    <t xml:space="preserve">Fabrication de pain et de pâtisseries </t>
  </si>
  <si>
    <t>Conserves de fruits et légumes</t>
  </si>
  <si>
    <t>Fabrication de produits laitiers et de glaces alimentaires</t>
  </si>
  <si>
    <t>Fabrication de sucre, chocolaterie et confiserie</t>
  </si>
  <si>
    <t>Fabrication d'autres produits alimentaires</t>
  </si>
  <si>
    <t xml:space="preserve">Fabrication de boissons </t>
  </si>
  <si>
    <t>Fabrication de produits à base de tabac</t>
  </si>
  <si>
    <t>FABRICATION DE PRODUITS AGRO-ALIMENTAIRES</t>
  </si>
  <si>
    <t xml:space="preserve">FABRICATION DE PRODUITS CHIMIQUES DE BASE </t>
  </si>
  <si>
    <t xml:space="preserve">FABRICATION DE CIMENT ET D'AUTRES MATERIAUX DE CONSTRUCTION </t>
  </si>
  <si>
    <t>PRODUCTION DE L'EGRENAGE DU COTON</t>
  </si>
  <si>
    <t xml:space="preserve">TRAVAIL DU CUIR; FABRICATION D'ARTICLES  DE VOYAGE ET DE CHAUSSURES </t>
  </si>
  <si>
    <t>SCIAGE ET RABOTAGE DU BOIS</t>
  </si>
  <si>
    <t>FABRICATION DE PAPIER CARTON ET D'ARTICLES EN PAPIER OU CARTON</t>
  </si>
  <si>
    <t xml:space="preserve">FABRICATION DE PRODUITS PHARMACEUTIQUES </t>
  </si>
  <si>
    <t>FABRICATION DE SAVONS, DETERGENTS ET PRODUITS D'ENTRETIEN</t>
  </si>
  <si>
    <t>TRAVAIL DU CAOUTCHOUC ET DU PLASTIQUE</t>
  </si>
  <si>
    <t>PRODUCTION DE METALLURGIE ET DE FONDERIE; FABRICATION D'OUVRAGES EN METAUX</t>
  </si>
  <si>
    <t>FABRICATION DE MATERIELS DE TRANSPORT</t>
  </si>
  <si>
    <t>Imprimerie et activités annexes</t>
  </si>
  <si>
    <t>Fabrication d'équipements électriques</t>
  </si>
  <si>
    <t>Fabrication de machines et matériels divers à usage spécifique</t>
  </si>
  <si>
    <t>Autres industries manufacturières n.c.a</t>
  </si>
  <si>
    <t>AUTRES INDUSTRIES MANUFACTURIERES</t>
  </si>
  <si>
    <t>Captage, traitement et distribution d'eau</t>
  </si>
  <si>
    <t>Collecte et traitement des eaux usées; récupération des déchets</t>
  </si>
  <si>
    <t xml:space="preserve">PRODUCTION ET DISTRIBUTION D'EAU, ASSAINISSEMENT ET TRAITEMENT DES DECHETS </t>
  </si>
  <si>
    <t>INDUSTRIE</t>
  </si>
  <si>
    <t xml:space="preserve">    Arrivées</t>
  </si>
  <si>
    <t xml:space="preserve">    En transit</t>
  </si>
  <si>
    <t>Mouvements d'aéronefs</t>
  </si>
  <si>
    <t>Trafic aérien</t>
  </si>
  <si>
    <t>Fret</t>
  </si>
  <si>
    <t>(nombre)</t>
  </si>
  <si>
    <t>Total</t>
  </si>
  <si>
    <t xml:space="preserve">    Départs </t>
  </si>
  <si>
    <t xml:space="preserve">  marchandises diverses</t>
  </si>
  <si>
    <t xml:space="preserve">  phosphates</t>
  </si>
  <si>
    <t xml:space="preserve">  pétrole brut</t>
  </si>
  <si>
    <t xml:space="preserve">  hydrocarbures raffinées             </t>
  </si>
  <si>
    <t>Liaison Dakar-Gorée-Dakar</t>
  </si>
  <si>
    <t>Rotations*</t>
  </si>
  <si>
    <t>Billets vendus</t>
  </si>
  <si>
    <t>rot</t>
  </si>
  <si>
    <t>bil</t>
  </si>
  <si>
    <t>Trafic ferroviaire</t>
  </si>
  <si>
    <t>-</t>
  </si>
  <si>
    <t>Importations</t>
  </si>
  <si>
    <t>SERVICES</t>
  </si>
  <si>
    <t>Transport</t>
  </si>
  <si>
    <t>Transports ferroviaires</t>
  </si>
  <si>
    <t>Transports routiers</t>
  </si>
  <si>
    <t>Entreposage et activités des auxilliaires de transport</t>
  </si>
  <si>
    <t>Activités de poste et de courrier</t>
  </si>
  <si>
    <t>Hôtel et Hebergement</t>
  </si>
  <si>
    <t xml:space="preserve">Restauration et debits de boisson </t>
  </si>
  <si>
    <t xml:space="preserve">Programmation télévisuelle ; radiodiffusion </t>
  </si>
  <si>
    <t xml:space="preserve">Télécommunications </t>
  </si>
  <si>
    <t>Activités informatiques : conseil, programmation</t>
  </si>
  <si>
    <t>Information et Communication</t>
  </si>
  <si>
    <t>Activités financières et d'Assurance</t>
  </si>
  <si>
    <t>Activités financières</t>
  </si>
  <si>
    <t>Assurances</t>
  </si>
  <si>
    <t xml:space="preserve">Activités des auxiliaires financiers et d'assurance </t>
  </si>
  <si>
    <t>Activités Immobilières</t>
  </si>
  <si>
    <t>Activités Spécialisées, scientifiques et techniques</t>
  </si>
  <si>
    <t>Activités vétérinaires</t>
  </si>
  <si>
    <t>Autres activités spécialisées scientifiques et techniques</t>
  </si>
  <si>
    <t>ACTIVITES DE SERVICES ET DE SOUTIEN ET DE BUREAU</t>
  </si>
  <si>
    <t>Location et location-bail</t>
  </si>
  <si>
    <t>Activités d'Enquêtes et de sécurite</t>
  </si>
  <si>
    <t>Autres activités de soutien aux entreprises; activités de bureau</t>
  </si>
  <si>
    <t>COMMERCE</t>
  </si>
  <si>
    <t>Commerce et réparation d'automobiles et de motocycles</t>
  </si>
  <si>
    <t>Commerce de gros</t>
  </si>
  <si>
    <t>Commerce de détail</t>
  </si>
  <si>
    <t>IMPORTATIONS</t>
  </si>
  <si>
    <t>Riz</t>
  </si>
  <si>
    <t>Blé</t>
  </si>
  <si>
    <t>Pétrole Brut</t>
  </si>
  <si>
    <t>Hydrocarbures raffinées</t>
  </si>
  <si>
    <t>EXPORTATIONS</t>
  </si>
  <si>
    <t>(Milliards de FCFA)</t>
  </si>
  <si>
    <t>RECETTES BUDGETAIRES</t>
  </si>
  <si>
    <t>RECETTES FISCALES</t>
  </si>
  <si>
    <t xml:space="preserve">  Impôt / revenus et Imp. Soc.</t>
  </si>
  <si>
    <t xml:space="preserve">  Impôt / employeurs (CFCE)</t>
  </si>
  <si>
    <t xml:space="preserve">  Taxes / biens et serv.</t>
  </si>
  <si>
    <t xml:space="preserve">  Taxe / com. ext.</t>
  </si>
  <si>
    <t xml:space="preserve">  Impôt/propriété et Autres impôts</t>
  </si>
  <si>
    <t>Fonds de sécurisat° des importat° Prod. Pétrol(FSIPP)</t>
  </si>
  <si>
    <t>Frais d'hospitalisation</t>
  </si>
  <si>
    <t>Principal</t>
  </si>
  <si>
    <t>OIGNON</t>
  </si>
  <si>
    <t>CEREALES LOCALES</t>
  </si>
  <si>
    <t xml:space="preserve">Local </t>
  </si>
  <si>
    <t>Importé</t>
  </si>
  <si>
    <t xml:space="preserve">    Souna</t>
  </si>
  <si>
    <t xml:space="preserve">   Sorgho</t>
  </si>
  <si>
    <t>Parfumé</t>
  </si>
  <si>
    <t>Luxe</t>
  </si>
  <si>
    <t>Ordinaire</t>
  </si>
  <si>
    <t>Non parfumé</t>
  </si>
  <si>
    <t>Indien ordinaire</t>
  </si>
  <si>
    <t>Local</t>
  </si>
  <si>
    <t>(FCFA/Kg)</t>
  </si>
  <si>
    <t>TENDANCES DES MARCHES</t>
  </si>
  <si>
    <t xml:space="preserve">            TENDANCES DES MARCHES</t>
  </si>
  <si>
    <t>VARIATIONS MENSUELLE Octobre 2018/ Septembre 2018)  en %</t>
  </si>
  <si>
    <t>Prix moyens du mois de janvier 2009</t>
  </si>
  <si>
    <t>Prix moyens du mois de février 2009</t>
  </si>
  <si>
    <t>Prix moyens du mois de mars 2009</t>
  </si>
  <si>
    <t>Prix moyens du mois d'avril 2009</t>
  </si>
  <si>
    <t>Prix moyens du mois de mai 2009</t>
  </si>
  <si>
    <t>Prix moyens du mois de juin 2009</t>
  </si>
  <si>
    <t>Prix moyens du mois de juillet 2009</t>
  </si>
  <si>
    <t>Prix moyens du mois d'août 2009</t>
  </si>
  <si>
    <t>Prix moyens du mois de septembre  2009</t>
  </si>
  <si>
    <t>Prix moyens du mois d'octobre   2009</t>
  </si>
  <si>
    <t>Prix moyens du mois de novembre 2009</t>
  </si>
  <si>
    <t>Prix moyens du mois de décembre  2009</t>
  </si>
  <si>
    <t>Prix moyens du mois de janvier 2010</t>
  </si>
  <si>
    <t>Prix moyens du mois de février 2010</t>
  </si>
  <si>
    <t>Prix moyens du mois de mars 2010</t>
  </si>
  <si>
    <t>Prix moyens du mois d'avril 2010</t>
  </si>
  <si>
    <t>Prix moyens du mois de mai 2010</t>
  </si>
  <si>
    <t>Prix moyens du mois de juin 2010</t>
  </si>
  <si>
    <t>Prix moyens du mois de juillet  2010</t>
  </si>
  <si>
    <t>Prix moyens du mois d'août 2010</t>
  </si>
  <si>
    <t>Prix moyens du mois de septembre 2010</t>
  </si>
  <si>
    <t>Prix moyens du mois d'octobre  2010</t>
  </si>
  <si>
    <t>Prix moyens du mois de novembre  2010</t>
  </si>
  <si>
    <t>Prix moyens du mois de décembre  2010</t>
  </si>
  <si>
    <t>Prix moyens du mois de janvier 2011</t>
  </si>
  <si>
    <t>Prix moyens du mois de février 2011</t>
  </si>
  <si>
    <t>Prix moyens du mois de mars 2011</t>
  </si>
  <si>
    <t>Prix moyens du mois d'avril 2011</t>
  </si>
  <si>
    <t>Prix moyens du mois de mai 2011</t>
  </si>
  <si>
    <t>Prix moyens du mois de juin 2011</t>
  </si>
  <si>
    <t>Prix moyens du mois de juillet 2011</t>
  </si>
  <si>
    <t>Prix moyens du mois d'août 2011</t>
  </si>
  <si>
    <t>Prix moyens du mois de septembre 2011</t>
  </si>
  <si>
    <t>Prix moyens du mois d'octobre 2011</t>
  </si>
  <si>
    <t>Prix moyens du mois de novembre 2011</t>
  </si>
  <si>
    <t>Prix moyens du mois de décembre 2011</t>
  </si>
  <si>
    <t>Prix moyens du mois de janvier 2012</t>
  </si>
  <si>
    <t>Prix moyens du mois de février 2012</t>
  </si>
  <si>
    <t>Prix moyens du mois de mars 2012</t>
  </si>
  <si>
    <t>Prix moyens du mois d'avril 2012</t>
  </si>
  <si>
    <t xml:space="preserve">            Prix moyens du mois de mai 2012</t>
  </si>
  <si>
    <t xml:space="preserve">            Prix moyens du mois de juin 2012</t>
  </si>
  <si>
    <t xml:space="preserve">            Prix moyens du mois de juillet 2012</t>
  </si>
  <si>
    <t xml:space="preserve">            Prix moyens du mois d'août 2012</t>
  </si>
  <si>
    <t xml:space="preserve">            Prix moyens du mois de septembre 2012</t>
  </si>
  <si>
    <t xml:space="preserve">            Prix moyens du mois d'octobre 2012</t>
  </si>
  <si>
    <t xml:space="preserve">            Prix moyens du mois de novembre  2012</t>
  </si>
  <si>
    <t xml:space="preserve">            Prix moyens du mois de décembre  2012</t>
  </si>
  <si>
    <t xml:space="preserve">            Prix moyens du mois de janvier 2013</t>
  </si>
  <si>
    <t>Prix moyens du mois de février 13</t>
  </si>
  <si>
    <t>Prix moyens du mois de mars 13</t>
  </si>
  <si>
    <t>Prix moyens du mois d'avril 13</t>
  </si>
  <si>
    <t>Prix moyens du mois de mai 13</t>
  </si>
  <si>
    <t>Prix moyens du mois de juin 13</t>
  </si>
  <si>
    <t>Prix moyens du mois de juillet 13</t>
  </si>
  <si>
    <t>Prix moyens du mois de août 13</t>
  </si>
  <si>
    <t>Prix moyens du mois de septembre 13</t>
  </si>
  <si>
    <t>Prix moyens du mois d'octobre 13</t>
  </si>
  <si>
    <t>Prix moyens du mois de novembre 13</t>
  </si>
  <si>
    <t>Prix moyens du mois de décembre 13</t>
  </si>
  <si>
    <t>Prix moyens du mois de janvier 14</t>
  </si>
  <si>
    <t>Prix moyens du mois de février 14</t>
  </si>
  <si>
    <t>Prix moyens du mois de mars 14</t>
  </si>
  <si>
    <t>Prix moyens du mois d'avril 14</t>
  </si>
  <si>
    <t>Prix moyens du mois de mai 14</t>
  </si>
  <si>
    <t>Prix moyens du mois de juin 14</t>
  </si>
  <si>
    <t>Prix moyens du mois de juillet 14</t>
  </si>
  <si>
    <t>Prix moyens du mois de août 14</t>
  </si>
  <si>
    <t>Prix moyens du mois de septembre 14</t>
  </si>
  <si>
    <t>Prix moyens du mois d'octobre 14</t>
  </si>
  <si>
    <t>Prix moyens du mois de novembre 14</t>
  </si>
  <si>
    <t>Prix moyens du mois de décembre 14</t>
  </si>
  <si>
    <t>Prix moyens du mois de janvier 15</t>
  </si>
  <si>
    <t>Prix moyens du mois de février 15</t>
  </si>
  <si>
    <t>Prix moyens du mois de mars 15</t>
  </si>
  <si>
    <t>Prix moyens du mois d'avril 15</t>
  </si>
  <si>
    <t>Prix moyens du mois de mai 15</t>
  </si>
  <si>
    <t>Prix moyens du mois de Juin 15</t>
  </si>
  <si>
    <t>Prix moyens du mois de Juillet 15</t>
  </si>
  <si>
    <t>Prix moyens du mois d'Août 15</t>
  </si>
  <si>
    <t>Prix moyens du mois de Septembre  2015</t>
  </si>
  <si>
    <t>Prix moyens du mois de Octobre  2015</t>
  </si>
  <si>
    <t>Prix moyens du mois de Novembre  2015</t>
  </si>
  <si>
    <t>Prix moyens du mois de Décembre  2015</t>
  </si>
  <si>
    <t>Prix moyens du mois de Janvier  2016</t>
  </si>
  <si>
    <t>Prix moyens du mois de Février  2016</t>
  </si>
  <si>
    <t>Prix moyens du mois de Mars  2016</t>
  </si>
  <si>
    <t>Prix moyens du mois de Avril  2016</t>
  </si>
  <si>
    <t>Prix moyens du mois de Mai  2016</t>
  </si>
  <si>
    <t>Prix moyens du mois de Juin  2016</t>
  </si>
  <si>
    <t>Prix moyens du mois de Juillet  2016</t>
  </si>
  <si>
    <t>Prix moyens du mois de Août  2016</t>
  </si>
  <si>
    <t>Prix moyens du mois de Septembre  2016</t>
  </si>
  <si>
    <t>Prix moyens du mois de Octobre  2016</t>
  </si>
  <si>
    <t>Prix moyens du mois de Novembre  2016</t>
  </si>
  <si>
    <t>Prix moyens du mois de Décembre  2016</t>
  </si>
  <si>
    <t>Prix moyens du mois de Janvier  2017</t>
  </si>
  <si>
    <t>Prix moyens du mois de Février  2017</t>
  </si>
  <si>
    <t>Prix moyens du mois de Mars  2017</t>
  </si>
  <si>
    <t>Prix moyens du mois d'Avril  2017</t>
  </si>
  <si>
    <t>Prix moyens du mois de Mai 2017</t>
  </si>
  <si>
    <t>Prix moyens du mois de Juin 2017</t>
  </si>
  <si>
    <t>Prix moyens du mois de Juillet 2017</t>
  </si>
  <si>
    <t>Prix moyens du mois d'Août 2017</t>
  </si>
  <si>
    <t>Prix moyens du mois de Septembre 2017</t>
  </si>
  <si>
    <t>Prix moyens du mois d'Octobre 2017</t>
  </si>
  <si>
    <t>Prix moyens du mois de Novembre 2017</t>
  </si>
  <si>
    <t>Prix moyens du mois de Decembre 2017</t>
  </si>
  <si>
    <t>Prix moyens du mois de Janvier 2018</t>
  </si>
  <si>
    <t>Prix moyens du mois de Février 2018</t>
  </si>
  <si>
    <t>Prix moyens du mois de Mars 2018</t>
  </si>
  <si>
    <t>Prix moyens du mois d'Avril 2018</t>
  </si>
  <si>
    <t>Prix moyens du mois de Mai 2018</t>
  </si>
  <si>
    <t>Prix moyens du mois de Juin 2018</t>
  </si>
  <si>
    <t>Prix moyens du mois de Juillet 2018</t>
  </si>
  <si>
    <t>Prix moyens du mois de Août 2018</t>
  </si>
  <si>
    <t>Prix moyens du mois de Septembre 2018</t>
  </si>
  <si>
    <t>Prix moyens du mois de Octobre 2018</t>
  </si>
  <si>
    <t>Prix moyens du mois de Novembre 2018</t>
  </si>
  <si>
    <t>Prix moyens du mois de Décembre 2018</t>
  </si>
  <si>
    <t>Prix moyens du mois de Janvier 2019</t>
  </si>
  <si>
    <t>régions</t>
  </si>
  <si>
    <t>RIZ BRISE 100 %</t>
  </si>
  <si>
    <t>prix dominant (Fcfa/ Kg)</t>
  </si>
  <si>
    <t xml:space="preserve"> prix dominant (Fcfa/ Kg)</t>
  </si>
  <si>
    <t>Souna</t>
  </si>
  <si>
    <t>Sorgho</t>
  </si>
  <si>
    <t>Maïs</t>
  </si>
  <si>
    <t>parfumé</t>
  </si>
  <si>
    <t>Non Parfumé</t>
  </si>
  <si>
    <t>Orninaire</t>
  </si>
  <si>
    <t>Dakar</t>
  </si>
  <si>
    <t>Thiès</t>
  </si>
  <si>
    <t>Diourbel</t>
  </si>
  <si>
    <t>Louga</t>
  </si>
  <si>
    <t>St louis</t>
  </si>
  <si>
    <t>Matam</t>
  </si>
  <si>
    <t>Fatick</t>
  </si>
  <si>
    <t>Kaolack</t>
  </si>
  <si>
    <t>Tamba</t>
  </si>
  <si>
    <t>Kolda</t>
  </si>
  <si>
    <t xml:space="preserve">   </t>
  </si>
  <si>
    <t>Ziguinchor</t>
  </si>
  <si>
    <t>Prix Moyen</t>
  </si>
  <si>
    <t>ANNEES</t>
  </si>
  <si>
    <t>Sources des séries</t>
  </si>
  <si>
    <t>Environnement International</t>
  </si>
  <si>
    <t>Secteur Secondaire</t>
  </si>
  <si>
    <t>Indice secondaire</t>
  </si>
  <si>
    <t>ICAS et ICAC</t>
  </si>
  <si>
    <t>ICA désaisonnalisés</t>
  </si>
  <si>
    <t>Prix Intérieurs</t>
  </si>
  <si>
    <t>Commerce Extérieur</t>
  </si>
  <si>
    <t>Dette Publique</t>
  </si>
  <si>
    <t>Phosphate</t>
  </si>
  <si>
    <t>Produits arachidiers</t>
  </si>
  <si>
    <t>Or</t>
  </si>
  <si>
    <t>Eau</t>
  </si>
  <si>
    <t>Ciment</t>
  </si>
  <si>
    <t>Produits chimiques</t>
  </si>
  <si>
    <t>Sel</t>
  </si>
  <si>
    <t>Coton</t>
  </si>
  <si>
    <t>SERIES</t>
  </si>
  <si>
    <t>SOURCES</t>
  </si>
  <si>
    <t>INSEE, AFRISTAT, FIGARO</t>
  </si>
  <si>
    <t>Société de Gestion des Abattoirs du Sénégal (SOGAS)</t>
  </si>
  <si>
    <t>Direction de la Peche Maritime (DPM), Port Autonome de Dakar (PAD)</t>
  </si>
  <si>
    <t>Industries Chimiques du Sénégal (ICS), SSPT</t>
  </si>
  <si>
    <t>SONACOS</t>
  </si>
  <si>
    <t>SENELEC</t>
  </si>
  <si>
    <t>ICS</t>
  </si>
  <si>
    <t>SNSS</t>
  </si>
  <si>
    <t>DPEE</t>
  </si>
  <si>
    <t>ASECNA</t>
  </si>
  <si>
    <t>Trafic Maritime</t>
  </si>
  <si>
    <t>PAD</t>
  </si>
  <si>
    <t>Agence de Régulation des Marchés (ARM)</t>
  </si>
  <si>
    <t>MEFP/DGF/DGCPT/DGID/DGD/DSRV</t>
  </si>
  <si>
    <t>DDI</t>
  </si>
  <si>
    <t>CONSTRUCTION</t>
  </si>
  <si>
    <t>SECONDAIRE</t>
  </si>
  <si>
    <t>Elevage</t>
  </si>
  <si>
    <t>Artisanale</t>
  </si>
  <si>
    <t>ENVIRONNEMENT INTERNATIONAL</t>
  </si>
  <si>
    <t>PRIMAIRE</t>
  </si>
  <si>
    <t>COMMERCE EXTERIEUR</t>
  </si>
  <si>
    <t>FINANCES PUBLIQUES</t>
  </si>
  <si>
    <t>Produits Arachidiers</t>
  </si>
  <si>
    <t>Cours du baril</t>
  </si>
  <si>
    <t>flèche hausse</t>
  </si>
  <si>
    <t>flèche baisse</t>
  </si>
  <si>
    <t>Variation</t>
  </si>
  <si>
    <t>OR</t>
  </si>
  <si>
    <t>PHOSPHATE</t>
  </si>
  <si>
    <t>PRODUCTIONS</t>
  </si>
  <si>
    <t>TRANSPORTS</t>
  </si>
  <si>
    <t>AERIEN</t>
  </si>
  <si>
    <t>MARITIME</t>
  </si>
  <si>
    <t>PASSAGERS</t>
  </si>
  <si>
    <t>FRET</t>
  </si>
  <si>
    <t>EMBARQUEMENTS</t>
  </si>
  <si>
    <t>DEBARQUEMENTS</t>
  </si>
  <si>
    <t>RIZ</t>
  </si>
  <si>
    <t>PETROLE BRUT</t>
  </si>
  <si>
    <t>PETROLE RAFFINE</t>
  </si>
  <si>
    <t>PRODUITS ARACHIDIERS</t>
  </si>
  <si>
    <t>PECHE</t>
  </si>
  <si>
    <t>Dates</t>
  </si>
  <si>
    <t>Sec_CVS</t>
  </si>
  <si>
    <t>Prim_CVS</t>
  </si>
  <si>
    <t>Cce_CVS</t>
  </si>
  <si>
    <t>Sces_CVS</t>
  </si>
  <si>
    <t xml:space="preserve">VARIATIONS MENSUELLES </t>
  </si>
  <si>
    <t>Prix moyen</t>
  </si>
  <si>
    <t>TENDANCES DES MARCHES                                                                                                                                                                                                                                                                                          Février     2019</t>
  </si>
  <si>
    <t>Finances Publiques</t>
  </si>
  <si>
    <t>MOIS</t>
  </si>
  <si>
    <t>ANNEE</t>
  </si>
  <si>
    <t>Réalisations</t>
  </si>
  <si>
    <t>Objectif</t>
  </si>
  <si>
    <t>Invisible</t>
  </si>
  <si>
    <t>LFI 2019</t>
  </si>
  <si>
    <t>aiguille</t>
  </si>
  <si>
    <t>largeur</t>
  </si>
  <si>
    <t>(en milliards de FCFA)</t>
  </si>
  <si>
    <t>Plus ou moins value</t>
  </si>
  <si>
    <t>ICAS=Indice Chiffre d'Affaire des Services</t>
  </si>
  <si>
    <t>ICAC= Indice Chiffre d'Affaires du Commerce</t>
  </si>
  <si>
    <t>TENDANCES DES MARCHES                                                                                                                                                                                                                                                                                       Mars 2019</t>
  </si>
  <si>
    <t>SERVICE DE LA DETTE*</t>
  </si>
  <si>
    <t>* données provisoires à partir de 2017</t>
  </si>
  <si>
    <t>PTB, TRANSRAIL</t>
  </si>
  <si>
    <t>INDICES DU CHIFFRE D'AFFAIRES BRUTS ET CORRIGES DES VARIATIONS SAISONNIERES</t>
  </si>
  <si>
    <t>Voyageurs du PTB*</t>
  </si>
  <si>
    <t xml:space="preserve">Trafic international de </t>
  </si>
  <si>
    <t>Embarquements</t>
  </si>
  <si>
    <t>Débarquements</t>
  </si>
  <si>
    <t>Trafic voyageurs du PTB (nbre)</t>
  </si>
  <si>
    <t>RECETTES NON FISCALES (redevance radioelctrique y compris)</t>
  </si>
  <si>
    <t>SALAIRES ET EFFECTIFS DE L'ADMINISTRATION CENTRALE</t>
  </si>
  <si>
    <t>transbordement (1000 tonnes)</t>
  </si>
  <si>
    <t xml:space="preserve">  produits de la mer</t>
  </si>
  <si>
    <t xml:space="preserve">Produits de la mer </t>
  </si>
  <si>
    <t>Pêche</t>
  </si>
  <si>
    <t>Elevage et Pêche</t>
  </si>
  <si>
    <t>DONNEES DE PRODUCTION</t>
  </si>
  <si>
    <t>Effectifs</t>
  </si>
  <si>
    <t>Intérêts et Commissions</t>
  </si>
  <si>
    <t>SEN'EAU</t>
  </si>
  <si>
    <t>Abattages contrôlés de viande</t>
  </si>
  <si>
    <t>débarquement                  (1000 tonnes)</t>
  </si>
  <si>
    <t>Agence Nationale de la Statistique et de la Démographie (ANSD), SONACOS, PAD</t>
  </si>
  <si>
    <t>c</t>
  </si>
  <si>
    <t>CUMUL RECETTES*</t>
  </si>
  <si>
    <t>SEL</t>
  </si>
  <si>
    <t>Sabodala Gold Opération (SGO), Petowal Mining Company (PMC)</t>
  </si>
  <si>
    <t>EAU</t>
  </si>
  <si>
    <t>OR (PRODUCTION)</t>
  </si>
  <si>
    <t>Produits arachidiers (PRODUCTION)</t>
  </si>
  <si>
    <t>PETROLE BRUT (PRODUCTION)</t>
  </si>
  <si>
    <t>(millions bbl)</t>
  </si>
  <si>
    <t>Pétrole brut</t>
  </si>
  <si>
    <t>ANSD</t>
  </si>
  <si>
    <t xml:space="preserve"> </t>
  </si>
  <si>
    <t>Construction de véhicules automobiles et composants</t>
  </si>
  <si>
    <t>Fabrication d'autres matériels de transports</t>
  </si>
  <si>
    <t>Fabrication d'autres produits chimiques</t>
  </si>
  <si>
    <t>Production et distribution d'électricité et de supports énergétiques</t>
  </si>
  <si>
    <t>Génie civil</t>
  </si>
  <si>
    <t>Activités spécialisées de construction</t>
  </si>
  <si>
    <t>Construction de bâtiments et travaux de construction</t>
  </si>
  <si>
    <t>Fabrication de produits alimentaires à base de céréales n.c.a</t>
  </si>
  <si>
    <t>RAFFINAGE PETROLIER ET COKEFACTION</t>
  </si>
  <si>
    <t xml:space="preserve">PRODUCTION DE LA FILATURE, DU TISSAGE ET DE L'ENNOBLISSEMENT TEXTILE </t>
  </si>
  <si>
    <t>Fabrication de produits électroniques et informatiques</t>
  </si>
  <si>
    <t>Fabrication de machines et matériels divers à usage général</t>
  </si>
  <si>
    <t>Fabrication de meubles et matelas</t>
  </si>
  <si>
    <t>Installation et réparation de machines et d'équipements</t>
  </si>
  <si>
    <t>Transports par eau</t>
  </si>
  <si>
    <t>Transport aérien</t>
  </si>
  <si>
    <t>HEBERGEMENT ET RESTAURATION</t>
  </si>
  <si>
    <t>Edition</t>
  </si>
  <si>
    <t>Production audio et video: télévision, cinéma et son</t>
  </si>
  <si>
    <t>Activités de fournitures d'information</t>
  </si>
  <si>
    <t>Recherche-developpement</t>
  </si>
  <si>
    <t xml:space="preserve">Activités des agences de reservation et voyagistes </t>
  </si>
  <si>
    <t>ACTIVITES D'ADMINISTRATION PUBLIQUE</t>
  </si>
  <si>
    <t>ENSEIGNEMENT</t>
  </si>
  <si>
    <t>ACTIVITÉS POUR  LA SANTÉ HUMAINE ET L'ACTION SOCIALE</t>
  </si>
  <si>
    <t>Activités pour la santé humaine</t>
  </si>
  <si>
    <t>ACTIVITÉS ARTISTIQUES, CULTURELLES, SPORTIVES ET RECREATIVES</t>
  </si>
  <si>
    <t>AUTRES ACTIVITES N.C.A</t>
  </si>
  <si>
    <t>INDICE PRIMAIRE (base 100=2022)</t>
  </si>
  <si>
    <t>Primaire brute</t>
  </si>
  <si>
    <t>Secondaire brute</t>
  </si>
  <si>
    <t>Services brute</t>
  </si>
  <si>
    <t>Commerce brute</t>
  </si>
  <si>
    <t>SOCOCIM, DANGOTE, Ciments du SAHEL, CIMAF</t>
  </si>
  <si>
    <t>* : Les données restent provisoires en attendant la clôture de la gestion budgétaire</t>
  </si>
  <si>
    <t>phos. de calcium</t>
  </si>
  <si>
    <t>Produits chimiques (PRODUCTION)</t>
  </si>
  <si>
    <t>Totale masse salariale (y compris estimation postes locaux des ambassades) en Milliards</t>
  </si>
  <si>
    <t xml:space="preserve"> attapulgite</t>
  </si>
  <si>
    <t>..</t>
  </si>
  <si>
    <t>INDICE CHIFFRE D'AFFAIRES DU SECTEUR SECONDAIRE (base 100 = 2022)*</t>
  </si>
  <si>
    <t>INDICE CHIFFRE D'AFFAIRES DU SECTEUR TERTIAIRE (base 100 = 2022)*</t>
  </si>
  <si>
    <t>Passagers</t>
  </si>
  <si>
    <t>3.53</t>
  </si>
  <si>
    <t>4.21</t>
  </si>
  <si>
    <t>2.81</t>
  </si>
  <si>
    <t>2.24</t>
  </si>
  <si>
    <t>Trafic maritime</t>
  </si>
  <si>
    <t>Janv</t>
  </si>
  <si>
    <t>Réalisations 2026</t>
  </si>
  <si>
    <t>Situation 2025</t>
  </si>
  <si>
    <t>OIGNON*</t>
  </si>
  <si>
    <t>CEREALES LOCALES*</t>
  </si>
  <si>
    <t>RIZ BRISE*</t>
  </si>
  <si>
    <t>*les données du mois de janvier 2026 sont provisoires</t>
  </si>
  <si>
    <t xml:space="preserve">*Les données du mois de janvier sont provisoires et feront l'objet de révision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</si>
</sst>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-* #,##0.00_-;\-* #,##0.00_-;_-* &quot;-&quot;??_-;_-@_-"/>
    <numFmt numFmtId="164" formatCode="_-* #,##0\ _C_F_A_-;\-* #,##0\ _C_F_A_-;_-* &quot;-&quot;\ _C_F_A_-;_-@_-"/>
    <numFmt numFmtId="165" formatCode="_-* #,##0.00\ _C_F_A_-;\-* #,##0.00\ _C_F_A_-;_-* &quot;-&quot;??\ _C_F_A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0.0"/>
    <numFmt numFmtId="169" formatCode="_-* #,##0.0\ _€_-;\-* #,##0.0\ _€_-;_-* &quot;-&quot;??\ _€_-;_-@_-"/>
    <numFmt numFmtId="170" formatCode="_-* #,##0.000\ _€_-;\-* #,##0.000\ _€_-;_-* &quot;-&quot;??\ _€_-;_-@_-"/>
    <numFmt numFmtId="171" formatCode="_-* #,##0\ _€_-;\-* #,##0\ _€_-;_-* &quot;-&quot;??\ _€_-;_-@_-"/>
    <numFmt numFmtId="172" formatCode="#,##0.0"/>
    <numFmt numFmtId="173" formatCode="0.0%"/>
    <numFmt numFmtId="174" formatCode="#,##0.0&quot;    &quot;;\-#,##0.0&quot;    &quot;;&quot; -&quot;#&quot;    &quot;;@\ "/>
    <numFmt numFmtId="175" formatCode="#,##0\ &quot;F&quot;;[Red]\-#,##0\ &quot;F&quot;"/>
    <numFmt numFmtId="176" formatCode="_-* #,##0.00\ [$€]_-;\-* #,##0.00\ [$€]_-;_-* &quot;-&quot;??\ [$€]_-;_-@_-"/>
    <numFmt numFmtId="177" formatCode="&quot;   &quot;@"/>
    <numFmt numFmtId="178" formatCode="&quot;      &quot;@"/>
    <numFmt numFmtId="179" formatCode="&quot;         &quot;@"/>
    <numFmt numFmtId="180" formatCode="&quot;            &quot;@"/>
    <numFmt numFmtId="181" formatCode="&quot;               &quot;@"/>
    <numFmt numFmtId="182" formatCode="#,##0;[Red]\(#,##0\)"/>
    <numFmt numFmtId="183" formatCode="_-* #,##0.00\ [$€-1]_-;\-* #,##0.00\ [$€-1]_-;_-* \-??\ [$€-1]_-"/>
    <numFmt numFmtId="184" formatCode="_-* #,##0.00\ _F_-;\-* #,##0.00\ _F_-;_-* \-??\ _F_-;_-@_-"/>
    <numFmt numFmtId="185" formatCode="_-* #,##0.00\ _€_-;\-* #,##0.00\ _€_-;_-* \-??\ _€_-;_-@_-"/>
    <numFmt numFmtId="186" formatCode="_(&quot;N$&quot;* #,##0_);_(&quot;N$&quot;* \(#,##0\);_(&quot;N$&quot;* \-_);_(@_)"/>
    <numFmt numFmtId="187" formatCode="_(&quot;N$&quot;* #,##0.00_);_(&quot;N$&quot;* \(#,##0.00\);_(&quot;N$&quot;* \-??_);_(@_)"/>
    <numFmt numFmtId="188" formatCode="_-* #,##0.00&quot; €&quot;_-;\-* #,##0.00&quot; €&quot;_-;_-* \-??&quot; €&quot;_-;_-@_-"/>
    <numFmt numFmtId="189" formatCode="[&gt;=0]#,##0.0;[&lt;=0]\-#,##0.0;?0.0"/>
    <numFmt numFmtId="190" formatCode="[Black]#,##0.0;[Black]\-#,##0.0;;"/>
    <numFmt numFmtId="191" formatCode="mmmm\ yyyy"/>
    <numFmt numFmtId="192" formatCode="_-* #,##0.0\ _€_-;\-* #,##0.0\ _€_-;_-* &quot;-&quot;???\ _€_-;_-@_-"/>
    <numFmt numFmtId="193" formatCode="_-* #,##0.0\ _€_-;\-* #,##0.0\ _€_-;_-* &quot;-&quot;?\ _€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i/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sz val="8"/>
      <color indexed="12"/>
      <name val="Helv"/>
      <family val="2"/>
    </font>
    <font>
      <sz val="8"/>
      <color indexed="12"/>
      <name val="Helv"/>
    </font>
    <font>
      <sz val="10"/>
      <color indexed="8"/>
      <name val="Verdana"/>
      <family val="2"/>
    </font>
    <font>
      <i/>
      <sz val="10"/>
      <color indexed="8"/>
      <name val="Verdana"/>
      <family val="2"/>
    </font>
    <font>
      <b/>
      <sz val="10"/>
      <color indexed="8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b/>
      <sz val="13"/>
      <color indexed="9"/>
      <name val="Verdana"/>
      <family val="2"/>
    </font>
    <font>
      <sz val="10"/>
      <color indexed="54"/>
      <name val="Verdana"/>
      <family val="2"/>
    </font>
    <font>
      <sz val="11"/>
      <color indexed="8"/>
      <name val="Arial"/>
      <family val="2"/>
    </font>
    <font>
      <sz val="10"/>
      <name val="Arial"/>
      <family val="2"/>
      <charset val="1"/>
    </font>
    <font>
      <sz val="8"/>
      <color indexed="8"/>
      <name val="Helv"/>
      <family val="2"/>
    </font>
    <font>
      <sz val="10"/>
      <name val="Courier New"/>
      <family val="3"/>
    </font>
    <font>
      <sz val="10"/>
      <name val="Tms Rmn"/>
      <family val="1"/>
    </font>
    <font>
      <sz val="9"/>
      <name val="Times New Roman"/>
      <family val="1"/>
    </font>
    <font>
      <sz val="10"/>
      <color indexed="10"/>
      <name val="MS Sans Serif"/>
      <family val="2"/>
    </font>
    <font>
      <sz val="8"/>
      <name val="Helv"/>
      <family val="2"/>
    </font>
    <font>
      <sz val="9"/>
      <color indexed="8"/>
      <name val="Times New Roman"/>
      <family val="1"/>
    </font>
    <font>
      <sz val="11"/>
      <color rgb="FF000000"/>
      <name val="Calibri"/>
      <family val="2"/>
    </font>
    <font>
      <b/>
      <sz val="9"/>
      <color rgb="FF7030A0"/>
      <name val="Times New Roman"/>
      <family val="1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20"/>
      <name val="Calibri"/>
      <family val="2"/>
      <scheme val="minor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7030A0"/>
      <name val="Times New Roman"/>
      <family val="1"/>
    </font>
    <font>
      <sz val="10"/>
      <name val="Arial"/>
      <family val="2"/>
    </font>
    <font>
      <sz val="12"/>
      <color theme="1"/>
      <name val="Tahoma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4"/>
        <bgColor indexed="4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55">
    <xf numFmtId="0" fontId="0" fillId="0" borderId="0"/>
    <xf numFmtId="167" fontId="1" fillId="0" borderId="0" applyFont="0" applyFill="0" applyBorder="0" applyAlignment="0" applyProtection="0"/>
    <xf numFmtId="0" fontId="7" fillId="0" borderId="0"/>
    <xf numFmtId="0" fontId="17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" fillId="0" borderId="0"/>
    <xf numFmtId="0" fontId="7" fillId="0" borderId="0"/>
    <xf numFmtId="167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/>
    <xf numFmtId="177" fontId="7" fillId="0" borderId="0" applyFill="0" applyBorder="0" applyAlignment="0" applyProtection="0"/>
    <xf numFmtId="178" fontId="7" fillId="0" borderId="0" applyFill="0" applyBorder="0" applyAlignment="0" applyProtection="0"/>
    <xf numFmtId="179" fontId="7" fillId="0" borderId="0" applyFill="0" applyBorder="0" applyAlignment="0" applyProtection="0"/>
    <xf numFmtId="180" fontId="7" fillId="0" borderId="0" applyFill="0" applyBorder="0" applyAlignment="0" applyProtection="0"/>
    <xf numFmtId="181" fontId="7" fillId="0" borderId="0" applyFill="0" applyBorder="0" applyAlignment="0" applyProtection="0"/>
    <xf numFmtId="0" fontId="24" fillId="0" borderId="54">
      <protection hidden="1"/>
    </xf>
    <xf numFmtId="0" fontId="7" fillId="23" borderId="0" applyNumberFormat="0" applyBorder="0" applyAlignment="0" applyProtection="0"/>
    <xf numFmtId="0" fontId="25" fillId="0" borderId="44">
      <protection hidden="1"/>
    </xf>
    <xf numFmtId="182" fontId="7" fillId="0" borderId="0"/>
    <xf numFmtId="0" fontId="26" fillId="24" borderId="55">
      <alignment horizontal="right" vertical="center"/>
    </xf>
    <xf numFmtId="0" fontId="27" fillId="24" borderId="55">
      <alignment horizontal="right" vertical="center"/>
    </xf>
    <xf numFmtId="0" fontId="7" fillId="24" borderId="56"/>
    <xf numFmtId="0" fontId="28" fillId="25" borderId="55">
      <alignment horizontal="center" vertical="center"/>
    </xf>
    <xf numFmtId="0" fontId="26" fillId="24" borderId="55">
      <alignment horizontal="right" vertical="center"/>
    </xf>
    <xf numFmtId="0" fontId="7" fillId="24" borderId="0"/>
    <xf numFmtId="0" fontId="29" fillId="24" borderId="55">
      <alignment horizontal="left" vertical="center"/>
    </xf>
    <xf numFmtId="0" fontId="29" fillId="24" borderId="57">
      <alignment vertical="center"/>
    </xf>
    <xf numFmtId="0" fontId="30" fillId="24" borderId="58">
      <alignment vertical="center"/>
    </xf>
    <xf numFmtId="0" fontId="29" fillId="24" borderId="55"/>
    <xf numFmtId="0" fontId="27" fillId="24" borderId="55">
      <alignment horizontal="right" vertical="center"/>
    </xf>
    <xf numFmtId="0" fontId="31" fillId="26" borderId="55">
      <alignment horizontal="left" vertical="center"/>
    </xf>
    <xf numFmtId="0" fontId="31" fillId="26" borderId="55">
      <alignment horizontal="left" vertical="center"/>
    </xf>
    <xf numFmtId="0" fontId="32" fillId="24" borderId="55">
      <alignment horizontal="left" vertical="center"/>
    </xf>
    <xf numFmtId="0" fontId="33" fillId="24" borderId="56"/>
    <xf numFmtId="0" fontId="28" fillId="23" borderId="55">
      <alignment horizontal="left" vertical="center"/>
    </xf>
    <xf numFmtId="0" fontId="1" fillId="22" borderId="53" applyNumberFormat="0" applyFont="0" applyAlignment="0" applyProtection="0"/>
    <xf numFmtId="176" fontId="7" fillId="0" borderId="0" applyFont="0" applyFill="0" applyBorder="0" applyAlignment="0" applyProtection="0"/>
    <xf numFmtId="183" fontId="7" fillId="0" borderId="0" applyFill="0" applyBorder="0" applyAlignment="0" applyProtection="0"/>
    <xf numFmtId="175" fontId="42" fillId="0" borderId="0"/>
    <xf numFmtId="0" fontId="34" fillId="0" borderId="0"/>
    <xf numFmtId="172" fontId="7" fillId="0" borderId="0" applyFill="0" applyBorder="0" applyAlignment="0" applyProtection="0"/>
    <xf numFmtId="3" fontId="7" fillId="0" borderId="0" applyFill="0" applyBorder="0" applyAlignment="0" applyProtection="0"/>
    <xf numFmtId="0" fontId="35" fillId="0" borderId="54">
      <alignment horizontal="left"/>
      <protection locked="0"/>
    </xf>
    <xf numFmtId="167" fontId="2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7" fillId="0" borderId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85" fontId="7" fillId="0" borderId="0" applyFill="0" applyBorder="0" applyAlignment="0" applyProtection="0"/>
    <xf numFmtId="185" fontId="7" fillId="0" borderId="0" applyFill="0" applyBorder="0" applyAlignment="0" applyProtection="0"/>
    <xf numFmtId="167" fontId="7" fillId="0" borderId="0" applyFont="0" applyFill="0" applyBorder="0" applyAlignment="0" applyProtection="0"/>
    <xf numFmtId="185" fontId="7" fillId="0" borderId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6" fontId="7" fillId="0" borderId="0" applyFill="0" applyBorder="0" applyAlignment="0" applyProtection="0"/>
    <xf numFmtId="187" fontId="7" fillId="0" borderId="0" applyFill="0" applyBorder="0" applyAlignment="0" applyProtection="0"/>
    <xf numFmtId="166" fontId="7" fillId="0" borderId="0" applyFont="0" applyFill="0" applyBorder="0" applyAlignment="0" applyProtection="0"/>
    <xf numFmtId="188" fontId="7" fillId="0" borderId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6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3" fontId="7" fillId="0" borderId="0"/>
    <xf numFmtId="0" fontId="7" fillId="0" borderId="0"/>
    <xf numFmtId="0" fontId="1" fillId="0" borderId="0"/>
    <xf numFmtId="3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189" fontId="17" fillId="0" borderId="0" applyFill="0" applyBorder="0" applyAlignment="0" applyProtection="0"/>
    <xf numFmtId="190" fontId="7" fillId="0" borderId="0" applyFill="0" applyBorder="0" applyAlignment="0" applyProtection="0"/>
    <xf numFmtId="9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/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0" fillId="23" borderId="54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7" fillId="0" borderId="0"/>
    <xf numFmtId="0" fontId="41" fillId="0" borderId="0">
      <alignment horizontal="left" wrapText="1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59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91" fontId="17" fillId="0" borderId="0">
      <alignment horizontal="right"/>
    </xf>
    <xf numFmtId="167" fontId="1" fillId="0" borderId="0" applyFont="0" applyFill="0" applyBorder="0" applyAlignment="0" applyProtection="0"/>
    <xf numFmtId="0" fontId="50" fillId="0" borderId="0"/>
    <xf numFmtId="167" fontId="22" fillId="0" borderId="0" applyFont="0" applyFill="0" applyBorder="0" applyAlignment="0" applyProtection="0"/>
    <xf numFmtId="0" fontId="7" fillId="0" borderId="0"/>
    <xf numFmtId="167" fontId="22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8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/>
    <xf numFmtId="0" fontId="0" fillId="10" borderId="0" xfId="0" applyFill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9" fontId="6" fillId="0" borderId="0" xfId="1" applyNumberFormat="1" applyFont="1" applyAlignment="1">
      <alignment horizontal="center" vertical="center"/>
    </xf>
    <xf numFmtId="167" fontId="3" fillId="0" borderId="0" xfId="1" applyFont="1" applyAlignment="1">
      <alignment horizontal="center" vertical="center"/>
    </xf>
    <xf numFmtId="0" fontId="6" fillId="0" borderId="0" xfId="0" applyFont="1"/>
    <xf numFmtId="0" fontId="0" fillId="4" borderId="0" xfId="0" applyFill="1"/>
    <xf numFmtId="169" fontId="6" fillId="0" borderId="0" xfId="1" applyNumberFormat="1" applyFont="1" applyBorder="1" applyAlignment="1">
      <alignment horizontal="center" vertical="center"/>
    </xf>
    <xf numFmtId="0" fontId="2" fillId="4" borderId="0" xfId="0" applyFont="1" applyFill="1"/>
    <xf numFmtId="0" fontId="2" fillId="10" borderId="0" xfId="0" applyFont="1" applyFill="1"/>
    <xf numFmtId="0" fontId="0" fillId="13" borderId="0" xfId="0" applyFill="1"/>
    <xf numFmtId="0" fontId="2" fillId="13" borderId="0" xfId="0" applyFont="1" applyFill="1" applyAlignment="1">
      <alignment vertical="center"/>
    </xf>
    <xf numFmtId="0" fontId="0" fillId="6" borderId="0" xfId="0" applyFill="1"/>
    <xf numFmtId="0" fontId="13" fillId="6" borderId="0" xfId="0" applyFont="1" applyFill="1"/>
    <xf numFmtId="0" fontId="12" fillId="6" borderId="0" xfId="0" applyFont="1" applyFill="1"/>
    <xf numFmtId="0" fontId="0" fillId="9" borderId="0" xfId="0" applyFill="1"/>
    <xf numFmtId="0" fontId="12" fillId="9" borderId="0" xfId="0" applyFont="1" applyFill="1"/>
    <xf numFmtId="0" fontId="12" fillId="5" borderId="0" xfId="0" applyFont="1" applyFill="1"/>
    <xf numFmtId="0" fontId="12" fillId="11" borderId="0" xfId="0" applyFont="1" applyFill="1"/>
    <xf numFmtId="0" fontId="12" fillId="2" borderId="0" xfId="0" applyFont="1" applyFill="1"/>
    <xf numFmtId="0" fontId="14" fillId="2" borderId="0" xfId="0" applyFont="1" applyFill="1"/>
    <xf numFmtId="170" fontId="0" fillId="0" borderId="0" xfId="1" applyNumberFormat="1" applyFont="1"/>
    <xf numFmtId="172" fontId="17" fillId="0" borderId="0" xfId="3" applyNumberFormat="1" applyAlignment="1">
      <alignment horizontal="center"/>
    </xf>
    <xf numFmtId="172" fontId="7" fillId="0" borderId="0" xfId="2" applyNumberFormat="1" applyAlignment="1">
      <alignment horizontal="center"/>
    </xf>
    <xf numFmtId="171" fontId="2" fillId="3" borderId="5" xfId="1" applyNumberFormat="1" applyFont="1" applyFill="1" applyBorder="1" applyAlignment="1">
      <alignment horizontal="center" vertical="center" wrapText="1"/>
    </xf>
    <xf numFmtId="171" fontId="0" fillId="0" borderId="0" xfId="1" applyNumberFormat="1" applyFont="1" applyBorder="1" applyAlignment="1">
      <alignment horizontal="center" vertical="center" wrapText="1"/>
    </xf>
    <xf numFmtId="171" fontId="0" fillId="0" borderId="1" xfId="1" applyNumberFormat="1" applyFont="1" applyBorder="1" applyAlignment="1">
      <alignment horizontal="center" vertical="center" wrapText="1"/>
    </xf>
    <xf numFmtId="169" fontId="0" fillId="0" borderId="0" xfId="1" applyNumberFormat="1" applyFon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171" fontId="2" fillId="15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171" fontId="0" fillId="16" borderId="0" xfId="1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171" fontId="0" fillId="0" borderId="10" xfId="1" applyNumberFormat="1" applyFont="1" applyBorder="1"/>
    <xf numFmtId="0" fontId="2" fillId="10" borderId="2" xfId="0" applyFont="1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71" fontId="0" fillId="0" borderId="0" xfId="1" applyNumberFormat="1" applyFont="1" applyBorder="1"/>
    <xf numFmtId="171" fontId="0" fillId="0" borderId="1" xfId="1" applyNumberFormat="1" applyFont="1" applyBorder="1"/>
    <xf numFmtId="0" fontId="2" fillId="6" borderId="2" xfId="0" applyFont="1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171" fontId="0" fillId="3" borderId="0" xfId="1" applyNumberFormat="1" applyFont="1" applyFill="1" applyBorder="1" applyAlignment="1">
      <alignment horizontal="center" vertical="center" wrapText="1"/>
    </xf>
    <xf numFmtId="171" fontId="0" fillId="3" borderId="1" xfId="1" applyNumberFormat="1" applyFont="1" applyFill="1" applyBorder="1" applyAlignment="1">
      <alignment horizontal="center" vertical="center" wrapText="1"/>
    </xf>
    <xf numFmtId="0" fontId="0" fillId="15" borderId="0" xfId="0" applyFill="1" applyAlignment="1">
      <alignment vertical="center"/>
    </xf>
    <xf numFmtId="0" fontId="7" fillId="0" borderId="5" xfId="2" applyBorder="1" applyAlignment="1">
      <alignment horizontal="center" vertical="center" wrapText="1"/>
    </xf>
    <xf numFmtId="0" fontId="7" fillId="0" borderId="1" xfId="2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6" fillId="0" borderId="5" xfId="2" applyNumberFormat="1" applyFont="1" applyBorder="1" applyAlignment="1">
      <alignment horizontal="center"/>
    </xf>
    <xf numFmtId="3" fontId="18" fillId="0" borderId="5" xfId="2" applyNumberFormat="1" applyFont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170" fontId="0" fillId="0" borderId="1" xfId="1" applyNumberFormat="1" applyFont="1" applyBorder="1"/>
    <xf numFmtId="0" fontId="2" fillId="13" borderId="0" xfId="0" applyFont="1" applyFill="1"/>
    <xf numFmtId="0" fontId="2" fillId="0" borderId="0" xfId="0" applyFont="1"/>
    <xf numFmtId="0" fontId="2" fillId="17" borderId="0" xfId="0" applyFont="1" applyFill="1"/>
    <xf numFmtId="0" fontId="2" fillId="18" borderId="0" xfId="0" applyFont="1" applyFill="1"/>
    <xf numFmtId="0" fontId="0" fillId="18" borderId="0" xfId="0" applyFill="1"/>
    <xf numFmtId="168" fontId="0" fillId="0" borderId="0" xfId="0" applyNumberFormat="1"/>
    <xf numFmtId="168" fontId="0" fillId="0" borderId="0" xfId="0" applyNumberFormat="1" applyAlignment="1">
      <alignment horizontal="center" vertical="center"/>
    </xf>
    <xf numFmtId="0" fontId="2" fillId="6" borderId="0" xfId="0" applyFont="1" applyFill="1"/>
    <xf numFmtId="0" fontId="2" fillId="20" borderId="0" xfId="0" applyFont="1" applyFill="1"/>
    <xf numFmtId="0" fontId="0" fillId="20" borderId="0" xfId="0" applyFill="1"/>
    <xf numFmtId="0" fontId="10" fillId="13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168" fontId="3" fillId="13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vertical="center"/>
    </xf>
    <xf numFmtId="0" fontId="3" fillId="10" borderId="0" xfId="0" applyFont="1" applyFill="1"/>
    <xf numFmtId="168" fontId="3" fillId="10" borderId="0" xfId="0" applyNumberFormat="1" applyFont="1" applyFill="1" applyAlignment="1">
      <alignment horizontal="center" vertical="center"/>
    </xf>
    <xf numFmtId="0" fontId="11" fillId="13" borderId="0" xfId="0" applyFont="1" applyFill="1" applyAlignment="1">
      <alignment vertical="center"/>
    </xf>
    <xf numFmtId="0" fontId="3" fillId="9" borderId="0" xfId="0" applyFont="1" applyFill="1"/>
    <xf numFmtId="168" fontId="10" fillId="10" borderId="0" xfId="0" applyNumberFormat="1" applyFont="1" applyFill="1" applyAlignment="1">
      <alignment horizontal="center" vertical="center"/>
    </xf>
    <xf numFmtId="0" fontId="10" fillId="9" borderId="0" xfId="0" applyFont="1" applyFill="1"/>
    <xf numFmtId="0" fontId="2" fillId="0" borderId="0" xfId="0" applyFont="1" applyAlignment="1">
      <alignment vertical="center"/>
    </xf>
    <xf numFmtId="0" fontId="10" fillId="6" borderId="0" xfId="0" applyFont="1" applyFill="1"/>
    <xf numFmtId="0" fontId="3" fillId="6" borderId="0" xfId="0" applyFont="1" applyFill="1"/>
    <xf numFmtId="169" fontId="3" fillId="0" borderId="0" xfId="1" applyNumberFormat="1" applyFont="1"/>
    <xf numFmtId="14" fontId="0" fillId="0" borderId="0" xfId="0" applyNumberFormat="1"/>
    <xf numFmtId="17" fontId="0" fillId="0" borderId="0" xfId="0" applyNumberFormat="1"/>
    <xf numFmtId="0" fontId="3" fillId="13" borderId="0" xfId="0" applyFont="1" applyFill="1"/>
    <xf numFmtId="0" fontId="10" fillId="10" borderId="0" xfId="0" applyFont="1" applyFill="1"/>
    <xf numFmtId="0" fontId="10" fillId="4" borderId="0" xfId="0" applyFont="1" applyFill="1"/>
    <xf numFmtId="0" fontId="3" fillId="4" borderId="0" xfId="0" applyFont="1" applyFill="1"/>
    <xf numFmtId="0" fontId="10" fillId="0" borderId="0" xfId="0" applyFont="1"/>
    <xf numFmtId="0" fontId="11" fillId="0" borderId="0" xfId="2" applyFont="1"/>
    <xf numFmtId="1" fontId="5" fillId="0" borderId="19" xfId="2" applyNumberFormat="1" applyFont="1" applyBorder="1" applyAlignment="1">
      <alignment horizontal="right"/>
    </xf>
    <xf numFmtId="1" fontId="5" fillId="0" borderId="35" xfId="2" applyNumberFormat="1" applyFont="1" applyBorder="1" applyAlignment="1">
      <alignment horizontal="right"/>
    </xf>
    <xf numFmtId="1" fontId="5" fillId="0" borderId="14" xfId="2" applyNumberFormat="1" applyFont="1" applyBorder="1" applyAlignment="1">
      <alignment horizontal="right"/>
    </xf>
    <xf numFmtId="1" fontId="5" fillId="0" borderId="36" xfId="2" applyNumberFormat="1" applyFont="1" applyBorder="1" applyAlignment="1">
      <alignment horizontal="right"/>
    </xf>
    <xf numFmtId="0" fontId="10" fillId="13" borderId="0" xfId="0" applyFont="1" applyFill="1"/>
    <xf numFmtId="0" fontId="21" fillId="0" borderId="2" xfId="2" applyFont="1" applyBorder="1" applyAlignment="1">
      <alignment horizontal="center" wrapText="1"/>
    </xf>
    <xf numFmtId="0" fontId="21" fillId="0" borderId="2" xfId="2" applyFont="1" applyBorder="1" applyAlignment="1">
      <alignment wrapText="1"/>
    </xf>
    <xf numFmtId="0" fontId="5" fillId="0" borderId="3" xfId="2" applyFont="1" applyBorder="1"/>
    <xf numFmtId="0" fontId="21" fillId="0" borderId="3" xfId="2" applyFont="1" applyBorder="1"/>
    <xf numFmtId="0" fontId="21" fillId="0" borderId="3" xfId="2" applyFont="1" applyBorder="1" applyAlignment="1">
      <alignment horizontal="center"/>
    </xf>
    <xf numFmtId="0" fontId="5" fillId="0" borderId="4" xfId="2" applyFont="1" applyBorder="1"/>
    <xf numFmtId="0" fontId="21" fillId="0" borderId="3" xfId="2" applyFont="1" applyBorder="1" applyAlignment="1">
      <alignment wrapText="1"/>
    </xf>
    <xf numFmtId="0" fontId="21" fillId="0" borderId="4" xfId="2" applyFont="1" applyBorder="1" applyAlignment="1">
      <alignment wrapText="1"/>
    </xf>
    <xf numFmtId="0" fontId="7" fillId="0" borderId="3" xfId="2" applyBorder="1"/>
    <xf numFmtId="0" fontId="7" fillId="0" borderId="3" xfId="2" applyBorder="1" applyAlignment="1">
      <alignment horizontal="center"/>
    </xf>
    <xf numFmtId="0" fontId="7" fillId="0" borderId="4" xfId="2" applyBorder="1"/>
    <xf numFmtId="0" fontId="5" fillId="0" borderId="2" xfId="2" applyFont="1" applyBorder="1"/>
    <xf numFmtId="0" fontId="7" fillId="0" borderId="0" xfId="2"/>
    <xf numFmtId="0" fontId="21" fillId="0" borderId="6" xfId="2" applyFont="1" applyBorder="1" applyAlignment="1">
      <alignment wrapText="1"/>
    </xf>
    <xf numFmtId="0" fontId="5" fillId="0" borderId="6" xfId="2" applyFont="1" applyBorder="1"/>
    <xf numFmtId="0" fontId="5" fillId="0" borderId="7" xfId="2" applyFont="1" applyBorder="1"/>
    <xf numFmtId="0" fontId="21" fillId="0" borderId="7" xfId="2" applyFont="1" applyBorder="1"/>
    <xf numFmtId="0" fontId="21" fillId="0" borderId="7" xfId="2" applyFont="1" applyBorder="1" applyAlignment="1">
      <alignment horizontal="center"/>
    </xf>
    <xf numFmtId="0" fontId="5" fillId="0" borderId="8" xfId="2" applyFont="1" applyBorder="1"/>
    <xf numFmtId="0" fontId="21" fillId="0" borderId="7" xfId="2" applyFont="1" applyBorder="1" applyAlignment="1">
      <alignment wrapText="1"/>
    </xf>
    <xf numFmtId="0" fontId="21" fillId="0" borderId="8" xfId="2" applyFont="1" applyBorder="1" applyAlignment="1">
      <alignment wrapText="1"/>
    </xf>
    <xf numFmtId="0" fontId="7" fillId="0" borderId="11" xfId="2" applyBorder="1"/>
    <xf numFmtId="0" fontId="7" fillId="0" borderId="12" xfId="2" applyBorder="1"/>
    <xf numFmtId="0" fontId="21" fillId="0" borderId="12" xfId="2" applyFont="1" applyBorder="1"/>
    <xf numFmtId="0" fontId="21" fillId="0" borderId="12" xfId="2" applyFont="1" applyBorder="1" applyAlignment="1">
      <alignment horizontal="center"/>
    </xf>
    <xf numFmtId="0" fontId="7" fillId="0" borderId="12" xfId="2" applyBorder="1" applyAlignment="1">
      <alignment horizontal="center"/>
    </xf>
    <xf numFmtId="0" fontId="7" fillId="0" borderId="13" xfId="2" applyBorder="1"/>
    <xf numFmtId="0" fontId="7" fillId="0" borderId="6" xfId="2" applyBorder="1"/>
    <xf numFmtId="0" fontId="7" fillId="0" borderId="7" xfId="2" applyBorder="1"/>
    <xf numFmtId="0" fontId="7" fillId="0" borderId="8" xfId="2" applyBorder="1"/>
    <xf numFmtId="0" fontId="5" fillId="0" borderId="11" xfId="2" applyFont="1" applyBorder="1"/>
    <xf numFmtId="0" fontId="5" fillId="0" borderId="12" xfId="2" applyFont="1" applyBorder="1"/>
    <xf numFmtId="0" fontId="5" fillId="0" borderId="13" xfId="2" applyFont="1" applyBorder="1"/>
    <xf numFmtId="0" fontId="21" fillId="0" borderId="21" xfId="2" applyFont="1" applyBorder="1"/>
    <xf numFmtId="0" fontId="21" fillId="0" borderId="22" xfId="2" applyFont="1" applyBorder="1"/>
    <xf numFmtId="0" fontId="21" fillId="0" borderId="16" xfId="2" applyFont="1" applyBorder="1"/>
    <xf numFmtId="0" fontId="21" fillId="0" borderId="40" xfId="2" applyFont="1" applyBorder="1" applyAlignment="1">
      <alignment horizontal="center" vertical="center"/>
    </xf>
    <xf numFmtId="0" fontId="21" fillId="0" borderId="44" xfId="2" applyFont="1" applyBorder="1" applyAlignment="1">
      <alignment horizontal="center"/>
    </xf>
    <xf numFmtId="0" fontId="21" fillId="0" borderId="51" xfId="2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26" xfId="2" applyFont="1" applyBorder="1" applyAlignment="1">
      <alignment horizontal="center" vertical="center"/>
    </xf>
    <xf numFmtId="0" fontId="21" fillId="0" borderId="14" xfId="2" applyFont="1" applyBorder="1" applyAlignment="1">
      <alignment horizontal="center"/>
    </xf>
    <xf numFmtId="0" fontId="21" fillId="0" borderId="26" xfId="2" applyFont="1" applyBorder="1" applyAlignment="1">
      <alignment horizontal="center"/>
    </xf>
    <xf numFmtId="0" fontId="21" fillId="0" borderId="48" xfId="2" applyFont="1" applyBorder="1" applyAlignment="1">
      <alignment horizontal="center" vertical="center"/>
    </xf>
    <xf numFmtId="0" fontId="5" fillId="0" borderId="19" xfId="2" applyFont="1" applyBorder="1"/>
    <xf numFmtId="1" fontId="5" fillId="0" borderId="27" xfId="2" applyNumberFormat="1" applyFont="1" applyBorder="1" applyAlignment="1">
      <alignment horizontal="right"/>
    </xf>
    <xf numFmtId="1" fontId="5" fillId="0" borderId="20" xfId="2" applyNumberFormat="1" applyFont="1" applyBorder="1" applyAlignment="1">
      <alignment horizontal="right"/>
    </xf>
    <xf numFmtId="1" fontId="5" fillId="0" borderId="16" xfId="2" applyNumberFormat="1" applyFont="1" applyBorder="1" applyAlignment="1">
      <alignment horizontal="right"/>
    </xf>
    <xf numFmtId="1" fontId="5" fillId="0" borderId="22" xfId="2" applyNumberFormat="1" applyFont="1" applyBorder="1" applyAlignment="1">
      <alignment horizontal="right"/>
    </xf>
    <xf numFmtId="1" fontId="5" fillId="0" borderId="21" xfId="2" applyNumberFormat="1" applyFont="1" applyBorder="1" applyAlignment="1">
      <alignment horizontal="right"/>
    </xf>
    <xf numFmtId="1" fontId="5" fillId="0" borderId="17" xfId="2" applyNumberFormat="1" applyFont="1" applyBorder="1" applyAlignment="1">
      <alignment horizontal="right"/>
    </xf>
    <xf numFmtId="168" fontId="5" fillId="0" borderId="19" xfId="2" applyNumberFormat="1" applyFont="1" applyBorder="1" applyAlignment="1">
      <alignment horizontal="right"/>
    </xf>
    <xf numFmtId="173" fontId="5" fillId="0" borderId="19" xfId="4" applyNumberFormat="1" applyFont="1" applyBorder="1" applyAlignment="1">
      <alignment horizontal="right"/>
    </xf>
    <xf numFmtId="0" fontId="21" fillId="0" borderId="35" xfId="2" applyFont="1" applyBorder="1" applyProtection="1">
      <protection locked="0" hidden="1"/>
    </xf>
    <xf numFmtId="1" fontId="21" fillId="0" borderId="35" xfId="2" applyNumberFormat="1" applyFont="1" applyBorder="1" applyAlignment="1">
      <alignment horizontal="right"/>
    </xf>
    <xf numFmtId="1" fontId="21" fillId="0" borderId="36" xfId="2" applyNumberFormat="1" applyFont="1" applyBorder="1" applyAlignment="1">
      <alignment horizontal="right"/>
    </xf>
    <xf numFmtId="1" fontId="21" fillId="0" borderId="37" xfId="2" applyNumberFormat="1" applyFont="1" applyBorder="1" applyAlignment="1">
      <alignment horizontal="right"/>
    </xf>
    <xf numFmtId="1" fontId="21" fillId="0" borderId="38" xfId="2" applyNumberFormat="1" applyFont="1" applyBorder="1" applyAlignment="1">
      <alignment horizontal="right"/>
    </xf>
    <xf numFmtId="1" fontId="21" fillId="0" borderId="39" xfId="2" applyNumberFormat="1" applyFont="1" applyBorder="1" applyAlignment="1">
      <alignment horizontal="right"/>
    </xf>
    <xf numFmtId="1" fontId="21" fillId="0" borderId="52" xfId="2" applyNumberFormat="1" applyFont="1" applyBorder="1" applyAlignment="1">
      <alignment horizontal="right"/>
    </xf>
    <xf numFmtId="1" fontId="5" fillId="0" borderId="37" xfId="2" applyNumberFormat="1" applyFont="1" applyBorder="1" applyAlignment="1">
      <alignment horizontal="right"/>
    </xf>
    <xf numFmtId="1" fontId="5" fillId="0" borderId="41" xfId="2" applyNumberFormat="1" applyFont="1" applyBorder="1" applyAlignment="1">
      <alignment horizontal="right"/>
    </xf>
    <xf numFmtId="1" fontId="21" fillId="0" borderId="29" xfId="2" applyNumberFormat="1" applyFont="1" applyBorder="1" applyAlignment="1">
      <alignment horizontal="right"/>
    </xf>
    <xf numFmtId="168" fontId="21" fillId="0" borderId="29" xfId="2" applyNumberFormat="1" applyFont="1" applyBorder="1" applyAlignment="1">
      <alignment horizontal="right"/>
    </xf>
    <xf numFmtId="0" fontId="21" fillId="0" borderId="0" xfId="2" applyFont="1"/>
    <xf numFmtId="1" fontId="2" fillId="0" borderId="0" xfId="0" applyNumberFormat="1" applyFont="1"/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0" fillId="0" borderId="14" xfId="0" applyBorder="1"/>
    <xf numFmtId="168" fontId="0" fillId="0" borderId="14" xfId="0" applyNumberFormat="1" applyBorder="1"/>
    <xf numFmtId="0" fontId="6" fillId="13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168" fontId="11" fillId="13" borderId="0" xfId="0" applyNumberFormat="1" applyFont="1" applyFill="1" applyAlignment="1">
      <alignment horizontal="center" vertical="center"/>
    </xf>
    <xf numFmtId="2" fontId="0" fillId="0" borderId="0" xfId="0" applyNumberFormat="1"/>
    <xf numFmtId="167" fontId="6" fillId="0" borderId="0" xfId="1" applyFont="1" applyAlignment="1">
      <alignment horizontal="center" vertical="center"/>
    </xf>
    <xf numFmtId="167" fontId="0" fillId="0" borderId="0" xfId="0" applyNumberFormat="1"/>
    <xf numFmtId="174" fontId="0" fillId="0" borderId="0" xfId="0" applyNumberFormat="1"/>
    <xf numFmtId="0" fontId="2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7" fontId="0" fillId="13" borderId="0" xfId="1" applyFont="1" applyFill="1"/>
    <xf numFmtId="167" fontId="0" fillId="6" borderId="0" xfId="1" applyFont="1" applyFill="1"/>
    <xf numFmtId="167" fontId="0" fillId="0" borderId="0" xfId="1" applyFont="1"/>
    <xf numFmtId="167" fontId="0" fillId="0" borderId="0" xfId="1" applyFont="1" applyBorder="1"/>
    <xf numFmtId="173" fontId="3" fillId="0" borderId="0" xfId="4" applyNumberFormat="1" applyFont="1"/>
    <xf numFmtId="1" fontId="0" fillId="0" borderId="14" xfId="0" applyNumberFormat="1" applyBorder="1"/>
    <xf numFmtId="0" fontId="2" fillId="0" borderId="14" xfId="0" applyFont="1" applyBorder="1" applyAlignment="1">
      <alignment horizontal="center"/>
    </xf>
    <xf numFmtId="173" fontId="0" fillId="0" borderId="0" xfId="4" applyNumberFormat="1" applyFont="1"/>
    <xf numFmtId="173" fontId="0" fillId="0" borderId="0" xfId="0" applyNumberFormat="1"/>
    <xf numFmtId="168" fontId="10" fillId="9" borderId="0" xfId="0" applyNumberFormat="1" applyFont="1" applyFill="1"/>
    <xf numFmtId="0" fontId="6" fillId="0" borderId="0" xfId="0" applyFont="1" applyAlignment="1">
      <alignment horizontal="center" vertical="center" wrapText="1"/>
    </xf>
    <xf numFmtId="0" fontId="44" fillId="0" borderId="0" xfId="0" applyFont="1"/>
    <xf numFmtId="0" fontId="44" fillId="12" borderId="0" xfId="0" applyFont="1" applyFill="1"/>
    <xf numFmtId="0" fontId="44" fillId="11" borderId="0" xfId="0" applyFont="1" applyFill="1"/>
    <xf numFmtId="0" fontId="45" fillId="11" borderId="0" xfId="0" applyFont="1" applyFill="1" applyAlignment="1">
      <alignment horizontal="left"/>
    </xf>
    <xf numFmtId="167" fontId="44" fillId="11" borderId="0" xfId="0" applyNumberFormat="1" applyFont="1" applyFill="1"/>
    <xf numFmtId="0" fontId="45" fillId="11" borderId="0" xfId="0" applyFont="1" applyFill="1"/>
    <xf numFmtId="10" fontId="44" fillId="11" borderId="0" xfId="0" applyNumberFormat="1" applyFont="1" applyFill="1"/>
    <xf numFmtId="0" fontId="44" fillId="20" borderId="0" xfId="0" applyFont="1" applyFill="1"/>
    <xf numFmtId="0" fontId="1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13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6" borderId="0" xfId="0" applyFill="1" applyAlignment="1">
      <alignment wrapText="1"/>
    </xf>
    <xf numFmtId="0" fontId="7" fillId="0" borderId="0" xfId="0" applyFont="1" applyAlignment="1">
      <alignment horizontal="left" wrapText="1"/>
    </xf>
    <xf numFmtId="0" fontId="19" fillId="0" borderId="14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6" fillId="2" borderId="0" xfId="0" applyFont="1" applyFill="1" applyAlignment="1">
      <alignment vertical="center" wrapText="1"/>
    </xf>
    <xf numFmtId="168" fontId="6" fillId="0" borderId="0" xfId="0" applyNumberFormat="1" applyFont="1" applyAlignment="1">
      <alignment horizontal="center" vertical="center" wrapText="1"/>
    </xf>
    <xf numFmtId="0" fontId="6" fillId="10" borderId="0" xfId="0" applyFont="1" applyFill="1" applyAlignment="1">
      <alignment wrapText="1"/>
    </xf>
    <xf numFmtId="0" fontId="6" fillId="1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9" borderId="0" xfId="0" applyFill="1" applyAlignment="1">
      <alignment wrapText="1"/>
    </xf>
    <xf numFmtId="0" fontId="14" fillId="5" borderId="0" xfId="0" applyFont="1" applyFill="1" applyAlignment="1">
      <alignment wrapText="1"/>
    </xf>
    <xf numFmtId="0" fontId="15" fillId="11" borderId="0" xfId="0" applyFont="1" applyFill="1" applyAlignment="1">
      <alignment wrapText="1"/>
    </xf>
    <xf numFmtId="0" fontId="14" fillId="6" borderId="0" xfId="0" applyFont="1" applyFill="1" applyAlignment="1">
      <alignment wrapText="1"/>
    </xf>
    <xf numFmtId="0" fontId="2" fillId="20" borderId="0" xfId="0" applyFont="1" applyFill="1" applyAlignment="1">
      <alignment horizontal="center" wrapText="1"/>
    </xf>
    <xf numFmtId="0" fontId="10" fillId="13" borderId="0" xfId="0" applyFont="1" applyFill="1" applyAlignment="1">
      <alignment vertical="center" wrapText="1"/>
    </xf>
    <xf numFmtId="168" fontId="3" fillId="10" borderId="0" xfId="0" applyNumberFormat="1" applyFont="1" applyFill="1" applyAlignment="1">
      <alignment horizontal="center" vertical="center" wrapText="1"/>
    </xf>
    <xf numFmtId="0" fontId="3" fillId="9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1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167" fontId="0" fillId="0" borderId="0" xfId="1" applyFont="1" applyFill="1"/>
    <xf numFmtId="167" fontId="2" fillId="13" borderId="0" xfId="1" applyFont="1" applyFill="1"/>
    <xf numFmtId="167" fontId="3" fillId="0" borderId="0" xfId="1" applyFont="1"/>
    <xf numFmtId="167" fontId="0" fillId="0" borderId="0" xfId="1" applyFont="1" applyAlignment="1">
      <alignment horizontal="center" vertical="center"/>
    </xf>
    <xf numFmtId="167" fontId="0" fillId="18" borderId="0" xfId="1" applyFont="1" applyFill="1"/>
    <xf numFmtId="167" fontId="2" fillId="6" borderId="0" xfId="1" applyFont="1" applyFill="1"/>
    <xf numFmtId="167" fontId="0" fillId="20" borderId="0" xfId="1" applyFont="1" applyFill="1"/>
    <xf numFmtId="167" fontId="2" fillId="20" borderId="0" xfId="1" applyFont="1" applyFill="1"/>
    <xf numFmtId="0" fontId="47" fillId="0" borderId="0" xfId="0" applyFont="1"/>
    <xf numFmtId="0" fontId="48" fillId="0" borderId="0" xfId="0" applyFont="1"/>
    <xf numFmtId="0" fontId="49" fillId="0" borderId="0" xfId="0" applyFont="1"/>
    <xf numFmtId="167" fontId="11" fillId="10" borderId="0" xfId="1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169" fontId="11" fillId="2" borderId="0" xfId="1" applyNumberFormat="1" applyFont="1" applyFill="1" applyBorder="1" applyAlignment="1">
      <alignment horizontal="center" vertical="center"/>
    </xf>
    <xf numFmtId="169" fontId="11" fillId="2" borderId="0" xfId="1" applyNumberFormat="1" applyFont="1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169" fontId="8" fillId="10" borderId="0" xfId="1" applyNumberFormat="1" applyFont="1" applyFill="1" applyBorder="1" applyAlignment="1">
      <alignment horizontal="center"/>
    </xf>
    <xf numFmtId="168" fontId="6" fillId="6" borderId="0" xfId="0" applyNumberFormat="1" applyFont="1" applyFill="1" applyAlignment="1">
      <alignment horizontal="center" vertical="center"/>
    </xf>
    <xf numFmtId="169" fontId="6" fillId="6" borderId="0" xfId="1" applyNumberFormat="1" applyFont="1" applyFill="1" applyAlignment="1">
      <alignment horizontal="center" vertical="center"/>
    </xf>
    <xf numFmtId="0" fontId="6" fillId="14" borderId="0" xfId="0" applyFont="1" applyFill="1"/>
    <xf numFmtId="169" fontId="8" fillId="14" borderId="0" xfId="1" applyNumberFormat="1" applyFont="1" applyFill="1" applyBorder="1" applyAlignment="1">
      <alignment horizontal="center"/>
    </xf>
    <xf numFmtId="167" fontId="2" fillId="10" borderId="0" xfId="1" applyFont="1" applyFill="1"/>
    <xf numFmtId="0" fontId="0" fillId="10" borderId="5" xfId="0" applyFill="1" applyBorder="1" applyAlignment="1">
      <alignment vertical="center"/>
    </xf>
    <xf numFmtId="171" fontId="0" fillId="10" borderId="5" xfId="1" applyNumberFormat="1" applyFont="1" applyFill="1" applyBorder="1"/>
    <xf numFmtId="171" fontId="0" fillId="10" borderId="0" xfId="1" applyNumberFormat="1" applyFont="1" applyFill="1" applyBorder="1"/>
    <xf numFmtId="0" fontId="0" fillId="6" borderId="5" xfId="0" applyFill="1" applyBorder="1" applyAlignment="1">
      <alignment vertical="center"/>
    </xf>
    <xf numFmtId="171" fontId="0" fillId="6" borderId="5" xfId="1" applyNumberFormat="1" applyFont="1" applyFill="1" applyBorder="1"/>
    <xf numFmtId="171" fontId="0" fillId="3" borderId="5" xfId="1" applyNumberFormat="1" applyFont="1" applyFill="1" applyBorder="1" applyAlignment="1">
      <alignment horizontal="center" vertical="center" wrapText="1"/>
    </xf>
    <xf numFmtId="169" fontId="0" fillId="3" borderId="5" xfId="1" applyNumberFormat="1" applyFont="1" applyFill="1" applyBorder="1" applyAlignment="1">
      <alignment horizontal="center" vertical="center"/>
    </xf>
    <xf numFmtId="171" fontId="0" fillId="15" borderId="5" xfId="1" applyNumberFormat="1" applyFont="1" applyFill="1" applyBorder="1" applyAlignment="1">
      <alignment horizontal="center" vertical="center" wrapText="1"/>
    </xf>
    <xf numFmtId="172" fontId="16" fillId="15" borderId="5" xfId="3" applyNumberFormat="1" applyFont="1" applyFill="1" applyBorder="1" applyAlignment="1">
      <alignment horizontal="center"/>
    </xf>
    <xf numFmtId="172" fontId="16" fillId="16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  <xf numFmtId="170" fontId="0" fillId="10" borderId="0" xfId="1" applyNumberFormat="1" applyFont="1" applyFill="1"/>
    <xf numFmtId="167" fontId="7" fillId="0" borderId="0" xfId="1" applyFont="1" applyFill="1" applyBorder="1" applyAlignment="1">
      <alignment horizontal="center"/>
    </xf>
    <xf numFmtId="167" fontId="7" fillId="0" borderId="0" xfId="1" applyFont="1" applyBorder="1" applyAlignment="1">
      <alignment horizontal="center"/>
    </xf>
    <xf numFmtId="0" fontId="2" fillId="21" borderId="0" xfId="0" applyFont="1" applyFill="1" applyAlignment="1">
      <alignment horizontal="center" vertical="center" wrapText="1"/>
    </xf>
    <xf numFmtId="167" fontId="1" fillId="0" borderId="0" xfId="1" applyFont="1"/>
    <xf numFmtId="167" fontId="0" fillId="18" borderId="0" xfId="1" applyFont="1" applyFill="1" applyAlignment="1">
      <alignment horizontal="center" vertical="center"/>
    </xf>
    <xf numFmtId="167" fontId="1" fillId="18" borderId="0" xfId="1" applyFont="1" applyFill="1"/>
    <xf numFmtId="167" fontId="1" fillId="6" borderId="0" xfId="1" applyFont="1" applyFill="1"/>
    <xf numFmtId="171" fontId="0" fillId="0" borderId="0" xfId="1" applyNumberFormat="1" applyFont="1"/>
    <xf numFmtId="171" fontId="0" fillId="0" borderId="5" xfId="1" applyNumberFormat="1" applyFont="1" applyBorder="1"/>
    <xf numFmtId="167" fontId="8" fillId="0" borderId="0" xfId="1" applyFont="1" applyBorder="1" applyAlignment="1">
      <alignment horizontal="center" vertical="center"/>
    </xf>
    <xf numFmtId="167" fontId="11" fillId="0" borderId="0" xfId="1" applyFont="1" applyAlignment="1">
      <alignment horizontal="center" vertical="center"/>
    </xf>
    <xf numFmtId="167" fontId="6" fillId="0" borderId="0" xfId="1" applyFont="1" applyFill="1" applyBorder="1" applyAlignment="1">
      <alignment horizontal="center"/>
    </xf>
    <xf numFmtId="167" fontId="8" fillId="17" borderId="0" xfId="1" applyFont="1" applyFill="1" applyBorder="1" applyAlignment="1">
      <alignment horizontal="center"/>
    </xf>
    <xf numFmtId="0" fontId="51" fillId="30" borderId="22" xfId="0" applyFont="1" applyFill="1" applyBorder="1" applyAlignment="1">
      <alignment horizontal="left" vertical="top" wrapText="1"/>
    </xf>
    <xf numFmtId="171" fontId="3" fillId="0" borderId="0" xfId="1" applyNumberFormat="1" applyFont="1"/>
    <xf numFmtId="171" fontId="0" fillId="0" borderId="5" xfId="1" applyNumberFormat="1" applyFont="1" applyFill="1" applyBorder="1"/>
    <xf numFmtId="169" fontId="7" fillId="6" borderId="0" xfId="1" applyNumberFormat="1" applyFont="1" applyFill="1" applyAlignment="1">
      <alignment horizontal="center" vertical="center"/>
    </xf>
    <xf numFmtId="168" fontId="3" fillId="0" borderId="0" xfId="0" applyNumberFormat="1" applyFont="1"/>
    <xf numFmtId="192" fontId="3" fillId="0" borderId="0" xfId="0" applyNumberFormat="1" applyFont="1"/>
    <xf numFmtId="169" fontId="3" fillId="0" borderId="0" xfId="1" applyNumberFormat="1" applyFont="1" applyFill="1"/>
    <xf numFmtId="171" fontId="0" fillId="10" borderId="0" xfId="1" applyNumberFormat="1" applyFont="1" applyFill="1"/>
    <xf numFmtId="167" fontId="3" fillId="0" borderId="0" xfId="1" applyFont="1" applyAlignment="1">
      <alignment horizontal="center"/>
    </xf>
    <xf numFmtId="171" fontId="0" fillId="0" borderId="0" xfId="0" applyNumberFormat="1"/>
    <xf numFmtId="168" fontId="3" fillId="6" borderId="0" xfId="0" applyNumberFormat="1" applyFont="1" applyFill="1"/>
    <xf numFmtId="168" fontId="0" fillId="13" borderId="0" xfId="0" applyNumberFormat="1" applyFill="1"/>
    <xf numFmtId="10" fontId="3" fillId="31" borderId="0" xfId="4" applyNumberFormat="1" applyFont="1" applyFill="1"/>
    <xf numFmtId="171" fontId="0" fillId="0" borderId="0" xfId="1" applyNumberFormat="1" applyFont="1" applyFill="1" applyBorder="1"/>
    <xf numFmtId="0" fontId="6" fillId="0" borderId="0" xfId="0" applyFont="1" applyAlignment="1">
      <alignment horizontal="left" vertical="center" wrapText="1"/>
    </xf>
    <xf numFmtId="167" fontId="6" fillId="0" borderId="0" xfId="1" applyFont="1" applyBorder="1" applyAlignment="1">
      <alignment horizontal="center" vertical="center"/>
    </xf>
    <xf numFmtId="167" fontId="6" fillId="0" borderId="0" xfId="1" applyFont="1" applyFill="1" applyBorder="1" applyAlignment="1">
      <alignment horizontal="center" vertical="center"/>
    </xf>
    <xf numFmtId="1" fontId="5" fillId="0" borderId="49" xfId="2" applyNumberFormat="1" applyFont="1" applyBorder="1" applyAlignment="1">
      <alignment horizontal="right"/>
    </xf>
    <xf numFmtId="1" fontId="5" fillId="0" borderId="40" xfId="2" applyNumberFormat="1" applyFont="1" applyBorder="1" applyAlignment="1">
      <alignment horizontal="right"/>
    </xf>
    <xf numFmtId="1" fontId="5" fillId="0" borderId="50" xfId="2" applyNumberFormat="1" applyFont="1" applyBorder="1" applyAlignment="1">
      <alignment horizontal="right"/>
    </xf>
    <xf numFmtId="1" fontId="0" fillId="0" borderId="0" xfId="1" applyNumberFormat="1" applyFont="1"/>
    <xf numFmtId="2" fontId="0" fillId="0" borderId="0" xfId="1" applyNumberFormat="1" applyFont="1"/>
    <xf numFmtId="1" fontId="0" fillId="18" borderId="0" xfId="1" applyNumberFormat="1" applyFont="1" applyFill="1"/>
    <xf numFmtId="1" fontId="2" fillId="18" borderId="0" xfId="1" applyNumberFormat="1" applyFont="1" applyFill="1"/>
    <xf numFmtId="2" fontId="2" fillId="18" borderId="0" xfId="1" applyNumberFormat="1" applyFont="1" applyFill="1"/>
    <xf numFmtId="2" fontId="0" fillId="18" borderId="0" xfId="1" applyNumberFormat="1" applyFont="1" applyFill="1"/>
    <xf numFmtId="0" fontId="11" fillId="0" borderId="0" xfId="2" applyFont="1" applyAlignment="1">
      <alignment horizontal="center"/>
    </xf>
    <xf numFmtId="169" fontId="2" fillId="10" borderId="0" xfId="1" applyNumberFormat="1" applyFont="1" applyFill="1"/>
    <xf numFmtId="17" fontId="17" fillId="0" borderId="0" xfId="0" applyNumberFormat="1" applyFont="1" applyAlignment="1">
      <alignment horizontal="center"/>
    </xf>
    <xf numFmtId="169" fontId="3" fillId="0" borderId="0" xfId="1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21" fillId="0" borderId="33" xfId="2" applyFont="1" applyBorder="1" applyAlignment="1">
      <alignment horizontal="center"/>
    </xf>
    <xf numFmtId="0" fontId="21" fillId="0" borderId="48" xfId="2" applyFont="1" applyBorder="1" applyAlignment="1">
      <alignment horizontal="center"/>
    </xf>
    <xf numFmtId="0" fontId="21" fillId="0" borderId="31" xfId="2" applyFont="1" applyBorder="1" applyAlignment="1">
      <alignment horizontal="center"/>
    </xf>
    <xf numFmtId="0" fontId="21" fillId="0" borderId="25" xfId="2" applyFont="1" applyBorder="1" applyAlignment="1">
      <alignment horizontal="center"/>
    </xf>
    <xf numFmtId="0" fontId="21" fillId="0" borderId="18" xfId="2" applyFont="1" applyBorder="1" applyAlignment="1">
      <alignment horizontal="center"/>
    </xf>
    <xf numFmtId="0" fontId="7" fillId="0" borderId="48" xfId="2" applyBorder="1"/>
    <xf numFmtId="0" fontId="0" fillId="11" borderId="0" xfId="0" applyFill="1"/>
    <xf numFmtId="2" fontId="3" fillId="0" borderId="0" xfId="0" applyNumberFormat="1" applyFont="1"/>
    <xf numFmtId="168" fontId="48" fillId="0" borderId="0" xfId="0" applyNumberFormat="1" applyFont="1" applyAlignment="1">
      <alignment horizontal="center" vertical="center"/>
    </xf>
    <xf numFmtId="168" fontId="49" fillId="0" borderId="0" xfId="0" applyNumberFormat="1" applyFont="1" applyAlignment="1">
      <alignment horizontal="center" vertical="center"/>
    </xf>
    <xf numFmtId="9" fontId="0" fillId="0" borderId="0" xfId="4" applyFont="1"/>
    <xf numFmtId="168" fontId="6" fillId="16" borderId="0" xfId="0" applyNumberFormat="1" applyFont="1" applyFill="1" applyAlignment="1">
      <alignment horizontal="center" vertical="center"/>
    </xf>
    <xf numFmtId="17" fontId="6" fillId="16" borderId="0" xfId="0" applyNumberFormat="1" applyFont="1" applyFill="1" applyAlignment="1">
      <alignment horizontal="center" vertical="center"/>
    </xf>
    <xf numFmtId="169" fontId="7" fillId="16" borderId="0" xfId="1" applyNumberFormat="1" applyFont="1" applyFill="1" applyAlignment="1">
      <alignment horizontal="center" vertical="center"/>
    </xf>
    <xf numFmtId="193" fontId="0" fillId="0" borderId="0" xfId="0" applyNumberFormat="1"/>
    <xf numFmtId="169" fontId="0" fillId="0" borderId="0" xfId="153" applyNumberFormat="1" applyFont="1"/>
    <xf numFmtId="170" fontId="0" fillId="0" borderId="0" xfId="153" applyNumberFormat="1" applyFont="1"/>
    <xf numFmtId="0" fontId="13" fillId="6" borderId="0" xfId="0" applyFont="1" applyFill="1" applyAlignment="1">
      <alignment wrapText="1"/>
    </xf>
    <xf numFmtId="167" fontId="0" fillId="4" borderId="0" xfId="1" applyFont="1" applyFill="1"/>
    <xf numFmtId="167" fontId="0" fillId="9" borderId="0" xfId="1" applyFont="1" applyFill="1"/>
    <xf numFmtId="167" fontId="0" fillId="5" borderId="0" xfId="1" applyFont="1" applyFill="1"/>
    <xf numFmtId="167" fontId="0" fillId="2" borderId="0" xfId="1" applyFont="1" applyFill="1"/>
    <xf numFmtId="167" fontId="0" fillId="10" borderId="0" xfId="0" applyNumberFormat="1" applyFill="1"/>
    <xf numFmtId="167" fontId="2" fillId="13" borderId="0" xfId="1" applyFont="1" applyFill="1" applyBorder="1"/>
    <xf numFmtId="167" fontId="0" fillId="4" borderId="0" xfId="1" applyFont="1" applyFill="1" applyBorder="1"/>
    <xf numFmtId="167" fontId="0" fillId="6" borderId="0" xfId="1" applyFont="1" applyFill="1" applyBorder="1"/>
    <xf numFmtId="167" fontId="0" fillId="9" borderId="0" xfId="1" applyFont="1" applyFill="1" applyBorder="1"/>
    <xf numFmtId="167" fontId="0" fillId="5" borderId="0" xfId="1" applyFont="1" applyFill="1" applyBorder="1"/>
    <xf numFmtId="167" fontId="0" fillId="2" borderId="0" xfId="1" applyFont="1" applyFill="1" applyBorder="1"/>
    <xf numFmtId="167" fontId="8" fillId="4" borderId="0" xfId="1" applyFont="1" applyFill="1" applyBorder="1"/>
    <xf numFmtId="167" fontId="7" fillId="6" borderId="0" xfId="1" applyFont="1" applyFill="1" applyBorder="1"/>
    <xf numFmtId="167" fontId="7" fillId="0" borderId="0" xfId="1" applyFont="1" applyFill="1" applyBorder="1"/>
    <xf numFmtId="167" fontId="7" fillId="9" borderId="0" xfId="1" applyFont="1" applyFill="1" applyBorder="1"/>
    <xf numFmtId="167" fontId="7" fillId="5" borderId="0" xfId="1" applyFont="1" applyFill="1" applyBorder="1"/>
    <xf numFmtId="167" fontId="7" fillId="2" borderId="0" xfId="1" applyFont="1" applyFill="1" applyBorder="1"/>
    <xf numFmtId="167" fontId="8" fillId="0" borderId="0" xfId="1" applyFont="1" applyFill="1" applyBorder="1"/>
    <xf numFmtId="167" fontId="7" fillId="0" borderId="0" xfId="1" applyFont="1" applyBorder="1"/>
    <xf numFmtId="167" fontId="8" fillId="0" borderId="0" xfId="1" applyFont="1" applyBorder="1"/>
    <xf numFmtId="167" fontId="0" fillId="13" borderId="0" xfId="1" applyFont="1" applyFill="1" applyBorder="1"/>
    <xf numFmtId="0" fontId="5" fillId="11" borderId="0" xfId="0" applyFont="1" applyFill="1"/>
    <xf numFmtId="0" fontId="14" fillId="5" borderId="0" xfId="0" applyFont="1" applyFill="1"/>
    <xf numFmtId="0" fontId="14" fillId="0" borderId="0" xfId="0" applyFont="1"/>
    <xf numFmtId="0" fontId="15" fillId="11" borderId="0" xfId="0" applyFont="1" applyFill="1"/>
    <xf numFmtId="0" fontId="14" fillId="6" borderId="0" xfId="0" applyFont="1" applyFill="1"/>
    <xf numFmtId="0" fontId="12" fillId="6" borderId="0" xfId="0" applyFont="1" applyFill="1" applyAlignment="1">
      <alignment wrapText="1"/>
    </xf>
    <xf numFmtId="0" fontId="19" fillId="6" borderId="0" xfId="0" applyFont="1" applyFill="1" applyAlignment="1">
      <alignment horizontal="left" wrapText="1"/>
    </xf>
    <xf numFmtId="1" fontId="0" fillId="6" borderId="0" xfId="1" applyNumberFormat="1" applyFont="1" applyFill="1"/>
    <xf numFmtId="2" fontId="0" fillId="6" borderId="0" xfId="1" applyNumberFormat="1" applyFont="1" applyFill="1"/>
    <xf numFmtId="0" fontId="2" fillId="6" borderId="0" xfId="0" applyFont="1" applyFill="1" applyAlignment="1">
      <alignment wrapText="1"/>
    </xf>
    <xf numFmtId="0" fontId="2" fillId="18" borderId="0" xfId="0" applyFont="1" applyFill="1" applyAlignment="1">
      <alignment wrapText="1"/>
    </xf>
    <xf numFmtId="0" fontId="53" fillId="0" borderId="0" xfId="0" applyFont="1"/>
    <xf numFmtId="169" fontId="6" fillId="0" borderId="0" xfId="1" applyNumberFormat="1" applyFont="1" applyFill="1" applyAlignment="1">
      <alignment horizontal="center" vertical="center"/>
    </xf>
    <xf numFmtId="167" fontId="3" fillId="0" borderId="0" xfId="1" applyFont="1" applyFill="1"/>
    <xf numFmtId="167" fontId="7" fillId="0" borderId="0" xfId="1" applyFont="1" applyAlignment="1">
      <alignment horizontal="center" vertical="center"/>
    </xf>
    <xf numFmtId="165" fontId="0" fillId="0" borderId="0" xfId="0" applyNumberFormat="1"/>
    <xf numFmtId="167" fontId="3" fillId="0" borderId="0" xfId="1" applyFont="1" applyFill="1" applyAlignment="1">
      <alignment horizontal="center"/>
    </xf>
    <xf numFmtId="164" fontId="0" fillId="0" borderId="0" xfId="154" applyFont="1"/>
    <xf numFmtId="169" fontId="3" fillId="0" borderId="0" xfId="1" applyNumberFormat="1" applyFont="1" applyFill="1" applyAlignment="1">
      <alignment horizontal="center" vertical="center"/>
    </xf>
    <xf numFmtId="169" fontId="0" fillId="3" borderId="0" xfId="1" applyNumberFormat="1" applyFont="1" applyFill="1" applyBorder="1" applyAlignment="1">
      <alignment horizontal="center" vertical="center"/>
    </xf>
    <xf numFmtId="172" fontId="16" fillId="15" borderId="0" xfId="3" applyNumberFormat="1" applyFont="1" applyFill="1" applyAlignment="1">
      <alignment horizontal="center"/>
    </xf>
    <xf numFmtId="0" fontId="46" fillId="28" borderId="0" xfId="0" applyFont="1" applyFill="1" applyAlignment="1">
      <alignment horizontal="center" vertical="center" textRotation="90"/>
    </xf>
    <xf numFmtId="0" fontId="43" fillId="0" borderId="0" xfId="0" applyFont="1" applyAlignment="1">
      <alignment horizontal="center" vertical="center" wrapText="1"/>
    </xf>
    <xf numFmtId="0" fontId="13" fillId="12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13" fillId="27" borderId="0" xfId="0" applyFont="1" applyFill="1" applyAlignment="1">
      <alignment horizontal="center"/>
    </xf>
    <xf numFmtId="0" fontId="46" fillId="4" borderId="0" xfId="0" applyFont="1" applyFill="1" applyAlignment="1">
      <alignment horizontal="center" vertical="center" textRotation="90"/>
    </xf>
    <xf numFmtId="0" fontId="46" fillId="21" borderId="0" xfId="0" applyFont="1" applyFill="1" applyAlignment="1">
      <alignment horizontal="center" vertical="center" textRotation="90"/>
    </xf>
    <xf numFmtId="0" fontId="13" fillId="20" borderId="0" xfId="0" applyFont="1" applyFill="1" applyAlignment="1">
      <alignment horizontal="center"/>
    </xf>
    <xf numFmtId="0" fontId="13" fillId="5" borderId="0" xfId="0" applyFont="1" applyFill="1" applyAlignment="1">
      <alignment horizontal="center" vertical="center" textRotation="90"/>
    </xf>
    <xf numFmtId="0" fontId="13" fillId="6" borderId="0" xfId="0" applyFont="1" applyFill="1" applyAlignment="1">
      <alignment horizontal="center" vertical="center" textRotation="90"/>
    </xf>
    <xf numFmtId="0" fontId="13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4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168" fontId="11" fillId="3" borderId="0" xfId="0" applyNumberFormat="1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wrapText="1"/>
    </xf>
    <xf numFmtId="0" fontId="11" fillId="14" borderId="0" xfId="0" applyFont="1" applyFill="1" applyAlignment="1">
      <alignment horizontal="center"/>
    </xf>
    <xf numFmtId="0" fontId="11" fillId="16" borderId="0" xfId="0" applyFont="1" applyFill="1" applyAlignment="1">
      <alignment horizontal="center" wrapText="1"/>
    </xf>
    <xf numFmtId="0" fontId="2" fillId="13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15" borderId="5" xfId="0" applyFont="1" applyFill="1" applyBorder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171" fontId="2" fillId="3" borderId="5" xfId="1" applyNumberFormat="1" applyFont="1" applyFill="1" applyBorder="1" applyAlignment="1">
      <alignment horizontal="left" vertical="center" wrapText="1"/>
    </xf>
    <xf numFmtId="171" fontId="2" fillId="3" borderId="0" xfId="1" applyNumberFormat="1" applyFont="1" applyFill="1" applyBorder="1" applyAlignment="1">
      <alignment horizontal="left" vertical="center" wrapText="1"/>
    </xf>
    <xf numFmtId="0" fontId="2" fillId="10" borderId="11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10" borderId="0" xfId="0" applyFont="1" applyFill="1" applyAlignment="1">
      <alignment horizontal="center" wrapText="1"/>
    </xf>
    <xf numFmtId="0" fontId="2" fillId="13" borderId="0" xfId="0" applyFont="1" applyFill="1" applyAlignment="1">
      <alignment horizontal="center"/>
    </xf>
    <xf numFmtId="0" fontId="21" fillId="0" borderId="40" xfId="2" applyFont="1" applyBorder="1" applyAlignment="1">
      <alignment horizontal="center" vertical="center"/>
    </xf>
    <xf numFmtId="0" fontId="21" fillId="0" borderId="26" xfId="2" applyFont="1" applyBorder="1" applyAlignment="1">
      <alignment horizontal="center" vertical="center"/>
    </xf>
    <xf numFmtId="0" fontId="21" fillId="0" borderId="21" xfId="2" applyFont="1" applyBorder="1" applyAlignment="1">
      <alignment horizontal="center" vertical="center"/>
    </xf>
    <xf numFmtId="0" fontId="21" fillId="0" borderId="20" xfId="2" applyFont="1" applyBorder="1" applyAlignment="1">
      <alignment horizontal="center" vertical="center"/>
    </xf>
    <xf numFmtId="0" fontId="21" fillId="0" borderId="40" xfId="2" applyFont="1" applyBorder="1" applyAlignment="1">
      <alignment horizontal="center" vertical="center" wrapText="1"/>
    </xf>
    <xf numFmtId="0" fontId="21" fillId="0" borderId="26" xfId="2" applyFont="1" applyBorder="1" applyAlignment="1">
      <alignment horizontal="center" vertical="center" wrapText="1"/>
    </xf>
    <xf numFmtId="0" fontId="21" fillId="0" borderId="50" xfId="2" applyFont="1" applyBorder="1" applyAlignment="1">
      <alignment horizontal="center" vertical="center"/>
    </xf>
    <xf numFmtId="0" fontId="21" fillId="0" borderId="32" xfId="2" applyFont="1" applyBorder="1" applyAlignment="1">
      <alignment horizontal="center" vertical="center"/>
    </xf>
    <xf numFmtId="0" fontId="21" fillId="0" borderId="49" xfId="2" applyFont="1" applyBorder="1" applyAlignment="1">
      <alignment horizontal="center" vertical="center"/>
    </xf>
    <xf numFmtId="0" fontId="21" fillId="0" borderId="30" xfId="2" applyFont="1" applyBorder="1" applyAlignment="1">
      <alignment horizontal="center" vertical="center"/>
    </xf>
    <xf numFmtId="0" fontId="2" fillId="29" borderId="21" xfId="0" applyFont="1" applyFill="1" applyBorder="1" applyAlignment="1">
      <alignment horizontal="center"/>
    </xf>
    <xf numFmtId="0" fontId="2" fillId="29" borderId="20" xfId="0" applyFont="1" applyFill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2" fillId="29" borderId="22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0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1" fillId="0" borderId="26" xfId="2" applyFont="1" applyBorder="1" applyAlignment="1">
      <alignment horizontal="center"/>
    </xf>
    <xf numFmtId="0" fontId="21" fillId="0" borderId="40" xfId="2" applyFont="1" applyBorder="1" applyAlignment="1">
      <alignment horizontal="center" wrapText="1"/>
    </xf>
    <xf numFmtId="0" fontId="21" fillId="0" borderId="26" xfId="2" applyFont="1" applyBorder="1" applyAlignment="1">
      <alignment horizontal="center" wrapText="1"/>
    </xf>
    <xf numFmtId="0" fontId="21" fillId="0" borderId="21" xfId="2" applyFont="1" applyBorder="1" applyAlignment="1">
      <alignment horizontal="center"/>
    </xf>
    <xf numFmtId="0" fontId="21" fillId="0" borderId="20" xfId="2" applyFont="1" applyBorder="1" applyAlignment="1">
      <alignment horizontal="center"/>
    </xf>
    <xf numFmtId="0" fontId="5" fillId="0" borderId="28" xfId="2" applyFont="1" applyBorder="1" applyAlignment="1">
      <alignment horizontal="center"/>
    </xf>
    <xf numFmtId="0" fontId="5" fillId="0" borderId="20" xfId="2" applyFont="1" applyBorder="1" applyAlignment="1">
      <alignment horizontal="center"/>
    </xf>
    <xf numFmtId="0" fontId="5" fillId="0" borderId="21" xfId="2" applyFont="1" applyBorder="1" applyAlignment="1">
      <alignment horizontal="center"/>
    </xf>
    <xf numFmtId="0" fontId="5" fillId="0" borderId="22" xfId="2" applyFont="1" applyBorder="1" applyAlignment="1">
      <alignment horizontal="center"/>
    </xf>
    <xf numFmtId="0" fontId="21" fillId="0" borderId="34" xfId="2" applyFont="1" applyBorder="1" applyAlignment="1">
      <alignment horizontal="center"/>
    </xf>
    <xf numFmtId="0" fontId="21" fillId="0" borderId="23" xfId="2" applyFont="1" applyBorder="1" applyAlignment="1">
      <alignment horizontal="center"/>
    </xf>
    <xf numFmtId="0" fontId="21" fillId="0" borderId="24" xfId="2" applyFont="1" applyBorder="1" applyAlignment="1">
      <alignment horizontal="center"/>
    </xf>
    <xf numFmtId="0" fontId="21" fillId="0" borderId="42" xfId="2" applyFont="1" applyBorder="1" applyAlignment="1">
      <alignment horizontal="center"/>
    </xf>
    <xf numFmtId="0" fontId="21" fillId="0" borderId="15" xfId="2" applyFont="1" applyBorder="1" applyAlignment="1">
      <alignment horizontal="center"/>
    </xf>
    <xf numFmtId="0" fontId="5" fillId="0" borderId="16" xfId="2" applyFont="1" applyBorder="1" applyAlignment="1">
      <alignment horizontal="center"/>
    </xf>
    <xf numFmtId="0" fontId="21" fillId="0" borderId="22" xfId="2" applyFont="1" applyBorder="1" applyAlignment="1">
      <alignment horizontal="center"/>
    </xf>
    <xf numFmtId="0" fontId="21" fillId="0" borderId="16" xfId="2" applyFont="1" applyBorder="1" applyAlignment="1">
      <alignment horizontal="center"/>
    </xf>
    <xf numFmtId="0" fontId="7" fillId="0" borderId="23" xfId="2" applyBorder="1"/>
    <xf numFmtId="0" fontId="21" fillId="0" borderId="28" xfId="2" applyFont="1" applyBorder="1" applyAlignment="1">
      <alignment horizontal="left" vertical="center"/>
    </xf>
    <xf numFmtId="0" fontId="21" fillId="0" borderId="20" xfId="2" applyFont="1" applyBorder="1" applyAlignment="1">
      <alignment horizontal="left" vertical="center"/>
    </xf>
    <xf numFmtId="0" fontId="21" fillId="0" borderId="28" xfId="2" applyFont="1" applyBorder="1" applyAlignment="1">
      <alignment horizontal="center"/>
    </xf>
    <xf numFmtId="0" fontId="7" fillId="0" borderId="42" xfId="2" applyBorder="1"/>
    <xf numFmtId="0" fontId="7" fillId="0" borderId="15" xfId="2" applyBorder="1"/>
    <xf numFmtId="0" fontId="7" fillId="0" borderId="21" xfId="2" applyBorder="1" applyAlignment="1">
      <alignment horizontal="center"/>
    </xf>
    <xf numFmtId="0" fontId="7" fillId="0" borderId="22" xfId="2" applyBorder="1" applyAlignment="1">
      <alignment horizontal="center"/>
    </xf>
    <xf numFmtId="0" fontId="7" fillId="0" borderId="16" xfId="2" applyBorder="1" applyAlignment="1">
      <alignment horizontal="center"/>
    </xf>
    <xf numFmtId="0" fontId="7" fillId="0" borderId="20" xfId="2" applyBorder="1" applyAlignment="1">
      <alignment horizontal="center"/>
    </xf>
    <xf numFmtId="0" fontId="21" fillId="0" borderId="33" xfId="2" applyFont="1" applyBorder="1" applyAlignment="1">
      <alignment horizontal="center"/>
    </xf>
    <xf numFmtId="0" fontId="21" fillId="0" borderId="48" xfId="2" applyFont="1" applyBorder="1" applyAlignment="1">
      <alignment horizontal="center"/>
    </xf>
    <xf numFmtId="0" fontId="21" fillId="0" borderId="31" xfId="2" applyFont="1" applyBorder="1" applyAlignment="1">
      <alignment horizontal="center"/>
    </xf>
    <xf numFmtId="0" fontId="21" fillId="0" borderId="25" xfId="2" applyFont="1" applyBorder="1" applyAlignment="1">
      <alignment horizontal="center"/>
    </xf>
    <xf numFmtId="0" fontId="21" fillId="0" borderId="18" xfId="2" applyFont="1" applyBorder="1" applyAlignment="1">
      <alignment horizontal="center"/>
    </xf>
    <xf numFmtId="0" fontId="7" fillId="0" borderId="28" xfId="2" applyBorder="1" applyAlignment="1">
      <alignment horizontal="center"/>
    </xf>
    <xf numFmtId="0" fontId="7" fillId="0" borderId="20" xfId="2" applyBorder="1"/>
    <xf numFmtId="0" fontId="21" fillId="0" borderId="28" xfId="2" applyFont="1" applyBorder="1" applyAlignment="1">
      <alignment horizontal="center" vertical="center"/>
    </xf>
    <xf numFmtId="0" fontId="21" fillId="0" borderId="19" xfId="2" applyFont="1" applyBorder="1" applyAlignment="1">
      <alignment horizontal="center" vertical="center"/>
    </xf>
    <xf numFmtId="0" fontId="21" fillId="0" borderId="46" xfId="2" applyFont="1" applyBorder="1" applyAlignment="1">
      <alignment horizontal="center"/>
    </xf>
    <xf numFmtId="0" fontId="21" fillId="0" borderId="44" xfId="2" applyFont="1" applyBorder="1" applyAlignment="1">
      <alignment horizontal="center"/>
    </xf>
    <xf numFmtId="0" fontId="21" fillId="0" borderId="47" xfId="2" applyFont="1" applyBorder="1" applyAlignment="1">
      <alignment horizontal="center"/>
    </xf>
    <xf numFmtId="0" fontId="21" fillId="0" borderId="43" xfId="2" applyFont="1" applyBorder="1" applyAlignment="1">
      <alignment horizontal="center"/>
    </xf>
    <xf numFmtId="0" fontId="21" fillId="0" borderId="45" xfId="2" applyFont="1" applyBorder="1" applyAlignment="1">
      <alignment horizontal="center"/>
    </xf>
    <xf numFmtId="0" fontId="2" fillId="19" borderId="0" xfId="0" applyFont="1" applyFill="1" applyAlignment="1">
      <alignment horizontal="center" vertical="center" wrapText="1"/>
    </xf>
  </cellXfs>
  <cellStyles count="155">
    <cellStyle name="1 indent" xfId="14" xr:uid="{00000000-0005-0000-0000-000000000000}"/>
    <cellStyle name="2 indents" xfId="15" xr:uid="{00000000-0005-0000-0000-000001000000}"/>
    <cellStyle name="3 indents" xfId="16" xr:uid="{00000000-0005-0000-0000-000002000000}"/>
    <cellStyle name="4 indents" xfId="17" xr:uid="{00000000-0005-0000-0000-000003000000}"/>
    <cellStyle name="5 indents" xfId="18" xr:uid="{00000000-0005-0000-0000-000004000000}"/>
    <cellStyle name="Array" xfId="19" xr:uid="{00000000-0005-0000-0000-000005000000}"/>
    <cellStyle name="Array Enter" xfId="20" xr:uid="{00000000-0005-0000-0000-000006000000}"/>
    <cellStyle name="Array_TOFE_2001_09__pour SEF juin08" xfId="21" xr:uid="{00000000-0005-0000-0000-000007000000}"/>
    <cellStyle name="Clive" xfId="22" xr:uid="{00000000-0005-0000-0000-000008000000}"/>
    <cellStyle name="clsAltData" xfId="23" xr:uid="{00000000-0005-0000-0000-000009000000}"/>
    <cellStyle name="clsAltMRVData" xfId="24" xr:uid="{00000000-0005-0000-0000-00000A000000}"/>
    <cellStyle name="clsBlank" xfId="25" xr:uid="{00000000-0005-0000-0000-00000B000000}"/>
    <cellStyle name="clsColumnHeader" xfId="26" xr:uid="{00000000-0005-0000-0000-00000C000000}"/>
    <cellStyle name="clsData" xfId="27" xr:uid="{00000000-0005-0000-0000-00000D000000}"/>
    <cellStyle name="clsDefault" xfId="28" xr:uid="{00000000-0005-0000-0000-00000E000000}"/>
    <cellStyle name="clsFooter" xfId="29" xr:uid="{00000000-0005-0000-0000-00000F000000}"/>
    <cellStyle name="clsIndexTableData" xfId="30" xr:uid="{00000000-0005-0000-0000-000010000000}"/>
    <cellStyle name="clsIndexTableHdr" xfId="31" xr:uid="{00000000-0005-0000-0000-000011000000}"/>
    <cellStyle name="clsIndexTableTitle" xfId="32" xr:uid="{00000000-0005-0000-0000-000012000000}"/>
    <cellStyle name="clsMRVData" xfId="33" xr:uid="{00000000-0005-0000-0000-000013000000}"/>
    <cellStyle name="clsReportFooter" xfId="34" xr:uid="{00000000-0005-0000-0000-000014000000}"/>
    <cellStyle name="clsReportHeader" xfId="35" xr:uid="{00000000-0005-0000-0000-000015000000}"/>
    <cellStyle name="clsRowHeader" xfId="36" xr:uid="{00000000-0005-0000-0000-000016000000}"/>
    <cellStyle name="clsScale" xfId="37" xr:uid="{00000000-0005-0000-0000-000017000000}"/>
    <cellStyle name="clsSection" xfId="38" xr:uid="{00000000-0005-0000-0000-000018000000}"/>
    <cellStyle name="Comma" xfId="1" builtinId="3"/>
    <cellStyle name="Comma [0]" xfId="154" builtinId="6"/>
    <cellStyle name="Commentaire 2" xfId="39" xr:uid="{00000000-0005-0000-0000-000019000000}"/>
    <cellStyle name="Euro" xfId="40" xr:uid="{00000000-0005-0000-0000-00001A000000}"/>
    <cellStyle name="Euro 2" xfId="41" xr:uid="{00000000-0005-0000-0000-00001B000000}"/>
    <cellStyle name="Excel Built-in Normal" xfId="42" xr:uid="{00000000-0005-0000-0000-00001C000000}"/>
    <cellStyle name="Excel Built-in Normal 1" xfId="6" xr:uid="{00000000-0005-0000-0000-00001D000000}"/>
    <cellStyle name="Excel Built-in Normal 2" xfId="7" xr:uid="{00000000-0005-0000-0000-00001E000000}"/>
    <cellStyle name="Excel Built-in Normal 2 2" xfId="43" xr:uid="{00000000-0005-0000-0000-00001F000000}"/>
    <cellStyle name="imf-one decimal" xfId="44" xr:uid="{00000000-0005-0000-0000-000020000000}"/>
    <cellStyle name="imf-zero decimal" xfId="45" xr:uid="{00000000-0005-0000-0000-000021000000}"/>
    <cellStyle name="MacroCode" xfId="46" xr:uid="{00000000-0005-0000-0000-000022000000}"/>
    <cellStyle name="Milliers 10" xfId="48" xr:uid="{00000000-0005-0000-0000-000025000000}"/>
    <cellStyle name="Milliers 11" xfId="49" xr:uid="{00000000-0005-0000-0000-000026000000}"/>
    <cellStyle name="Milliers 12" xfId="50" xr:uid="{00000000-0005-0000-0000-000027000000}"/>
    <cellStyle name="Milliers 13" xfId="51" xr:uid="{00000000-0005-0000-0000-000028000000}"/>
    <cellStyle name="Milliers 14" xfId="141" xr:uid="{00000000-0005-0000-0000-000029000000}"/>
    <cellStyle name="Milliers 15" xfId="47" xr:uid="{00000000-0005-0000-0000-00002A000000}"/>
    <cellStyle name="Milliers 16" xfId="8" xr:uid="{00000000-0005-0000-0000-00002B000000}"/>
    <cellStyle name="Milliers 17" xfId="143" xr:uid="{00000000-0005-0000-0000-00002C000000}"/>
    <cellStyle name="Milliers 18" xfId="145" xr:uid="{00000000-0005-0000-0000-00002D000000}"/>
    <cellStyle name="Milliers 19" xfId="153" xr:uid="{00000000-0005-0000-0000-00002E000000}"/>
    <cellStyle name="Milliers 2" xfId="52" xr:uid="{00000000-0005-0000-0000-00002F000000}"/>
    <cellStyle name="Milliers 2 2" xfId="53" xr:uid="{00000000-0005-0000-0000-000030000000}"/>
    <cellStyle name="Milliers 2 2 2" xfId="54" xr:uid="{00000000-0005-0000-0000-000031000000}"/>
    <cellStyle name="Milliers 2 4" xfId="55" xr:uid="{00000000-0005-0000-0000-000032000000}"/>
    <cellStyle name="Milliers 3" xfId="5" xr:uid="{00000000-0005-0000-0000-000033000000}"/>
    <cellStyle name="Milliers 3 2" xfId="57" xr:uid="{00000000-0005-0000-0000-000034000000}"/>
    <cellStyle name="Milliers 3 3" xfId="56" xr:uid="{00000000-0005-0000-0000-000035000000}"/>
    <cellStyle name="Milliers 3_TOFE_2001_09__pour SEF juin08" xfId="58" xr:uid="{00000000-0005-0000-0000-000036000000}"/>
    <cellStyle name="Milliers 4" xfId="59" xr:uid="{00000000-0005-0000-0000-000037000000}"/>
    <cellStyle name="Milliers 5" xfId="60" xr:uid="{00000000-0005-0000-0000-000038000000}"/>
    <cellStyle name="Milliers 6" xfId="61" xr:uid="{00000000-0005-0000-0000-000039000000}"/>
    <cellStyle name="Milliers 7" xfId="62" xr:uid="{00000000-0005-0000-0000-00003A000000}"/>
    <cellStyle name="Milliers 8" xfId="63" xr:uid="{00000000-0005-0000-0000-00003B000000}"/>
    <cellStyle name="Milliers 9" xfId="64" xr:uid="{00000000-0005-0000-0000-00003C000000}"/>
    <cellStyle name="Moneda [0]_60mill(según FMI)" xfId="65" xr:uid="{00000000-0005-0000-0000-00003D000000}"/>
    <cellStyle name="Moneda_60mill(según FMI)" xfId="66" xr:uid="{00000000-0005-0000-0000-00003E000000}"/>
    <cellStyle name="Monétaire 2" xfId="9" xr:uid="{00000000-0005-0000-0000-00003F000000}"/>
    <cellStyle name="Monétaire 2 2" xfId="68" xr:uid="{00000000-0005-0000-0000-000040000000}"/>
    <cellStyle name="Monétaire 2 3" xfId="69" xr:uid="{00000000-0005-0000-0000-000041000000}"/>
    <cellStyle name="Monétaire 2 3 2" xfId="149" xr:uid="{00000000-0005-0000-0000-000042000000}"/>
    <cellStyle name="Monétaire 2 4" xfId="67" xr:uid="{00000000-0005-0000-0000-000043000000}"/>
    <cellStyle name="Monétaire 2 4 2" xfId="148" xr:uid="{00000000-0005-0000-0000-000044000000}"/>
    <cellStyle name="Monétaire 2 5" xfId="146" xr:uid="{00000000-0005-0000-0000-000045000000}"/>
    <cellStyle name="Monétaire 3" xfId="70" xr:uid="{00000000-0005-0000-0000-000046000000}"/>
    <cellStyle name="Monétaire 3 2" xfId="150" xr:uid="{00000000-0005-0000-0000-000047000000}"/>
    <cellStyle name="Monétaire 4" xfId="71" xr:uid="{00000000-0005-0000-0000-000048000000}"/>
    <cellStyle name="Monétaire 4 2" xfId="151" xr:uid="{00000000-0005-0000-0000-000049000000}"/>
    <cellStyle name="Monétaire 5" xfId="12" xr:uid="{00000000-0005-0000-0000-00004A000000}"/>
    <cellStyle name="Monétaire 5 2" xfId="147" xr:uid="{00000000-0005-0000-0000-00004B000000}"/>
    <cellStyle name="Non défini" xfId="72" xr:uid="{00000000-0005-0000-0000-00004C000000}"/>
    <cellStyle name="Normal" xfId="0" builtinId="0"/>
    <cellStyle name="Normal - Style1" xfId="73" xr:uid="{00000000-0005-0000-0000-00004E000000}"/>
    <cellStyle name="Normal 10" xfId="74" xr:uid="{00000000-0005-0000-0000-00004F000000}"/>
    <cellStyle name="Normal 11" xfId="75" xr:uid="{00000000-0005-0000-0000-000050000000}"/>
    <cellStyle name="Normal 12" xfId="76" xr:uid="{00000000-0005-0000-0000-000051000000}"/>
    <cellStyle name="Normal 13" xfId="77" xr:uid="{00000000-0005-0000-0000-000052000000}"/>
    <cellStyle name="Normal 13 2" xfId="78" xr:uid="{00000000-0005-0000-0000-000053000000}"/>
    <cellStyle name="Normal 14" xfId="79" xr:uid="{00000000-0005-0000-0000-000054000000}"/>
    <cellStyle name="Normal 15" xfId="80" xr:uid="{00000000-0005-0000-0000-000055000000}"/>
    <cellStyle name="Normal 16" xfId="81" xr:uid="{00000000-0005-0000-0000-000056000000}"/>
    <cellStyle name="Normal 17" xfId="82" xr:uid="{00000000-0005-0000-0000-000057000000}"/>
    <cellStyle name="Normal 18" xfId="83" xr:uid="{00000000-0005-0000-0000-000058000000}"/>
    <cellStyle name="Normal 19" xfId="84" xr:uid="{00000000-0005-0000-0000-000059000000}"/>
    <cellStyle name="Normal 2" xfId="2" xr:uid="{00000000-0005-0000-0000-00005A000000}"/>
    <cellStyle name="Normal 2 2" xfId="85" xr:uid="{00000000-0005-0000-0000-00005B000000}"/>
    <cellStyle name="Normal 2 3" xfId="86" xr:uid="{00000000-0005-0000-0000-00005C000000}"/>
    <cellStyle name="Normal 20" xfId="87" xr:uid="{00000000-0005-0000-0000-00005D000000}"/>
    <cellStyle name="Normal 21" xfId="88" xr:uid="{00000000-0005-0000-0000-00005E000000}"/>
    <cellStyle name="Normal 22" xfId="89" xr:uid="{00000000-0005-0000-0000-00005F000000}"/>
    <cellStyle name="Normal 23" xfId="90" xr:uid="{00000000-0005-0000-0000-000060000000}"/>
    <cellStyle name="Normal 24" xfId="91" xr:uid="{00000000-0005-0000-0000-000061000000}"/>
    <cellStyle name="Normal 25" xfId="92" xr:uid="{00000000-0005-0000-0000-000062000000}"/>
    <cellStyle name="Normal 26" xfId="142" xr:uid="{00000000-0005-0000-0000-000063000000}"/>
    <cellStyle name="Normal 26 2" xfId="152" xr:uid="{00000000-0005-0000-0000-000064000000}"/>
    <cellStyle name="Normal 27" xfId="144" xr:uid="{00000000-0005-0000-0000-000065000000}"/>
    <cellStyle name="Normal 3" xfId="10" xr:uid="{00000000-0005-0000-0000-000066000000}"/>
    <cellStyle name="Normal 3 2" xfId="93" xr:uid="{00000000-0005-0000-0000-000067000000}"/>
    <cellStyle name="Normal 4" xfId="13" xr:uid="{00000000-0005-0000-0000-000068000000}"/>
    <cellStyle name="Normal 4 2" xfId="95" xr:uid="{00000000-0005-0000-0000-000069000000}"/>
    <cellStyle name="Normal 4 3" xfId="94" xr:uid="{00000000-0005-0000-0000-00006A000000}"/>
    <cellStyle name="Normal 5" xfId="96" xr:uid="{00000000-0005-0000-0000-00006B000000}"/>
    <cellStyle name="Normal 6" xfId="97" xr:uid="{00000000-0005-0000-0000-00006C000000}"/>
    <cellStyle name="Normal 7" xfId="98" xr:uid="{00000000-0005-0000-0000-00006D000000}"/>
    <cellStyle name="Normal 7 2" xfId="99" xr:uid="{00000000-0005-0000-0000-00006E000000}"/>
    <cellStyle name="Normal 8" xfId="100" xr:uid="{00000000-0005-0000-0000-00006F000000}"/>
    <cellStyle name="Normal 8 2" xfId="101" xr:uid="{00000000-0005-0000-0000-000070000000}"/>
    <cellStyle name="Normal 9" xfId="102" xr:uid="{00000000-0005-0000-0000-000071000000}"/>
    <cellStyle name="Normal Table" xfId="103" xr:uid="{00000000-0005-0000-0000-000072000000}"/>
    <cellStyle name="Normal_sixième bimestre 2002" xfId="3" xr:uid="{00000000-0005-0000-0000-000073000000}"/>
    <cellStyle name="Percent" xfId="4" builtinId="5"/>
    <cellStyle name="percentage difference" xfId="104" xr:uid="{00000000-0005-0000-0000-000074000000}"/>
    <cellStyle name="Pourcentage 10" xfId="106" xr:uid="{00000000-0005-0000-0000-000076000000}"/>
    <cellStyle name="Pourcentage 11" xfId="107" xr:uid="{00000000-0005-0000-0000-000077000000}"/>
    <cellStyle name="Pourcentage 12" xfId="105" xr:uid="{00000000-0005-0000-0000-000078000000}"/>
    <cellStyle name="Pourcentage 2" xfId="11" xr:uid="{00000000-0005-0000-0000-000079000000}"/>
    <cellStyle name="Pourcentage 2 2" xfId="108" xr:uid="{00000000-0005-0000-0000-00007A000000}"/>
    <cellStyle name="Pourcentage 2 3" xfId="109" xr:uid="{00000000-0005-0000-0000-00007B000000}"/>
    <cellStyle name="Pourcentage 2_TOFE_2001_09__pour SEF juin08" xfId="110" xr:uid="{00000000-0005-0000-0000-00007C000000}"/>
    <cellStyle name="Pourcentage 3" xfId="111" xr:uid="{00000000-0005-0000-0000-00007D000000}"/>
    <cellStyle name="Pourcentage 4" xfId="112" xr:uid="{00000000-0005-0000-0000-00007E000000}"/>
    <cellStyle name="Pourcentage 5" xfId="113" xr:uid="{00000000-0005-0000-0000-00007F000000}"/>
    <cellStyle name="Pourcentage 6" xfId="114" xr:uid="{00000000-0005-0000-0000-000080000000}"/>
    <cellStyle name="Pourcentage 7" xfId="115" xr:uid="{00000000-0005-0000-0000-000081000000}"/>
    <cellStyle name="Pourcentage 8" xfId="116" xr:uid="{00000000-0005-0000-0000-000082000000}"/>
    <cellStyle name="Pourcentage 9" xfId="117" xr:uid="{00000000-0005-0000-0000-000083000000}"/>
    <cellStyle name="Publication" xfId="118" xr:uid="{00000000-0005-0000-0000-000084000000}"/>
    <cellStyle name="Red Text" xfId="119" xr:uid="{00000000-0005-0000-0000-000085000000}"/>
    <cellStyle name="Titre 1" xfId="120" xr:uid="{00000000-0005-0000-0000-000086000000}"/>
    <cellStyle name="Titre 1 1" xfId="121" xr:uid="{00000000-0005-0000-0000-000087000000}"/>
    <cellStyle name="TopGrey" xfId="122" xr:uid="{00000000-0005-0000-0000-000088000000}"/>
    <cellStyle name="WebAnchor1" xfId="123" xr:uid="{00000000-0005-0000-0000-000089000000}"/>
    <cellStyle name="WebAnchor2" xfId="124" xr:uid="{00000000-0005-0000-0000-00008A000000}"/>
    <cellStyle name="WebAnchor3" xfId="125" xr:uid="{00000000-0005-0000-0000-00008B000000}"/>
    <cellStyle name="WebAnchor4" xfId="126" xr:uid="{00000000-0005-0000-0000-00008C000000}"/>
    <cellStyle name="WebAnchor5" xfId="127" xr:uid="{00000000-0005-0000-0000-00008D000000}"/>
    <cellStyle name="WebAnchor6" xfId="128" xr:uid="{00000000-0005-0000-0000-00008E000000}"/>
    <cellStyle name="WebAnchor7" xfId="129" xr:uid="{00000000-0005-0000-0000-00008F000000}"/>
    <cellStyle name="Webexclude" xfId="130" xr:uid="{00000000-0005-0000-0000-000090000000}"/>
    <cellStyle name="WebFN" xfId="131" xr:uid="{00000000-0005-0000-0000-000091000000}"/>
    <cellStyle name="WebFN1" xfId="132" xr:uid="{00000000-0005-0000-0000-000092000000}"/>
    <cellStyle name="WebFN2" xfId="133" xr:uid="{00000000-0005-0000-0000-000093000000}"/>
    <cellStyle name="WebFN3" xfId="134" xr:uid="{00000000-0005-0000-0000-000094000000}"/>
    <cellStyle name="WebFN4" xfId="135" xr:uid="{00000000-0005-0000-0000-000095000000}"/>
    <cellStyle name="WebHR" xfId="136" xr:uid="{00000000-0005-0000-0000-000096000000}"/>
    <cellStyle name="WebIndent1" xfId="137" xr:uid="{00000000-0005-0000-0000-000097000000}"/>
    <cellStyle name="WebIndent1wFN3" xfId="138" xr:uid="{00000000-0005-0000-0000-000098000000}"/>
    <cellStyle name="WebIndent2" xfId="139" xr:uid="{00000000-0005-0000-0000-000099000000}"/>
    <cellStyle name="WebNoBR" xfId="140" xr:uid="{00000000-0005-0000-0000-00009A000000}"/>
  </cellStyles>
  <dxfs count="0"/>
  <tableStyles count="0" defaultTableStyle="TableStyleMedium2" defaultPivotStyle="PivotStyleLight16"/>
  <colors>
    <mruColors>
      <color rgb="FF95DD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charts/_rels/char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charts/_rels/chart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charts/_rels/chart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charts/_rels/chart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charts/_rels/chart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charts/_rels/chart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charts/_rels/chart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charts/_rels/chart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jpg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image" Target="../media/image30.jpeg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jpg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image" Target="../media/image30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4D-4C88-B3E2-4D935BDA8DE1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14D-4C88-B3E2-4D935BDA8DE1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14D-4C88-B3E2-4D935BDA8DE1}"/>
              </c:ext>
            </c:extLst>
          </c:dPt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4D-4C88-B3E2-4D935BDA8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888280"/>
        <c:axId val="507887888"/>
      </c:scatterChart>
      <c:valAx>
        <c:axId val="5078882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07887888"/>
        <c:crosses val="autoZero"/>
        <c:crossBetween val="midCat"/>
      </c:valAx>
      <c:valAx>
        <c:axId val="507887888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7888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BA-465B-B92D-DEEA5B974655}"/>
            </c:ext>
          </c:extLst>
        </c:ser>
        <c:ser>
          <c:idx val="3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BA-465B-B92D-DEEA5B974655}"/>
            </c:ext>
          </c:extLst>
        </c:ser>
        <c:ser>
          <c:idx val="1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BA-465B-B92D-DEEA5B974655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7BA-465B-B92D-DEEA5B974655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7BA-465B-B92D-DEEA5B974655}"/>
              </c:ext>
            </c:extLst>
          </c:dPt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BA-465B-B92D-DEEA5B974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888672"/>
        <c:axId val="507889456"/>
      </c:scatterChart>
      <c:valAx>
        <c:axId val="5078886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07889456"/>
        <c:crosses val="autoZero"/>
        <c:crossBetween val="midCat"/>
      </c:valAx>
      <c:valAx>
        <c:axId val="507889456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788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C-4F5D-A913-F9011611DA01}"/>
            </c:ext>
          </c:extLst>
        </c:ser>
        <c:ser>
          <c:idx val="3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6C-4F5D-A913-F9011611DA01}"/>
            </c:ext>
          </c:extLst>
        </c:ser>
        <c:ser>
          <c:idx val="1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6C-4F5D-A913-F9011611DA01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C6C-4F5D-A913-F9011611DA01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C6C-4F5D-A913-F9011611DA01}"/>
              </c:ext>
            </c:extLst>
          </c:dPt>
          <c:yVal>
            <c:numRef>
              <c:f>CADRAN!$H$3:$H$4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6C-4F5D-A913-F9011611D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890240"/>
        <c:axId val="507890632"/>
      </c:scatterChart>
      <c:valAx>
        <c:axId val="507890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07890632"/>
        <c:crosses val="autoZero"/>
        <c:crossBetween val="midCat"/>
      </c:valAx>
      <c:valAx>
        <c:axId val="507890632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789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6-481D-BFD3-B381F18E286E}"/>
            </c:ext>
          </c:extLst>
        </c:ser>
        <c:ser>
          <c:idx val="3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D6-481D-BFD3-B381F18E286E}"/>
            </c:ext>
          </c:extLst>
        </c:ser>
        <c:ser>
          <c:idx val="1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D6-481D-BFD3-B381F18E286E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FD6-481D-BFD3-B381F18E286E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FD6-481D-BFD3-B381F18E286E}"/>
              </c:ext>
            </c:extLst>
          </c:dPt>
          <c:yVal>
            <c:numRef>
              <c:f>CADRAN!$H$7:$H$8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D6-481D-BFD3-B381F18E2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75896"/>
        <c:axId val="513975504"/>
      </c:scatterChart>
      <c:valAx>
        <c:axId val="5139758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75504"/>
        <c:crosses val="autoZero"/>
        <c:crossBetween val="midCat"/>
      </c:valAx>
      <c:valAx>
        <c:axId val="51397550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75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E-4ECB-BE83-B7D09E7DB8A7}"/>
            </c:ext>
          </c:extLst>
        </c:ser>
        <c:ser>
          <c:idx val="3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E-4ECB-BE83-B7D09E7DB8A7}"/>
            </c:ext>
          </c:extLst>
        </c:ser>
        <c:ser>
          <c:idx val="1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EE-4ECB-BE83-B7D09E7DB8A7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BEE-4ECB-BE83-B7D09E7DB8A7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BEE-4ECB-BE83-B7D09E7DB8A7}"/>
              </c:ext>
            </c:extLst>
          </c:dPt>
          <c:yVal>
            <c:numRef>
              <c:f>CADRAN!$H$13:$H$14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EE-4ECB-BE83-B7D09E7DB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75112"/>
        <c:axId val="513976288"/>
      </c:scatterChart>
      <c:valAx>
        <c:axId val="5139751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76288"/>
        <c:crosses val="autoZero"/>
        <c:crossBetween val="midCat"/>
      </c:valAx>
      <c:valAx>
        <c:axId val="513976288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75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E-4276-B8B2-72E5A1538749}"/>
            </c:ext>
          </c:extLst>
        </c:ser>
        <c:ser>
          <c:idx val="5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7E-4276-B8B2-72E5A1538749}"/>
            </c:ext>
          </c:extLst>
        </c:ser>
        <c:ser>
          <c:idx val="6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7E-4276-B8B2-72E5A1538749}"/>
            </c:ext>
          </c:extLst>
        </c:ser>
        <c:ser>
          <c:idx val="7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7E-4276-B8B2-72E5A1538749}"/>
            </c:ext>
          </c:extLst>
        </c:ser>
        <c:ser>
          <c:idx val="2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7E-4276-B8B2-72E5A1538749}"/>
            </c:ext>
          </c:extLst>
        </c:ser>
        <c:ser>
          <c:idx val="3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7E-4276-B8B2-72E5A1538749}"/>
            </c:ext>
          </c:extLst>
        </c:ser>
        <c:ser>
          <c:idx val="1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07E-4276-B8B2-72E5A1538749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07E-4276-B8B2-72E5A1538749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07E-4276-B8B2-72E5A1538749}"/>
              </c:ext>
            </c:extLst>
          </c:dPt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7E-4276-B8B2-72E5A1538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77072"/>
        <c:axId val="513977464"/>
      </c:scatterChart>
      <c:valAx>
        <c:axId val="5139770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77464"/>
        <c:crosses val="autoZero"/>
        <c:crossBetween val="midCat"/>
      </c:valAx>
      <c:valAx>
        <c:axId val="51397746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7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B3-4955-B916-ED7EFE3C47FC}"/>
            </c:ext>
          </c:extLst>
        </c:ser>
        <c:ser>
          <c:idx val="5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B3-4955-B916-ED7EFE3C47FC}"/>
            </c:ext>
          </c:extLst>
        </c:ser>
        <c:ser>
          <c:idx val="6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B3-4955-B916-ED7EFE3C47FC}"/>
            </c:ext>
          </c:extLst>
        </c:ser>
        <c:ser>
          <c:idx val="7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B3-4955-B916-ED7EFE3C47FC}"/>
            </c:ext>
          </c:extLst>
        </c:ser>
        <c:ser>
          <c:idx val="2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B3-4955-B916-ED7EFE3C47FC}"/>
            </c:ext>
          </c:extLst>
        </c:ser>
        <c:ser>
          <c:idx val="3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B3-4955-B916-ED7EFE3C47FC}"/>
            </c:ext>
          </c:extLst>
        </c:ser>
        <c:ser>
          <c:idx val="1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B3-4955-B916-ED7EFE3C47FC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6B3-4955-B916-ED7EFE3C47FC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6B3-4955-B916-ED7EFE3C47FC}"/>
              </c:ext>
            </c:extLst>
          </c:dPt>
          <c:yVal>
            <c:numRef>
              <c:f>CADRAN!$L$8:$L$9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6B3-4955-B916-ED7EFE3C4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64920"/>
        <c:axId val="513970408"/>
      </c:scatterChart>
      <c:valAx>
        <c:axId val="513964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70408"/>
        <c:crosses val="autoZero"/>
        <c:crossBetween val="midCat"/>
      </c:valAx>
      <c:valAx>
        <c:axId val="513970408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64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2-4D20-A321-0DECBB67B697}"/>
            </c:ext>
          </c:extLst>
        </c:ser>
        <c:ser>
          <c:idx val="5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2-4D20-A321-0DECBB67B697}"/>
            </c:ext>
          </c:extLst>
        </c:ser>
        <c:ser>
          <c:idx val="6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D2-4D20-A321-0DECBB67B697}"/>
            </c:ext>
          </c:extLst>
        </c:ser>
        <c:ser>
          <c:idx val="7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D2-4D20-A321-0DECBB67B697}"/>
            </c:ext>
          </c:extLst>
        </c:ser>
        <c:ser>
          <c:idx val="2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D2-4D20-A321-0DECBB67B697}"/>
            </c:ext>
          </c:extLst>
        </c:ser>
        <c:ser>
          <c:idx val="3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D2-4D20-A321-0DECBB67B697}"/>
            </c:ext>
          </c:extLst>
        </c:ser>
        <c:ser>
          <c:idx val="1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7D2-4D20-A321-0DECBB67B697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7D2-4D20-A321-0DECBB67B697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7D2-4D20-A321-0DECBB67B697}"/>
              </c:ext>
            </c:extLst>
          </c:dPt>
          <c:yVal>
            <c:numRef>
              <c:f>CADRAN!$O$3:$O$4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7D2-4D20-A321-0DECBB67B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72760"/>
        <c:axId val="513968056"/>
      </c:scatterChart>
      <c:valAx>
        <c:axId val="5139727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68056"/>
        <c:crosses val="autoZero"/>
        <c:crossBetween val="midCat"/>
      </c:valAx>
      <c:valAx>
        <c:axId val="513968056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72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D4-4029-9C5A-FC2458CE97B9}"/>
            </c:ext>
          </c:extLst>
        </c:ser>
        <c:ser>
          <c:idx val="5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D4-4029-9C5A-FC2458CE97B9}"/>
            </c:ext>
          </c:extLst>
        </c:ser>
        <c:ser>
          <c:idx val="6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D4-4029-9C5A-FC2458CE97B9}"/>
            </c:ext>
          </c:extLst>
        </c:ser>
        <c:ser>
          <c:idx val="7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D4-4029-9C5A-FC2458CE97B9}"/>
            </c:ext>
          </c:extLst>
        </c:ser>
        <c:ser>
          <c:idx val="2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D4-4029-9C5A-FC2458CE97B9}"/>
            </c:ext>
          </c:extLst>
        </c:ser>
        <c:ser>
          <c:idx val="3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D4-4029-9C5A-FC2458CE97B9}"/>
            </c:ext>
          </c:extLst>
        </c:ser>
        <c:ser>
          <c:idx val="1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D4-4029-9C5A-FC2458CE97B9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1D4-4029-9C5A-FC2458CE97B9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1D4-4029-9C5A-FC2458CE97B9}"/>
              </c:ext>
            </c:extLst>
          </c:dPt>
          <c:yVal>
            <c:numRef>
              <c:f>CADRAN!$O$12:$O$13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1D4-4029-9C5A-FC2458CE9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62960"/>
        <c:axId val="513973152"/>
      </c:scatterChart>
      <c:valAx>
        <c:axId val="5139629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73152"/>
        <c:crosses val="autoZero"/>
        <c:crossBetween val="midCat"/>
      </c:valAx>
      <c:valAx>
        <c:axId val="513973152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6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879-4AFC-AEA3-2E0AB9337077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879-4AFC-AEA3-2E0AB9337077}"/>
              </c:ext>
            </c:extLst>
          </c:dPt>
          <c:yVal>
            <c:numRef>
              <c:f>CADRAN!$B$7:$B$8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79-4AFC-AEA3-2E0AB9337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70800"/>
        <c:axId val="513968448"/>
      </c:scatterChart>
      <c:valAx>
        <c:axId val="5139708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68448"/>
        <c:crosses val="autoZero"/>
        <c:crossBetween val="midCat"/>
      </c:valAx>
      <c:valAx>
        <c:axId val="513968448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7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13966488"/>
        <c:axId val="513969232"/>
      </c:scatterChart>
      <c:valAx>
        <c:axId val="5139664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69232"/>
        <c:crosses val="autoZero"/>
        <c:crossBetween val="midCat"/>
      </c:valAx>
      <c:valAx>
        <c:axId val="513969232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66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F7F-47F4-AC5D-B0DC9D3DB153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F7F-47F4-AC5D-B0DC9D3DB153}"/>
              </c:ext>
            </c:extLst>
          </c:dPt>
          <c:yVal>
            <c:numRef>
              <c:f>CADRAN!$L$18:$L$19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7F-47F4-AC5D-B0DC9D3DB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64528"/>
        <c:axId val="513963352"/>
      </c:scatterChart>
      <c:valAx>
        <c:axId val="5139645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63352"/>
        <c:crosses val="autoZero"/>
        <c:crossBetween val="midCat"/>
      </c:valAx>
      <c:valAx>
        <c:axId val="513963352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6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4CD-4A88-B70F-D96D115903D4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4CD-4A88-B70F-D96D115903D4}"/>
              </c:ext>
            </c:extLst>
          </c:dPt>
          <c:yVal>
            <c:numRef>
              <c:f>CADRAN!$L$28:$L$29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CD-4A88-B70F-D96D1159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67272"/>
        <c:axId val="513969624"/>
      </c:scatterChart>
      <c:valAx>
        <c:axId val="5139672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69624"/>
        <c:crosses val="autoZero"/>
        <c:crossBetween val="midCat"/>
      </c:valAx>
      <c:valAx>
        <c:axId val="51396962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6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2BC-4F6C-BC67-B6CD67F58C6D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2BC-4F6C-BC67-B6CD67F58C6D}"/>
              </c:ext>
            </c:extLst>
          </c:dPt>
          <c:yVal>
            <c:numRef>
              <c:f>CADRAN!$O$18:$O$19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BC-4F6C-BC67-B6CD67F58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65312"/>
        <c:axId val="513962568"/>
      </c:scatterChart>
      <c:valAx>
        <c:axId val="5139653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62568"/>
        <c:crosses val="autoZero"/>
        <c:crossBetween val="midCat"/>
      </c:valAx>
      <c:valAx>
        <c:axId val="513962568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6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435-4F17-A42F-056329691247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435-4F17-A42F-056329691247}"/>
              </c:ext>
            </c:extLst>
          </c:dPt>
          <c:yVal>
            <c:numRef>
              <c:f>CADRAN!$O$26:$O$27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35-4F17-A42F-05632969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65704"/>
        <c:axId val="513971584"/>
      </c:scatterChart>
      <c:valAx>
        <c:axId val="5139657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71584"/>
        <c:crosses val="autoZero"/>
        <c:crossBetween val="midCat"/>
      </c:valAx>
      <c:valAx>
        <c:axId val="51397158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65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56D-4295-B28A-FCC4184588C2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6D-4295-B28A-FCC4184588C2}"/>
              </c:ext>
            </c:extLst>
          </c:dPt>
          <c:yVal>
            <c:numRef>
              <c:f>CADRAN!$B$13:$B$14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6D-4295-B28A-FCC418458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66096"/>
        <c:axId val="513966880"/>
      </c:scatterChart>
      <c:valAx>
        <c:axId val="5139660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3966880"/>
        <c:crosses val="autoZero"/>
        <c:crossBetween val="midCat"/>
      </c:valAx>
      <c:valAx>
        <c:axId val="513966880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66096"/>
        <c:crosses val="autoZero"/>
        <c:crossBetween val="midCat"/>
      </c:valAx>
      <c:spPr>
        <a:solidFill>
          <a:sysClr val="window" lastClr="FFFFFF"/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A68-4F96-B02B-0B3EAC53071E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A68-4F96-B02B-0B3EAC53071E}"/>
              </c:ext>
            </c:extLst>
          </c:dPt>
          <c:yVal>
            <c:numRef>
              <c:f>CADRAN!$L$13:$L$14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68-4F96-B02B-0B3EAC530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71976"/>
        <c:axId val="514732096"/>
      </c:scatterChart>
      <c:valAx>
        <c:axId val="5139719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32096"/>
        <c:crosses val="autoZero"/>
        <c:crossBetween val="midCat"/>
      </c:valAx>
      <c:valAx>
        <c:axId val="514732096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397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06279403753776"/>
          <c:y val="0.14938578999959792"/>
          <c:w val="0.80221956935048855"/>
          <c:h val="0.53594048067572775"/>
        </c:manualLayout>
      </c:layout>
      <c:lineChart>
        <c:grouping val="standard"/>
        <c:varyColors val="0"/>
        <c:ser>
          <c:idx val="0"/>
          <c:order val="0"/>
          <c:tx>
            <c:strRef>
              <c:f>graphes!$B$1</c:f>
              <c:strCache>
                <c:ptCount val="1"/>
                <c:pt idx="0">
                  <c:v>Primaire brute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graphes!$A$50:$A$122</c:f>
              <c:numCache>
                <c:formatCode>mmm\-yy</c:formatCode>
                <c:ptCount val="7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</c:numCache>
            </c:numRef>
          </c:cat>
          <c:val>
            <c:numRef>
              <c:f>graphes!$B$2:$B$122</c:f>
              <c:numCache>
                <c:formatCode>General</c:formatCode>
                <c:ptCount val="121"/>
                <c:pt idx="0">
                  <c:v>314.81910354472546</c:v>
                </c:pt>
                <c:pt idx="1">
                  <c:v>306.07245739342966</c:v>
                </c:pt>
                <c:pt idx="2">
                  <c:v>311.62872989050885</c:v>
                </c:pt>
                <c:pt idx="3">
                  <c:v>308.24261116335947</c:v>
                </c:pt>
                <c:pt idx="4">
                  <c:v>322.15279182627057</c:v>
                </c:pt>
                <c:pt idx="5">
                  <c:v>281.72881960347581</c:v>
                </c:pt>
                <c:pt idx="6">
                  <c:v>317.56454901274418</c:v>
                </c:pt>
                <c:pt idx="7">
                  <c:v>312.35879448119726</c:v>
                </c:pt>
                <c:pt idx="8">
                  <c:v>202.71897676372475</c:v>
                </c:pt>
                <c:pt idx="9">
                  <c:v>275.115037850661</c:v>
                </c:pt>
                <c:pt idx="10">
                  <c:v>281.81391778537898</c:v>
                </c:pt>
                <c:pt idx="11">
                  <c:v>344.51126257367451</c:v>
                </c:pt>
                <c:pt idx="12">
                  <c:v>311.58575411049554</c:v>
                </c:pt>
                <c:pt idx="13">
                  <c:v>291.56869722496901</c:v>
                </c:pt>
                <c:pt idx="14">
                  <c:v>325.34686391845713</c:v>
                </c:pt>
                <c:pt idx="15">
                  <c:v>330.60768895327277</c:v>
                </c:pt>
                <c:pt idx="16">
                  <c:v>338.70057478021806</c:v>
                </c:pt>
                <c:pt idx="17">
                  <c:v>294.9783913807355</c:v>
                </c:pt>
                <c:pt idx="18">
                  <c:v>315.16493418242453</c:v>
                </c:pt>
                <c:pt idx="19">
                  <c:v>300.36126315453538</c:v>
                </c:pt>
                <c:pt idx="20">
                  <c:v>214.3996596875655</c:v>
                </c:pt>
                <c:pt idx="21">
                  <c:v>297.17797883419536</c:v>
                </c:pt>
                <c:pt idx="22">
                  <c:v>333.64589003832742</c:v>
                </c:pt>
                <c:pt idx="23">
                  <c:v>361.70796012213549</c:v>
                </c:pt>
                <c:pt idx="24">
                  <c:v>346.830614354874</c:v>
                </c:pt>
                <c:pt idx="25">
                  <c:v>322.77404381506085</c:v>
                </c:pt>
                <c:pt idx="26">
                  <c:v>375.21534130860181</c:v>
                </c:pt>
                <c:pt idx="27">
                  <c:v>358.33769487446511</c:v>
                </c:pt>
                <c:pt idx="28">
                  <c:v>343.90640610266792</c:v>
                </c:pt>
                <c:pt idx="29">
                  <c:v>334.54210416373621</c:v>
                </c:pt>
                <c:pt idx="30">
                  <c:v>321.84620969338948</c:v>
                </c:pt>
                <c:pt idx="31">
                  <c:v>261.85722264635359</c:v>
                </c:pt>
                <c:pt idx="32">
                  <c:v>256.90839595719928</c:v>
                </c:pt>
                <c:pt idx="33">
                  <c:v>343.91057139641418</c:v>
                </c:pt>
                <c:pt idx="34">
                  <c:v>350.7679377175528</c:v>
                </c:pt>
                <c:pt idx="35">
                  <c:v>399.96181640136098</c:v>
                </c:pt>
                <c:pt idx="36">
                  <c:v>356.19801200685367</c:v>
                </c:pt>
                <c:pt idx="37">
                  <c:v>340.4002020766228</c:v>
                </c:pt>
                <c:pt idx="38">
                  <c:v>384.53392190382539</c:v>
                </c:pt>
                <c:pt idx="39">
                  <c:v>396.24415452176629</c:v>
                </c:pt>
                <c:pt idx="40">
                  <c:v>366.40531148839761</c:v>
                </c:pt>
                <c:pt idx="41">
                  <c:v>372.099322352309</c:v>
                </c:pt>
                <c:pt idx="42">
                  <c:v>385.41236098095078</c:v>
                </c:pt>
                <c:pt idx="43">
                  <c:v>257.89204550307625</c:v>
                </c:pt>
                <c:pt idx="44">
                  <c:v>298.55471118834225</c:v>
                </c:pt>
                <c:pt idx="45">
                  <c:v>354.40708071807268</c:v>
                </c:pt>
                <c:pt idx="46">
                  <c:v>374.06148651793075</c:v>
                </c:pt>
                <c:pt idx="47">
                  <c:v>428.59042506923686</c:v>
                </c:pt>
                <c:pt idx="48">
                  <c:v>393.87281003665129</c:v>
                </c:pt>
                <c:pt idx="49">
                  <c:v>378.72795212609179</c:v>
                </c:pt>
                <c:pt idx="50">
                  <c:v>378.21822465965363</c:v>
                </c:pt>
                <c:pt idx="51">
                  <c:v>260.07404675901194</c:v>
                </c:pt>
                <c:pt idx="52">
                  <c:v>300.56703453872802</c:v>
                </c:pt>
                <c:pt idx="53">
                  <c:v>309.30971559074368</c:v>
                </c:pt>
                <c:pt idx="54">
                  <c:v>323.39419898878174</c:v>
                </c:pt>
                <c:pt idx="55">
                  <c:v>229.07520346835707</c:v>
                </c:pt>
                <c:pt idx="56">
                  <c:v>313.44352917730373</c:v>
                </c:pt>
                <c:pt idx="57">
                  <c:v>382.5101425384899</c:v>
                </c:pt>
                <c:pt idx="58">
                  <c:v>376.85573743356906</c:v>
                </c:pt>
                <c:pt idx="59">
                  <c:v>424.24529897200694</c:v>
                </c:pt>
                <c:pt idx="60">
                  <c:v>352.02922907273273</c:v>
                </c:pt>
                <c:pt idx="61">
                  <c:v>344.05863925400587</c:v>
                </c:pt>
                <c:pt idx="62">
                  <c:v>351.87794366848766</c:v>
                </c:pt>
                <c:pt idx="63">
                  <c:v>350.37284836489818</c:v>
                </c:pt>
                <c:pt idx="64">
                  <c:v>358.55108957921095</c:v>
                </c:pt>
                <c:pt idx="65">
                  <c:v>328.32470468940659</c:v>
                </c:pt>
                <c:pt idx="66">
                  <c:v>257.42106369365854</c:v>
                </c:pt>
                <c:pt idx="67">
                  <c:v>239.81679819496497</c:v>
                </c:pt>
                <c:pt idx="68">
                  <c:v>273.06768595278243</c:v>
                </c:pt>
                <c:pt idx="69">
                  <c:v>339.37796463261611</c:v>
                </c:pt>
                <c:pt idx="70">
                  <c:v>333.85334870451328</c:v>
                </c:pt>
                <c:pt idx="71">
                  <c:v>389.17255279178272</c:v>
                </c:pt>
                <c:pt idx="72">
                  <c:v>338.81149674194825</c:v>
                </c:pt>
                <c:pt idx="73">
                  <c:v>310.983144288559</c:v>
                </c:pt>
                <c:pt idx="74">
                  <c:v>347.24840356458259</c:v>
                </c:pt>
                <c:pt idx="75">
                  <c:v>343.4223719439313</c:v>
                </c:pt>
                <c:pt idx="76">
                  <c:v>318.71184376870076</c:v>
                </c:pt>
                <c:pt idx="77">
                  <c:v>313.25005288781261</c:v>
                </c:pt>
                <c:pt idx="78">
                  <c:v>287.77999581042707</c:v>
                </c:pt>
                <c:pt idx="79">
                  <c:v>278.36364695290047</c:v>
                </c:pt>
                <c:pt idx="80">
                  <c:v>311.86986249951667</c:v>
                </c:pt>
                <c:pt idx="81">
                  <c:v>337.55313775113149</c:v>
                </c:pt>
                <c:pt idx="82">
                  <c:v>324.3489722144397</c:v>
                </c:pt>
                <c:pt idx="83">
                  <c:v>118.31156793650391</c:v>
                </c:pt>
                <c:pt idx="84">
                  <c:v>106.15736844824828</c:v>
                </c:pt>
                <c:pt idx="85">
                  <c:v>103.22657850804194</c:v>
                </c:pt>
                <c:pt idx="86">
                  <c:v>118.61467564976714</c:v>
                </c:pt>
                <c:pt idx="87">
                  <c:v>113.55094238535223</c:v>
                </c:pt>
                <c:pt idx="88">
                  <c:v>110.45408475894294</c:v>
                </c:pt>
                <c:pt idx="89">
                  <c:v>92.601683083452627</c:v>
                </c:pt>
                <c:pt idx="90">
                  <c:v>73.791238376622175</c:v>
                </c:pt>
                <c:pt idx="91">
                  <c:v>95.539172502709363</c:v>
                </c:pt>
                <c:pt idx="92">
                  <c:v>102.51994790139381</c:v>
                </c:pt>
                <c:pt idx="93">
                  <c:v>103.9352188096329</c:v>
                </c:pt>
                <c:pt idx="94">
                  <c:v>102.80305255606136</c:v>
                </c:pt>
                <c:pt idx="95">
                  <c:v>129.1866247020472</c:v>
                </c:pt>
                <c:pt idx="96">
                  <c:v>111.59176517736414</c:v>
                </c:pt>
                <c:pt idx="97">
                  <c:v>103.97666999570905</c:v>
                </c:pt>
                <c:pt idx="98">
                  <c:v>114.01898309867539</c:v>
                </c:pt>
                <c:pt idx="99">
                  <c:v>112.71009268576768</c:v>
                </c:pt>
                <c:pt idx="100">
                  <c:v>111.83594915573481</c:v>
                </c:pt>
                <c:pt idx="101">
                  <c:v>82.049944577930361</c:v>
                </c:pt>
                <c:pt idx="102">
                  <c:v>88.409559591962662</c:v>
                </c:pt>
                <c:pt idx="103">
                  <c:v>95.153466499785296</c:v>
                </c:pt>
                <c:pt idx="104">
                  <c:v>97.726924779744223</c:v>
                </c:pt>
                <c:pt idx="105">
                  <c:v>102.93442864535882</c:v>
                </c:pt>
                <c:pt idx="106">
                  <c:v>105.18860876699448</c:v>
                </c:pt>
                <c:pt idx="107">
                  <c:v>124.21772917274208</c:v>
                </c:pt>
                <c:pt idx="108">
                  <c:v>113.84350897098579</c:v>
                </c:pt>
                <c:pt idx="109">
                  <c:v>109.5633628356774</c:v>
                </c:pt>
                <c:pt idx="110">
                  <c:v>120.34656523621229</c:v>
                </c:pt>
                <c:pt idx="111">
                  <c:v>101.45527711870042</c:v>
                </c:pt>
                <c:pt idx="112">
                  <c:v>109.80097648580241</c:v>
                </c:pt>
                <c:pt idx="113">
                  <c:v>69.325261157608693</c:v>
                </c:pt>
                <c:pt idx="114">
                  <c:v>92.996682733587903</c:v>
                </c:pt>
                <c:pt idx="115">
                  <c:v>99.491592950375292</c:v>
                </c:pt>
                <c:pt idx="116">
                  <c:v>99.451574738485988</c:v>
                </c:pt>
                <c:pt idx="117">
                  <c:v>104.34454465114096</c:v>
                </c:pt>
                <c:pt idx="118">
                  <c:v>100.33443566751896</c:v>
                </c:pt>
                <c:pt idx="119">
                  <c:v>123.47313690237897</c:v>
                </c:pt>
                <c:pt idx="120">
                  <c:v>110.09630961152997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D-4672-8CDF-0010291BD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740328"/>
        <c:axId val="514743856"/>
      </c:lineChart>
      <c:dateAx>
        <c:axId val="5147403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743856"/>
        <c:crosses val="autoZero"/>
        <c:auto val="1"/>
        <c:lblOffset val="100"/>
        <c:baseTimeUnit val="months"/>
      </c:dateAx>
      <c:valAx>
        <c:axId val="51474385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74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36477987421383"/>
          <c:y val="3.0974083897109938E-2"/>
          <c:w val="0.85203833011439611"/>
          <c:h val="0.15845169609131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41892083243088"/>
          <c:y val="0.10328638497652583"/>
          <c:w val="0.77855124451905833"/>
          <c:h val="0.54832575505526593"/>
        </c:manualLayout>
      </c:layout>
      <c:lineChart>
        <c:grouping val="standard"/>
        <c:varyColors val="0"/>
        <c:ser>
          <c:idx val="0"/>
          <c:order val="0"/>
          <c:tx>
            <c:strRef>
              <c:f>graphes!$E$1</c:f>
              <c:strCache>
                <c:ptCount val="1"/>
                <c:pt idx="0">
                  <c:v>Secondaire brute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graphes!$A$50:$A$122</c:f>
              <c:numCache>
                <c:formatCode>mmm\-yy</c:formatCode>
                <c:ptCount val="7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</c:numCache>
            </c:numRef>
          </c:cat>
          <c:val>
            <c:numRef>
              <c:f>graphes!$E$2:$E$122</c:f>
              <c:numCache>
                <c:formatCode>_-* #\ ##0.00\ _€_-;\-* #\ ##0.00\ _€_-;_-* "-"??\ _€_-;_-@_-</c:formatCode>
                <c:ptCount val="121"/>
                <c:pt idx="0">
                  <c:v>50.653394487023427</c:v>
                </c:pt>
                <c:pt idx="1">
                  <c:v>49.549390318927671</c:v>
                </c:pt>
                <c:pt idx="2">
                  <c:v>56.567738754230518</c:v>
                </c:pt>
                <c:pt idx="3">
                  <c:v>52.171552732036922</c:v>
                </c:pt>
                <c:pt idx="4">
                  <c:v>57.916839085476056</c:v>
                </c:pt>
                <c:pt idx="5">
                  <c:v>57.374721986803038</c:v>
                </c:pt>
                <c:pt idx="6">
                  <c:v>61.154546853706158</c:v>
                </c:pt>
                <c:pt idx="7">
                  <c:v>58.312720541130837</c:v>
                </c:pt>
                <c:pt idx="8">
                  <c:v>50.847475630068715</c:v>
                </c:pt>
                <c:pt idx="9">
                  <c:v>51.058350751291023</c:v>
                </c:pt>
                <c:pt idx="10">
                  <c:v>54.808174071124313</c:v>
                </c:pt>
                <c:pt idx="11">
                  <c:v>60.100969907085918</c:v>
                </c:pt>
                <c:pt idx="12">
                  <c:v>48.367177509752956</c:v>
                </c:pt>
                <c:pt idx="13">
                  <c:v>50.6988948545889</c:v>
                </c:pt>
                <c:pt idx="14">
                  <c:v>53.823284152837488</c:v>
                </c:pt>
                <c:pt idx="15">
                  <c:v>49.566801848233176</c:v>
                </c:pt>
                <c:pt idx="16">
                  <c:v>58.431243934723554</c:v>
                </c:pt>
                <c:pt idx="17">
                  <c:v>57.791939404955016</c:v>
                </c:pt>
                <c:pt idx="18">
                  <c:v>48.924651768339565</c:v>
                </c:pt>
                <c:pt idx="19">
                  <c:v>51.465987860312936</c:v>
                </c:pt>
                <c:pt idx="20">
                  <c:v>49.380611636719294</c:v>
                </c:pt>
                <c:pt idx="21">
                  <c:v>49.743874921037339</c:v>
                </c:pt>
                <c:pt idx="22">
                  <c:v>51.427978228710884</c:v>
                </c:pt>
                <c:pt idx="23">
                  <c:v>55.640720842365951</c:v>
                </c:pt>
                <c:pt idx="24">
                  <c:v>49.02726487693198</c:v>
                </c:pt>
                <c:pt idx="25">
                  <c:v>49.499620419212022</c:v>
                </c:pt>
                <c:pt idx="26">
                  <c:v>55.996608985550729</c:v>
                </c:pt>
                <c:pt idx="27">
                  <c:v>53.190611528449161</c:v>
                </c:pt>
                <c:pt idx="28">
                  <c:v>60.560515725480521</c:v>
                </c:pt>
                <c:pt idx="29">
                  <c:v>55.389780622515801</c:v>
                </c:pt>
                <c:pt idx="30">
                  <c:v>57.849910930480171</c:v>
                </c:pt>
                <c:pt idx="31">
                  <c:v>55.851853966826525</c:v>
                </c:pt>
                <c:pt idx="32">
                  <c:v>54.484074376468349</c:v>
                </c:pt>
                <c:pt idx="33">
                  <c:v>57.740677616201467</c:v>
                </c:pt>
                <c:pt idx="34">
                  <c:v>52.467570698167144</c:v>
                </c:pt>
                <c:pt idx="35">
                  <c:v>62.131591512834369</c:v>
                </c:pt>
                <c:pt idx="36">
                  <c:v>55.022209968626612</c:v>
                </c:pt>
                <c:pt idx="37">
                  <c:v>52.773596721952032</c:v>
                </c:pt>
                <c:pt idx="38">
                  <c:v>60.562969293444247</c:v>
                </c:pt>
                <c:pt idx="39">
                  <c:v>54.950413966522234</c:v>
                </c:pt>
                <c:pt idx="40">
                  <c:v>63.311302317942953</c:v>
                </c:pt>
                <c:pt idx="41">
                  <c:v>59.275178428602878</c:v>
                </c:pt>
                <c:pt idx="42">
                  <c:v>59.548896001046678</c:v>
                </c:pt>
                <c:pt idx="43">
                  <c:v>55.795724777635222</c:v>
                </c:pt>
                <c:pt idx="44">
                  <c:v>53.890943435066291</c:v>
                </c:pt>
                <c:pt idx="45">
                  <c:v>53.775070293560319</c:v>
                </c:pt>
                <c:pt idx="46">
                  <c:v>51.090956700081158</c:v>
                </c:pt>
                <c:pt idx="47">
                  <c:v>64.644568016473173</c:v>
                </c:pt>
                <c:pt idx="48">
                  <c:v>57.345763659854789</c:v>
                </c:pt>
                <c:pt idx="49">
                  <c:v>51.247983505834128</c:v>
                </c:pt>
                <c:pt idx="50">
                  <c:v>58.402852431986048</c:v>
                </c:pt>
                <c:pt idx="51">
                  <c:v>50.439488576728706</c:v>
                </c:pt>
                <c:pt idx="52">
                  <c:v>50.738132706697783</c:v>
                </c:pt>
                <c:pt idx="53">
                  <c:v>57.330311228731702</c:v>
                </c:pt>
                <c:pt idx="54">
                  <c:v>55.639533162505053</c:v>
                </c:pt>
                <c:pt idx="55">
                  <c:v>48.852919893805982</c:v>
                </c:pt>
                <c:pt idx="56">
                  <c:v>51.659130252158391</c:v>
                </c:pt>
                <c:pt idx="57">
                  <c:v>50.068697689792202</c:v>
                </c:pt>
                <c:pt idx="58">
                  <c:v>56.382360143396042</c:v>
                </c:pt>
                <c:pt idx="59">
                  <c:v>64.673168342396806</c:v>
                </c:pt>
                <c:pt idx="60">
                  <c:v>60.721302462074163</c:v>
                </c:pt>
                <c:pt idx="61">
                  <c:v>55.408846149445104</c:v>
                </c:pt>
                <c:pt idx="62">
                  <c:v>63.117550920807467</c:v>
                </c:pt>
                <c:pt idx="63">
                  <c:v>63.273560259717193</c:v>
                </c:pt>
                <c:pt idx="64">
                  <c:v>65.053891005693529</c:v>
                </c:pt>
                <c:pt idx="65">
                  <c:v>71.97815730536351</c:v>
                </c:pt>
                <c:pt idx="66">
                  <c:v>70.62279269109176</c:v>
                </c:pt>
                <c:pt idx="67">
                  <c:v>68.897545533401598</c:v>
                </c:pt>
                <c:pt idx="68">
                  <c:v>73.291472121269777</c:v>
                </c:pt>
                <c:pt idx="69">
                  <c:v>66.748776942743248</c:v>
                </c:pt>
                <c:pt idx="70">
                  <c:v>73.770085283412271</c:v>
                </c:pt>
                <c:pt idx="71">
                  <c:v>89.81262848806125</c:v>
                </c:pt>
                <c:pt idx="72">
                  <c:v>69.420430370625326</c:v>
                </c:pt>
                <c:pt idx="73">
                  <c:v>64.254638669119075</c:v>
                </c:pt>
                <c:pt idx="74">
                  <c:v>90.625106870710823</c:v>
                </c:pt>
                <c:pt idx="75">
                  <c:v>65.779111289131265</c:v>
                </c:pt>
                <c:pt idx="76">
                  <c:v>81.193138567891367</c:v>
                </c:pt>
                <c:pt idx="77">
                  <c:v>105.25511814346463</c:v>
                </c:pt>
                <c:pt idx="78">
                  <c:v>75.058253615002286</c:v>
                </c:pt>
                <c:pt idx="79">
                  <c:v>89.777958065483929</c:v>
                </c:pt>
                <c:pt idx="80">
                  <c:v>91.414483453637772</c:v>
                </c:pt>
                <c:pt idx="81">
                  <c:v>79.037162985381372</c:v>
                </c:pt>
                <c:pt idx="82">
                  <c:v>91.298737578111727</c:v>
                </c:pt>
                <c:pt idx="83">
                  <c:v>125.63121468947132</c:v>
                </c:pt>
                <c:pt idx="84">
                  <c:v>78.765068988232727</c:v>
                </c:pt>
                <c:pt idx="85">
                  <c:v>81.655232980497587</c:v>
                </c:pt>
                <c:pt idx="86">
                  <c:v>92.158344849202621</c:v>
                </c:pt>
                <c:pt idx="87">
                  <c:v>78.667310578673835</c:v>
                </c:pt>
                <c:pt idx="88">
                  <c:v>85.041222007277668</c:v>
                </c:pt>
                <c:pt idx="89">
                  <c:v>89.991183702558374</c:v>
                </c:pt>
                <c:pt idx="90">
                  <c:v>76.681915553950574</c:v>
                </c:pt>
                <c:pt idx="91">
                  <c:v>109.54946776168863</c:v>
                </c:pt>
                <c:pt idx="92">
                  <c:v>81.387369613460038</c:v>
                </c:pt>
                <c:pt idx="93">
                  <c:v>86.820577360487334</c:v>
                </c:pt>
                <c:pt idx="94">
                  <c:v>92.647737115845842</c:v>
                </c:pt>
                <c:pt idx="95">
                  <c:v>97.921788838981385</c:v>
                </c:pt>
                <c:pt idx="96">
                  <c:v>78.479461246808739</c:v>
                </c:pt>
                <c:pt idx="97">
                  <c:v>85.129477137823642</c:v>
                </c:pt>
                <c:pt idx="98">
                  <c:v>84.926475553579877</c:v>
                </c:pt>
                <c:pt idx="99">
                  <c:v>78.334707943440776</c:v>
                </c:pt>
                <c:pt idx="100">
                  <c:v>84.223357061265304</c:v>
                </c:pt>
                <c:pt idx="101">
                  <c:v>81.75356542406135</c:v>
                </c:pt>
                <c:pt idx="102">
                  <c:v>97.226123832284728</c:v>
                </c:pt>
                <c:pt idx="103">
                  <c:v>103.90895318419864</c:v>
                </c:pt>
                <c:pt idx="104">
                  <c:v>94.509060254558548</c:v>
                </c:pt>
                <c:pt idx="105">
                  <c:v>91.552055204552389</c:v>
                </c:pt>
                <c:pt idx="106">
                  <c:v>105.94064181155345</c:v>
                </c:pt>
                <c:pt idx="107">
                  <c:v>124.1597651309919</c:v>
                </c:pt>
                <c:pt idx="108">
                  <c:v>96.880473492974303</c:v>
                </c:pt>
                <c:pt idx="109">
                  <c:v>95.974951848639236</c:v>
                </c:pt>
                <c:pt idx="110">
                  <c:v>101.82918279840139</c:v>
                </c:pt>
                <c:pt idx="111">
                  <c:v>92.540722812429806</c:v>
                </c:pt>
                <c:pt idx="112">
                  <c:v>98.230039885909619</c:v>
                </c:pt>
                <c:pt idx="113">
                  <c:v>115.93588853732584</c:v>
                </c:pt>
                <c:pt idx="114">
                  <c:v>106.08406762371111</c:v>
                </c:pt>
                <c:pt idx="115">
                  <c:v>89.74251415019917</c:v>
                </c:pt>
                <c:pt idx="116">
                  <c:v>87.740997931753341</c:v>
                </c:pt>
                <c:pt idx="117">
                  <c:v>89.832112186937763</c:v>
                </c:pt>
                <c:pt idx="118">
                  <c:v>84.825010251025077</c:v>
                </c:pt>
                <c:pt idx="119">
                  <c:v>120.19417008040183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7-4019-9A93-23819D89C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737192"/>
        <c:axId val="514740720"/>
      </c:lineChart>
      <c:dateAx>
        <c:axId val="5147371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740720"/>
        <c:crosses val="autoZero"/>
        <c:auto val="1"/>
        <c:lblOffset val="100"/>
        <c:baseTimeUnit val="months"/>
      </c:dateAx>
      <c:valAx>
        <c:axId val="514740720"/>
        <c:scaling>
          <c:orientation val="minMax"/>
          <c:max val="15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737192"/>
        <c:crosses val="autoZero"/>
        <c:crossBetween val="between"/>
        <c:majorUnit val="7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15933274724203"/>
          <c:y val="4.8511499135196583E-2"/>
          <c:w val="0.77939620221169315"/>
          <c:h val="0.13028279915714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1587595668187"/>
          <c:y val="0.10551558752997602"/>
          <c:w val="0.80655947418337404"/>
          <c:h val="0.50980041163919254"/>
        </c:manualLayout>
      </c:layout>
      <c:lineChart>
        <c:grouping val="standard"/>
        <c:varyColors val="0"/>
        <c:ser>
          <c:idx val="0"/>
          <c:order val="0"/>
          <c:tx>
            <c:strRef>
              <c:f>graphes!$H$1</c:f>
              <c:strCache>
                <c:ptCount val="1"/>
                <c:pt idx="0">
                  <c:v>Services brute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graphes!$A$50:$A$121</c:f>
              <c:numCache>
                <c:formatCode>mmm\-yy</c:formatCode>
                <c:ptCount val="7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</c:numCache>
            </c:numRef>
          </c:cat>
          <c:val>
            <c:numRef>
              <c:f>graphes!$H$2:$H$121</c:f>
              <c:numCache>
                <c:formatCode>General</c:formatCode>
                <c:ptCount val="120"/>
                <c:pt idx="0">
                  <c:v>82.427166536939296</c:v>
                </c:pt>
                <c:pt idx="1">
                  <c:v>88.269933106697977</c:v>
                </c:pt>
                <c:pt idx="2">
                  <c:v>85.365893727621682</c:v>
                </c:pt>
                <c:pt idx="3">
                  <c:v>94.825273665886542</c:v>
                </c:pt>
                <c:pt idx="4">
                  <c:v>89.621283331491469</c:v>
                </c:pt>
                <c:pt idx="5">
                  <c:v>89.235900237569652</c:v>
                </c:pt>
                <c:pt idx="6">
                  <c:v>94.623197055642748</c:v>
                </c:pt>
                <c:pt idx="7">
                  <c:v>90.753064204628387</c:v>
                </c:pt>
                <c:pt idx="8">
                  <c:v>91.592297678720826</c:v>
                </c:pt>
                <c:pt idx="9">
                  <c:v>88.510845757546718</c:v>
                </c:pt>
                <c:pt idx="10">
                  <c:v>110.68189130896988</c:v>
                </c:pt>
                <c:pt idx="11">
                  <c:v>110.68189130896988</c:v>
                </c:pt>
                <c:pt idx="12">
                  <c:v>89.646317060476733</c:v>
                </c:pt>
                <c:pt idx="13">
                  <c:v>85.229786204296957</c:v>
                </c:pt>
                <c:pt idx="14">
                  <c:v>90.618833836731881</c:v>
                </c:pt>
                <c:pt idx="15">
                  <c:v>90.146117045757421</c:v>
                </c:pt>
                <c:pt idx="16">
                  <c:v>88.671367392140752</c:v>
                </c:pt>
                <c:pt idx="17">
                  <c:v>92.117849385836507</c:v>
                </c:pt>
                <c:pt idx="18">
                  <c:v>91.878546260245898</c:v>
                </c:pt>
                <c:pt idx="19">
                  <c:v>97.625146459847073</c:v>
                </c:pt>
                <c:pt idx="20">
                  <c:v>90.888213392463683</c:v>
                </c:pt>
                <c:pt idx="21">
                  <c:v>87.866075115597837</c:v>
                </c:pt>
                <c:pt idx="22">
                  <c:v>95.741008373352599</c:v>
                </c:pt>
                <c:pt idx="23">
                  <c:v>94.866296261650618</c:v>
                </c:pt>
                <c:pt idx="24">
                  <c:v>96.229926658457856</c:v>
                </c:pt>
                <c:pt idx="25">
                  <c:v>92.538420036269329</c:v>
                </c:pt>
                <c:pt idx="26">
                  <c:v>92.693022146334499</c:v>
                </c:pt>
                <c:pt idx="27">
                  <c:v>92.079511570425112</c:v>
                </c:pt>
                <c:pt idx="28">
                  <c:v>96.138390825419819</c:v>
                </c:pt>
                <c:pt idx="29">
                  <c:v>97.981844729445996</c:v>
                </c:pt>
                <c:pt idx="30">
                  <c:v>99.590283227548184</c:v>
                </c:pt>
                <c:pt idx="31">
                  <c:v>94.106022558454157</c:v>
                </c:pt>
                <c:pt idx="32">
                  <c:v>95.573003799125246</c:v>
                </c:pt>
                <c:pt idx="33">
                  <c:v>95.214105480801251</c:v>
                </c:pt>
                <c:pt idx="34">
                  <c:v>98.475700461430705</c:v>
                </c:pt>
                <c:pt idx="35">
                  <c:v>102.67835129662693</c:v>
                </c:pt>
                <c:pt idx="36">
                  <c:v>98.791511477648513</c:v>
                </c:pt>
                <c:pt idx="37">
                  <c:v>96.96627428591809</c:v>
                </c:pt>
                <c:pt idx="38">
                  <c:v>98.067962383374081</c:v>
                </c:pt>
                <c:pt idx="39">
                  <c:v>96.000939887136155</c:v>
                </c:pt>
                <c:pt idx="40">
                  <c:v>95.859622128691825</c:v>
                </c:pt>
                <c:pt idx="41">
                  <c:v>96.517205315239039</c:v>
                </c:pt>
                <c:pt idx="42">
                  <c:v>101.38800800986473</c:v>
                </c:pt>
                <c:pt idx="43">
                  <c:v>96.369516287564068</c:v>
                </c:pt>
                <c:pt idx="44">
                  <c:v>97.990951700288718</c:v>
                </c:pt>
                <c:pt idx="45">
                  <c:v>103.87731791031038</c:v>
                </c:pt>
                <c:pt idx="46">
                  <c:v>97.728852767800433</c:v>
                </c:pt>
                <c:pt idx="47">
                  <c:v>104.53942655242584</c:v>
                </c:pt>
                <c:pt idx="48">
                  <c:v>99.232614181863298</c:v>
                </c:pt>
                <c:pt idx="49">
                  <c:v>91.294189112948956</c:v>
                </c:pt>
                <c:pt idx="50">
                  <c:v>93.053039982730908</c:v>
                </c:pt>
                <c:pt idx="51">
                  <c:v>88.690726147442803</c:v>
                </c:pt>
                <c:pt idx="52">
                  <c:v>88.969825815676757</c:v>
                </c:pt>
                <c:pt idx="53">
                  <c:v>94.018479733550961</c:v>
                </c:pt>
                <c:pt idx="54">
                  <c:v>91.722192518087553</c:v>
                </c:pt>
                <c:pt idx="55">
                  <c:v>89.172360330871456</c:v>
                </c:pt>
                <c:pt idx="56">
                  <c:v>93.337222850400963</c:v>
                </c:pt>
                <c:pt idx="57">
                  <c:v>94.033795203660077</c:v>
                </c:pt>
                <c:pt idx="58">
                  <c:v>94.873721982090345</c:v>
                </c:pt>
                <c:pt idx="59">
                  <c:v>112.15160806569777</c:v>
                </c:pt>
                <c:pt idx="60">
                  <c:v>79.446567761300841</c:v>
                </c:pt>
                <c:pt idx="61">
                  <c:v>78.6351130160498</c:v>
                </c:pt>
                <c:pt idx="62">
                  <c:v>97.682523216345842</c:v>
                </c:pt>
                <c:pt idx="63">
                  <c:v>84.108286153281014</c:v>
                </c:pt>
                <c:pt idx="64">
                  <c:v>83.082243562524354</c:v>
                </c:pt>
                <c:pt idx="65">
                  <c:v>93.242363693206187</c:v>
                </c:pt>
                <c:pt idx="66">
                  <c:v>85.873295616471481</c:v>
                </c:pt>
                <c:pt idx="67">
                  <c:v>98.911942962599269</c:v>
                </c:pt>
                <c:pt idx="68">
                  <c:v>92.188050542500747</c:v>
                </c:pt>
                <c:pt idx="69">
                  <c:v>89.386483965525457</c:v>
                </c:pt>
                <c:pt idx="70">
                  <c:v>94.938093131366884</c:v>
                </c:pt>
                <c:pt idx="71">
                  <c:v>110.56380366699712</c:v>
                </c:pt>
                <c:pt idx="72">
                  <c:v>95.072037797734055</c:v>
                </c:pt>
                <c:pt idx="73">
                  <c:v>89.172917703323705</c:v>
                </c:pt>
                <c:pt idx="74">
                  <c:v>100.17191120555047</c:v>
                </c:pt>
                <c:pt idx="75">
                  <c:v>91.825384612491035</c:v>
                </c:pt>
                <c:pt idx="76">
                  <c:v>95.829241772986748</c:v>
                </c:pt>
                <c:pt idx="77">
                  <c:v>106.15160633976605</c:v>
                </c:pt>
                <c:pt idx="78">
                  <c:v>94.031387583654876</c:v>
                </c:pt>
                <c:pt idx="79">
                  <c:v>100.81269562586617</c:v>
                </c:pt>
                <c:pt idx="80">
                  <c:v>108.06440236095381</c:v>
                </c:pt>
                <c:pt idx="81">
                  <c:v>103.82100128318046</c:v>
                </c:pt>
                <c:pt idx="82">
                  <c:v>106.22483221579198</c:v>
                </c:pt>
                <c:pt idx="83">
                  <c:v>123.74834190732413</c:v>
                </c:pt>
                <c:pt idx="84">
                  <c:v>101.60720140155013</c:v>
                </c:pt>
                <c:pt idx="85">
                  <c:v>96.08546423704405</c:v>
                </c:pt>
                <c:pt idx="86">
                  <c:v>110.18702283564627</c:v>
                </c:pt>
                <c:pt idx="87">
                  <c:v>98.464341392360055</c:v>
                </c:pt>
                <c:pt idx="88">
                  <c:v>107.9428239543066</c:v>
                </c:pt>
                <c:pt idx="89">
                  <c:v>108.08556706027545</c:v>
                </c:pt>
                <c:pt idx="90">
                  <c:v>102.59555970973079</c:v>
                </c:pt>
                <c:pt idx="91">
                  <c:v>106.47764344239758</c:v>
                </c:pt>
                <c:pt idx="92">
                  <c:v>108.34017549790438</c:v>
                </c:pt>
                <c:pt idx="93">
                  <c:v>108.55285991144505</c:v>
                </c:pt>
                <c:pt idx="94">
                  <c:v>110.91248249819334</c:v>
                </c:pt>
                <c:pt idx="95">
                  <c:v>134.63197472084437</c:v>
                </c:pt>
                <c:pt idx="96">
                  <c:v>106.36717547851339</c:v>
                </c:pt>
                <c:pt idx="97">
                  <c:v>99.840130823881296</c:v>
                </c:pt>
                <c:pt idx="98">
                  <c:v>115.29297116929403</c:v>
                </c:pt>
                <c:pt idx="99">
                  <c:v>106.65704551811986</c:v>
                </c:pt>
                <c:pt idx="100">
                  <c:v>116.25580758211397</c:v>
                </c:pt>
                <c:pt idx="101">
                  <c:v>109.76837608860953</c:v>
                </c:pt>
                <c:pt idx="102">
                  <c:v>125.27908859103698</c:v>
                </c:pt>
                <c:pt idx="103">
                  <c:v>111.05832619605629</c:v>
                </c:pt>
                <c:pt idx="104">
                  <c:v>122.90304885825981</c:v>
                </c:pt>
                <c:pt idx="105">
                  <c:v>112.52117085783946</c:v>
                </c:pt>
                <c:pt idx="106">
                  <c:v>118.13256956325563</c:v>
                </c:pt>
                <c:pt idx="107">
                  <c:v>148.42983061169957</c:v>
                </c:pt>
                <c:pt idx="108">
                  <c:v>118.06547804265213</c:v>
                </c:pt>
                <c:pt idx="109">
                  <c:v>108.3606040359149</c:v>
                </c:pt>
                <c:pt idx="110">
                  <c:v>125.73229058445666</c:v>
                </c:pt>
                <c:pt idx="111">
                  <c:v>106.46148270650401</c:v>
                </c:pt>
                <c:pt idx="112">
                  <c:v>118.98162430447805</c:v>
                </c:pt>
                <c:pt idx="113">
                  <c:v>115.52299191589572</c:v>
                </c:pt>
                <c:pt idx="114">
                  <c:v>126.33649753229625</c:v>
                </c:pt>
                <c:pt idx="115">
                  <c:v>109.07102633251105</c:v>
                </c:pt>
                <c:pt idx="116">
                  <c:v>114.67016436862745</c:v>
                </c:pt>
                <c:pt idx="117">
                  <c:v>118.46064868097203</c:v>
                </c:pt>
                <c:pt idx="118">
                  <c:v>117.43026963934881</c:v>
                </c:pt>
                <c:pt idx="119">
                  <c:v>148.17682506182774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9-424D-9584-1DAC3E960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739544"/>
        <c:axId val="514734056"/>
      </c:lineChart>
      <c:dateAx>
        <c:axId val="5147395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734056"/>
        <c:crosses val="autoZero"/>
        <c:auto val="1"/>
        <c:lblOffset val="100"/>
        <c:baseTimeUnit val="months"/>
      </c:dateAx>
      <c:valAx>
        <c:axId val="514734056"/>
        <c:scaling>
          <c:orientation val="minMax"/>
          <c:max val="165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73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508241439447591E-2"/>
          <c:y val="2.2461317054211536E-2"/>
          <c:w val="0.82672445356095192"/>
          <c:h val="0.1618716365490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43329465643272"/>
          <c:y val="0.17300037495313084"/>
          <c:w val="0.82343215228686706"/>
          <c:h val="0.46968278965129356"/>
        </c:manualLayout>
      </c:layout>
      <c:lineChart>
        <c:grouping val="standard"/>
        <c:varyColors val="0"/>
        <c:ser>
          <c:idx val="0"/>
          <c:order val="0"/>
          <c:tx>
            <c:strRef>
              <c:f>graphes!$K$1</c:f>
              <c:strCache>
                <c:ptCount val="1"/>
                <c:pt idx="0">
                  <c:v>Commerce brute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graphes!$A$2:$A$122</c15:sqref>
                  </c15:fullRef>
                </c:ext>
              </c:extLst>
              <c:f>graphes!$A$50:$A$122</c:f>
              <c:numCache>
                <c:formatCode>mmm\-yy</c:formatCode>
                <c:ptCount val="7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graphes!$K$2:$K$122</c15:sqref>
                  </c15:fullRef>
                </c:ext>
              </c:extLst>
              <c:f>graphes!$K$50:$K$122</c:f>
              <c:numCache>
                <c:formatCode>General</c:formatCode>
                <c:ptCount val="73"/>
                <c:pt idx="0">
                  <c:v>75.021790591717988</c:v>
                </c:pt>
                <c:pt idx="1">
                  <c:v>67.829058506900651</c:v>
                </c:pt>
                <c:pt idx="2">
                  <c:v>73.178930943655104</c:v>
                </c:pt>
                <c:pt idx="3">
                  <c:v>64.410583787831371</c:v>
                </c:pt>
                <c:pt idx="4">
                  <c:v>61.35681302028182</c:v>
                </c:pt>
                <c:pt idx="5">
                  <c:v>64.85425293102449</c:v>
                </c:pt>
                <c:pt idx="6">
                  <c:v>66.740214056175375</c:v>
                </c:pt>
                <c:pt idx="7">
                  <c:v>67.317783581323567</c:v>
                </c:pt>
                <c:pt idx="8">
                  <c:v>70.576669908195157</c:v>
                </c:pt>
                <c:pt idx="9">
                  <c:v>69.539811341657057</c:v>
                </c:pt>
                <c:pt idx="10">
                  <c:v>72.225980358605099</c:v>
                </c:pt>
                <c:pt idx="11">
                  <c:v>74.449444051171028</c:v>
                </c:pt>
                <c:pt idx="12">
                  <c:v>63.226496879733588</c:v>
                </c:pt>
                <c:pt idx="13">
                  <c:v>61.354114778311548</c:v>
                </c:pt>
                <c:pt idx="14">
                  <c:v>73.199550458122545</c:v>
                </c:pt>
                <c:pt idx="15">
                  <c:v>71.438702893437622</c:v>
                </c:pt>
                <c:pt idx="16">
                  <c:v>66.538922020562723</c:v>
                </c:pt>
                <c:pt idx="17">
                  <c:v>78.496482785960453</c:v>
                </c:pt>
                <c:pt idx="18">
                  <c:v>76.923833474943322</c:v>
                </c:pt>
                <c:pt idx="19">
                  <c:v>79.415122062541244</c:v>
                </c:pt>
                <c:pt idx="20">
                  <c:v>75.281570289555788</c:v>
                </c:pt>
                <c:pt idx="21">
                  <c:v>80.368128380460163</c:v>
                </c:pt>
                <c:pt idx="22">
                  <c:v>80.690669866590639</c:v>
                </c:pt>
                <c:pt idx="23">
                  <c:v>98.219628946433858</c:v>
                </c:pt>
                <c:pt idx="24">
                  <c:v>80.281476866263361</c:v>
                </c:pt>
                <c:pt idx="25">
                  <c:v>79.082839907871843</c:v>
                </c:pt>
                <c:pt idx="26">
                  <c:v>88.264132225063591</c:v>
                </c:pt>
                <c:pt idx="27">
                  <c:v>99.254034951034456</c:v>
                </c:pt>
                <c:pt idx="28">
                  <c:v>101.23826186007521</c:v>
                </c:pt>
                <c:pt idx="29">
                  <c:v>111.05720076237687</c:v>
                </c:pt>
                <c:pt idx="30">
                  <c:v>116.08786544546037</c:v>
                </c:pt>
                <c:pt idx="31">
                  <c:v>107.52164066280196</c:v>
                </c:pt>
                <c:pt idx="32">
                  <c:v>103.78544185593697</c:v>
                </c:pt>
                <c:pt idx="33">
                  <c:v>98.721906722333884</c:v>
                </c:pt>
                <c:pt idx="34">
                  <c:v>99.564401290048892</c:v>
                </c:pt>
                <c:pt idx="35">
                  <c:v>119.54843241467564</c:v>
                </c:pt>
                <c:pt idx="36">
                  <c:v>93.88226376564154</c:v>
                </c:pt>
                <c:pt idx="37">
                  <c:v>105.75432171942097</c:v>
                </c:pt>
                <c:pt idx="38">
                  <c:v>101.09858965694336</c:v>
                </c:pt>
                <c:pt idx="39">
                  <c:v>106.34976516888679</c:v>
                </c:pt>
                <c:pt idx="40">
                  <c:v>100.3499614653942</c:v>
                </c:pt>
                <c:pt idx="41">
                  <c:v>110.23001649959836</c:v>
                </c:pt>
                <c:pt idx="42">
                  <c:v>111.65800736864503</c:v>
                </c:pt>
                <c:pt idx="43">
                  <c:v>107.89076157777851</c:v>
                </c:pt>
                <c:pt idx="44">
                  <c:v>110.7182488950225</c:v>
                </c:pt>
                <c:pt idx="45">
                  <c:v>109.29892459544654</c:v>
                </c:pt>
                <c:pt idx="46">
                  <c:v>105.53677507532177</c:v>
                </c:pt>
                <c:pt idx="47">
                  <c:v>123.2999255491337</c:v>
                </c:pt>
                <c:pt idx="48">
                  <c:v>98.685253665618461</c:v>
                </c:pt>
                <c:pt idx="49">
                  <c:v>93.312416719103595</c:v>
                </c:pt>
                <c:pt idx="50">
                  <c:v>106.84751764296618</c:v>
                </c:pt>
                <c:pt idx="51">
                  <c:v>97.820552760827553</c:v>
                </c:pt>
                <c:pt idx="52">
                  <c:v>110.84778708020983</c:v>
                </c:pt>
                <c:pt idx="53">
                  <c:v>108.19651174140492</c:v>
                </c:pt>
                <c:pt idx="54">
                  <c:v>119.57716677614222</c:v>
                </c:pt>
                <c:pt idx="55">
                  <c:v>108.71071707369912</c:v>
                </c:pt>
                <c:pt idx="56">
                  <c:v>97.015207820831606</c:v>
                </c:pt>
                <c:pt idx="57">
                  <c:v>107.05379196956802</c:v>
                </c:pt>
                <c:pt idx="58">
                  <c:v>105.66071293314204</c:v>
                </c:pt>
                <c:pt idx="59">
                  <c:v>112.46000703885481</c:v>
                </c:pt>
                <c:pt idx="60">
                  <c:v>95.029109524876034</c:v>
                </c:pt>
                <c:pt idx="61">
                  <c:v>93.621545436174387</c:v>
                </c:pt>
                <c:pt idx="62">
                  <c:v>107.47092086309792</c:v>
                </c:pt>
                <c:pt idx="63">
                  <c:v>98.959952468278757</c:v>
                </c:pt>
                <c:pt idx="64">
                  <c:v>94.499605289048333</c:v>
                </c:pt>
                <c:pt idx="65">
                  <c:v>107.84525417758159</c:v>
                </c:pt>
                <c:pt idx="66">
                  <c:v>100.79882619941971</c:v>
                </c:pt>
                <c:pt idx="67">
                  <c:v>95.468522999792313</c:v>
                </c:pt>
                <c:pt idx="68">
                  <c:v>92.783487418764224</c:v>
                </c:pt>
                <c:pt idx="69">
                  <c:v>100.22113280731863</c:v>
                </c:pt>
                <c:pt idx="70">
                  <c:v>94.128177274882745</c:v>
                </c:pt>
                <c:pt idx="71">
                  <c:v>103.7918720487241</c:v>
                </c:pt>
                <c:pt idx="72">
                  <c:v>89.835383196849349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E5-4594-92CA-FA18355D1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732880"/>
        <c:axId val="514736016"/>
      </c:lineChart>
      <c:dateAx>
        <c:axId val="514732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736016"/>
        <c:crosses val="autoZero"/>
        <c:auto val="1"/>
        <c:lblOffset val="100"/>
        <c:baseTimeUnit val="months"/>
      </c:dateAx>
      <c:valAx>
        <c:axId val="514736016"/>
        <c:scaling>
          <c:orientation val="minMax"/>
          <c:max val="15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732880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807194957125888E-2"/>
          <c:y val="3.3002668666875366E-2"/>
          <c:w val="0.85604507967309762"/>
          <c:h val="0.148515839499722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5-4E2B-976B-274B14572607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3E5-4E2B-976B-274B14572607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3E5-4E2B-976B-274B14572607}"/>
              </c:ext>
            </c:extLst>
          </c:dPt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E5-4E2B-976B-274B14572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39152"/>
        <c:axId val="514736408"/>
      </c:scatterChart>
      <c:valAx>
        <c:axId val="5147391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36408"/>
        <c:crosses val="autoZero"/>
        <c:crossBetween val="midCat"/>
      </c:valAx>
      <c:valAx>
        <c:axId val="514736408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473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3-4C20-91F3-5540D683B600}"/>
            </c:ext>
          </c:extLst>
        </c:ser>
        <c:ser>
          <c:idx val="3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3-4C20-91F3-5540D683B600}"/>
            </c:ext>
          </c:extLst>
        </c:ser>
        <c:ser>
          <c:idx val="1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53-4C20-91F3-5540D683B600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653-4C20-91F3-5540D683B600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653-4C20-91F3-5540D683B600}"/>
              </c:ext>
            </c:extLst>
          </c:dPt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3-4C20-91F3-5540D683B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33272"/>
        <c:axId val="514741896"/>
      </c:scatterChart>
      <c:valAx>
        <c:axId val="5147332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41896"/>
        <c:crosses val="autoZero"/>
        <c:crossBetween val="midCat"/>
      </c:valAx>
      <c:valAx>
        <c:axId val="514741896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4733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1-4055-8F95-DF564F128957}"/>
            </c:ext>
          </c:extLst>
        </c:ser>
        <c:ser>
          <c:idx val="3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91-4055-8F95-DF564F128957}"/>
            </c:ext>
          </c:extLst>
        </c:ser>
        <c:ser>
          <c:idx val="1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91-4055-8F95-DF564F128957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191-4055-8F95-DF564F128957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191-4055-8F95-DF564F128957}"/>
              </c:ext>
            </c:extLst>
          </c:dPt>
          <c:yVal>
            <c:numRef>
              <c:f>CADRAN!$H$3:$H$4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91-4055-8F95-DF564F128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37584"/>
        <c:axId val="514737976"/>
      </c:scatterChart>
      <c:valAx>
        <c:axId val="5147375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37976"/>
        <c:crosses val="autoZero"/>
        <c:crossBetween val="midCat"/>
      </c:valAx>
      <c:valAx>
        <c:axId val="514737976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473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4-4435-B161-8112C2E938BC}"/>
            </c:ext>
          </c:extLst>
        </c:ser>
        <c:ser>
          <c:idx val="3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94-4435-B161-8112C2E938BC}"/>
            </c:ext>
          </c:extLst>
        </c:ser>
        <c:ser>
          <c:idx val="1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94-4435-B161-8112C2E938BC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494-4435-B161-8112C2E938BC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494-4435-B161-8112C2E938BC}"/>
              </c:ext>
            </c:extLst>
          </c:dPt>
          <c:yVal>
            <c:numRef>
              <c:f>CADRAN!$H$7:$H$8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94-4435-B161-8112C2E93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42680"/>
        <c:axId val="514733664"/>
      </c:scatterChart>
      <c:valAx>
        <c:axId val="5147426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33664"/>
        <c:crosses val="autoZero"/>
        <c:crossBetween val="midCat"/>
      </c:valAx>
      <c:valAx>
        <c:axId val="51473366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4742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C4-4333-AFA7-4129D39748DA}"/>
            </c:ext>
          </c:extLst>
        </c:ser>
        <c:ser>
          <c:idx val="3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C4-4333-AFA7-4129D39748DA}"/>
            </c:ext>
          </c:extLst>
        </c:ser>
        <c:ser>
          <c:idx val="1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C4-4333-AFA7-4129D39748DA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9C4-4333-AFA7-4129D39748DA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9C4-4333-AFA7-4129D39748DA}"/>
              </c:ext>
            </c:extLst>
          </c:dPt>
          <c:yVal>
            <c:numRef>
              <c:f>CADRAN!$H$13:$H$14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C4-4333-AFA7-4129D3974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43072"/>
        <c:axId val="514734840"/>
      </c:scatterChart>
      <c:valAx>
        <c:axId val="5147430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34840"/>
        <c:crosses val="autoZero"/>
        <c:crossBetween val="midCat"/>
      </c:valAx>
      <c:valAx>
        <c:axId val="514734840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474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9-44F4-B438-023F5251EC25}"/>
            </c:ext>
          </c:extLst>
        </c:ser>
        <c:ser>
          <c:idx val="5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79-44F4-B438-023F5251EC25}"/>
            </c:ext>
          </c:extLst>
        </c:ser>
        <c:ser>
          <c:idx val="6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79-44F4-B438-023F5251EC25}"/>
            </c:ext>
          </c:extLst>
        </c:ser>
        <c:ser>
          <c:idx val="7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79-44F4-B438-023F5251EC25}"/>
            </c:ext>
          </c:extLst>
        </c:ser>
        <c:ser>
          <c:idx val="2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79-44F4-B438-023F5251EC25}"/>
            </c:ext>
          </c:extLst>
        </c:ser>
        <c:ser>
          <c:idx val="3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79-44F4-B438-023F5251EC25}"/>
            </c:ext>
          </c:extLst>
        </c:ser>
        <c:ser>
          <c:idx val="1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79-44F4-B438-023F5251EC25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B79-44F4-B438-023F5251EC25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B79-44F4-B438-023F5251EC25}"/>
              </c:ext>
            </c:extLst>
          </c:dPt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79-44F4-B438-023F5251E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35232"/>
        <c:axId val="514738368"/>
      </c:scatterChart>
      <c:valAx>
        <c:axId val="5147352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38368"/>
        <c:crosses val="autoZero"/>
        <c:crossBetween val="midCat"/>
      </c:valAx>
      <c:valAx>
        <c:axId val="514738368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473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D8-404F-B7D1-C8C6C7A2BB4E}"/>
            </c:ext>
          </c:extLst>
        </c:ser>
        <c:ser>
          <c:idx val="5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D8-404F-B7D1-C8C6C7A2BB4E}"/>
            </c:ext>
          </c:extLst>
        </c:ser>
        <c:ser>
          <c:idx val="6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D8-404F-B7D1-C8C6C7A2BB4E}"/>
            </c:ext>
          </c:extLst>
        </c:ser>
        <c:ser>
          <c:idx val="7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D8-404F-B7D1-C8C6C7A2BB4E}"/>
            </c:ext>
          </c:extLst>
        </c:ser>
        <c:ser>
          <c:idx val="2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D8-404F-B7D1-C8C6C7A2BB4E}"/>
            </c:ext>
          </c:extLst>
        </c:ser>
        <c:ser>
          <c:idx val="3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D8-404F-B7D1-C8C6C7A2BB4E}"/>
            </c:ext>
          </c:extLst>
        </c:ser>
        <c:ser>
          <c:idx val="1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D8-404F-B7D1-C8C6C7A2BB4E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DD8-404F-B7D1-C8C6C7A2BB4E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DD8-404F-B7D1-C8C6C7A2BB4E}"/>
              </c:ext>
            </c:extLst>
          </c:dPt>
          <c:yVal>
            <c:numRef>
              <c:f>CADRAN!$L$8:$L$9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DD8-404F-B7D1-C8C6C7A2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44640"/>
        <c:axId val="514745424"/>
      </c:scatterChart>
      <c:valAx>
        <c:axId val="5147446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45424"/>
        <c:crosses val="autoZero"/>
        <c:crossBetween val="midCat"/>
      </c:valAx>
      <c:valAx>
        <c:axId val="51474542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474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4E-4ADA-B2E8-A8F49BE5D48D}"/>
            </c:ext>
          </c:extLst>
        </c:ser>
        <c:ser>
          <c:idx val="5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4E-4ADA-B2E8-A8F49BE5D48D}"/>
            </c:ext>
          </c:extLst>
        </c:ser>
        <c:ser>
          <c:idx val="6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4E-4ADA-B2E8-A8F49BE5D48D}"/>
            </c:ext>
          </c:extLst>
        </c:ser>
        <c:ser>
          <c:idx val="7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4E-4ADA-B2E8-A8F49BE5D48D}"/>
            </c:ext>
          </c:extLst>
        </c:ser>
        <c:ser>
          <c:idx val="2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4E-4ADA-B2E8-A8F49BE5D48D}"/>
            </c:ext>
          </c:extLst>
        </c:ser>
        <c:ser>
          <c:idx val="3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4E-4ADA-B2E8-A8F49BE5D48D}"/>
            </c:ext>
          </c:extLst>
        </c:ser>
        <c:ser>
          <c:idx val="1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4E-4ADA-B2E8-A8F49BE5D48D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F94E-4ADA-B2E8-A8F49BE5D48D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F94E-4ADA-B2E8-A8F49BE5D48D}"/>
              </c:ext>
            </c:extLst>
          </c:dPt>
          <c:yVal>
            <c:numRef>
              <c:f>CADRAN!$O$3:$O$4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94E-4ADA-B2E8-A8F49BE5D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45816"/>
        <c:axId val="514746992"/>
      </c:scatterChart>
      <c:valAx>
        <c:axId val="5147458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46992"/>
        <c:crosses val="autoZero"/>
        <c:crossBetween val="midCat"/>
      </c:valAx>
      <c:valAx>
        <c:axId val="514746992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4745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7-4642-8807-13577023EB68}"/>
            </c:ext>
          </c:extLst>
        </c:ser>
        <c:ser>
          <c:idx val="5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67-4642-8807-13577023EB68}"/>
            </c:ext>
          </c:extLst>
        </c:ser>
        <c:ser>
          <c:idx val="6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67-4642-8807-13577023EB68}"/>
            </c:ext>
          </c:extLst>
        </c:ser>
        <c:ser>
          <c:idx val="7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CADRAN!$L$3:$L$4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67-4642-8807-13577023EB68}"/>
            </c:ext>
          </c:extLst>
        </c:ser>
        <c:ser>
          <c:idx val="2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67-4642-8807-13577023EB68}"/>
            </c:ext>
          </c:extLst>
        </c:ser>
        <c:ser>
          <c:idx val="3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CADRAN!$E$8:$E$9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67-4642-8807-13577023EB68}"/>
            </c:ext>
          </c:extLst>
        </c:ser>
        <c:ser>
          <c:idx val="1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CADRAN!$E$3:$E$4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67-4642-8807-13577023EB68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667-4642-8807-13577023EB68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667-4642-8807-13577023EB68}"/>
              </c:ext>
            </c:extLst>
          </c:dPt>
          <c:yVal>
            <c:numRef>
              <c:f>CADRAN!$O$12:$O$13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667-4642-8807-13577023E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46208"/>
        <c:axId val="514747776"/>
      </c:scatterChart>
      <c:valAx>
        <c:axId val="5147462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4747776"/>
        <c:crosses val="autoZero"/>
        <c:crossBetween val="midCat"/>
      </c:valAx>
      <c:valAx>
        <c:axId val="514747776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474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F32-45AB-B35D-967FCC03344E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F32-45AB-B35D-967FCC03344E}"/>
              </c:ext>
            </c:extLst>
          </c:dPt>
          <c:yVal>
            <c:numRef>
              <c:f>CADRAN!$B$7:$B$8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32-45AB-B35D-967FCC033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7848"/>
        <c:axId val="517668240"/>
      </c:scatterChart>
      <c:valAx>
        <c:axId val="5176678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7668240"/>
        <c:crosses val="autoZero"/>
        <c:crossBetween val="midCat"/>
      </c:valAx>
      <c:valAx>
        <c:axId val="517668240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7667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780-4C00-8CF6-D79CDC03CEF3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780-4C00-8CF6-D79CDC03CEF3}"/>
              </c:ext>
            </c:extLst>
          </c:dPt>
          <c:yVal>
            <c:numRef>
              <c:f>CADRAN!$L$18:$L$19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80-4C00-8CF6-D79CDC03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6672"/>
        <c:axId val="517667064"/>
      </c:scatterChart>
      <c:valAx>
        <c:axId val="5176666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7667064"/>
        <c:crosses val="autoZero"/>
        <c:crossBetween val="midCat"/>
      </c:valAx>
      <c:valAx>
        <c:axId val="51766706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766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93A-4046-AD7C-94323601C2DB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93A-4046-AD7C-94323601C2DB}"/>
              </c:ext>
            </c:extLst>
          </c:dPt>
          <c:yVal>
            <c:numRef>
              <c:f>CADRAN!$L$18:$L$19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3A-4046-AD7C-94323601C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6672"/>
        <c:axId val="517667064"/>
      </c:scatterChart>
      <c:valAx>
        <c:axId val="5176666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7667064"/>
        <c:crosses val="autoZero"/>
        <c:crossBetween val="midCat"/>
      </c:valAx>
      <c:valAx>
        <c:axId val="51766706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766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413-41D0-9B49-DDE2DACAA89F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13-41D0-9B49-DDE2DACAA89F}"/>
              </c:ext>
            </c:extLst>
          </c:dPt>
          <c:yVal>
            <c:numRef>
              <c:f>CADRAN!$L$28:$L$29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13-41D0-9B49-DDE2DACAA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56088"/>
        <c:axId val="517655304"/>
      </c:scatterChart>
      <c:valAx>
        <c:axId val="5176560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7655304"/>
        <c:crosses val="autoZero"/>
        <c:crossBetween val="midCat"/>
      </c:valAx>
      <c:valAx>
        <c:axId val="51765530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765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7BD-4333-9D2D-DD89AC08A7C3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7BD-4333-9D2D-DD89AC08A7C3}"/>
              </c:ext>
            </c:extLst>
          </c:dPt>
          <c:yVal>
            <c:numRef>
              <c:f>CADRAN!$O$18:$O$19</c:f>
              <c:numCache>
                <c:formatCode>General</c:formatCode>
                <c:ptCount val="2"/>
                <c:pt idx="0">
                  <c:v>0.5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BD-4333-9D2D-DD89AC08A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53736"/>
        <c:axId val="517653344"/>
      </c:scatterChart>
      <c:valAx>
        <c:axId val="517653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7653344"/>
        <c:crosses val="autoZero"/>
        <c:crossBetween val="midCat"/>
      </c:valAx>
      <c:valAx>
        <c:axId val="51765334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765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813-42CC-8A7E-4E6BA86B05BF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813-42CC-8A7E-4E6BA86B05BF}"/>
              </c:ext>
            </c:extLst>
          </c:dPt>
          <c:yVal>
            <c:numRef>
              <c:f>CADRAN!$O$26:$O$27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13-42CC-8A7E-4E6BA86B0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58440"/>
        <c:axId val="517663144"/>
      </c:scatterChart>
      <c:valAx>
        <c:axId val="5176584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7663144"/>
        <c:crosses val="autoZero"/>
        <c:crossBetween val="midCat"/>
      </c:valAx>
      <c:valAx>
        <c:axId val="517663144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7658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E66-4781-84F9-6659688FB1F3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E66-4781-84F9-6659688FB1F3}"/>
              </c:ext>
            </c:extLst>
          </c:dPt>
          <c:yVal>
            <c:numRef>
              <c:f>CADRAN!$B$13:$B$14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66-4781-84F9-6659688FB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1184"/>
        <c:axId val="517654520"/>
      </c:scatterChart>
      <c:valAx>
        <c:axId val="5176611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7654520"/>
        <c:crosses val="autoZero"/>
        <c:crossBetween val="midCat"/>
      </c:valAx>
      <c:valAx>
        <c:axId val="517654520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7661184"/>
        <c:crosses val="autoZero"/>
        <c:crossBetween val="midCat"/>
      </c:valAx>
      <c:spPr>
        <a:solidFill>
          <a:sysClr val="window" lastClr="FFFFFF"/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FEF-4C44-881B-D4E3F14C364D}"/>
              </c:ext>
            </c:extLst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FEF-4C44-881B-D4E3F14C364D}"/>
              </c:ext>
            </c:extLst>
          </c:dPt>
          <c:yVal>
            <c:numRef>
              <c:f>CADRAN!$L$13:$L$14</c:f>
              <c:numCache>
                <c:formatCode>General</c:formatCode>
                <c:ptCount val="2"/>
                <c:pt idx="0">
                  <c:v>0.49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EF-4C44-881B-D4E3F14C3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3928"/>
        <c:axId val="517664320"/>
      </c:scatterChart>
      <c:valAx>
        <c:axId val="5176639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17664320"/>
        <c:crosses val="autoZero"/>
        <c:crossBetween val="midCat"/>
      </c:valAx>
      <c:valAx>
        <c:axId val="517664320"/>
        <c:scaling>
          <c:orientation val="minMax"/>
          <c:min val="0.498000000000000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7663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45053828569198"/>
          <c:y val="9.3507571595833824E-2"/>
          <c:w val="0.62303550145561826"/>
          <c:h val="0.90649242840416622"/>
        </c:manualLayout>
      </c:layout>
      <c:doughnutChart>
        <c:varyColors val="1"/>
        <c:ser>
          <c:idx val="0"/>
          <c:order val="0"/>
          <c:spPr>
            <a:ln w="0">
              <a:solidFill>
                <a:sysClr val="windowText" lastClr="000000"/>
              </a:solidFill>
            </a:ln>
            <a:scene3d>
              <a:camera prst="orthographicFront"/>
              <a:lightRig rig="threePt" dir="t"/>
            </a:scene3d>
            <a:sp3d/>
          </c:spPr>
          <c:dPt>
            <c:idx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1DA5-4AF1-8FFC-45497FE3882B}"/>
              </c:ext>
            </c:extLst>
          </c:dPt>
          <c:dPt>
            <c:idx val="1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0">
                <a:solidFill>
                  <a:sysClr val="windowText" lastClr="000000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1DA5-4AF1-8FFC-45497FE3882B}"/>
              </c:ext>
            </c:extLst>
          </c:dPt>
          <c:dPt>
            <c:idx val="2"/>
            <c:bubble3D val="0"/>
            <c:spPr>
              <a:noFill/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A5-4AF1-8FFC-45497FE3882B}"/>
              </c:ext>
            </c:extLst>
          </c:dPt>
          <c:val>
            <c:numRef>
              <c:f>graphes!$P$5:$P$7</c:f>
              <c:numCache>
                <c:formatCode>0.0%</c:formatCode>
                <c:ptCount val="3"/>
                <c:pt idx="0">
                  <c:v>1.1156674447182697</c:v>
                </c:pt>
                <c:pt idx="1">
                  <c:v>-0.11566744471826973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A5-4AF1-8FFC-45497FE3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DA5-4AF1-8FFC-45497FE3882B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DA5-4AF1-8FFC-45497FE3882B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DA5-4AF1-8FFC-45497FE3882B}"/>
              </c:ext>
            </c:extLst>
          </c:dPt>
          <c:val>
            <c:numRef>
              <c:f>graphes!$P$9:$P$11</c:f>
              <c:numCache>
                <c:formatCode>0.0%</c:formatCode>
                <c:ptCount val="3"/>
                <c:pt idx="0">
                  <c:v>1.1156674447182697</c:v>
                </c:pt>
                <c:pt idx="1">
                  <c:v>0.01</c:v>
                </c:pt>
                <c:pt idx="2">
                  <c:v>0.87433255528173026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DA5-4AF1-8FFC-45497FE3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 w="73025">
          <a:solidFill>
            <a:schemeClr val="l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45053828569198"/>
          <c:y val="9.3507571595833824E-2"/>
          <c:w val="0.62303550145561826"/>
          <c:h val="0.90649242840416622"/>
        </c:manualLayout>
      </c:layout>
      <c:doughnutChart>
        <c:varyColors val="1"/>
        <c:ser>
          <c:idx val="0"/>
          <c:order val="0"/>
          <c:spPr>
            <a:ln w="0">
              <a:solidFill>
                <a:sysClr val="windowText" lastClr="000000"/>
              </a:solidFill>
            </a:ln>
            <a:scene3d>
              <a:camera prst="orthographicFront"/>
              <a:lightRig rig="threePt" dir="t"/>
            </a:scene3d>
            <a:sp3d/>
          </c:spPr>
          <c:dPt>
            <c:idx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8E73-4BED-AF9A-1DAB22E30260}"/>
              </c:ext>
            </c:extLst>
          </c:dPt>
          <c:dPt>
            <c:idx val="1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0">
                <a:solidFill>
                  <a:sysClr val="windowText" lastClr="000000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8E73-4BED-AF9A-1DAB22E30260}"/>
              </c:ext>
            </c:extLst>
          </c:dPt>
          <c:dPt>
            <c:idx val="2"/>
            <c:bubble3D val="0"/>
            <c:spPr>
              <a:noFill/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73-4BED-AF9A-1DAB22E30260}"/>
              </c:ext>
            </c:extLst>
          </c:dPt>
          <c:val>
            <c:numRef>
              <c:f>graphes!$P$5:$P$7</c:f>
              <c:numCache>
                <c:formatCode>0.0%</c:formatCode>
                <c:ptCount val="3"/>
                <c:pt idx="0">
                  <c:v>1.1156674447182697</c:v>
                </c:pt>
                <c:pt idx="1">
                  <c:v>-0.11566744471826973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73-4BED-AF9A-1DAB22E30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E73-4BED-AF9A-1DAB22E30260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E73-4BED-AF9A-1DAB22E30260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E73-4BED-AF9A-1DAB22E30260}"/>
              </c:ext>
            </c:extLst>
          </c:dPt>
          <c:val>
            <c:numRef>
              <c:f>graphes!$P$9:$P$11</c:f>
              <c:numCache>
                <c:formatCode>0.0%</c:formatCode>
                <c:ptCount val="3"/>
                <c:pt idx="0">
                  <c:v>1.1156674447182697</c:v>
                </c:pt>
                <c:pt idx="1">
                  <c:v>0.01</c:v>
                </c:pt>
                <c:pt idx="2">
                  <c:v>0.87433255528173026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73-4BED-AF9A-1DAB22E30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 w="73025">
          <a:solidFill>
            <a:schemeClr val="l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.jpg"/><Relationship Id="rId18" Type="http://schemas.openxmlformats.org/officeDocument/2006/relationships/chart" Target="../charts/chart9.xml"/><Relationship Id="rId26" Type="http://schemas.openxmlformats.org/officeDocument/2006/relationships/chart" Target="../charts/chart13.xml"/><Relationship Id="rId39" Type="http://schemas.openxmlformats.org/officeDocument/2006/relationships/chart" Target="../charts/chart21.xml"/><Relationship Id="rId21" Type="http://schemas.openxmlformats.org/officeDocument/2006/relationships/image" Target="../media/image15.jpg"/><Relationship Id="rId34" Type="http://schemas.openxmlformats.org/officeDocument/2006/relationships/chart" Target="../charts/chart17.xml"/><Relationship Id="rId42" Type="http://schemas.openxmlformats.org/officeDocument/2006/relationships/chart" Target="../charts/chart24.xml"/><Relationship Id="rId47" Type="http://schemas.openxmlformats.org/officeDocument/2006/relationships/chart" Target="../charts/chart29.xml"/><Relationship Id="rId50" Type="http://schemas.openxmlformats.org/officeDocument/2006/relationships/chart" Target="../charts/chart32.xml"/><Relationship Id="rId55" Type="http://schemas.openxmlformats.org/officeDocument/2006/relationships/chart" Target="../charts/chart37.xml"/><Relationship Id="rId7" Type="http://schemas.openxmlformats.org/officeDocument/2006/relationships/image" Target="../media/image6.jpeg"/><Relationship Id="rId12" Type="http://schemas.openxmlformats.org/officeDocument/2006/relationships/chart" Target="../charts/chart6.xml"/><Relationship Id="rId17" Type="http://schemas.openxmlformats.org/officeDocument/2006/relationships/image" Target="../media/image11.jpg"/><Relationship Id="rId25" Type="http://schemas.openxmlformats.org/officeDocument/2006/relationships/image" Target="../media/image19.jpg"/><Relationship Id="rId33" Type="http://schemas.openxmlformats.org/officeDocument/2006/relationships/image" Target="../media/image25.jpg"/><Relationship Id="rId38" Type="http://schemas.openxmlformats.org/officeDocument/2006/relationships/chart" Target="../charts/chart20.xml"/><Relationship Id="rId46" Type="http://schemas.openxmlformats.org/officeDocument/2006/relationships/chart" Target="../charts/chart28.xml"/><Relationship Id="rId2" Type="http://schemas.openxmlformats.org/officeDocument/2006/relationships/chart" Target="../charts/chart1.xml"/><Relationship Id="rId16" Type="http://schemas.openxmlformats.org/officeDocument/2006/relationships/chart" Target="../charts/chart8.xml"/><Relationship Id="rId20" Type="http://schemas.openxmlformats.org/officeDocument/2006/relationships/chart" Target="../charts/chart10.xml"/><Relationship Id="rId29" Type="http://schemas.openxmlformats.org/officeDocument/2006/relationships/image" Target="../media/image21.jpg"/><Relationship Id="rId41" Type="http://schemas.openxmlformats.org/officeDocument/2006/relationships/chart" Target="../charts/chart23.xml"/><Relationship Id="rId54" Type="http://schemas.openxmlformats.org/officeDocument/2006/relationships/chart" Target="../charts/chart36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11" Type="http://schemas.openxmlformats.org/officeDocument/2006/relationships/image" Target="../media/image8.jpg"/><Relationship Id="rId24" Type="http://schemas.openxmlformats.org/officeDocument/2006/relationships/chart" Target="../charts/chart12.xml"/><Relationship Id="rId32" Type="http://schemas.openxmlformats.org/officeDocument/2006/relationships/chart" Target="../charts/chart16.xml"/><Relationship Id="rId37" Type="http://schemas.openxmlformats.org/officeDocument/2006/relationships/chart" Target="../charts/chart19.xml"/><Relationship Id="rId40" Type="http://schemas.openxmlformats.org/officeDocument/2006/relationships/chart" Target="../charts/chart22.xml"/><Relationship Id="rId45" Type="http://schemas.openxmlformats.org/officeDocument/2006/relationships/chart" Target="../charts/chart27.xml"/><Relationship Id="rId53" Type="http://schemas.openxmlformats.org/officeDocument/2006/relationships/chart" Target="../charts/chart35.xml"/><Relationship Id="rId5" Type="http://schemas.openxmlformats.org/officeDocument/2006/relationships/image" Target="../media/image5.jpeg"/><Relationship Id="rId15" Type="http://schemas.openxmlformats.org/officeDocument/2006/relationships/image" Target="../media/image10.jpg"/><Relationship Id="rId23" Type="http://schemas.openxmlformats.org/officeDocument/2006/relationships/image" Target="../media/image16.jpg"/><Relationship Id="rId28" Type="http://schemas.openxmlformats.org/officeDocument/2006/relationships/chart" Target="../charts/chart14.xml"/><Relationship Id="rId36" Type="http://schemas.openxmlformats.org/officeDocument/2006/relationships/chart" Target="../charts/chart18.xml"/><Relationship Id="rId49" Type="http://schemas.openxmlformats.org/officeDocument/2006/relationships/chart" Target="../charts/chart31.xml"/><Relationship Id="rId57" Type="http://schemas.openxmlformats.org/officeDocument/2006/relationships/chart" Target="../charts/chart39.xml"/><Relationship Id="rId10" Type="http://schemas.openxmlformats.org/officeDocument/2006/relationships/chart" Target="../charts/chart5.xml"/><Relationship Id="rId19" Type="http://schemas.openxmlformats.org/officeDocument/2006/relationships/image" Target="../media/image12.jpeg"/><Relationship Id="rId31" Type="http://schemas.openxmlformats.org/officeDocument/2006/relationships/image" Target="../media/image22.jpeg"/><Relationship Id="rId44" Type="http://schemas.openxmlformats.org/officeDocument/2006/relationships/chart" Target="../charts/chart26.xml"/><Relationship Id="rId52" Type="http://schemas.openxmlformats.org/officeDocument/2006/relationships/chart" Target="../charts/chart34.xml"/><Relationship Id="rId4" Type="http://schemas.openxmlformats.org/officeDocument/2006/relationships/chart" Target="../charts/chart2.xml"/><Relationship Id="rId9" Type="http://schemas.openxmlformats.org/officeDocument/2006/relationships/image" Target="../media/image7.jpg"/><Relationship Id="rId14" Type="http://schemas.openxmlformats.org/officeDocument/2006/relationships/chart" Target="../charts/chart7.xml"/><Relationship Id="rId22" Type="http://schemas.openxmlformats.org/officeDocument/2006/relationships/chart" Target="../charts/chart11.xml"/><Relationship Id="rId27" Type="http://schemas.openxmlformats.org/officeDocument/2006/relationships/image" Target="../media/image20.jpg"/><Relationship Id="rId30" Type="http://schemas.openxmlformats.org/officeDocument/2006/relationships/chart" Target="../charts/chart15.xml"/><Relationship Id="rId35" Type="http://schemas.openxmlformats.org/officeDocument/2006/relationships/image" Target="../media/image28.png"/><Relationship Id="rId43" Type="http://schemas.openxmlformats.org/officeDocument/2006/relationships/chart" Target="../charts/chart25.xml"/><Relationship Id="rId48" Type="http://schemas.openxmlformats.org/officeDocument/2006/relationships/chart" Target="../charts/chart30.xml"/><Relationship Id="rId56" Type="http://schemas.openxmlformats.org/officeDocument/2006/relationships/chart" Target="../charts/chart38.xml"/><Relationship Id="rId8" Type="http://schemas.openxmlformats.org/officeDocument/2006/relationships/chart" Target="../charts/chart4.xml"/><Relationship Id="rId51" Type="http://schemas.openxmlformats.org/officeDocument/2006/relationships/chart" Target="../charts/chart33.xml"/><Relationship Id="rId3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38100</xdr:rowOff>
    </xdr:from>
    <xdr:to>
      <xdr:col>4</xdr:col>
      <xdr:colOff>771525</xdr:colOff>
      <xdr:row>8</xdr:row>
      <xdr:rowOff>9525</xdr:rowOff>
    </xdr:to>
    <xdr:grpSp>
      <xdr:nvGrpSpPr>
        <xdr:cNvPr id="65" name="Group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2933700" y="228600"/>
          <a:ext cx="1990725" cy="1304925"/>
          <a:chOff x="8105775" y="257175"/>
          <a:chExt cx="2066925" cy="1123950"/>
        </a:xfrm>
      </xdr:grpSpPr>
      <xdr:grpSp>
        <xdr:nvGrpSpPr>
          <xdr:cNvPr id="49" name="Groupe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GrpSpPr/>
        </xdr:nvGrpSpPr>
        <xdr:grpSpPr>
          <a:xfrm>
            <a:off x="8105775" y="257175"/>
            <a:ext cx="2066925" cy="1123950"/>
            <a:chOff x="-250950" y="1652557"/>
            <a:chExt cx="2724151" cy="1724025"/>
          </a:xfrm>
        </xdr:grpSpPr>
        <xdr:grpSp>
          <xdr:nvGrpSpPr>
            <xdr:cNvPr id="51" name="Groupe 50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GrpSpPr/>
          </xdr:nvGrpSpPr>
          <xdr:grpSpPr>
            <a:xfrm>
              <a:off x="-250950" y="1652557"/>
              <a:ext cx="2724151" cy="1724025"/>
              <a:chOff x="-130276" y="300007"/>
              <a:chExt cx="2657475" cy="1724025"/>
            </a:xfrm>
          </xdr:grpSpPr>
          <xdr:sp macro="" textlink="">
            <xdr:nvSpPr>
              <xdr:cNvPr id="53" name="Rectangle 52">
                <a:extLst>
                  <a:ext uri="{FF2B5EF4-FFF2-40B4-BE49-F238E27FC236}">
                    <a16:creationId xmlns:a16="http://schemas.microsoft.com/office/drawing/2014/main" id="{00000000-0008-0000-0000-000035000000}"/>
                  </a:ext>
                </a:extLst>
              </xdr:cNvPr>
              <xdr:cNvSpPr/>
            </xdr:nvSpPr>
            <xdr:spPr bwMode="auto">
              <a:xfrm>
                <a:off x="-130276" y="300007"/>
                <a:ext cx="2657475" cy="1724025"/>
              </a:xfrm>
              <a:prstGeom prst="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  <xdr:sp macro="" textlink="">
            <xdr:nvSpPr>
              <xdr:cNvPr id="54" name="Rectangle à coins arrondis 53">
                <a:extLs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 bwMode="auto">
              <a:xfrm>
                <a:off x="-85580" y="322191"/>
                <a:ext cx="1224383" cy="1662359"/>
              </a:xfrm>
              <a:prstGeom prst="roundRect">
                <a:avLst/>
              </a:prstGeom>
              <a:blipFill>
                <a:blip xmlns:r="http://schemas.openxmlformats.org/officeDocument/2006/relationships" r:embed="rId1" cstate="print"/>
                <a:stretch>
                  <a:fillRect/>
                </a:stretch>
              </a:blipFill>
              <a:ln w="9525" cap="flat" cmpd="sng" algn="ctr">
                <a:noFill/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sp macro="" textlink="$E$5">
          <xdr:nvSpPr>
            <xdr:cNvPr id="52" name="Rectangle à coins arrondis 51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/>
          </xdr:nvSpPr>
          <xdr:spPr bwMode="auto">
            <a:xfrm>
              <a:off x="1115945" y="2580878"/>
              <a:ext cx="1294488" cy="734881"/>
            </a:xfrm>
            <a:prstGeom prst="roundRect">
              <a:avLst/>
            </a:prstGeom>
            <a:ln w="50800">
              <a:headEnd type="none" w="med" len="med"/>
              <a:tailEnd type="none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18288" tIns="0" rIns="0" bIns="0" rtlCol="0" anchor="ctr" upright="1"/>
            <a:lstStyle/>
            <a:p>
              <a:pPr algn="l"/>
              <a:fld id="{EFE0FCBD-AC90-45D0-9FB0-2193BB3107A6}" type="TxLink">
                <a:rPr lang="en-US" sz="2000" b="1" i="0" u="none" strike="noStrike">
                  <a:solidFill>
                    <a:srgbClr val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pPr algn="l"/>
                <a:t>-14,28%</a:t>
              </a:fld>
              <a:endParaRPr lang="fr-FR" sz="496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aphicFrame macro="">
        <xdr:nvGraphicFramePr>
          <xdr:cNvPr id="64" name="Graphique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GraphicFramePr>
            <a:graphicFrameLocks/>
          </xdr:cNvGraphicFramePr>
        </xdr:nvGraphicFramePr>
        <xdr:xfrm>
          <a:off x="9191625" y="314326"/>
          <a:ext cx="914400" cy="533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</xdr:col>
      <xdr:colOff>9525</xdr:colOff>
      <xdr:row>8</xdr:row>
      <xdr:rowOff>28575</xdr:rowOff>
    </xdr:from>
    <xdr:to>
      <xdr:col>4</xdr:col>
      <xdr:colOff>781050</xdr:colOff>
      <xdr:row>14</xdr:row>
      <xdr:rowOff>171450</xdr:rowOff>
    </xdr:to>
    <xdr:grpSp>
      <xdr:nvGrpSpPr>
        <xdr:cNvPr id="70" name="Group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pSpPr/>
      </xdr:nvGrpSpPr>
      <xdr:grpSpPr>
        <a:xfrm>
          <a:off x="2933700" y="1552575"/>
          <a:ext cx="2000250" cy="1285875"/>
          <a:chOff x="3343275" y="3810000"/>
          <a:chExt cx="3057525" cy="1143000"/>
        </a:xfrm>
      </xdr:grpSpPr>
      <xdr:grpSp>
        <xdr:nvGrpSpPr>
          <xdr:cNvPr id="56" name="Groupe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GrpSpPr/>
        </xdr:nvGrpSpPr>
        <xdr:grpSpPr>
          <a:xfrm>
            <a:off x="3343275" y="3810000"/>
            <a:ext cx="3057525" cy="1143000"/>
            <a:chOff x="-250950" y="1652557"/>
            <a:chExt cx="2571920" cy="1724025"/>
          </a:xfrm>
        </xdr:grpSpPr>
        <xdr:grpSp>
          <xdr:nvGrpSpPr>
            <xdr:cNvPr id="58" name="Groupe 57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GrpSpPr/>
          </xdr:nvGrpSpPr>
          <xdr:grpSpPr>
            <a:xfrm>
              <a:off x="-250950" y="1652557"/>
              <a:ext cx="2571920" cy="1724025"/>
              <a:chOff x="-130276" y="300007"/>
              <a:chExt cx="2508970" cy="1724025"/>
            </a:xfrm>
          </xdr:grpSpPr>
          <xdr:sp macro="" textlink="">
            <xdr:nvSpPr>
              <xdr:cNvPr id="60" name="Rectangle 59">
                <a:extLst>
                  <a:ext uri="{FF2B5EF4-FFF2-40B4-BE49-F238E27FC236}">
                    <a16:creationId xmlns:a16="http://schemas.microsoft.com/office/drawing/2014/main" id="{00000000-0008-0000-0000-00003C000000}"/>
                  </a:ext>
                </a:extLst>
              </xdr:cNvPr>
              <xdr:cNvSpPr/>
            </xdr:nvSpPr>
            <xdr:spPr bwMode="auto">
              <a:xfrm>
                <a:off x="-130276" y="300007"/>
                <a:ext cx="2508970" cy="1724025"/>
              </a:xfrm>
              <a:prstGeom prst="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3">
                <a:schemeClr val="lt1"/>
              </a:lnRef>
              <a:fillRef idx="1">
                <a:schemeClr val="accent1"/>
              </a:fillRef>
              <a:effectRef idx="1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  <xdr:sp macro="" textlink="">
            <xdr:nvSpPr>
              <xdr:cNvPr id="61" name="Rectangle à coins arrondis 60">
                <a:extLst>
                  <a:ext uri="{FF2B5EF4-FFF2-40B4-BE49-F238E27FC236}">
                    <a16:creationId xmlns:a16="http://schemas.microsoft.com/office/drawing/2014/main" id="{00000000-0008-0000-0000-00003D000000}"/>
                  </a:ext>
                </a:extLst>
              </xdr:cNvPr>
              <xdr:cNvSpPr/>
            </xdr:nvSpPr>
            <xdr:spPr bwMode="auto">
              <a:xfrm>
                <a:off x="-85580" y="322191"/>
                <a:ext cx="1224383" cy="1662359"/>
              </a:xfrm>
              <a:prstGeom prst="roundRect">
                <a:avLst/>
              </a:prstGeom>
              <a:blipFill>
                <a:blip xmlns:r="http://schemas.openxmlformats.org/officeDocument/2006/relationships" r:embed="rId3" cstate="print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sp macro="" textlink="$E$10">
          <xdr:nvSpPr>
            <xdr:cNvPr id="59" name="Rectangle à coins arrondis 58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SpPr/>
          </xdr:nvSpPr>
          <xdr:spPr bwMode="auto">
            <a:xfrm>
              <a:off x="1055041" y="2620433"/>
              <a:ext cx="1214341" cy="695325"/>
            </a:xfrm>
            <a:prstGeom prst="roundRect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ctr" upright="1"/>
            <a:lstStyle/>
            <a:p>
              <a:pPr algn="l"/>
              <a:fld id="{A7A23056-C93D-44AB-BA5D-2D661EE87ECC}" type="TxLink">
                <a:rPr lang="en-US" sz="1600" b="1" i="0" u="none" strike="noStrike">
                  <a:solidFill>
                    <a:srgbClr val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pPr algn="l"/>
                <a:t>10,36%</a:t>
              </a:fld>
              <a:endParaRPr lang="fr-FR" sz="857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aphicFrame macro="">
        <xdr:nvGraphicFramePr>
          <xdr:cNvPr id="69" name="Graphique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GraphicFramePr>
            <a:graphicFrameLocks/>
          </xdr:cNvGraphicFramePr>
        </xdr:nvGraphicFramePr>
        <xdr:xfrm>
          <a:off x="4905375" y="3829051"/>
          <a:ext cx="1419225" cy="590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6</xdr:col>
      <xdr:colOff>19050</xdr:colOff>
      <xdr:row>1</xdr:row>
      <xdr:rowOff>28575</xdr:rowOff>
    </xdr:from>
    <xdr:to>
      <xdr:col>9</xdr:col>
      <xdr:colOff>9525</xdr:colOff>
      <xdr:row>5</xdr:row>
      <xdr:rowOff>104775</xdr:rowOff>
    </xdr:to>
    <xdr:grpSp>
      <xdr:nvGrpSpPr>
        <xdr:cNvPr id="82" name="Group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pSpPr/>
      </xdr:nvGrpSpPr>
      <xdr:grpSpPr>
        <a:xfrm>
          <a:off x="5219700" y="219075"/>
          <a:ext cx="2276475" cy="838200"/>
          <a:chOff x="2809875" y="3914775"/>
          <a:chExt cx="2200275" cy="1143000"/>
        </a:xfrm>
      </xdr:grpSpPr>
      <xdr:grpSp>
        <xdr:nvGrpSpPr>
          <xdr:cNvPr id="72" name="Groupe 5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GrpSpPr/>
        </xdr:nvGrpSpPr>
        <xdr:grpSpPr>
          <a:xfrm>
            <a:off x="2809875" y="3914775"/>
            <a:ext cx="2200275" cy="1143000"/>
            <a:chOff x="-250950" y="1652557"/>
            <a:chExt cx="2724151" cy="1724025"/>
          </a:xfrm>
        </xdr:grpSpPr>
        <xdr:grpSp>
          <xdr:nvGrpSpPr>
            <xdr:cNvPr id="74" name="Groupe 5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-250950" y="1652557"/>
              <a:ext cx="2724151" cy="1724025"/>
              <a:chOff x="-130276" y="300007"/>
              <a:chExt cx="2657475" cy="1724025"/>
            </a:xfrm>
          </xdr:grpSpPr>
          <xdr:sp macro="" textlink="">
            <xdr:nvSpPr>
              <xdr:cNvPr id="76" name="Rectangl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-130276" y="300007"/>
                <a:ext cx="2657475" cy="1724025"/>
              </a:xfrm>
              <a:prstGeom prst="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3">
                <a:schemeClr val="lt1"/>
              </a:lnRef>
              <a:fillRef idx="1">
                <a:schemeClr val="accent1"/>
              </a:fillRef>
              <a:effectRef idx="1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  <xdr:sp macro="" textlink="">
            <xdr:nvSpPr>
              <xdr:cNvPr id="77" name="Rectangle à coins arrondis 76">
                <a:extLst>
                  <a:ext uri="{FF2B5EF4-FFF2-40B4-BE49-F238E27FC236}">
                    <a16:creationId xmlns:a16="http://schemas.microsoft.com/office/drawing/2014/main" id="{00000000-0008-0000-0000-00004D000000}"/>
                  </a:ext>
                </a:extLst>
              </xdr:cNvPr>
              <xdr:cNvSpPr/>
            </xdr:nvSpPr>
            <xdr:spPr bwMode="auto">
              <a:xfrm>
                <a:off x="-85580" y="328741"/>
                <a:ext cx="1312802" cy="1655808"/>
              </a:xfrm>
              <a:prstGeom prst="roundRect">
                <a:avLst/>
              </a:prstGeom>
              <a:blipFill>
                <a:blip xmlns:r="http://schemas.openxmlformats.org/officeDocument/2006/relationships" r:embed="rId5" cstate="print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sp macro="" textlink="$H$5">
          <xdr:nvSpPr>
            <xdr:cNvPr id="75" name="Rectangle à coins arrondis 74">
              <a:extLst>
                <a:ext uri="{FF2B5EF4-FFF2-40B4-BE49-F238E27FC236}">
                  <a16:creationId xmlns:a16="http://schemas.microsoft.com/office/drawing/2014/main" id="{00000000-0008-0000-0000-00004B000000}"/>
                </a:ext>
              </a:extLst>
            </xdr:cNvPr>
            <xdr:cNvSpPr/>
          </xdr:nvSpPr>
          <xdr:spPr bwMode="auto">
            <a:xfrm>
              <a:off x="1210288" y="2606067"/>
              <a:ext cx="1153436" cy="695325"/>
            </a:xfrm>
            <a:prstGeom prst="roundRect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ctr" upright="1"/>
            <a:lstStyle/>
            <a:p>
              <a:pPr algn="l"/>
              <a:fld id="{067B1D00-6198-4334-957E-891938F75484}" type="TxLink">
                <a:rPr lang="en-US" sz="1600" b="1" i="0" u="none" strike="noStrike">
                  <a:solidFill>
                    <a:srgbClr val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pPr algn="l"/>
                <a:t>-24,96%</a:t>
              </a:fld>
              <a:endParaRPr lang="fr-FR" sz="344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aphicFrame macro="">
        <xdr:nvGraphicFramePr>
          <xdr:cNvPr id="81" name="Graphique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GraphicFramePr>
            <a:graphicFrameLocks/>
          </xdr:cNvGraphicFramePr>
        </xdr:nvGraphicFramePr>
        <xdr:xfrm>
          <a:off x="4043978" y="3962400"/>
          <a:ext cx="880447" cy="5108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6</xdr:col>
      <xdr:colOff>38100</xdr:colOff>
      <xdr:row>5</xdr:row>
      <xdr:rowOff>123825</xdr:rowOff>
    </xdr:from>
    <xdr:to>
      <xdr:col>9</xdr:col>
      <xdr:colOff>9525</xdr:colOff>
      <xdr:row>9</xdr:row>
      <xdr:rowOff>161925</xdr:rowOff>
    </xdr:to>
    <xdr:grpSp>
      <xdr:nvGrpSpPr>
        <xdr:cNvPr id="94" name="Group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5238750" y="1076325"/>
          <a:ext cx="2257425" cy="800100"/>
          <a:chOff x="476612" y="3424918"/>
          <a:chExt cx="2171700" cy="1143000"/>
        </a:xfrm>
      </xdr:grpSpPr>
      <xdr:grpSp>
        <xdr:nvGrpSpPr>
          <xdr:cNvPr id="83" name="Groupe 82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GrpSpPr/>
        </xdr:nvGrpSpPr>
        <xdr:grpSpPr>
          <a:xfrm>
            <a:off x="476612" y="3424918"/>
            <a:ext cx="2171700" cy="1143000"/>
            <a:chOff x="4619747" y="291193"/>
            <a:chExt cx="2228849" cy="1143000"/>
          </a:xfrm>
        </xdr:grpSpPr>
        <xdr:grpSp>
          <xdr:nvGrpSpPr>
            <xdr:cNvPr id="86" name="Groupe 51">
              <a:extLst>
                <a:ext uri="{FF2B5EF4-FFF2-40B4-BE49-F238E27FC236}">
                  <a16:creationId xmlns:a16="http://schemas.microsoft.com/office/drawing/2014/main" id="{00000000-0008-0000-0000-000056000000}"/>
                </a:ext>
              </a:extLst>
            </xdr:cNvPr>
            <xdr:cNvGrpSpPr/>
          </xdr:nvGrpSpPr>
          <xdr:grpSpPr>
            <a:xfrm>
              <a:off x="4619747" y="291193"/>
              <a:ext cx="2228849" cy="1143000"/>
              <a:chOff x="-262444" y="1632033"/>
              <a:chExt cx="2724151" cy="1724025"/>
            </a:xfrm>
          </xdr:grpSpPr>
          <xdr:grpSp>
            <xdr:nvGrpSpPr>
              <xdr:cNvPr id="88" name="Groupe 53">
                <a:extLst>
                  <a:ext uri="{FF2B5EF4-FFF2-40B4-BE49-F238E27FC236}">
                    <a16:creationId xmlns:a16="http://schemas.microsoft.com/office/drawing/2014/main" id="{00000000-0008-0000-0000-000058000000}"/>
                  </a:ext>
                </a:extLst>
              </xdr:cNvPr>
              <xdr:cNvGrpSpPr/>
            </xdr:nvGrpSpPr>
            <xdr:grpSpPr>
              <a:xfrm>
                <a:off x="-262444" y="1632033"/>
                <a:ext cx="2724151" cy="1724025"/>
                <a:chOff x="-141489" y="279483"/>
                <a:chExt cx="2657475" cy="1724025"/>
              </a:xfrm>
            </xdr:grpSpPr>
            <xdr:sp macro="" textlink="">
              <xdr:nvSpPr>
                <xdr:cNvPr id="90" name="Rectangle 89">
                  <a:extLst>
                    <a:ext uri="{FF2B5EF4-FFF2-40B4-BE49-F238E27FC236}">
                      <a16:creationId xmlns:a16="http://schemas.microsoft.com/office/drawing/2014/main" id="{00000000-0008-0000-0000-00005A000000}"/>
                    </a:ext>
                  </a:extLst>
                </xdr:cNvPr>
                <xdr:cNvSpPr/>
              </xdr:nvSpPr>
              <xdr:spPr bwMode="auto">
                <a:xfrm>
                  <a:off x="-141489" y="279483"/>
                  <a:ext cx="2657475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">
              <xdr:nvSpPr>
                <xdr:cNvPr id="91" name="Rectangle à coins arrondis 90">
                  <a:extLst>
                    <a:ext uri="{FF2B5EF4-FFF2-40B4-BE49-F238E27FC236}">
                      <a16:creationId xmlns:a16="http://schemas.microsoft.com/office/drawing/2014/main" id="{00000000-0008-0000-0000-00005B000000}"/>
                    </a:ext>
                  </a:extLst>
                </xdr:cNvPr>
                <xdr:cNvSpPr/>
              </xdr:nvSpPr>
              <xdr:spPr bwMode="auto">
                <a:xfrm>
                  <a:off x="-85580" y="689963"/>
                  <a:ext cx="1224383" cy="1294583"/>
                </a:xfrm>
                <a:prstGeom prst="roundRect">
                  <a:avLst/>
                </a:prstGeom>
                <a:blipFill>
                  <a:blip xmlns:r="http://schemas.openxmlformats.org/officeDocument/2006/relationships" r:embed="rId7" cstate="print"/>
                  <a:stretch>
                    <a:fillRect/>
                  </a:stretch>
                </a:blip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</xdr:grpSp>
          <xdr:sp macro="" textlink="$H$9">
            <xdr:nvSpPr>
              <xdr:cNvPr id="89" name="Rectangle à coins arrondis 88">
                <a:extLst>
                  <a:ext uri="{FF2B5EF4-FFF2-40B4-BE49-F238E27FC236}">
                    <a16:creationId xmlns:a16="http://schemas.microsoft.com/office/drawing/2014/main" id="{00000000-0008-0000-0000-000059000000}"/>
                  </a:ext>
                </a:extLst>
              </xdr:cNvPr>
              <xdr:cNvSpPr/>
            </xdr:nvSpPr>
            <xdr:spPr bwMode="auto">
              <a:xfrm>
                <a:off x="1115945" y="2620433"/>
                <a:ext cx="1266451" cy="695324"/>
              </a:xfrm>
              <a:prstGeom prst="roundRect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ctr" upright="1"/>
              <a:lstStyle/>
              <a:p>
                <a:pPr algn="l"/>
                <a:fld id="{61F1A47C-7D2A-4AFE-B577-CA5C3C87E5C6}" type="TxLink">
                  <a:rPr lang="en-US" sz="1400" b="1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 algn="l"/>
                  <a:t>-6,18%</a:t>
                </a:fld>
                <a:endParaRPr lang="fr-FR" sz="714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85" name="ZoneTexte 84">
              <a:extLst>
                <a:ext uri="{FF2B5EF4-FFF2-40B4-BE49-F238E27FC236}">
                  <a16:creationId xmlns:a16="http://schemas.microsoft.com/office/drawing/2014/main" id="{00000000-0008-0000-0000-000055000000}"/>
                </a:ext>
              </a:extLst>
            </xdr:cNvPr>
            <xdr:cNvSpPr txBox="1"/>
          </xdr:nvSpPr>
          <xdr:spPr>
            <a:xfrm>
              <a:off x="4667250" y="314325"/>
              <a:ext cx="1047750" cy="2381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7030A0"/>
              </a:solidFill>
              <a:prstDash val="sysDash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lang="fr-FR" sz="1000"/>
                <a:t>PHOSPHATE</a:t>
              </a:r>
            </a:p>
          </xdr:txBody>
        </xdr:sp>
      </xdr:grpSp>
      <xdr:graphicFrame macro="">
        <xdr:nvGraphicFramePr>
          <xdr:cNvPr id="93" name="Graphique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GraphicFramePr>
            <a:graphicFrameLocks/>
          </xdr:cNvGraphicFramePr>
        </xdr:nvGraphicFramePr>
        <xdr:xfrm>
          <a:off x="1609725" y="3457575"/>
          <a:ext cx="948214" cy="552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6</xdr:col>
      <xdr:colOff>28575</xdr:colOff>
      <xdr:row>10</xdr:row>
      <xdr:rowOff>9525</xdr:rowOff>
    </xdr:from>
    <xdr:to>
      <xdr:col>9</xdr:col>
      <xdr:colOff>19050</xdr:colOff>
      <xdr:row>14</xdr:row>
      <xdr:rowOff>171450</xdr:rowOff>
    </xdr:to>
    <xdr:grpSp>
      <xdr:nvGrpSpPr>
        <xdr:cNvPr id="109" name="Group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/>
      </xdr:nvGrpSpPr>
      <xdr:grpSpPr>
        <a:xfrm>
          <a:off x="5229225" y="1914525"/>
          <a:ext cx="2276475" cy="923925"/>
          <a:chOff x="7400925" y="4191000"/>
          <a:chExt cx="2171700" cy="1143000"/>
        </a:xfrm>
      </xdr:grpSpPr>
      <xdr:grpSp>
        <xdr:nvGrpSpPr>
          <xdr:cNvPr id="96" name="Groupe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/>
        </xdr:nvGrpSpPr>
        <xdr:grpSpPr>
          <a:xfrm>
            <a:off x="7400925" y="4191000"/>
            <a:ext cx="2171700" cy="1143000"/>
            <a:chOff x="4629151" y="304800"/>
            <a:chExt cx="2228849" cy="1143000"/>
          </a:xfrm>
        </xdr:grpSpPr>
        <xdr:grpSp>
          <xdr:nvGrpSpPr>
            <xdr:cNvPr id="98" name="Groupe 51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GrpSpPr/>
          </xdr:nvGrpSpPr>
          <xdr:grpSpPr>
            <a:xfrm>
              <a:off x="4629151" y="304800"/>
              <a:ext cx="2228849" cy="1143000"/>
              <a:chOff x="-250950" y="1652557"/>
              <a:chExt cx="2724151" cy="1724025"/>
            </a:xfrm>
          </xdr:grpSpPr>
          <xdr:sp macro="" textlink="">
            <xdr:nvSpPr>
              <xdr:cNvPr id="102" name="Rectangle 101">
                <a:extLst>
                  <a:ext uri="{FF2B5EF4-FFF2-40B4-BE49-F238E27FC236}">
                    <a16:creationId xmlns:a16="http://schemas.microsoft.com/office/drawing/2014/main" id="{00000000-0008-0000-0000-000066000000}"/>
                  </a:ext>
                </a:extLst>
              </xdr:cNvPr>
              <xdr:cNvSpPr/>
            </xdr:nvSpPr>
            <xdr:spPr bwMode="auto">
              <a:xfrm>
                <a:off x="-250950" y="1652557"/>
                <a:ext cx="2724151" cy="1724025"/>
              </a:xfrm>
              <a:prstGeom prst="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3">
                <a:schemeClr val="lt1"/>
              </a:lnRef>
              <a:fillRef idx="1">
                <a:schemeClr val="accent1"/>
              </a:fillRef>
              <a:effectRef idx="1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  <xdr:sp macro="" textlink="$H$15">
            <xdr:nvSpPr>
              <xdr:cNvPr id="101" name="Rectangle à coins arrondis 100">
                <a:extLst>
                  <a:ext uri="{FF2B5EF4-FFF2-40B4-BE49-F238E27FC236}">
                    <a16:creationId xmlns:a16="http://schemas.microsoft.com/office/drawing/2014/main" id="{00000000-0008-0000-0000-000065000000}"/>
                  </a:ext>
                </a:extLst>
              </xdr:cNvPr>
              <xdr:cNvSpPr/>
            </xdr:nvSpPr>
            <xdr:spPr bwMode="auto">
              <a:xfrm>
                <a:off x="1161536" y="2602660"/>
                <a:ext cx="1233431" cy="695325"/>
              </a:xfrm>
              <a:prstGeom prst="roundRect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ctr" upright="1"/>
              <a:lstStyle/>
              <a:p>
                <a:pPr algn="l"/>
                <a:fld id="{6DAA9818-C47E-4594-96AD-84EA00D69323}" type="TxLink">
                  <a:rPr lang="en-US" sz="1600" b="1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 algn="l"/>
                  <a:t>-4,89%</a:t>
                </a:fld>
                <a:endParaRPr lang="fr-FR" sz="857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99" name="ZoneTexte 98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SpPr txBox="1"/>
          </xdr:nvSpPr>
          <xdr:spPr>
            <a:xfrm>
              <a:off x="4667249" y="314323"/>
              <a:ext cx="1080988" cy="24971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7030A0"/>
              </a:solidFill>
              <a:prstDash val="sysDash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lang="fr-FR" sz="1000"/>
                <a:t>CIMENT</a:t>
              </a:r>
            </a:p>
          </xdr:txBody>
        </xdr:sp>
      </xdr:grpSp>
      <xdr:sp macro="" textlink="">
        <xdr:nvSpPr>
          <xdr:cNvPr id="105" name="Rectangle à coins arrondis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 bwMode="auto">
          <a:xfrm>
            <a:off x="7410450" y="4457699"/>
            <a:ext cx="1089954" cy="869174"/>
          </a:xfrm>
          <a:prstGeom prst="roundRect">
            <a:avLst/>
          </a:prstGeom>
          <a:blipFill>
            <a:blip xmlns:r="http://schemas.openxmlformats.org/officeDocument/2006/relationships" r:embed="rId9"/>
            <a:stretch>
              <a:fillRect/>
            </a:stretch>
          </a:blip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fr-FR" sz="1100"/>
          </a:p>
        </xdr:txBody>
      </xdr:sp>
      <xdr:graphicFrame macro="">
        <xdr:nvGraphicFramePr>
          <xdr:cNvPr id="107" name="Graphique 10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GraphicFramePr>
            <a:graphicFrameLocks/>
          </xdr:cNvGraphicFramePr>
        </xdr:nvGraphicFramePr>
        <xdr:xfrm>
          <a:off x="8505825" y="4238625"/>
          <a:ext cx="1012280" cy="561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10</xdr:col>
      <xdr:colOff>2</xdr:colOff>
      <xdr:row>1</xdr:row>
      <xdr:rowOff>9527</xdr:rowOff>
    </xdr:from>
    <xdr:to>
      <xdr:col>11</xdr:col>
      <xdr:colOff>838202</xdr:colOff>
      <xdr:row>5</xdr:row>
      <xdr:rowOff>175216</xdr:rowOff>
    </xdr:to>
    <xdr:grpSp>
      <xdr:nvGrpSpPr>
        <xdr:cNvPr id="129" name="Group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GrpSpPr/>
      </xdr:nvGrpSpPr>
      <xdr:grpSpPr>
        <a:xfrm>
          <a:off x="7781927" y="200027"/>
          <a:ext cx="2076450" cy="927689"/>
          <a:chOff x="7694711" y="2085977"/>
          <a:chExt cx="2249395" cy="927689"/>
        </a:xfrm>
      </xdr:grpSpPr>
      <xdr:grpSp>
        <xdr:nvGrpSpPr>
          <xdr:cNvPr id="110" name="Groupe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GrpSpPr/>
        </xdr:nvGrpSpPr>
        <xdr:grpSpPr>
          <a:xfrm>
            <a:off x="7694711" y="2085977"/>
            <a:ext cx="2249395" cy="927689"/>
            <a:chOff x="7378517" y="4179217"/>
            <a:chExt cx="1549369" cy="1147656"/>
          </a:xfrm>
        </xdr:grpSpPr>
        <xdr:grpSp>
          <xdr:nvGrpSpPr>
            <xdr:cNvPr id="111" name="Groupe 110">
              <a:extLst>
                <a:ext uri="{FF2B5EF4-FFF2-40B4-BE49-F238E27FC236}">
                  <a16:creationId xmlns:a16="http://schemas.microsoft.com/office/drawing/2014/main" id="{00000000-0008-0000-0000-00006F000000}"/>
                </a:ext>
              </a:extLst>
            </xdr:cNvPr>
            <xdr:cNvGrpSpPr/>
          </xdr:nvGrpSpPr>
          <xdr:grpSpPr>
            <a:xfrm>
              <a:off x="7378517" y="4179217"/>
              <a:ext cx="1549369" cy="1143000"/>
              <a:chOff x="4606153" y="293017"/>
              <a:chExt cx="1590141" cy="1143000"/>
            </a:xfrm>
          </xdr:grpSpPr>
          <xdr:grpSp>
            <xdr:nvGrpSpPr>
              <xdr:cNvPr id="114" name="Groupe 51">
                <a:extLst>
                  <a:ext uri="{FF2B5EF4-FFF2-40B4-BE49-F238E27FC236}">
                    <a16:creationId xmlns:a16="http://schemas.microsoft.com/office/drawing/2014/main" id="{00000000-0008-0000-0000-000072000000}"/>
                  </a:ext>
                </a:extLst>
              </xdr:cNvPr>
              <xdr:cNvGrpSpPr/>
            </xdr:nvGrpSpPr>
            <xdr:grpSpPr>
              <a:xfrm>
                <a:off x="4620676" y="293017"/>
                <a:ext cx="1575618" cy="1143000"/>
                <a:chOff x="-261308" y="1634784"/>
                <a:chExt cx="1925757" cy="1724025"/>
              </a:xfrm>
            </xdr:grpSpPr>
            <xdr:sp macro="" textlink="">
              <xdr:nvSpPr>
                <xdr:cNvPr id="116" name="Rectangle 115">
                  <a:extLst>
                    <a:ext uri="{FF2B5EF4-FFF2-40B4-BE49-F238E27FC236}">
                      <a16:creationId xmlns:a16="http://schemas.microsoft.com/office/drawing/2014/main" id="{00000000-0008-0000-0000-000074000000}"/>
                    </a:ext>
                  </a:extLst>
                </xdr:cNvPr>
                <xdr:cNvSpPr/>
              </xdr:nvSpPr>
              <xdr:spPr bwMode="auto">
                <a:xfrm>
                  <a:off x="-261308" y="1634784"/>
                  <a:ext cx="189996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H$15">
              <xdr:nvSpPr>
                <xdr:cNvPr id="117" name="Rectangle à coins arrondis 116">
                  <a:extLst>
                    <a:ext uri="{FF2B5EF4-FFF2-40B4-BE49-F238E27FC236}">
                      <a16:creationId xmlns:a16="http://schemas.microsoft.com/office/drawing/2014/main" id="{00000000-0008-0000-0000-000075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6DAA9818-C47E-4594-96AD-84EA00D69323}" type="TxLink">
                    <a:rPr lang="en-US" sz="12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-4,89%</a:t>
                  </a:fld>
                  <a:endParaRPr lang="fr-FR" sz="595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15" name="ZoneTexte 114">
                <a:extLst>
                  <a:ext uri="{FF2B5EF4-FFF2-40B4-BE49-F238E27FC236}">
                    <a16:creationId xmlns:a16="http://schemas.microsoft.com/office/drawing/2014/main" id="{00000000-0008-0000-0000-000073000000}"/>
                  </a:ext>
                </a:extLst>
              </xdr:cNvPr>
              <xdr:cNvSpPr txBox="1"/>
            </xdr:nvSpPr>
            <xdr:spPr>
              <a:xfrm>
                <a:off x="4606153" y="314325"/>
                <a:ext cx="971148" cy="26149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700"/>
                  <a:t>MOUVEMENTS</a:t>
                </a:r>
                <a:r>
                  <a:rPr lang="fr-FR" sz="700" baseline="0"/>
                  <a:t> D'</a:t>
                </a:r>
                <a:r>
                  <a:rPr lang="fr-FR" sz="700"/>
                  <a:t>AERONEFS</a:t>
                </a:r>
              </a:p>
            </xdr:txBody>
          </xdr:sp>
        </xdr:grpSp>
        <xdr:sp macro="" textlink="">
          <xdr:nvSpPr>
            <xdr:cNvPr id="112" name="Rectangle à coins arrondis 111">
              <a:extLst>
                <a:ext uri="{FF2B5EF4-FFF2-40B4-BE49-F238E27FC236}">
                  <a16:creationId xmlns:a16="http://schemas.microsoft.com/office/drawing/2014/main" id="{00000000-0008-0000-0000-000070000000}"/>
                </a:ext>
              </a:extLst>
            </xdr:cNvPr>
            <xdr:cNvSpPr/>
          </xdr:nvSpPr>
          <xdr:spPr bwMode="auto">
            <a:xfrm>
              <a:off x="7410451" y="4450238"/>
              <a:ext cx="955436" cy="876635"/>
            </a:xfrm>
            <a:prstGeom prst="roundRect">
              <a:avLst/>
            </a:prstGeom>
            <a:blipFill>
              <a:blip xmlns:r="http://schemas.openxmlformats.org/officeDocument/2006/relationships" r:embed="rId11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119" name="Graphique 118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GraphicFramePr>
            <a:graphicFrameLocks/>
          </xdr:cNvGraphicFramePr>
        </xdr:nvGraphicFramePr>
        <xdr:xfrm>
          <a:off x="9115425" y="2105025"/>
          <a:ext cx="790575" cy="4857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6</xdr:col>
      <xdr:colOff>57150</xdr:colOff>
      <xdr:row>1</xdr:row>
      <xdr:rowOff>47625</xdr:rowOff>
    </xdr:from>
    <xdr:to>
      <xdr:col>6</xdr:col>
      <xdr:colOff>485775</xdr:colOff>
      <xdr:row>2</xdr:row>
      <xdr:rowOff>104775</xdr:rowOff>
    </xdr:to>
    <xdr:sp macro="" textlink="">
      <xdr:nvSpPr>
        <xdr:cNvPr id="120" name="ZoneText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5191125" y="238125"/>
          <a:ext cx="428625" cy="24765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000" b="1"/>
            <a:t>OR</a:t>
          </a:r>
        </a:p>
      </xdr:txBody>
    </xdr:sp>
    <xdr:clientData/>
  </xdr:twoCellAnchor>
  <xdr:twoCellAnchor>
    <xdr:from>
      <xdr:col>9</xdr:col>
      <xdr:colOff>285749</xdr:colOff>
      <xdr:row>6</xdr:row>
      <xdr:rowOff>19050</xdr:rowOff>
    </xdr:from>
    <xdr:to>
      <xdr:col>12</xdr:col>
      <xdr:colOff>0</xdr:colOff>
      <xdr:row>10</xdr:row>
      <xdr:rowOff>184739</xdr:rowOff>
    </xdr:to>
    <xdr:grpSp>
      <xdr:nvGrpSpPr>
        <xdr:cNvPr id="131" name="Group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GrpSpPr/>
      </xdr:nvGrpSpPr>
      <xdr:grpSpPr>
        <a:xfrm>
          <a:off x="7772399" y="1162050"/>
          <a:ext cx="2105026" cy="927689"/>
          <a:chOff x="6657974" y="4000500"/>
          <a:chExt cx="2276475" cy="927689"/>
        </a:xfrm>
      </xdr:grpSpPr>
      <xdr:grpSp>
        <xdr:nvGrpSpPr>
          <xdr:cNvPr id="122" name="Groupe 121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GrpSpPr/>
        </xdr:nvGrpSpPr>
        <xdr:grpSpPr>
          <a:xfrm>
            <a:off x="6657974" y="4000500"/>
            <a:ext cx="2276475" cy="927689"/>
            <a:chOff x="7392667" y="4179217"/>
            <a:chExt cx="1568022" cy="1147656"/>
          </a:xfrm>
        </xdr:grpSpPr>
        <xdr:grpSp>
          <xdr:nvGrpSpPr>
            <xdr:cNvPr id="123" name="Groupe 122">
              <a:extLst>
                <a:ext uri="{FF2B5EF4-FFF2-40B4-BE49-F238E27FC236}">
                  <a16:creationId xmlns:a16="http://schemas.microsoft.com/office/drawing/2014/main" id="{00000000-0008-0000-0000-00007B000000}"/>
                </a:ext>
              </a:extLst>
            </xdr:cNvPr>
            <xdr:cNvGrpSpPr/>
          </xdr:nvGrpSpPr>
          <xdr:grpSpPr>
            <a:xfrm>
              <a:off x="7392667" y="4179217"/>
              <a:ext cx="1568022" cy="1143000"/>
              <a:chOff x="4620675" y="293017"/>
              <a:chExt cx="1609285" cy="1143000"/>
            </a:xfrm>
          </xdr:grpSpPr>
          <xdr:grpSp>
            <xdr:nvGrpSpPr>
              <xdr:cNvPr id="125" name="Groupe 51">
                <a:extLst>
                  <a:ext uri="{FF2B5EF4-FFF2-40B4-BE49-F238E27FC236}">
                    <a16:creationId xmlns:a16="http://schemas.microsoft.com/office/drawing/2014/main" id="{00000000-0008-0000-0000-00007D000000}"/>
                  </a:ext>
                </a:extLst>
              </xdr:cNvPr>
              <xdr:cNvGrpSpPr/>
            </xdr:nvGrpSpPr>
            <xdr:grpSpPr>
              <a:xfrm>
                <a:off x="4620675" y="293017"/>
                <a:ext cx="1609285" cy="1143000"/>
                <a:chOff x="-261309" y="1634784"/>
                <a:chExt cx="1966906" cy="1724025"/>
              </a:xfrm>
            </xdr:grpSpPr>
            <xdr:sp macro="" textlink="">
              <xdr:nvSpPr>
                <xdr:cNvPr id="127" name="Rectangle 126">
                  <a:extLst>
                    <a:ext uri="{FF2B5EF4-FFF2-40B4-BE49-F238E27FC236}">
                      <a16:creationId xmlns:a16="http://schemas.microsoft.com/office/drawing/2014/main" id="{00000000-0008-0000-0000-00007F000000}"/>
                    </a:ext>
                  </a:extLst>
                </xdr:cNvPr>
                <xdr:cNvSpPr/>
              </xdr:nvSpPr>
              <xdr:spPr bwMode="auto">
                <a:xfrm>
                  <a:off x="-261309" y="1634784"/>
                  <a:ext cx="196690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L$10">
              <xdr:nvSpPr>
                <xdr:cNvPr id="128" name="Rectangle à coins arrondis 127">
                  <a:extLst>
                    <a:ext uri="{FF2B5EF4-FFF2-40B4-BE49-F238E27FC236}">
                      <a16:creationId xmlns:a16="http://schemas.microsoft.com/office/drawing/2014/main" id="{00000000-0008-0000-0000-000080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9FB11218-9468-4E5A-80DF-7393B9578B49}" type="TxLink">
                    <a:rPr lang="en-US" sz="11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2,46%</a:t>
                  </a:fld>
                  <a:endParaRPr lang="fr-FR" sz="857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26" name="ZoneTexte 125">
                <a:extLst>
                  <a:ext uri="{FF2B5EF4-FFF2-40B4-BE49-F238E27FC236}">
                    <a16:creationId xmlns:a16="http://schemas.microsoft.com/office/drawing/2014/main" id="{00000000-0008-0000-0000-00007E000000}"/>
                  </a:ext>
                </a:extLst>
              </xdr:cNvPr>
              <xdr:cNvSpPr txBox="1"/>
            </xdr:nvSpPr>
            <xdr:spPr>
              <a:xfrm>
                <a:off x="4667249" y="314325"/>
                <a:ext cx="910052" cy="22614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700"/>
                  <a:t>PASSAGERS</a:t>
                </a:r>
              </a:p>
            </xdr:txBody>
          </xdr:sp>
        </xdr:grpSp>
        <xdr:sp macro="" textlink="">
          <xdr:nvSpPr>
            <xdr:cNvPr id="124" name="Rectangle à coins arrondis 123">
              <a:extLst>
                <a:ext uri="{FF2B5EF4-FFF2-40B4-BE49-F238E27FC236}">
                  <a16:creationId xmlns:a16="http://schemas.microsoft.com/office/drawing/2014/main" id="{00000000-0008-0000-0000-00007C000000}"/>
                </a:ext>
              </a:extLst>
            </xdr:cNvPr>
            <xdr:cNvSpPr/>
          </xdr:nvSpPr>
          <xdr:spPr bwMode="auto">
            <a:xfrm>
              <a:off x="7410451" y="4450238"/>
              <a:ext cx="940087" cy="876635"/>
            </a:xfrm>
            <a:prstGeom prst="roundRect">
              <a:avLst/>
            </a:prstGeom>
            <a:blipFill>
              <a:blip xmlns:r="http://schemas.openxmlformats.org/officeDocument/2006/relationships" r:embed="rId13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130" name="Graphique 129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GraphicFramePr>
            <a:graphicFrameLocks/>
          </xdr:cNvGraphicFramePr>
        </xdr:nvGraphicFramePr>
        <xdr:xfrm>
          <a:off x="8077200" y="4029075"/>
          <a:ext cx="781050" cy="552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  <xdr:twoCellAnchor>
    <xdr:from>
      <xdr:col>13</xdr:col>
      <xdr:colOff>0</xdr:colOff>
      <xdr:row>1</xdr:row>
      <xdr:rowOff>28575</xdr:rowOff>
    </xdr:from>
    <xdr:to>
      <xdr:col>15</xdr:col>
      <xdr:colOff>752475</xdr:colOff>
      <xdr:row>8</xdr:row>
      <xdr:rowOff>85725</xdr:rowOff>
    </xdr:to>
    <xdr:grpSp>
      <xdr:nvGrpSpPr>
        <xdr:cNvPr id="156" name="Group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GrpSpPr/>
      </xdr:nvGrpSpPr>
      <xdr:grpSpPr>
        <a:xfrm>
          <a:off x="10106025" y="219075"/>
          <a:ext cx="2276475" cy="1390650"/>
          <a:chOff x="8963025" y="3810000"/>
          <a:chExt cx="2276475" cy="927689"/>
        </a:xfrm>
      </xdr:grpSpPr>
      <xdr:grpSp>
        <xdr:nvGrpSpPr>
          <xdr:cNvPr id="145" name="Groupe 144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GrpSpPr/>
        </xdr:nvGrpSpPr>
        <xdr:grpSpPr>
          <a:xfrm>
            <a:off x="8963025" y="3810000"/>
            <a:ext cx="2276475" cy="927689"/>
            <a:chOff x="7392667" y="4179217"/>
            <a:chExt cx="1568022" cy="1147656"/>
          </a:xfrm>
        </xdr:grpSpPr>
        <xdr:grpSp>
          <xdr:nvGrpSpPr>
            <xdr:cNvPr id="147" name="Groupe 146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GrpSpPr/>
          </xdr:nvGrpSpPr>
          <xdr:grpSpPr>
            <a:xfrm>
              <a:off x="7392667" y="4179217"/>
              <a:ext cx="1568022" cy="1143000"/>
              <a:chOff x="4620675" y="293017"/>
              <a:chExt cx="1609285" cy="1143000"/>
            </a:xfrm>
          </xdr:grpSpPr>
          <xdr:grpSp>
            <xdr:nvGrpSpPr>
              <xdr:cNvPr id="149" name="Groupe 51">
                <a:extLst>
                  <a:ext uri="{FF2B5EF4-FFF2-40B4-BE49-F238E27FC236}">
                    <a16:creationId xmlns:a16="http://schemas.microsoft.com/office/drawing/2014/main" id="{00000000-0008-0000-0000-000095000000}"/>
                  </a:ext>
                </a:extLst>
              </xdr:cNvPr>
              <xdr:cNvGrpSpPr/>
            </xdr:nvGrpSpPr>
            <xdr:grpSpPr>
              <a:xfrm>
                <a:off x="4620675" y="293017"/>
                <a:ext cx="1609285" cy="1143000"/>
                <a:chOff x="-261309" y="1634784"/>
                <a:chExt cx="1966906" cy="1724025"/>
              </a:xfrm>
            </xdr:grpSpPr>
            <xdr:sp macro="" textlink="">
              <xdr:nvSpPr>
                <xdr:cNvPr id="151" name="Rectangle 150">
                  <a:extLst>
                    <a:ext uri="{FF2B5EF4-FFF2-40B4-BE49-F238E27FC236}">
                      <a16:creationId xmlns:a16="http://schemas.microsoft.com/office/drawing/2014/main" id="{00000000-0008-0000-0000-000097000000}"/>
                    </a:ext>
                  </a:extLst>
                </xdr:cNvPr>
                <xdr:cNvSpPr/>
              </xdr:nvSpPr>
              <xdr:spPr bwMode="auto">
                <a:xfrm>
                  <a:off x="-261309" y="1634784"/>
                  <a:ext cx="196690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O$5">
              <xdr:nvSpPr>
                <xdr:cNvPr id="152" name="Rectangle à coins arrondis 151">
                  <a:extLst>
                    <a:ext uri="{FF2B5EF4-FFF2-40B4-BE49-F238E27FC236}">
                      <a16:creationId xmlns:a16="http://schemas.microsoft.com/office/drawing/2014/main" id="{00000000-0008-0000-0000-000098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A064C597-1B79-4CA2-9F7F-95B3EF5A6097}" type="TxLink">
                    <a:rPr lang="en-US" sz="14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1,87%</a:t>
                  </a:fld>
                  <a:endParaRPr lang="fr-FR" sz="1234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50" name="ZoneTexte 149">
                <a:extLst>
                  <a:ext uri="{FF2B5EF4-FFF2-40B4-BE49-F238E27FC236}">
                    <a16:creationId xmlns:a16="http://schemas.microsoft.com/office/drawing/2014/main" id="{00000000-0008-0000-0000-000096000000}"/>
                  </a:ext>
                </a:extLst>
              </xdr:cNvPr>
              <xdr:cNvSpPr txBox="1"/>
            </xdr:nvSpPr>
            <xdr:spPr>
              <a:xfrm>
                <a:off x="4627408" y="298604"/>
                <a:ext cx="983078" cy="206651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900"/>
                  <a:t>EMBARQUEMENTS</a:t>
                </a:r>
              </a:p>
            </xdr:txBody>
          </xdr:sp>
        </xdr:grpSp>
        <xdr:sp macro="" textlink="">
          <xdr:nvSpPr>
            <xdr:cNvPr id="148" name="Rectangle à coins arrondis 147">
              <a:extLst>
                <a:ext uri="{FF2B5EF4-FFF2-40B4-BE49-F238E27FC236}">
                  <a16:creationId xmlns:a16="http://schemas.microsoft.com/office/drawing/2014/main" id="{00000000-0008-0000-0000-000094000000}"/>
                </a:ext>
              </a:extLst>
            </xdr:cNvPr>
            <xdr:cNvSpPr/>
          </xdr:nvSpPr>
          <xdr:spPr bwMode="auto">
            <a:xfrm>
              <a:off x="7410451" y="4399315"/>
              <a:ext cx="940087" cy="927558"/>
            </a:xfrm>
            <a:prstGeom prst="roundRect">
              <a:avLst/>
            </a:prstGeom>
            <a:blipFill>
              <a:blip xmlns:r="http://schemas.openxmlformats.org/officeDocument/2006/relationships" r:embed="rId15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155" name="Graphique 154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GraphicFramePr>
            <a:graphicFrameLocks/>
          </xdr:cNvGraphicFramePr>
        </xdr:nvGraphicFramePr>
        <xdr:xfrm>
          <a:off x="10363200" y="3829050"/>
          <a:ext cx="800100" cy="533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>
    <xdr:from>
      <xdr:col>13</xdr:col>
      <xdr:colOff>0</xdr:colOff>
      <xdr:row>8</xdr:row>
      <xdr:rowOff>114300</xdr:rowOff>
    </xdr:from>
    <xdr:to>
      <xdr:col>15</xdr:col>
      <xdr:colOff>752475</xdr:colOff>
      <xdr:row>14</xdr:row>
      <xdr:rowOff>104776</xdr:rowOff>
    </xdr:to>
    <xdr:grpSp>
      <xdr:nvGrpSpPr>
        <xdr:cNvPr id="167" name="Group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GrpSpPr/>
      </xdr:nvGrpSpPr>
      <xdr:grpSpPr>
        <a:xfrm>
          <a:off x="10106025" y="1638300"/>
          <a:ext cx="2276475" cy="1133476"/>
          <a:chOff x="8724900" y="3829051"/>
          <a:chExt cx="2276475" cy="927690"/>
        </a:xfrm>
      </xdr:grpSpPr>
      <xdr:grpSp>
        <xdr:nvGrpSpPr>
          <xdr:cNvPr id="158" name="Groupe 157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GrpSpPr/>
        </xdr:nvGrpSpPr>
        <xdr:grpSpPr>
          <a:xfrm>
            <a:off x="8724900" y="3829051"/>
            <a:ext cx="2276475" cy="927690"/>
            <a:chOff x="7392667" y="4179217"/>
            <a:chExt cx="1568022" cy="1147657"/>
          </a:xfrm>
        </xdr:grpSpPr>
        <xdr:grpSp>
          <xdr:nvGrpSpPr>
            <xdr:cNvPr id="160" name="Groupe 159">
              <a:extLst>
                <a:ext uri="{FF2B5EF4-FFF2-40B4-BE49-F238E27FC236}">
                  <a16:creationId xmlns:a16="http://schemas.microsoft.com/office/drawing/2014/main" id="{00000000-0008-0000-0000-0000A0000000}"/>
                </a:ext>
              </a:extLst>
            </xdr:cNvPr>
            <xdr:cNvGrpSpPr/>
          </xdr:nvGrpSpPr>
          <xdr:grpSpPr>
            <a:xfrm>
              <a:off x="7392667" y="4179217"/>
              <a:ext cx="1568022" cy="1143000"/>
              <a:chOff x="4620675" y="293017"/>
              <a:chExt cx="1609285" cy="1143000"/>
            </a:xfrm>
          </xdr:grpSpPr>
          <xdr:grpSp>
            <xdr:nvGrpSpPr>
              <xdr:cNvPr id="162" name="Groupe 51">
                <a:extLst>
                  <a:ext uri="{FF2B5EF4-FFF2-40B4-BE49-F238E27FC236}">
                    <a16:creationId xmlns:a16="http://schemas.microsoft.com/office/drawing/2014/main" id="{00000000-0008-0000-0000-0000A2000000}"/>
                  </a:ext>
                </a:extLst>
              </xdr:cNvPr>
              <xdr:cNvGrpSpPr/>
            </xdr:nvGrpSpPr>
            <xdr:grpSpPr>
              <a:xfrm>
                <a:off x="4620675" y="293017"/>
                <a:ext cx="1609285" cy="1143000"/>
                <a:chOff x="-261309" y="1634784"/>
                <a:chExt cx="1966906" cy="1724025"/>
              </a:xfrm>
            </xdr:grpSpPr>
            <xdr:sp macro="" textlink="">
              <xdr:nvSpPr>
                <xdr:cNvPr id="164" name="Rectangle 163">
                  <a:extLst>
                    <a:ext uri="{FF2B5EF4-FFF2-40B4-BE49-F238E27FC236}">
                      <a16:creationId xmlns:a16="http://schemas.microsoft.com/office/drawing/2014/main" id="{00000000-0008-0000-0000-0000A4000000}"/>
                    </a:ext>
                  </a:extLst>
                </xdr:cNvPr>
                <xdr:cNvSpPr/>
              </xdr:nvSpPr>
              <xdr:spPr bwMode="auto">
                <a:xfrm>
                  <a:off x="-261309" y="1634784"/>
                  <a:ext cx="196690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O$14">
              <xdr:nvSpPr>
                <xdr:cNvPr id="165" name="Rectangle à coins arrondis 164">
                  <a:extLst>
                    <a:ext uri="{FF2B5EF4-FFF2-40B4-BE49-F238E27FC236}">
                      <a16:creationId xmlns:a16="http://schemas.microsoft.com/office/drawing/2014/main" id="{00000000-0008-0000-0000-0000A5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D17E276B-86CE-4AF7-AF04-2427A8CD72DC}" type="TxLink">
                    <a:rPr lang="en-US" sz="14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-20,51%</a:t>
                  </a:fld>
                  <a:endParaRPr lang="fr-FR" sz="1234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63" name="ZoneTexte 162">
                <a:extLst>
                  <a:ext uri="{FF2B5EF4-FFF2-40B4-BE49-F238E27FC236}">
                    <a16:creationId xmlns:a16="http://schemas.microsoft.com/office/drawing/2014/main" id="{00000000-0008-0000-0000-0000A3000000}"/>
                  </a:ext>
                </a:extLst>
              </xdr:cNvPr>
              <xdr:cNvSpPr txBox="1"/>
            </xdr:nvSpPr>
            <xdr:spPr>
              <a:xfrm>
                <a:off x="4640875" y="314325"/>
                <a:ext cx="956144" cy="20050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900"/>
                  <a:t>DEBARQUEMENTS</a:t>
                </a:r>
              </a:p>
            </xdr:txBody>
          </xdr:sp>
        </xdr:grpSp>
        <xdr:sp macro="" textlink="">
          <xdr:nvSpPr>
            <xdr:cNvPr id="161" name="Rectangle à coins arrondis 160">
              <a:extLst>
                <a:ext uri="{FF2B5EF4-FFF2-40B4-BE49-F238E27FC236}">
                  <a16:creationId xmlns:a16="http://schemas.microsoft.com/office/drawing/2014/main" id="{00000000-0008-0000-0000-0000A1000000}"/>
                </a:ext>
              </a:extLst>
            </xdr:cNvPr>
            <xdr:cNvSpPr/>
          </xdr:nvSpPr>
          <xdr:spPr bwMode="auto">
            <a:xfrm>
              <a:off x="7410451" y="4401034"/>
              <a:ext cx="940087" cy="925840"/>
            </a:xfrm>
            <a:prstGeom prst="roundRect">
              <a:avLst/>
            </a:prstGeom>
            <a:blipFill>
              <a:blip xmlns:r="http://schemas.openxmlformats.org/officeDocument/2006/relationships" r:embed="rId17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166" name="Graphique 165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GraphicFramePr>
            <a:graphicFrameLocks/>
          </xdr:cNvGraphicFramePr>
        </xdr:nvGraphicFramePr>
        <xdr:xfrm>
          <a:off x="10115550" y="3838575"/>
          <a:ext cx="847725" cy="581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0</xdr:col>
      <xdr:colOff>28575</xdr:colOff>
      <xdr:row>5</xdr:row>
      <xdr:rowOff>19050</xdr:rowOff>
    </xdr:from>
    <xdr:to>
      <xdr:col>2</xdr:col>
      <xdr:colOff>9525</xdr:colOff>
      <xdr:row>10</xdr:row>
      <xdr:rowOff>28575</xdr:rowOff>
    </xdr:to>
    <xdr:grpSp>
      <xdr:nvGrpSpPr>
        <xdr:cNvPr id="177" name="Group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28575" y="971550"/>
          <a:ext cx="2638425" cy="962025"/>
          <a:chOff x="228600" y="3810000"/>
          <a:chExt cx="2562225" cy="1038225"/>
        </a:xfrm>
      </xdr:grpSpPr>
      <xdr:grpSp>
        <xdr:nvGrpSpPr>
          <xdr:cNvPr id="3" name="Group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228600" y="3810000"/>
            <a:ext cx="2562225" cy="1038225"/>
            <a:chOff x="9526" y="1685925"/>
            <a:chExt cx="2724151" cy="1724025"/>
          </a:xfrm>
        </xdr:grpSpPr>
        <xdr:grpSp>
          <xdr:nvGrpSpPr>
            <xdr:cNvPr id="5" name="Grou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9526" y="1685925"/>
              <a:ext cx="2724151" cy="1724025"/>
              <a:chOff x="123825" y="333375"/>
              <a:chExt cx="2657475" cy="1724025"/>
            </a:xfrm>
          </xdr:grpSpPr>
          <xdr:sp macro="" textlink="">
            <xdr:nvSpPr>
              <xdr:cNvPr id="7" name="Rectangle 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123825" y="333375"/>
                <a:ext cx="2657475" cy="1724025"/>
              </a:xfrm>
              <a:prstGeom prst="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3">
                <a:schemeClr val="lt1"/>
              </a:lnRef>
              <a:fillRef idx="1">
                <a:schemeClr val="accent1"/>
              </a:fillRef>
              <a:effectRef idx="1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  <xdr:sp macro="" textlink="">
            <xdr:nvSpPr>
              <xdr:cNvPr id="8" name="Rectangle à coins arrondis 7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200025" y="400050"/>
                <a:ext cx="1076325" cy="733425"/>
              </a:xfrm>
              <a:prstGeom prst="roundRect">
                <a:avLst/>
              </a:prstGeom>
              <a:blipFill>
                <a:blip xmlns:r="http://schemas.openxmlformats.org/officeDocument/2006/relationships" r:embed="rId19" cstate="print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  <xdr:sp macro="" textlink="$B$6">
            <xdr:nvSpPr>
              <xdr:cNvPr id="9" name="Rectangle à coins arrondis 8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 bwMode="auto">
              <a:xfrm>
                <a:off x="1314450" y="419100"/>
                <a:ext cx="1390650" cy="695325"/>
              </a:xfrm>
              <a:prstGeom prst="roundRect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ctr" upright="1"/>
              <a:lstStyle/>
              <a:p>
                <a:pPr algn="l"/>
                <a:fld id="{2C093814-00AD-4E41-BC04-0D575FBDB046}" type="TxLink">
                  <a:rPr lang="en-US" sz="2000" b="0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 algn="l"/>
                  <a:t> 59,27   </a:t>
                </a:fld>
                <a:endParaRPr lang="fr-FR" sz="5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0" name="ZoneTexte 9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 txBox="1"/>
            </xdr:nvSpPr>
            <xdr:spPr>
              <a:xfrm>
                <a:off x="2060126" y="538210"/>
                <a:ext cx="654500" cy="42783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fr-FR" sz="1100"/>
                  <a:t>$/baril</a:t>
                </a:r>
              </a:p>
            </xdr:txBody>
          </xdr:sp>
        </xdr:grpSp>
        <xdr:sp macro="" textlink="$B$9">
          <xdr:nvSpPr>
            <xdr:cNvPr id="6" name="Rectangle à coins arrondis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1276351" y="2590800"/>
              <a:ext cx="1390651" cy="695325"/>
            </a:xfrm>
            <a:prstGeom prst="roundRect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ctr" upright="1"/>
            <a:lstStyle/>
            <a:p>
              <a:pPr algn="l"/>
              <a:fld id="{90366655-3C8D-49AB-B856-7E3B7F4AAB16}" type="TxLink">
                <a:rPr lang="en-US" sz="2400" b="0" i="0" u="none" strike="noStrike">
                  <a:solidFill>
                    <a:srgbClr val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pPr algn="l"/>
                <a:t>6,45%</a:t>
              </a:fld>
              <a:endParaRPr lang="fr-FR" sz="138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aphicFrame macro="">
        <xdr:nvGraphicFramePr>
          <xdr:cNvPr id="176" name="Graphique 175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GraphicFramePr>
            <a:graphicFrameLocks/>
          </xdr:cNvGraphicFramePr>
        </xdr:nvGraphicFramePr>
        <xdr:xfrm>
          <a:off x="285750" y="4314825"/>
          <a:ext cx="1057275" cy="514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</xdr:grpSp>
    <xdr:clientData/>
  </xdr:twoCellAnchor>
  <xdr:twoCellAnchor>
    <xdr:from>
      <xdr:col>10</xdr:col>
      <xdr:colOff>0</xdr:colOff>
      <xdr:row>21</xdr:row>
      <xdr:rowOff>47625</xdr:rowOff>
    </xdr:from>
    <xdr:to>
      <xdr:col>12</xdr:col>
      <xdr:colOff>38100</xdr:colOff>
      <xdr:row>25</xdr:row>
      <xdr:rowOff>66675</xdr:rowOff>
    </xdr:to>
    <xdr:grpSp>
      <xdr:nvGrpSpPr>
        <xdr:cNvPr id="218" name="Group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781925" y="4048125"/>
          <a:ext cx="2133600" cy="781050"/>
          <a:chOff x="8372475" y="4429125"/>
          <a:chExt cx="2276475" cy="1133475"/>
        </a:xfrm>
      </xdr:grpSpPr>
      <xdr:grpSp>
        <xdr:nvGrpSpPr>
          <xdr:cNvPr id="189" name="Groupe 188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GrpSpPr/>
        </xdr:nvGrpSpPr>
        <xdr:grpSpPr>
          <a:xfrm>
            <a:off x="8372475" y="4429125"/>
            <a:ext cx="2276475" cy="1133475"/>
            <a:chOff x="7392667" y="4179217"/>
            <a:chExt cx="1568022" cy="1147656"/>
          </a:xfrm>
        </xdr:grpSpPr>
        <xdr:grpSp>
          <xdr:nvGrpSpPr>
            <xdr:cNvPr id="190" name="Groupe 189">
              <a:extLst>
                <a:ext uri="{FF2B5EF4-FFF2-40B4-BE49-F238E27FC236}">
                  <a16:creationId xmlns:a16="http://schemas.microsoft.com/office/drawing/2014/main" id="{00000000-0008-0000-0000-0000BE000000}"/>
                </a:ext>
              </a:extLst>
            </xdr:cNvPr>
            <xdr:cNvGrpSpPr/>
          </xdr:nvGrpSpPr>
          <xdr:grpSpPr>
            <a:xfrm>
              <a:off x="7392667" y="4179217"/>
              <a:ext cx="1568022" cy="1143000"/>
              <a:chOff x="4620675" y="293017"/>
              <a:chExt cx="1609285" cy="1143000"/>
            </a:xfrm>
          </xdr:grpSpPr>
          <xdr:grpSp>
            <xdr:nvGrpSpPr>
              <xdr:cNvPr id="192" name="Groupe 51">
                <a:extLst>
                  <a:ext uri="{FF2B5EF4-FFF2-40B4-BE49-F238E27FC236}">
                    <a16:creationId xmlns:a16="http://schemas.microsoft.com/office/drawing/2014/main" id="{00000000-0008-0000-0000-0000C0000000}"/>
                  </a:ext>
                </a:extLst>
              </xdr:cNvPr>
              <xdr:cNvGrpSpPr/>
            </xdr:nvGrpSpPr>
            <xdr:grpSpPr>
              <a:xfrm>
                <a:off x="4620675" y="293017"/>
                <a:ext cx="1609285" cy="1143000"/>
                <a:chOff x="-261309" y="1634784"/>
                <a:chExt cx="1966906" cy="1724025"/>
              </a:xfrm>
            </xdr:grpSpPr>
            <xdr:sp macro="" textlink="">
              <xdr:nvSpPr>
                <xdr:cNvPr id="194" name="Rectangle 193">
                  <a:extLst>
                    <a:ext uri="{FF2B5EF4-FFF2-40B4-BE49-F238E27FC236}">
                      <a16:creationId xmlns:a16="http://schemas.microsoft.com/office/drawing/2014/main" id="{00000000-0008-0000-0000-0000C2000000}"/>
                    </a:ext>
                  </a:extLst>
                </xdr:cNvPr>
                <xdr:cNvSpPr/>
              </xdr:nvSpPr>
              <xdr:spPr bwMode="auto">
                <a:xfrm>
                  <a:off x="-261309" y="1634784"/>
                  <a:ext cx="196690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L$25">
              <xdr:nvSpPr>
                <xdr:cNvPr id="195" name="Rectangle à coins arrondis 194">
                  <a:extLst>
                    <a:ext uri="{FF2B5EF4-FFF2-40B4-BE49-F238E27FC236}">
                      <a16:creationId xmlns:a16="http://schemas.microsoft.com/office/drawing/2014/main" id="{00000000-0008-0000-0000-0000C3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E5E8AF76-E9A8-47A2-9BEC-B235649504EE}" type="TxLink">
                    <a:rPr lang="en-US" sz="11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-100,00%</a:t>
                  </a:fld>
                  <a:endParaRPr lang="fr-FR" sz="857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93" name="ZoneTexte 192">
                <a:extLst>
                  <a:ext uri="{FF2B5EF4-FFF2-40B4-BE49-F238E27FC236}">
                    <a16:creationId xmlns:a16="http://schemas.microsoft.com/office/drawing/2014/main" id="{00000000-0008-0000-0000-0000C1000000}"/>
                  </a:ext>
                </a:extLst>
              </xdr:cNvPr>
              <xdr:cNvSpPr txBox="1"/>
            </xdr:nvSpPr>
            <xdr:spPr>
              <a:xfrm>
                <a:off x="4667249" y="314325"/>
                <a:ext cx="910052" cy="22614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900"/>
                  <a:t>PETROLE BRUT</a:t>
                </a:r>
              </a:p>
            </xdr:txBody>
          </xdr:sp>
        </xdr:grpSp>
        <xdr:sp macro="" textlink="">
          <xdr:nvSpPr>
            <xdr:cNvPr id="191" name="Rectangle à coins arrondis 190">
              <a:extLst>
                <a:ext uri="{FF2B5EF4-FFF2-40B4-BE49-F238E27FC236}">
                  <a16:creationId xmlns:a16="http://schemas.microsoft.com/office/drawing/2014/main" id="{00000000-0008-0000-0000-0000BF000000}"/>
                </a:ext>
              </a:extLst>
            </xdr:cNvPr>
            <xdr:cNvSpPr/>
          </xdr:nvSpPr>
          <xdr:spPr bwMode="auto">
            <a:xfrm>
              <a:off x="7410451" y="4450238"/>
              <a:ext cx="940087" cy="876635"/>
            </a:xfrm>
            <a:prstGeom prst="roundRect">
              <a:avLst/>
            </a:prstGeom>
            <a:blipFill>
              <a:blip xmlns:r="http://schemas.openxmlformats.org/officeDocument/2006/relationships" r:embed="rId21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215" name="Graphique 214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GraphicFramePr>
            <a:graphicFrameLocks/>
          </xdr:cNvGraphicFramePr>
        </xdr:nvGraphicFramePr>
        <xdr:xfrm>
          <a:off x="9791701" y="4448176"/>
          <a:ext cx="781049" cy="647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</xdr:grpSp>
    <xdr:clientData/>
  </xdr:twoCellAnchor>
  <xdr:twoCellAnchor>
    <xdr:from>
      <xdr:col>10</xdr:col>
      <xdr:colOff>19050</xdr:colOff>
      <xdr:row>16</xdr:row>
      <xdr:rowOff>28575</xdr:rowOff>
    </xdr:from>
    <xdr:to>
      <xdr:col>11</xdr:col>
      <xdr:colOff>847725</xdr:colOff>
      <xdr:row>21</xdr:row>
      <xdr:rowOff>9525</xdr:rowOff>
    </xdr:to>
    <xdr:grpSp>
      <xdr:nvGrpSpPr>
        <xdr:cNvPr id="217" name="Group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GrpSpPr/>
      </xdr:nvGrpSpPr>
      <xdr:grpSpPr>
        <a:xfrm>
          <a:off x="7800975" y="3076575"/>
          <a:ext cx="2066925" cy="933450"/>
          <a:chOff x="10229850" y="3552825"/>
          <a:chExt cx="2276475" cy="1133475"/>
        </a:xfrm>
      </xdr:grpSpPr>
      <xdr:grpSp>
        <xdr:nvGrpSpPr>
          <xdr:cNvPr id="179" name="Groupe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GrpSpPr/>
        </xdr:nvGrpSpPr>
        <xdr:grpSpPr>
          <a:xfrm>
            <a:off x="10229850" y="3552825"/>
            <a:ext cx="2276475" cy="1133475"/>
            <a:chOff x="7392667" y="4179217"/>
            <a:chExt cx="1568022" cy="1147656"/>
          </a:xfrm>
        </xdr:grpSpPr>
        <xdr:grpSp>
          <xdr:nvGrpSpPr>
            <xdr:cNvPr id="181" name="Groupe 180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GrpSpPr/>
          </xdr:nvGrpSpPr>
          <xdr:grpSpPr>
            <a:xfrm>
              <a:off x="7392667" y="4179217"/>
              <a:ext cx="1568022" cy="1143000"/>
              <a:chOff x="4620675" y="293017"/>
              <a:chExt cx="1609285" cy="1143000"/>
            </a:xfrm>
          </xdr:grpSpPr>
          <xdr:grpSp>
            <xdr:nvGrpSpPr>
              <xdr:cNvPr id="183" name="Groupe 51">
                <a:extLst>
                  <a:ext uri="{FF2B5EF4-FFF2-40B4-BE49-F238E27FC236}">
                    <a16:creationId xmlns:a16="http://schemas.microsoft.com/office/drawing/2014/main" id="{00000000-0008-0000-0000-0000B7000000}"/>
                  </a:ext>
                </a:extLst>
              </xdr:cNvPr>
              <xdr:cNvGrpSpPr/>
            </xdr:nvGrpSpPr>
            <xdr:grpSpPr>
              <a:xfrm>
                <a:off x="4620675" y="293017"/>
                <a:ext cx="1609285" cy="1143000"/>
                <a:chOff x="-261309" y="1634784"/>
                <a:chExt cx="1966906" cy="1724025"/>
              </a:xfrm>
            </xdr:grpSpPr>
            <xdr:sp macro="" textlink="">
              <xdr:nvSpPr>
                <xdr:cNvPr id="185" name="Rectangle 184">
                  <a:extLst>
                    <a:ext uri="{FF2B5EF4-FFF2-40B4-BE49-F238E27FC236}">
                      <a16:creationId xmlns:a16="http://schemas.microsoft.com/office/drawing/2014/main" id="{00000000-0008-0000-0000-0000B9000000}"/>
                    </a:ext>
                  </a:extLst>
                </xdr:cNvPr>
                <xdr:cNvSpPr/>
              </xdr:nvSpPr>
              <xdr:spPr bwMode="auto">
                <a:xfrm>
                  <a:off x="-261309" y="1634784"/>
                  <a:ext cx="196690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L$20">
              <xdr:nvSpPr>
                <xdr:cNvPr id="186" name="Rectangle à coins arrondis 185">
                  <a:extLst>
                    <a:ext uri="{FF2B5EF4-FFF2-40B4-BE49-F238E27FC236}">
                      <a16:creationId xmlns:a16="http://schemas.microsoft.com/office/drawing/2014/main" id="{00000000-0008-0000-0000-0000BA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DA63308D-F712-42CB-9E89-83DBDAE85AB7}" type="TxLink">
                    <a:rPr lang="en-US" sz="14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-3,60%</a:t>
                  </a:fld>
                  <a:endParaRPr lang="fr-FR" sz="1234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84" name="ZoneTexte 183">
                <a:extLst>
                  <a:ext uri="{FF2B5EF4-FFF2-40B4-BE49-F238E27FC236}">
                    <a16:creationId xmlns:a16="http://schemas.microsoft.com/office/drawing/2014/main" id="{00000000-0008-0000-0000-0000B8000000}"/>
                  </a:ext>
                </a:extLst>
              </xdr:cNvPr>
              <xdr:cNvSpPr txBox="1"/>
            </xdr:nvSpPr>
            <xdr:spPr>
              <a:xfrm>
                <a:off x="4667249" y="314325"/>
                <a:ext cx="910052" cy="22614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900"/>
                  <a:t>RIZ</a:t>
                </a:r>
              </a:p>
            </xdr:txBody>
          </xdr:sp>
        </xdr:grpSp>
        <xdr:sp macro="" textlink="">
          <xdr:nvSpPr>
            <xdr:cNvPr id="182" name="Rectangle à coins arrondis 181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SpPr/>
          </xdr:nvSpPr>
          <xdr:spPr bwMode="auto">
            <a:xfrm>
              <a:off x="7410451" y="4450238"/>
              <a:ext cx="940087" cy="876635"/>
            </a:xfrm>
            <a:prstGeom prst="roundRect">
              <a:avLst/>
            </a:prstGeom>
            <a:blipFill>
              <a:blip xmlns:r="http://schemas.openxmlformats.org/officeDocument/2006/relationships" r:embed="rId23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216" name="Graphique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GraphicFramePr>
            <a:graphicFrameLocks/>
          </xdr:cNvGraphicFramePr>
        </xdr:nvGraphicFramePr>
        <xdr:xfrm>
          <a:off x="11620500" y="3600449"/>
          <a:ext cx="847725" cy="6000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</xdr:grpSp>
    <xdr:clientData/>
  </xdr:twoCellAnchor>
  <xdr:twoCellAnchor>
    <xdr:from>
      <xdr:col>10</xdr:col>
      <xdr:colOff>9525</xdr:colOff>
      <xdr:row>25</xdr:row>
      <xdr:rowOff>123825</xdr:rowOff>
    </xdr:from>
    <xdr:to>
      <xdr:col>12</xdr:col>
      <xdr:colOff>9525</xdr:colOff>
      <xdr:row>30</xdr:row>
      <xdr:rowOff>0</xdr:rowOff>
    </xdr:to>
    <xdr:grpSp>
      <xdr:nvGrpSpPr>
        <xdr:cNvPr id="228" name="Group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GrpSpPr/>
      </xdr:nvGrpSpPr>
      <xdr:grpSpPr>
        <a:xfrm>
          <a:off x="7791450" y="4886325"/>
          <a:ext cx="2095500" cy="828675"/>
          <a:chOff x="12325350" y="561975"/>
          <a:chExt cx="2276475" cy="1143000"/>
        </a:xfrm>
      </xdr:grpSpPr>
      <xdr:grpSp>
        <xdr:nvGrpSpPr>
          <xdr:cNvPr id="196" name="Groupe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GrpSpPr/>
        </xdr:nvGrpSpPr>
        <xdr:grpSpPr>
          <a:xfrm>
            <a:off x="12325350" y="571500"/>
            <a:ext cx="2276475" cy="1133475"/>
            <a:chOff x="7392667" y="4179217"/>
            <a:chExt cx="1568022" cy="1147656"/>
          </a:xfrm>
        </xdr:grpSpPr>
        <xdr:grpSp>
          <xdr:nvGrpSpPr>
            <xdr:cNvPr id="197" name="Groupe 196">
              <a:extLst>
                <a:ext uri="{FF2B5EF4-FFF2-40B4-BE49-F238E27FC236}">
                  <a16:creationId xmlns:a16="http://schemas.microsoft.com/office/drawing/2014/main" id="{00000000-0008-0000-0000-0000C5000000}"/>
                </a:ext>
              </a:extLst>
            </xdr:cNvPr>
            <xdr:cNvGrpSpPr/>
          </xdr:nvGrpSpPr>
          <xdr:grpSpPr>
            <a:xfrm>
              <a:off x="7392667" y="4179217"/>
              <a:ext cx="1568022" cy="1143000"/>
              <a:chOff x="4620675" y="293017"/>
              <a:chExt cx="1609285" cy="1143000"/>
            </a:xfrm>
          </xdr:grpSpPr>
          <xdr:grpSp>
            <xdr:nvGrpSpPr>
              <xdr:cNvPr id="199" name="Groupe 51">
                <a:extLst>
                  <a:ext uri="{FF2B5EF4-FFF2-40B4-BE49-F238E27FC236}">
                    <a16:creationId xmlns:a16="http://schemas.microsoft.com/office/drawing/2014/main" id="{00000000-0008-0000-0000-0000C7000000}"/>
                  </a:ext>
                </a:extLst>
              </xdr:cNvPr>
              <xdr:cNvGrpSpPr/>
            </xdr:nvGrpSpPr>
            <xdr:grpSpPr>
              <a:xfrm>
                <a:off x="4620675" y="293017"/>
                <a:ext cx="1609285" cy="1143000"/>
                <a:chOff x="-261309" y="1634784"/>
                <a:chExt cx="1966906" cy="1724025"/>
              </a:xfrm>
            </xdr:grpSpPr>
            <xdr:sp macro="" textlink="">
              <xdr:nvSpPr>
                <xdr:cNvPr id="201" name="Rectangle 200">
                  <a:extLst>
                    <a:ext uri="{FF2B5EF4-FFF2-40B4-BE49-F238E27FC236}">
                      <a16:creationId xmlns:a16="http://schemas.microsoft.com/office/drawing/2014/main" id="{00000000-0008-0000-0000-0000C9000000}"/>
                    </a:ext>
                  </a:extLst>
                </xdr:cNvPr>
                <xdr:cNvSpPr/>
              </xdr:nvSpPr>
              <xdr:spPr bwMode="auto">
                <a:xfrm>
                  <a:off x="-261309" y="1634784"/>
                  <a:ext cx="196690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L$30">
              <xdr:nvSpPr>
                <xdr:cNvPr id="202" name="Rectangle à coins arrondis 201">
                  <a:extLst>
                    <a:ext uri="{FF2B5EF4-FFF2-40B4-BE49-F238E27FC236}">
                      <a16:creationId xmlns:a16="http://schemas.microsoft.com/office/drawing/2014/main" id="{00000000-0008-0000-0000-0000CA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25A6F025-7F8F-43CB-81B3-8FF70063D7EC}" type="TxLink">
                    <a:rPr lang="en-US" sz="14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52,06%</a:t>
                  </a:fld>
                  <a:endParaRPr lang="fr-FR" sz="1234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200" name="ZoneTexte 199">
                <a:extLst>
                  <a:ext uri="{FF2B5EF4-FFF2-40B4-BE49-F238E27FC236}">
                    <a16:creationId xmlns:a16="http://schemas.microsoft.com/office/drawing/2014/main" id="{00000000-0008-0000-0000-0000C8000000}"/>
                  </a:ext>
                </a:extLst>
              </xdr:cNvPr>
              <xdr:cNvSpPr txBox="1"/>
            </xdr:nvSpPr>
            <xdr:spPr>
              <a:xfrm>
                <a:off x="4667249" y="314325"/>
                <a:ext cx="910052" cy="22614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900"/>
                  <a:t>PETROLE RAFFINE</a:t>
                </a:r>
              </a:p>
            </xdr:txBody>
          </xdr:sp>
        </xdr:grpSp>
        <xdr:sp macro="" textlink="">
          <xdr:nvSpPr>
            <xdr:cNvPr id="198" name="Rectangle à coins arrondis 197">
              <a:extLst>
                <a:ext uri="{FF2B5EF4-FFF2-40B4-BE49-F238E27FC236}">
                  <a16:creationId xmlns:a16="http://schemas.microsoft.com/office/drawing/2014/main" id="{00000000-0008-0000-0000-0000C6000000}"/>
                </a:ext>
              </a:extLst>
            </xdr:cNvPr>
            <xdr:cNvSpPr/>
          </xdr:nvSpPr>
          <xdr:spPr bwMode="auto">
            <a:xfrm>
              <a:off x="7410451" y="4450238"/>
              <a:ext cx="940087" cy="876635"/>
            </a:xfrm>
            <a:prstGeom prst="roundRect">
              <a:avLst/>
            </a:prstGeom>
            <a:blipFill>
              <a:blip xmlns:r="http://schemas.openxmlformats.org/officeDocument/2006/relationships" r:embed="rId25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220" name="Graphique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GraphicFramePr>
            <a:graphicFrameLocks/>
          </xdr:cNvGraphicFramePr>
        </xdr:nvGraphicFramePr>
        <xdr:xfrm>
          <a:off x="13754100" y="561975"/>
          <a:ext cx="847725" cy="657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6"/>
          </a:graphicData>
        </a:graphic>
      </xdr:graphicFrame>
    </xdr:grpSp>
    <xdr:clientData/>
  </xdr:twoCellAnchor>
  <xdr:twoCellAnchor>
    <xdr:from>
      <xdr:col>13</xdr:col>
      <xdr:colOff>73025</xdr:colOff>
      <xdr:row>16</xdr:row>
      <xdr:rowOff>41275</xdr:rowOff>
    </xdr:from>
    <xdr:to>
      <xdr:col>16</xdr:col>
      <xdr:colOff>53975</xdr:colOff>
      <xdr:row>23</xdr:row>
      <xdr:rowOff>69850</xdr:rowOff>
    </xdr:to>
    <xdr:grpSp>
      <xdr:nvGrpSpPr>
        <xdr:cNvPr id="230" name="Group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179050" y="3089275"/>
          <a:ext cx="2266950" cy="1362075"/>
          <a:chOff x="4219575" y="4152900"/>
          <a:chExt cx="2276475" cy="1133475"/>
        </a:xfrm>
      </xdr:grpSpPr>
      <xdr:grpSp>
        <xdr:nvGrpSpPr>
          <xdr:cNvPr id="221" name="Groupe 220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GrpSpPr/>
        </xdr:nvGrpSpPr>
        <xdr:grpSpPr>
          <a:xfrm>
            <a:off x="4219575" y="4152900"/>
            <a:ext cx="2276475" cy="1133475"/>
            <a:chOff x="7392667" y="4179217"/>
            <a:chExt cx="1568022" cy="1147656"/>
          </a:xfrm>
        </xdr:grpSpPr>
        <xdr:grpSp>
          <xdr:nvGrpSpPr>
            <xdr:cNvPr id="222" name="Groupe 221">
              <a:extLst>
                <a:ext uri="{FF2B5EF4-FFF2-40B4-BE49-F238E27FC236}">
                  <a16:creationId xmlns:a16="http://schemas.microsoft.com/office/drawing/2014/main" id="{00000000-0008-0000-0000-0000DE000000}"/>
                </a:ext>
              </a:extLst>
            </xdr:cNvPr>
            <xdr:cNvGrpSpPr/>
          </xdr:nvGrpSpPr>
          <xdr:grpSpPr>
            <a:xfrm>
              <a:off x="7392667" y="4179217"/>
              <a:ext cx="1568022" cy="1143000"/>
              <a:chOff x="4620675" y="293017"/>
              <a:chExt cx="1609285" cy="1143000"/>
            </a:xfrm>
          </xdr:grpSpPr>
          <xdr:grpSp>
            <xdr:nvGrpSpPr>
              <xdr:cNvPr id="224" name="Groupe 51">
                <a:extLst>
                  <a:ext uri="{FF2B5EF4-FFF2-40B4-BE49-F238E27FC236}">
                    <a16:creationId xmlns:a16="http://schemas.microsoft.com/office/drawing/2014/main" id="{00000000-0008-0000-0000-0000E0000000}"/>
                  </a:ext>
                </a:extLst>
              </xdr:cNvPr>
              <xdr:cNvGrpSpPr/>
            </xdr:nvGrpSpPr>
            <xdr:grpSpPr>
              <a:xfrm>
                <a:off x="4620675" y="293017"/>
                <a:ext cx="1609285" cy="1143000"/>
                <a:chOff x="-261309" y="1634784"/>
                <a:chExt cx="1966906" cy="1724025"/>
              </a:xfrm>
            </xdr:grpSpPr>
            <xdr:sp macro="" textlink="">
              <xdr:nvSpPr>
                <xdr:cNvPr id="226" name="Rectangle 225">
                  <a:extLst>
                    <a:ext uri="{FF2B5EF4-FFF2-40B4-BE49-F238E27FC236}">
                      <a16:creationId xmlns:a16="http://schemas.microsoft.com/office/drawing/2014/main" id="{00000000-0008-0000-0000-0000E2000000}"/>
                    </a:ext>
                  </a:extLst>
                </xdr:cNvPr>
                <xdr:cNvSpPr/>
              </xdr:nvSpPr>
              <xdr:spPr bwMode="auto">
                <a:xfrm>
                  <a:off x="-261309" y="1634784"/>
                  <a:ext cx="196690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O$20">
              <xdr:nvSpPr>
                <xdr:cNvPr id="227" name="Rectangle à coins arrondis 226">
                  <a:extLst>
                    <a:ext uri="{FF2B5EF4-FFF2-40B4-BE49-F238E27FC236}">
                      <a16:creationId xmlns:a16="http://schemas.microsoft.com/office/drawing/2014/main" id="{00000000-0008-0000-0000-0000E3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8307F4D9-AF38-4BF6-AC26-FC67CB41D6FB}" type="TxLink">
                    <a:rPr lang="en-US" sz="16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-100,00%</a:t>
                  </a:fld>
                  <a:endParaRPr lang="fr-FR" sz="1481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225" name="ZoneTexte 224">
                <a:extLst>
                  <a:ext uri="{FF2B5EF4-FFF2-40B4-BE49-F238E27FC236}">
                    <a16:creationId xmlns:a16="http://schemas.microsoft.com/office/drawing/2014/main" id="{00000000-0008-0000-0000-0000E1000000}"/>
                  </a:ext>
                </a:extLst>
              </xdr:cNvPr>
              <xdr:cNvSpPr txBox="1"/>
            </xdr:nvSpPr>
            <xdr:spPr>
              <a:xfrm>
                <a:off x="4627437" y="314326"/>
                <a:ext cx="987208" cy="17933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900"/>
                  <a:t>PRODUITS</a:t>
                </a:r>
                <a:r>
                  <a:rPr lang="fr-FR" sz="900" baseline="0"/>
                  <a:t> ARACHIDIERS</a:t>
                </a:r>
                <a:endParaRPr lang="fr-FR" sz="900"/>
              </a:p>
            </xdr:txBody>
          </xdr:sp>
        </xdr:grpSp>
        <xdr:sp macro="" textlink="">
          <xdr:nvSpPr>
            <xdr:cNvPr id="223" name="Rectangle à coins arrondis 222">
              <a:extLst>
                <a:ext uri="{FF2B5EF4-FFF2-40B4-BE49-F238E27FC236}">
                  <a16:creationId xmlns:a16="http://schemas.microsoft.com/office/drawing/2014/main" id="{00000000-0008-0000-0000-0000DF000000}"/>
                </a:ext>
              </a:extLst>
            </xdr:cNvPr>
            <xdr:cNvSpPr/>
          </xdr:nvSpPr>
          <xdr:spPr bwMode="auto">
            <a:xfrm>
              <a:off x="7410451" y="4371831"/>
              <a:ext cx="940087" cy="955042"/>
            </a:xfrm>
            <a:prstGeom prst="roundRect">
              <a:avLst/>
            </a:prstGeom>
            <a:blipFill>
              <a:blip xmlns:r="http://schemas.openxmlformats.org/officeDocument/2006/relationships" r:embed="rId27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229" name="Graphique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GraphicFramePr>
            <a:graphicFrameLocks/>
          </xdr:cNvGraphicFramePr>
        </xdr:nvGraphicFramePr>
        <xdr:xfrm>
          <a:off x="5638799" y="4191001"/>
          <a:ext cx="828675" cy="609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8"/>
          </a:graphicData>
        </a:graphic>
      </xdr:graphicFrame>
    </xdr:grpSp>
    <xdr:clientData/>
  </xdr:twoCellAnchor>
  <xdr:twoCellAnchor>
    <xdr:from>
      <xdr:col>13</xdr:col>
      <xdr:colOff>155575</xdr:colOff>
      <xdr:row>23</xdr:row>
      <xdr:rowOff>123825</xdr:rowOff>
    </xdr:from>
    <xdr:to>
      <xdr:col>16</xdr:col>
      <xdr:colOff>60325</xdr:colOff>
      <xdr:row>29</xdr:row>
      <xdr:rowOff>114301</xdr:rowOff>
    </xdr:to>
    <xdr:grpSp>
      <xdr:nvGrpSpPr>
        <xdr:cNvPr id="241" name="Group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GrpSpPr/>
      </xdr:nvGrpSpPr>
      <xdr:grpSpPr>
        <a:xfrm>
          <a:off x="10261600" y="4505325"/>
          <a:ext cx="2190750" cy="1133476"/>
          <a:chOff x="3571875" y="4391025"/>
          <a:chExt cx="2276475" cy="1133476"/>
        </a:xfrm>
      </xdr:grpSpPr>
      <xdr:grpSp>
        <xdr:nvGrpSpPr>
          <xdr:cNvPr id="232" name="Groupe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GrpSpPr/>
        </xdr:nvGrpSpPr>
        <xdr:grpSpPr>
          <a:xfrm>
            <a:off x="3571875" y="4391025"/>
            <a:ext cx="2276475" cy="1133476"/>
            <a:chOff x="7392667" y="4179217"/>
            <a:chExt cx="1568022" cy="1147657"/>
          </a:xfrm>
        </xdr:grpSpPr>
        <xdr:grpSp>
          <xdr:nvGrpSpPr>
            <xdr:cNvPr id="234" name="Groupe 233">
              <a:extLst>
                <a:ext uri="{FF2B5EF4-FFF2-40B4-BE49-F238E27FC236}">
                  <a16:creationId xmlns:a16="http://schemas.microsoft.com/office/drawing/2014/main" id="{00000000-0008-0000-0000-0000EA000000}"/>
                </a:ext>
              </a:extLst>
            </xdr:cNvPr>
            <xdr:cNvGrpSpPr/>
          </xdr:nvGrpSpPr>
          <xdr:grpSpPr>
            <a:xfrm>
              <a:off x="7392667" y="4179217"/>
              <a:ext cx="1568022" cy="1143000"/>
              <a:chOff x="4620675" y="293017"/>
              <a:chExt cx="1609285" cy="1143000"/>
            </a:xfrm>
          </xdr:grpSpPr>
          <xdr:grpSp>
            <xdr:nvGrpSpPr>
              <xdr:cNvPr id="236" name="Groupe 51">
                <a:extLst>
                  <a:ext uri="{FF2B5EF4-FFF2-40B4-BE49-F238E27FC236}">
                    <a16:creationId xmlns:a16="http://schemas.microsoft.com/office/drawing/2014/main" id="{00000000-0008-0000-0000-0000EC000000}"/>
                  </a:ext>
                </a:extLst>
              </xdr:cNvPr>
              <xdr:cNvGrpSpPr/>
            </xdr:nvGrpSpPr>
            <xdr:grpSpPr>
              <a:xfrm>
                <a:off x="4620675" y="293017"/>
                <a:ext cx="1609285" cy="1143000"/>
                <a:chOff x="-261309" y="1634784"/>
                <a:chExt cx="1966906" cy="1724025"/>
              </a:xfrm>
            </xdr:grpSpPr>
            <xdr:sp macro="" textlink="">
              <xdr:nvSpPr>
                <xdr:cNvPr id="238" name="Rectangle 237">
                  <a:extLst>
                    <a:ext uri="{FF2B5EF4-FFF2-40B4-BE49-F238E27FC236}">
                      <a16:creationId xmlns:a16="http://schemas.microsoft.com/office/drawing/2014/main" id="{00000000-0008-0000-0000-0000EE000000}"/>
                    </a:ext>
                  </a:extLst>
                </xdr:cNvPr>
                <xdr:cNvSpPr/>
              </xdr:nvSpPr>
              <xdr:spPr bwMode="auto">
                <a:xfrm>
                  <a:off x="-261309" y="1634784"/>
                  <a:ext cx="196690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O$28">
              <xdr:nvSpPr>
                <xdr:cNvPr id="239" name="Rectangle à coins arrondis 238">
                  <a:extLst>
                    <a:ext uri="{FF2B5EF4-FFF2-40B4-BE49-F238E27FC236}">
                      <a16:creationId xmlns:a16="http://schemas.microsoft.com/office/drawing/2014/main" id="{00000000-0008-0000-0000-0000EF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ABB86DE2-F131-4941-A0C0-AC23385A410B}" type="TxLink">
                    <a:rPr lang="en-US" sz="16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35,37%</a:t>
                  </a:fld>
                  <a:endParaRPr lang="fr-FR" sz="1481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237" name="ZoneTexte 236">
                <a:extLst>
                  <a:ext uri="{FF2B5EF4-FFF2-40B4-BE49-F238E27FC236}">
                    <a16:creationId xmlns:a16="http://schemas.microsoft.com/office/drawing/2014/main" id="{00000000-0008-0000-0000-0000ED000000}"/>
                  </a:ext>
                </a:extLst>
              </xdr:cNvPr>
              <xdr:cNvSpPr txBox="1"/>
            </xdr:nvSpPr>
            <xdr:spPr>
              <a:xfrm>
                <a:off x="4627552" y="314325"/>
                <a:ext cx="983452" cy="22944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900"/>
                  <a:t>PRODUITS</a:t>
                </a:r>
                <a:r>
                  <a:rPr lang="fr-FR" sz="900" baseline="0"/>
                  <a:t> DE LA PECHE</a:t>
                </a:r>
                <a:endParaRPr lang="fr-FR" sz="900"/>
              </a:p>
            </xdr:txBody>
          </xdr:sp>
        </xdr:grpSp>
        <xdr:sp macro="" textlink="">
          <xdr:nvSpPr>
            <xdr:cNvPr id="235" name="Rectangle à coins arrondis 234">
              <a:extLst>
                <a:ext uri="{FF2B5EF4-FFF2-40B4-BE49-F238E27FC236}">
                  <a16:creationId xmlns:a16="http://schemas.microsoft.com/office/drawing/2014/main" id="{00000000-0008-0000-0000-0000EB000000}"/>
                </a:ext>
              </a:extLst>
            </xdr:cNvPr>
            <xdr:cNvSpPr/>
          </xdr:nvSpPr>
          <xdr:spPr bwMode="auto">
            <a:xfrm>
              <a:off x="7410451" y="4420322"/>
              <a:ext cx="940087" cy="906552"/>
            </a:xfrm>
            <a:prstGeom prst="roundRect">
              <a:avLst/>
            </a:prstGeom>
            <a:blipFill>
              <a:blip xmlns:r="http://schemas.openxmlformats.org/officeDocument/2006/relationships" r:embed="rId29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240" name="Graphique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GraphicFramePr>
            <a:graphicFrameLocks/>
          </xdr:cNvGraphicFramePr>
        </xdr:nvGraphicFramePr>
        <xdr:xfrm>
          <a:off x="4972050" y="4400551"/>
          <a:ext cx="819150" cy="685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0"/>
          </a:graphicData>
        </a:graphic>
      </xdr:graphicFrame>
    </xdr:grpSp>
    <xdr:clientData/>
  </xdr:twoCellAnchor>
  <xdr:twoCellAnchor>
    <xdr:from>
      <xdr:col>0</xdr:col>
      <xdr:colOff>9525</xdr:colOff>
      <xdr:row>10</xdr:row>
      <xdr:rowOff>66675</xdr:rowOff>
    </xdr:from>
    <xdr:to>
      <xdr:col>1</xdr:col>
      <xdr:colOff>809625</xdr:colOff>
      <xdr:row>15</xdr:row>
      <xdr:rowOff>9525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9525" y="1971675"/>
          <a:ext cx="2628900" cy="895350"/>
          <a:chOff x="9525" y="1971675"/>
          <a:chExt cx="2619375" cy="895350"/>
        </a:xfrm>
      </xdr:grpSpPr>
      <xdr:grpSp>
        <xdr:nvGrpSpPr>
          <xdr:cNvPr id="67" name="Groupe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GrpSpPr/>
        </xdr:nvGrpSpPr>
        <xdr:grpSpPr>
          <a:xfrm>
            <a:off x="9525" y="1971675"/>
            <a:ext cx="2619375" cy="895350"/>
            <a:chOff x="5924550" y="2038350"/>
            <a:chExt cx="1838325" cy="1287130"/>
          </a:xfrm>
        </xdr:grpSpPr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 bwMode="auto">
            <a:xfrm>
              <a:off x="5924550" y="2038350"/>
              <a:ext cx="1838325" cy="1287130"/>
            </a:xfrm>
            <a:prstGeom prst="rect">
              <a:avLst/>
            </a:prstGeom>
            <a:ln>
              <a:headEnd type="none" w="med" len="med"/>
              <a:tailEnd type="none" w="med" len="med"/>
            </a:ln>
          </xdr:spPr>
          <xdr:style>
            <a:lnRef idx="3">
              <a:schemeClr val="lt1"/>
            </a:lnRef>
            <a:fillRef idx="1">
              <a:schemeClr val="accent1"/>
            </a:fillRef>
            <a:effectRef idx="1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  <xdr:grpSp>
          <xdr:nvGrpSpPr>
            <xdr:cNvPr id="66" name="Groupe 65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GrpSpPr/>
          </xdr:nvGrpSpPr>
          <xdr:grpSpPr>
            <a:xfrm>
              <a:off x="5988978" y="2073688"/>
              <a:ext cx="1750967" cy="1207676"/>
              <a:chOff x="5988978" y="2073688"/>
              <a:chExt cx="1750967" cy="1207676"/>
            </a:xfrm>
          </xdr:grpSpPr>
          <xdr:sp macro="" textlink="">
            <xdr:nvSpPr>
              <xdr:cNvPr id="26" name="Rectangle à coins arrondis 25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/>
            </xdr:nvSpPr>
            <xdr:spPr bwMode="auto">
              <a:xfrm>
                <a:off x="5988978" y="2076426"/>
                <a:ext cx="837142" cy="591211"/>
              </a:xfrm>
              <a:prstGeom prst="roundRect">
                <a:avLst/>
              </a:prstGeom>
              <a:blipFill>
                <a:blip xmlns:r="http://schemas.openxmlformats.org/officeDocument/2006/relationships" r:embed="rId31" cstate="print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  <xdr:sp macro="" textlink="$B$12">
            <xdr:nvSpPr>
              <xdr:cNvPr id="27" name="Rectangle à coins arrondis 26">
                <a:extLs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SpPr/>
            </xdr:nvSpPr>
            <xdr:spPr bwMode="auto">
              <a:xfrm>
                <a:off x="6845502" y="2073688"/>
                <a:ext cx="888798" cy="596057"/>
              </a:xfrm>
              <a:prstGeom prst="roundRect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ctr" upright="1"/>
              <a:lstStyle/>
              <a:p>
                <a:pPr algn="l"/>
                <a:fld id="{05146258-C327-4220-9DA9-4F3880A79C20}" type="TxLink">
                  <a:rPr lang="en-US" sz="2400" b="0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 algn="l"/>
                  <a:t> 1,14   </a:t>
                </a:fld>
                <a:endParaRPr lang="fr-FR" sz="115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$B$15">
            <xdr:nvSpPr>
              <xdr:cNvPr id="28" name="Rectangle à coins arrondis 27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 bwMode="auto">
              <a:xfrm>
                <a:off x="6864786" y="2680543"/>
                <a:ext cx="875159" cy="596057"/>
              </a:xfrm>
              <a:prstGeom prst="roundRect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ctr" upright="1"/>
              <a:lstStyle/>
              <a:p>
                <a:pPr algn="l"/>
                <a:fld id="{C07AE72B-3E3A-42F9-845D-897DC1A0E62F}" type="TxLink">
                  <a:rPr lang="en-US" sz="2000" b="0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 algn="l"/>
                  <a:t>0,25%</a:t>
                </a:fld>
                <a:endParaRPr lang="fr-FR" sz="49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graphicFrame macro="">
            <xdr:nvGraphicFramePr>
              <xdr:cNvPr id="47" name="Graphique 46">
                <a:extLs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991226" y="2657476"/>
              <a:ext cx="838200" cy="62388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2"/>
              </a:graphicData>
            </a:graphic>
          </xdr:graphicFrame>
        </xdr:grpSp>
      </xdr:grpSp>
      <xdr:sp macro="" textlink="">
        <xdr:nvSpPr>
          <xdr:cNvPr id="168" name="ZoneTexte 167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 txBox="1"/>
        </xdr:nvSpPr>
        <xdr:spPr>
          <a:xfrm>
            <a:off x="2133600" y="2057401"/>
            <a:ext cx="447675" cy="2952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400"/>
              <a:t>€/$</a:t>
            </a:r>
          </a:p>
        </xdr:txBody>
      </xdr:sp>
    </xdr:grpSp>
    <xdr:clientData/>
  </xdr:twoCellAnchor>
  <xdr:twoCellAnchor>
    <xdr:from>
      <xdr:col>10</xdr:col>
      <xdr:colOff>0</xdr:colOff>
      <xdr:row>11</xdr:row>
      <xdr:rowOff>19051</xdr:rowOff>
    </xdr:from>
    <xdr:to>
      <xdr:col>12</xdr:col>
      <xdr:colOff>19050</xdr:colOff>
      <xdr:row>14</xdr:row>
      <xdr:rowOff>161925</xdr:rowOff>
    </xdr:to>
    <xdr:grpSp>
      <xdr:nvGrpSpPr>
        <xdr:cNvPr id="14" name="Group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781925" y="2114551"/>
          <a:ext cx="2114550" cy="714374"/>
          <a:chOff x="180975" y="3714751"/>
          <a:chExt cx="2124075" cy="714374"/>
        </a:xfrm>
      </xdr:grpSpPr>
      <xdr:grpSp>
        <xdr:nvGrpSpPr>
          <xdr:cNvPr id="134" name="Groupe 133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GrpSpPr/>
        </xdr:nvGrpSpPr>
        <xdr:grpSpPr>
          <a:xfrm>
            <a:off x="180975" y="3714751"/>
            <a:ext cx="2124075" cy="714374"/>
            <a:chOff x="7392667" y="4179217"/>
            <a:chExt cx="1568022" cy="1147654"/>
          </a:xfrm>
        </xdr:grpSpPr>
        <xdr:grpSp>
          <xdr:nvGrpSpPr>
            <xdr:cNvPr id="136" name="Groupe 135">
              <a:extLst>
                <a:ext uri="{FF2B5EF4-FFF2-40B4-BE49-F238E27FC236}">
                  <a16:creationId xmlns:a16="http://schemas.microsoft.com/office/drawing/2014/main" id="{00000000-0008-0000-0000-000088000000}"/>
                </a:ext>
              </a:extLst>
            </xdr:cNvPr>
            <xdr:cNvGrpSpPr/>
          </xdr:nvGrpSpPr>
          <xdr:grpSpPr>
            <a:xfrm>
              <a:off x="7392667" y="4179217"/>
              <a:ext cx="1568022" cy="1143000"/>
              <a:chOff x="4620675" y="293017"/>
              <a:chExt cx="1609285" cy="1143000"/>
            </a:xfrm>
          </xdr:grpSpPr>
          <xdr:grpSp>
            <xdr:nvGrpSpPr>
              <xdr:cNvPr id="138" name="Groupe 51">
                <a:extLst>
                  <a:ext uri="{FF2B5EF4-FFF2-40B4-BE49-F238E27FC236}">
                    <a16:creationId xmlns:a16="http://schemas.microsoft.com/office/drawing/2014/main" id="{00000000-0008-0000-0000-00008A000000}"/>
                  </a:ext>
                </a:extLst>
              </xdr:cNvPr>
              <xdr:cNvGrpSpPr/>
            </xdr:nvGrpSpPr>
            <xdr:grpSpPr>
              <a:xfrm>
                <a:off x="4620675" y="293017"/>
                <a:ext cx="1609285" cy="1143000"/>
                <a:chOff x="-261309" y="1634784"/>
                <a:chExt cx="1966906" cy="1724025"/>
              </a:xfrm>
            </xdr:grpSpPr>
            <xdr:sp macro="" textlink="">
              <xdr:nvSpPr>
                <xdr:cNvPr id="140" name="Rectangle 139">
                  <a:extLst>
                    <a:ext uri="{FF2B5EF4-FFF2-40B4-BE49-F238E27FC236}">
                      <a16:creationId xmlns:a16="http://schemas.microsoft.com/office/drawing/2014/main" id="{00000000-0008-0000-0000-00008C000000}"/>
                    </a:ext>
                  </a:extLst>
                </xdr:cNvPr>
                <xdr:cNvSpPr/>
              </xdr:nvSpPr>
              <xdr:spPr bwMode="auto">
                <a:xfrm>
                  <a:off x="-261309" y="1634784"/>
                  <a:ext cx="1966906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L$15">
              <xdr:nvSpPr>
                <xdr:cNvPr id="141" name="Rectangle à coins arrondis 140">
                  <a:extLst>
                    <a:ext uri="{FF2B5EF4-FFF2-40B4-BE49-F238E27FC236}">
                      <a16:creationId xmlns:a16="http://schemas.microsoft.com/office/drawing/2014/main" id="{00000000-0008-0000-0000-00008D000000}"/>
                    </a:ext>
                  </a:extLst>
                </xdr:cNvPr>
                <xdr:cNvSpPr/>
              </xdr:nvSpPr>
              <xdr:spPr bwMode="auto">
                <a:xfrm>
                  <a:off x="955205" y="2638207"/>
                  <a:ext cx="709244" cy="685051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9159E4A8-0797-44B9-A5DC-D161AE6AF219}" type="TxLink">
                    <a:rPr lang="en-US" sz="14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14,36%</a:t>
                  </a:fld>
                  <a:endParaRPr lang="fr-FR" sz="1234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39" name="ZoneTexte 138">
                <a:extLst>
                  <a:ext uri="{FF2B5EF4-FFF2-40B4-BE49-F238E27FC236}">
                    <a16:creationId xmlns:a16="http://schemas.microsoft.com/office/drawing/2014/main" id="{00000000-0008-0000-0000-00008B000000}"/>
                  </a:ext>
                </a:extLst>
              </xdr:cNvPr>
              <xdr:cNvSpPr txBox="1"/>
            </xdr:nvSpPr>
            <xdr:spPr>
              <a:xfrm>
                <a:off x="4667249" y="314324"/>
                <a:ext cx="910052" cy="3000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pPr algn="ctr"/>
                <a:r>
                  <a:rPr lang="fr-FR" sz="1000" b="1"/>
                  <a:t>FRET</a:t>
                </a:r>
              </a:p>
            </xdr:txBody>
          </xdr:sp>
        </xdr:grpSp>
        <xdr:sp macro="" textlink="">
          <xdr:nvSpPr>
            <xdr:cNvPr id="137" name="Rectangle à coins arrondis 136">
              <a:extLst>
                <a:ext uri="{FF2B5EF4-FFF2-40B4-BE49-F238E27FC236}">
                  <a16:creationId xmlns:a16="http://schemas.microsoft.com/office/drawing/2014/main" id="{00000000-0008-0000-0000-000089000000}"/>
                </a:ext>
              </a:extLst>
            </xdr:cNvPr>
            <xdr:cNvSpPr/>
          </xdr:nvSpPr>
          <xdr:spPr bwMode="auto">
            <a:xfrm>
              <a:off x="7410451" y="4485257"/>
              <a:ext cx="940087" cy="841614"/>
            </a:xfrm>
            <a:prstGeom prst="roundRect">
              <a:avLst/>
            </a:prstGeom>
            <a:blipFill>
              <a:blip xmlns:r="http://schemas.openxmlformats.org/officeDocument/2006/relationships" r:embed="rId33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</xdr:grpSp>
      <xdr:graphicFrame macro="">
        <xdr:nvGraphicFramePr>
          <xdr:cNvPr id="171" name="Graphique 170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GraphicFramePr>
            <a:graphicFrameLocks/>
          </xdr:cNvGraphicFramePr>
        </xdr:nvGraphicFramePr>
        <xdr:xfrm>
          <a:off x="1485899" y="3743324"/>
          <a:ext cx="790575" cy="4048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4"/>
          </a:graphicData>
        </a:graphic>
      </xdr:graphicFrame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9525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1838325" cy="771525"/>
        </a:xfrm>
        <a:prstGeom prst="rect">
          <a:avLst/>
        </a:prstGeom>
      </xdr:spPr>
    </xdr:pic>
    <xdr:clientData/>
  </xdr:twoCellAnchor>
  <xdr:twoCellAnchor>
    <xdr:from>
      <xdr:col>0</xdr:col>
      <xdr:colOff>6350</xdr:colOff>
      <xdr:row>0</xdr:row>
      <xdr:rowOff>22225</xdr:rowOff>
    </xdr:from>
    <xdr:to>
      <xdr:col>16</xdr:col>
      <xdr:colOff>87314</xdr:colOff>
      <xdr:row>30</xdr:row>
      <xdr:rowOff>66675</xdr:rowOff>
    </xdr:to>
    <xdr:grpSp>
      <xdr:nvGrpSpPr>
        <xdr:cNvPr id="18" name="Group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6350" y="22225"/>
          <a:ext cx="12472989" cy="5759450"/>
          <a:chOff x="-30261" y="-17355"/>
          <a:chExt cx="12460114" cy="5760930"/>
        </a:xfrm>
      </xdr:grpSpPr>
      <xdr:graphicFrame macro="">
        <xdr:nvGraphicFramePr>
          <xdr:cNvPr id="153" name="Graphique 152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GraphicFramePr>
            <a:graphicFrameLocks/>
          </xdr:cNvGraphicFramePr>
        </xdr:nvGraphicFramePr>
        <xdr:xfrm>
          <a:off x="2905126" y="3047999"/>
          <a:ext cx="2047874" cy="13430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6"/>
          </a:graphicData>
        </a:graphic>
      </xdr:graphicFrame>
      <xdr:graphicFrame macro="">
        <xdr:nvGraphicFramePr>
          <xdr:cNvPr id="154" name="Graphique 15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GraphicFramePr>
            <a:graphicFrameLocks/>
          </xdr:cNvGraphicFramePr>
        </xdr:nvGraphicFramePr>
        <xdr:xfrm>
          <a:off x="5200649" y="3038475"/>
          <a:ext cx="2266951" cy="1352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7"/>
          </a:graphicData>
        </a:graphic>
      </xdr:graphicFrame>
      <xdr:graphicFrame macro="">
        <xdr:nvGraphicFramePr>
          <xdr:cNvPr id="157" name="Graphique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GraphicFramePr>
            <a:graphicFrameLocks/>
          </xdr:cNvGraphicFramePr>
        </xdr:nvGraphicFramePr>
        <xdr:xfrm>
          <a:off x="5200650" y="4391025"/>
          <a:ext cx="2266950" cy="1323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8"/>
          </a:graphicData>
        </a:graphic>
      </xdr:graphicFrame>
      <xdr:graphicFrame macro="">
        <xdr:nvGraphicFramePr>
          <xdr:cNvPr id="159" name="Graphique 158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GraphicFramePr>
            <a:graphicFrameLocks/>
          </xdr:cNvGraphicFramePr>
        </xdr:nvGraphicFramePr>
        <xdr:xfrm>
          <a:off x="2895600" y="4391026"/>
          <a:ext cx="2047875" cy="1333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9"/>
          </a:graphicData>
        </a:graphic>
      </xdr:graphicFrame>
      <xdr:grpSp>
        <xdr:nvGrpSpPr>
          <xdr:cNvPr id="172" name="Groupe 171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GrpSpPr/>
        </xdr:nvGrpSpPr>
        <xdr:grpSpPr>
          <a:xfrm>
            <a:off x="2890441" y="178437"/>
            <a:ext cx="2000250" cy="1375725"/>
            <a:chOff x="8080759" y="189357"/>
            <a:chExt cx="2066925" cy="1184931"/>
          </a:xfrm>
        </xdr:grpSpPr>
        <xdr:grpSp>
          <xdr:nvGrpSpPr>
            <xdr:cNvPr id="173" name="Groupe 172">
              <a:extLst>
                <a:ext uri="{FF2B5EF4-FFF2-40B4-BE49-F238E27FC236}">
                  <a16:creationId xmlns:a16="http://schemas.microsoft.com/office/drawing/2014/main" id="{00000000-0008-0000-0000-0000AD000000}"/>
                </a:ext>
              </a:extLst>
            </xdr:cNvPr>
            <xdr:cNvGrpSpPr/>
          </xdr:nvGrpSpPr>
          <xdr:grpSpPr>
            <a:xfrm>
              <a:off x="8080759" y="189357"/>
              <a:ext cx="2066925" cy="1184931"/>
              <a:chOff x="-283921" y="1548532"/>
              <a:chExt cx="2724151" cy="1817564"/>
            </a:xfrm>
          </xdr:grpSpPr>
          <xdr:grpSp>
            <xdr:nvGrpSpPr>
              <xdr:cNvPr id="175" name="Groupe 174">
                <a:extLst>
                  <a:ext uri="{FF2B5EF4-FFF2-40B4-BE49-F238E27FC236}">
                    <a16:creationId xmlns:a16="http://schemas.microsoft.com/office/drawing/2014/main" id="{00000000-0008-0000-0000-0000AF000000}"/>
                  </a:ext>
                </a:extLst>
              </xdr:cNvPr>
              <xdr:cNvGrpSpPr/>
            </xdr:nvGrpSpPr>
            <xdr:grpSpPr>
              <a:xfrm>
                <a:off x="-283921" y="1548532"/>
                <a:ext cx="2724151" cy="1788568"/>
                <a:chOff x="-162440" y="195982"/>
                <a:chExt cx="2657475" cy="1788568"/>
              </a:xfrm>
            </xdr:grpSpPr>
            <xdr:sp macro="" textlink="">
              <xdr:nvSpPr>
                <xdr:cNvPr id="180" name="Rectangle 179">
                  <a:extLst>
                    <a:ext uri="{FF2B5EF4-FFF2-40B4-BE49-F238E27FC236}">
                      <a16:creationId xmlns:a16="http://schemas.microsoft.com/office/drawing/2014/main" id="{00000000-0008-0000-0000-0000B4000000}"/>
                    </a:ext>
                  </a:extLst>
                </xdr:cNvPr>
                <xdr:cNvSpPr/>
              </xdr:nvSpPr>
              <xdr:spPr bwMode="auto">
                <a:xfrm>
                  <a:off x="-162440" y="195982"/>
                  <a:ext cx="2657475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">
              <xdr:nvSpPr>
                <xdr:cNvPr id="187" name="Rectangle à coins arrondis 186">
                  <a:extLst>
                    <a:ext uri="{FF2B5EF4-FFF2-40B4-BE49-F238E27FC236}">
                      <a16:creationId xmlns:a16="http://schemas.microsoft.com/office/drawing/2014/main" id="{00000000-0008-0000-0000-0000BB000000}"/>
                    </a:ext>
                  </a:extLst>
                </xdr:cNvPr>
                <xdr:cNvSpPr/>
              </xdr:nvSpPr>
              <xdr:spPr bwMode="auto">
                <a:xfrm>
                  <a:off x="-85580" y="322191"/>
                  <a:ext cx="1224383" cy="1662359"/>
                </a:xfrm>
                <a:prstGeom prst="roundRect">
                  <a:avLst/>
                </a:prstGeom>
                <a:blipFill>
                  <a:blip xmlns:r="http://schemas.openxmlformats.org/officeDocument/2006/relationships" r:embed="rId1" cstate="print"/>
                  <a:stretch>
                    <a:fillRect/>
                  </a:stretch>
                </a:blipFill>
                <a:ln w="9525" cap="flat" cmpd="sng" algn="ctr">
                  <a:noFill/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</xdr:grpSp>
          <xdr:sp macro="" textlink="Primaire!B2">
            <xdr:nvSpPr>
              <xdr:cNvPr id="178" name="Rectangle à coins arrondis 177">
                <a:extLst>
                  <a:ext uri="{FF2B5EF4-FFF2-40B4-BE49-F238E27FC236}">
                    <a16:creationId xmlns:a16="http://schemas.microsoft.com/office/drawing/2014/main" id="{00000000-0008-0000-0000-0000B2000000}"/>
                  </a:ext>
                </a:extLst>
              </xdr:cNvPr>
              <xdr:cNvSpPr/>
            </xdr:nvSpPr>
            <xdr:spPr bwMode="auto">
              <a:xfrm>
                <a:off x="1128917" y="2631215"/>
                <a:ext cx="1294488" cy="734881"/>
              </a:xfrm>
              <a:prstGeom prst="roundRect">
                <a:avLst/>
              </a:prstGeom>
              <a:ln w="19050">
                <a:prstDash val="sysDash"/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lIns="18288" tIns="0" rIns="0" bIns="0" rtlCol="0" anchor="ctr" upright="1"/>
              <a:lstStyle/>
              <a:p>
                <a:pPr algn="l"/>
                <a:fld id="{05EA6101-CF34-43B6-9356-A60F02454FA0}" type="TxLink">
                  <a:rPr lang="en-US" sz="1400" b="1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 algn="l"/>
                  <a:t>-14,3%</a:t>
                </a:fld>
                <a:endParaRPr lang="fr-FR" sz="14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graphicFrame macro="">
          <xdr:nvGraphicFramePr>
            <xdr:cNvPr id="174" name="Graphique 173">
              <a:extLst>
                <a:ext uri="{FF2B5EF4-FFF2-40B4-BE49-F238E27FC236}">
                  <a16:creationId xmlns:a16="http://schemas.microsoft.com/office/drawing/2014/main" id="{00000000-0008-0000-0000-0000AE000000}"/>
                </a:ext>
              </a:extLst>
            </xdr:cNvPr>
            <xdr:cNvGraphicFramePr>
              <a:graphicFrameLocks/>
            </xdr:cNvGraphicFramePr>
          </xdr:nvGraphicFramePr>
          <xdr:xfrm>
            <a:off x="9191624" y="314326"/>
            <a:ext cx="914400" cy="5334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0"/>
            </a:graphicData>
          </a:graphic>
        </xdr:graphicFrame>
      </xdr:grpSp>
      <xdr:grpSp>
        <xdr:nvGrpSpPr>
          <xdr:cNvPr id="188" name="Groupe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GrpSpPr/>
        </xdr:nvGrpSpPr>
        <xdr:grpSpPr>
          <a:xfrm>
            <a:off x="2914650" y="1581150"/>
            <a:ext cx="2009775" cy="1285875"/>
            <a:chOff x="3343275" y="3810000"/>
            <a:chExt cx="3057525" cy="1143000"/>
          </a:xfrm>
        </xdr:grpSpPr>
        <xdr:grpSp>
          <xdr:nvGrpSpPr>
            <xdr:cNvPr id="203" name="Groupe 202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GrpSpPr/>
          </xdr:nvGrpSpPr>
          <xdr:grpSpPr>
            <a:xfrm>
              <a:off x="3343275" y="3810000"/>
              <a:ext cx="3057525" cy="1143000"/>
              <a:chOff x="-250950" y="1652557"/>
              <a:chExt cx="2571920" cy="1724025"/>
            </a:xfrm>
          </xdr:grpSpPr>
          <xdr:grpSp>
            <xdr:nvGrpSpPr>
              <xdr:cNvPr id="205" name="Groupe 204">
                <a:extLst>
                  <a:ext uri="{FF2B5EF4-FFF2-40B4-BE49-F238E27FC236}">
                    <a16:creationId xmlns:a16="http://schemas.microsoft.com/office/drawing/2014/main" id="{00000000-0008-0000-0000-0000CD000000}"/>
                  </a:ext>
                </a:extLst>
              </xdr:cNvPr>
              <xdr:cNvGrpSpPr/>
            </xdr:nvGrpSpPr>
            <xdr:grpSpPr>
              <a:xfrm>
                <a:off x="-250950" y="1652557"/>
                <a:ext cx="2571920" cy="1724025"/>
                <a:chOff x="-130276" y="300007"/>
                <a:chExt cx="2508970" cy="1724025"/>
              </a:xfrm>
            </xdr:grpSpPr>
            <xdr:sp macro="" textlink="">
              <xdr:nvSpPr>
                <xdr:cNvPr id="207" name="Rectangle 206">
                  <a:extLst>
                    <a:ext uri="{FF2B5EF4-FFF2-40B4-BE49-F238E27FC236}">
                      <a16:creationId xmlns:a16="http://schemas.microsoft.com/office/drawing/2014/main" id="{00000000-0008-0000-0000-0000CF000000}"/>
                    </a:ext>
                  </a:extLst>
                </xdr:cNvPr>
                <xdr:cNvSpPr/>
              </xdr:nvSpPr>
              <xdr:spPr bwMode="auto">
                <a:xfrm>
                  <a:off x="-130276" y="300007"/>
                  <a:ext cx="2508970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">
              <xdr:nvSpPr>
                <xdr:cNvPr id="208" name="Rectangle à coins arrondis 207">
                  <a:extLst>
                    <a:ext uri="{FF2B5EF4-FFF2-40B4-BE49-F238E27FC236}">
                      <a16:creationId xmlns:a16="http://schemas.microsoft.com/office/drawing/2014/main" id="{00000000-0008-0000-0000-0000D0000000}"/>
                    </a:ext>
                  </a:extLst>
                </xdr:cNvPr>
                <xdr:cNvSpPr/>
              </xdr:nvSpPr>
              <xdr:spPr bwMode="auto">
                <a:xfrm>
                  <a:off x="-85580" y="322191"/>
                  <a:ext cx="1224383" cy="1662358"/>
                </a:xfrm>
                <a:prstGeom prst="roundRect">
                  <a:avLst/>
                </a:prstGeom>
                <a:blipFill>
                  <a:blip xmlns:r="http://schemas.openxmlformats.org/officeDocument/2006/relationships" r:embed="rId3" cstate="print"/>
                  <a:stretch>
                    <a:fillRect/>
                  </a:stretch>
                </a:blip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</xdr:grpSp>
          <xdr:sp macro="" textlink="Primaire!C2">
            <xdr:nvSpPr>
              <xdr:cNvPr id="206" name="Rectangle à coins arrondis 205">
                <a:extLst>
                  <a:ext uri="{FF2B5EF4-FFF2-40B4-BE49-F238E27FC236}">
                    <a16:creationId xmlns:a16="http://schemas.microsoft.com/office/drawing/2014/main" id="{00000000-0008-0000-0000-0000CE000000}"/>
                  </a:ext>
                </a:extLst>
              </xdr:cNvPr>
              <xdr:cNvSpPr/>
            </xdr:nvSpPr>
            <xdr:spPr bwMode="auto">
              <a:xfrm>
                <a:off x="1055041" y="2620433"/>
                <a:ext cx="1214341" cy="695325"/>
              </a:xfrm>
              <a:prstGeom prst="roundRect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ctr" upright="1"/>
              <a:lstStyle/>
              <a:p>
                <a:pPr algn="l"/>
                <a:fld id="{8714633A-2552-41E0-8F8C-359FA8268E12}" type="TxLink">
                  <a:rPr lang="en-US" sz="1400" b="1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 algn="l"/>
                  <a:t>10,4%</a:t>
                </a:fld>
                <a:endParaRPr lang="fr-FR" sz="14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graphicFrame macro="">
          <xdr:nvGraphicFramePr>
            <xdr:cNvPr id="204" name="Graphique 203">
              <a:extLst>
                <a:ext uri="{FF2B5EF4-FFF2-40B4-BE49-F238E27FC236}">
                  <a16:creationId xmlns:a16="http://schemas.microsoft.com/office/drawing/2014/main" id="{00000000-0008-0000-0000-0000CC000000}"/>
                </a:ext>
              </a:extLst>
            </xdr:cNvPr>
            <xdr:cNvGraphicFramePr>
              <a:graphicFrameLocks/>
            </xdr:cNvGraphicFramePr>
          </xdr:nvGraphicFramePr>
          <xdr:xfrm>
            <a:off x="4905375" y="3829051"/>
            <a:ext cx="1419225" cy="5905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1"/>
            </a:graphicData>
          </a:graphic>
        </xdr:graphicFrame>
      </xdr:grpSp>
      <xdr:grpSp>
        <xdr:nvGrpSpPr>
          <xdr:cNvPr id="209" name="Groupe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GrpSpPr/>
        </xdr:nvGrpSpPr>
        <xdr:grpSpPr>
          <a:xfrm>
            <a:off x="5204123" y="188596"/>
            <a:ext cx="2276475" cy="878057"/>
            <a:chOff x="2804026" y="3834249"/>
            <a:chExt cx="2200275" cy="1197351"/>
          </a:xfrm>
        </xdr:grpSpPr>
        <xdr:grpSp>
          <xdr:nvGrpSpPr>
            <xdr:cNvPr id="210" name="Groupe 51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GrpSpPr/>
          </xdr:nvGrpSpPr>
          <xdr:grpSpPr>
            <a:xfrm>
              <a:off x="2804026" y="3834249"/>
              <a:ext cx="2200275" cy="1197351"/>
              <a:chOff x="-258192" y="1531096"/>
              <a:chExt cx="2724151" cy="1806004"/>
            </a:xfrm>
          </xdr:grpSpPr>
          <xdr:grpSp>
            <xdr:nvGrpSpPr>
              <xdr:cNvPr id="212" name="Groupe 53">
                <a:extLst>
                  <a:ext uri="{FF2B5EF4-FFF2-40B4-BE49-F238E27FC236}">
                    <a16:creationId xmlns:a16="http://schemas.microsoft.com/office/drawing/2014/main" id="{00000000-0008-0000-0000-0000D4000000}"/>
                  </a:ext>
                </a:extLst>
              </xdr:cNvPr>
              <xdr:cNvGrpSpPr/>
            </xdr:nvGrpSpPr>
            <xdr:grpSpPr>
              <a:xfrm>
                <a:off x="-258192" y="1531096"/>
                <a:ext cx="2724151" cy="1806004"/>
                <a:chOff x="-137341" y="178546"/>
                <a:chExt cx="2657475" cy="1806004"/>
              </a:xfrm>
            </xdr:grpSpPr>
            <xdr:sp macro="" textlink="">
              <xdr:nvSpPr>
                <xdr:cNvPr id="214" name="Rectangle 213">
                  <a:extLst>
                    <a:ext uri="{FF2B5EF4-FFF2-40B4-BE49-F238E27FC236}">
                      <a16:creationId xmlns:a16="http://schemas.microsoft.com/office/drawing/2014/main" id="{00000000-0008-0000-0000-0000D6000000}"/>
                    </a:ext>
                  </a:extLst>
                </xdr:cNvPr>
                <xdr:cNvSpPr/>
              </xdr:nvSpPr>
              <xdr:spPr bwMode="auto">
                <a:xfrm>
                  <a:off x="-137341" y="178546"/>
                  <a:ext cx="2657475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">
              <xdr:nvSpPr>
                <xdr:cNvPr id="219" name="Rectangle à coins arrondis 218">
                  <a:extLst>
                    <a:ext uri="{FF2B5EF4-FFF2-40B4-BE49-F238E27FC236}">
                      <a16:creationId xmlns:a16="http://schemas.microsoft.com/office/drawing/2014/main" id="{00000000-0008-0000-0000-0000DB000000}"/>
                    </a:ext>
                  </a:extLst>
                </xdr:cNvPr>
                <xdr:cNvSpPr/>
              </xdr:nvSpPr>
              <xdr:spPr bwMode="auto">
                <a:xfrm>
                  <a:off x="-85580" y="333187"/>
                  <a:ext cx="1312802" cy="1651363"/>
                </a:xfrm>
                <a:prstGeom prst="roundRect">
                  <a:avLst/>
                </a:prstGeom>
                <a:blipFill>
                  <a:blip xmlns:r="http://schemas.openxmlformats.org/officeDocument/2006/relationships" r:embed="rId5" cstate="print"/>
                  <a:stretch>
                    <a:fillRect/>
                  </a:stretch>
                </a:blip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</xdr:grpSp>
          <xdr:sp macro="" textlink="'Secteur Secondaire'!J3">
            <xdr:nvSpPr>
              <xdr:cNvPr id="213" name="Rectangle à coins arrondis 212">
                <a:extLst>
                  <a:ext uri="{FF2B5EF4-FFF2-40B4-BE49-F238E27FC236}">
                    <a16:creationId xmlns:a16="http://schemas.microsoft.com/office/drawing/2014/main" id="{00000000-0008-0000-0000-0000D5000000}"/>
                  </a:ext>
                </a:extLst>
              </xdr:cNvPr>
              <xdr:cNvSpPr/>
            </xdr:nvSpPr>
            <xdr:spPr bwMode="auto">
              <a:xfrm>
                <a:off x="1210288" y="2606067"/>
                <a:ext cx="1153436" cy="695326"/>
              </a:xfrm>
              <a:prstGeom prst="roundRect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ctr" upright="1"/>
              <a:lstStyle/>
              <a:p>
                <a:pPr algn="l"/>
                <a:fld id="{FFC085E7-0E1C-4962-A64C-61B2498D1FE1}" type="TxLink">
                  <a:rPr lang="en-US" sz="1400" b="1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 algn="l"/>
                  <a:t>-25,0%</a:t>
                </a:fld>
                <a:endParaRPr lang="fr-FR" sz="1028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graphicFrame macro="">
          <xdr:nvGraphicFramePr>
            <xdr:cNvPr id="211" name="Graphique 210">
              <a:extLst>
                <a:ext uri="{FF2B5EF4-FFF2-40B4-BE49-F238E27FC236}">
                  <a16:creationId xmlns:a16="http://schemas.microsoft.com/office/drawing/2014/main" id="{00000000-0008-0000-0000-0000D3000000}"/>
                </a:ext>
              </a:extLst>
            </xdr:cNvPr>
            <xdr:cNvGraphicFramePr>
              <a:graphicFrameLocks/>
            </xdr:cNvGraphicFramePr>
          </xdr:nvGraphicFramePr>
          <xdr:xfrm>
            <a:off x="4043978" y="3962400"/>
            <a:ext cx="880447" cy="51088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2"/>
            </a:graphicData>
          </a:graphic>
        </xdr:graphicFrame>
      </xdr:grpSp>
      <xdr:grpSp>
        <xdr:nvGrpSpPr>
          <xdr:cNvPr id="231" name="Groupe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GrpSpPr/>
        </xdr:nvGrpSpPr>
        <xdr:grpSpPr>
          <a:xfrm>
            <a:off x="5229225" y="1104900"/>
            <a:ext cx="2257425" cy="800100"/>
            <a:chOff x="476612" y="3424918"/>
            <a:chExt cx="2171700" cy="1143000"/>
          </a:xfrm>
        </xdr:grpSpPr>
        <xdr:grpSp>
          <xdr:nvGrpSpPr>
            <xdr:cNvPr id="233" name="Groupe 232">
              <a:extLst>
                <a:ext uri="{FF2B5EF4-FFF2-40B4-BE49-F238E27FC236}">
                  <a16:creationId xmlns:a16="http://schemas.microsoft.com/office/drawing/2014/main" id="{00000000-0008-0000-0000-0000E9000000}"/>
                </a:ext>
              </a:extLst>
            </xdr:cNvPr>
            <xdr:cNvGrpSpPr/>
          </xdr:nvGrpSpPr>
          <xdr:grpSpPr>
            <a:xfrm>
              <a:off x="476612" y="3424918"/>
              <a:ext cx="2171700" cy="1143000"/>
              <a:chOff x="4619747" y="291193"/>
              <a:chExt cx="2228849" cy="1143000"/>
            </a:xfrm>
          </xdr:grpSpPr>
          <xdr:grpSp>
            <xdr:nvGrpSpPr>
              <xdr:cNvPr id="243" name="Groupe 51">
                <a:extLst>
                  <a:ext uri="{FF2B5EF4-FFF2-40B4-BE49-F238E27FC236}">
                    <a16:creationId xmlns:a16="http://schemas.microsoft.com/office/drawing/2014/main" id="{00000000-0008-0000-0000-0000F3000000}"/>
                  </a:ext>
                </a:extLst>
              </xdr:cNvPr>
              <xdr:cNvGrpSpPr/>
            </xdr:nvGrpSpPr>
            <xdr:grpSpPr>
              <a:xfrm>
                <a:off x="4619747" y="291193"/>
                <a:ext cx="2228849" cy="1143000"/>
                <a:chOff x="-262444" y="1632033"/>
                <a:chExt cx="2724151" cy="1724025"/>
              </a:xfrm>
            </xdr:grpSpPr>
            <xdr:grpSp>
              <xdr:nvGrpSpPr>
                <xdr:cNvPr id="245" name="Groupe 53">
                  <a:extLst>
                    <a:ext uri="{FF2B5EF4-FFF2-40B4-BE49-F238E27FC236}">
                      <a16:creationId xmlns:a16="http://schemas.microsoft.com/office/drawing/2014/main" id="{00000000-0008-0000-0000-0000F5000000}"/>
                    </a:ext>
                  </a:extLst>
                </xdr:cNvPr>
                <xdr:cNvGrpSpPr/>
              </xdr:nvGrpSpPr>
              <xdr:grpSpPr>
                <a:xfrm>
                  <a:off x="-262444" y="1632033"/>
                  <a:ext cx="2724151" cy="1724025"/>
                  <a:chOff x="-141489" y="279483"/>
                  <a:chExt cx="2657475" cy="1724025"/>
                </a:xfrm>
              </xdr:grpSpPr>
              <xdr:sp macro="" textlink="">
                <xdr:nvSpPr>
                  <xdr:cNvPr id="247" name="Rectangle 246">
                    <a:extLst>
                      <a:ext uri="{FF2B5EF4-FFF2-40B4-BE49-F238E27FC236}">
                        <a16:creationId xmlns:a16="http://schemas.microsoft.com/office/drawing/2014/main" id="{00000000-0008-0000-0000-0000F7000000}"/>
                      </a:ext>
                    </a:extLst>
                  </xdr:cNvPr>
                  <xdr:cNvSpPr/>
                </xdr:nvSpPr>
                <xdr:spPr bwMode="auto">
                  <a:xfrm>
                    <a:off x="-141489" y="279483"/>
                    <a:ext cx="2657475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">
                <xdr:nvSpPr>
                  <xdr:cNvPr id="248" name="Rectangle à coins arrondis 247">
                    <a:extLst>
                      <a:ext uri="{FF2B5EF4-FFF2-40B4-BE49-F238E27FC236}">
                        <a16:creationId xmlns:a16="http://schemas.microsoft.com/office/drawing/2014/main" id="{00000000-0008-0000-0000-0000F8000000}"/>
                      </a:ext>
                    </a:extLst>
                  </xdr:cNvPr>
                  <xdr:cNvSpPr/>
                </xdr:nvSpPr>
                <xdr:spPr bwMode="auto">
                  <a:xfrm>
                    <a:off x="-85580" y="689963"/>
                    <a:ext cx="1224383" cy="1294583"/>
                  </a:xfrm>
                  <a:prstGeom prst="roundRect">
                    <a:avLst/>
                  </a:prstGeom>
                  <a:blipFill>
                    <a:blip xmlns:r="http://schemas.openxmlformats.org/officeDocument/2006/relationships" r:embed="rId7" cstate="print"/>
                    <a:stretch>
                      <a:fillRect/>
                    </a:stretch>
                  </a:blip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</xdr:grpSp>
            <xdr:sp macro="" textlink="$H$9">
              <xdr:nvSpPr>
                <xdr:cNvPr id="246" name="Rectangle à coins arrondis 245">
                  <a:extLst>
                    <a:ext uri="{FF2B5EF4-FFF2-40B4-BE49-F238E27FC236}">
                      <a16:creationId xmlns:a16="http://schemas.microsoft.com/office/drawing/2014/main" id="{00000000-0008-0000-0000-0000F6000000}"/>
                    </a:ext>
                  </a:extLst>
                </xdr:cNvPr>
                <xdr:cNvSpPr/>
              </xdr:nvSpPr>
              <xdr:spPr bwMode="auto">
                <a:xfrm>
                  <a:off x="1115945" y="2620433"/>
                  <a:ext cx="1266451" cy="695324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61F1A47C-7D2A-4AFE-B577-CA5C3C87E5C6}" type="TxLink">
                    <a:rPr lang="en-US" sz="14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-6,18%</a:t>
                  </a:fld>
                  <a:endParaRPr lang="fr-FR" sz="714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244" name="ZoneTexte 243">
                <a:extLst>
                  <a:ext uri="{FF2B5EF4-FFF2-40B4-BE49-F238E27FC236}">
                    <a16:creationId xmlns:a16="http://schemas.microsoft.com/office/drawing/2014/main" id="{00000000-0008-0000-0000-0000F4000000}"/>
                  </a:ext>
                </a:extLst>
              </xdr:cNvPr>
              <xdr:cNvSpPr txBox="1"/>
            </xdr:nvSpPr>
            <xdr:spPr>
              <a:xfrm>
                <a:off x="4667250" y="314326"/>
                <a:ext cx="1047750" cy="29520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1000"/>
                  <a:t>PHOSPHATE</a:t>
                </a:r>
              </a:p>
            </xdr:txBody>
          </xdr:sp>
        </xdr:grpSp>
        <xdr:graphicFrame macro="">
          <xdr:nvGraphicFramePr>
            <xdr:cNvPr id="242" name="Graphique 241">
              <a:extLst>
                <a:ext uri="{FF2B5EF4-FFF2-40B4-BE49-F238E27FC236}">
                  <a16:creationId xmlns:a16="http://schemas.microsoft.com/office/drawing/2014/main" id="{00000000-0008-0000-0000-0000F2000000}"/>
                </a:ext>
              </a:extLst>
            </xdr:cNvPr>
            <xdr:cNvGraphicFramePr>
              <a:graphicFrameLocks/>
            </xdr:cNvGraphicFramePr>
          </xdr:nvGraphicFramePr>
          <xdr:xfrm>
            <a:off x="1609725" y="3457575"/>
            <a:ext cx="948214" cy="5524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3"/>
            </a:graphicData>
          </a:graphic>
        </xdr:graphicFrame>
      </xdr:grpSp>
      <xdr:grpSp>
        <xdr:nvGrpSpPr>
          <xdr:cNvPr id="249" name="Groupe 248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GrpSpPr/>
        </xdr:nvGrpSpPr>
        <xdr:grpSpPr>
          <a:xfrm>
            <a:off x="5219700" y="1943100"/>
            <a:ext cx="2276475" cy="923925"/>
            <a:chOff x="7400925" y="4191000"/>
            <a:chExt cx="2171700" cy="1143000"/>
          </a:xfrm>
        </xdr:grpSpPr>
        <xdr:grpSp>
          <xdr:nvGrpSpPr>
            <xdr:cNvPr id="250" name="Groupe 249">
              <a:extLst>
                <a:ext uri="{FF2B5EF4-FFF2-40B4-BE49-F238E27FC236}">
                  <a16:creationId xmlns:a16="http://schemas.microsoft.com/office/drawing/2014/main" id="{00000000-0008-0000-0000-0000FA000000}"/>
                </a:ext>
              </a:extLst>
            </xdr:cNvPr>
            <xdr:cNvGrpSpPr/>
          </xdr:nvGrpSpPr>
          <xdr:grpSpPr>
            <a:xfrm>
              <a:off x="7400925" y="4191000"/>
              <a:ext cx="2171700" cy="1143000"/>
              <a:chOff x="4629151" y="304800"/>
              <a:chExt cx="2228849" cy="1143000"/>
            </a:xfrm>
          </xdr:grpSpPr>
          <xdr:grpSp>
            <xdr:nvGrpSpPr>
              <xdr:cNvPr id="253" name="Groupe 51">
                <a:extLst>
                  <a:ext uri="{FF2B5EF4-FFF2-40B4-BE49-F238E27FC236}">
                    <a16:creationId xmlns:a16="http://schemas.microsoft.com/office/drawing/2014/main" id="{00000000-0008-0000-0000-0000FD000000}"/>
                  </a:ext>
                </a:extLst>
              </xdr:cNvPr>
              <xdr:cNvGrpSpPr/>
            </xdr:nvGrpSpPr>
            <xdr:grpSpPr>
              <a:xfrm>
                <a:off x="4629151" y="304800"/>
                <a:ext cx="2228849" cy="1143000"/>
                <a:chOff x="-250950" y="1652557"/>
                <a:chExt cx="2724151" cy="1724025"/>
              </a:xfrm>
            </xdr:grpSpPr>
            <xdr:sp macro="" textlink="">
              <xdr:nvSpPr>
                <xdr:cNvPr id="255" name="Rectangle 254">
                  <a:extLst>
                    <a:ext uri="{FF2B5EF4-FFF2-40B4-BE49-F238E27FC236}">
                      <a16:creationId xmlns:a16="http://schemas.microsoft.com/office/drawing/2014/main" id="{00000000-0008-0000-0000-0000FF000000}"/>
                    </a:ext>
                  </a:extLst>
                </xdr:cNvPr>
                <xdr:cNvSpPr/>
              </xdr:nvSpPr>
              <xdr:spPr bwMode="auto">
                <a:xfrm>
                  <a:off x="-250950" y="1652557"/>
                  <a:ext cx="2724151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$H$15">
              <xdr:nvSpPr>
                <xdr:cNvPr id="256" name="Rectangle à coins arrondis 255">
                  <a:extLst>
                    <a:ext uri="{FF2B5EF4-FFF2-40B4-BE49-F238E27FC236}">
                      <a16:creationId xmlns:a16="http://schemas.microsoft.com/office/drawing/2014/main" id="{00000000-0008-0000-0000-000000010000}"/>
                    </a:ext>
                  </a:extLst>
                </xdr:cNvPr>
                <xdr:cNvSpPr/>
              </xdr:nvSpPr>
              <xdr:spPr bwMode="auto">
                <a:xfrm>
                  <a:off x="1161536" y="2602660"/>
                  <a:ext cx="1233431" cy="695325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6DAA9818-C47E-4594-96AD-84EA00D69323}" type="TxLink">
                    <a:rPr lang="en-US" sz="14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pPr algn="l"/>
                    <a:t>-4,89%</a:t>
                  </a:fld>
                  <a:endParaRPr lang="fr-FR" sz="14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254" name="ZoneTexte 253">
                <a:extLst>
                  <a:ext uri="{FF2B5EF4-FFF2-40B4-BE49-F238E27FC236}">
                    <a16:creationId xmlns:a16="http://schemas.microsoft.com/office/drawing/2014/main" id="{00000000-0008-0000-0000-0000FE000000}"/>
                  </a:ext>
                </a:extLst>
              </xdr:cNvPr>
              <xdr:cNvSpPr txBox="1"/>
            </xdr:nvSpPr>
            <xdr:spPr>
              <a:xfrm>
                <a:off x="4667249" y="314323"/>
                <a:ext cx="1080988" cy="24971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7030A0"/>
                </a:solidFill>
                <a:prstDash val="sysDash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fr-FR" sz="1000"/>
                  <a:t>CIMENT</a:t>
                </a:r>
              </a:p>
            </xdr:txBody>
          </xdr:sp>
        </xdr:grpSp>
        <xdr:sp macro="" textlink="">
          <xdr:nvSpPr>
            <xdr:cNvPr id="251" name="Rectangle à coins arrondis 250">
              <a:extLst>
                <a:ext uri="{FF2B5EF4-FFF2-40B4-BE49-F238E27FC236}">
                  <a16:creationId xmlns:a16="http://schemas.microsoft.com/office/drawing/2014/main" id="{00000000-0008-0000-0000-0000FB000000}"/>
                </a:ext>
              </a:extLst>
            </xdr:cNvPr>
            <xdr:cNvSpPr/>
          </xdr:nvSpPr>
          <xdr:spPr bwMode="auto">
            <a:xfrm>
              <a:off x="7410450" y="4457699"/>
              <a:ext cx="1089954" cy="869174"/>
            </a:xfrm>
            <a:prstGeom prst="roundRect">
              <a:avLst/>
            </a:prstGeom>
            <a:blipFill>
              <a:blip xmlns:r="http://schemas.openxmlformats.org/officeDocument/2006/relationships" r:embed="rId9"/>
              <a:stretch>
                <a:fillRect/>
              </a:stretch>
            </a:blip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fr-FR" sz="1100"/>
            </a:p>
          </xdr:txBody>
        </xdr:sp>
        <xdr:graphicFrame macro="">
          <xdr:nvGraphicFramePr>
            <xdr:cNvPr id="252" name="Graphique 251">
              <a:extLst>
                <a:ext uri="{FF2B5EF4-FFF2-40B4-BE49-F238E27FC236}">
                  <a16:creationId xmlns:a16="http://schemas.microsoft.com/office/drawing/2014/main" id="{00000000-0008-0000-0000-0000FC000000}"/>
                </a:ext>
              </a:extLst>
            </xdr:cNvPr>
            <xdr:cNvGraphicFramePr>
              <a:graphicFrameLocks/>
            </xdr:cNvGraphicFramePr>
          </xdr:nvGraphicFramePr>
          <xdr:xfrm>
            <a:off x="8505825" y="4238625"/>
            <a:ext cx="1012280" cy="5619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4"/>
            </a:graphicData>
          </a:graphic>
        </xdr:graphicFrame>
      </xdr:grpSp>
      <xdr:grpSp>
        <xdr:nvGrpSpPr>
          <xdr:cNvPr id="257" name="Groupe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GrpSpPr/>
        </xdr:nvGrpSpPr>
        <xdr:grpSpPr>
          <a:xfrm>
            <a:off x="7772402" y="228600"/>
            <a:ext cx="2085975" cy="927690"/>
            <a:chOff x="7694711" y="2085975"/>
            <a:chExt cx="2249395" cy="927690"/>
          </a:xfrm>
        </xdr:grpSpPr>
        <xdr:grpSp>
          <xdr:nvGrpSpPr>
            <xdr:cNvPr id="258" name="Groupe 257">
              <a:extLst>
                <a:ext uri="{FF2B5EF4-FFF2-40B4-BE49-F238E27FC236}">
                  <a16:creationId xmlns:a16="http://schemas.microsoft.com/office/drawing/2014/main" id="{00000000-0008-0000-0000-000002010000}"/>
                </a:ext>
              </a:extLst>
            </xdr:cNvPr>
            <xdr:cNvGrpSpPr/>
          </xdr:nvGrpSpPr>
          <xdr:grpSpPr>
            <a:xfrm>
              <a:off x="7694711" y="2085975"/>
              <a:ext cx="2249395" cy="927690"/>
              <a:chOff x="7378517" y="4179217"/>
              <a:chExt cx="1549369" cy="1147658"/>
            </a:xfrm>
          </xdr:grpSpPr>
          <xdr:grpSp>
            <xdr:nvGrpSpPr>
              <xdr:cNvPr id="260" name="Groupe 259">
                <a:extLst>
                  <a:ext uri="{FF2B5EF4-FFF2-40B4-BE49-F238E27FC236}">
                    <a16:creationId xmlns:a16="http://schemas.microsoft.com/office/drawing/2014/main" id="{00000000-0008-0000-0000-000004010000}"/>
                  </a:ext>
                </a:extLst>
              </xdr:cNvPr>
              <xdr:cNvGrpSpPr/>
            </xdr:nvGrpSpPr>
            <xdr:grpSpPr>
              <a:xfrm>
                <a:off x="7378517" y="4179217"/>
                <a:ext cx="1549369" cy="1143000"/>
                <a:chOff x="4606153" y="293017"/>
                <a:chExt cx="1590141" cy="1143000"/>
              </a:xfrm>
            </xdr:grpSpPr>
            <xdr:grpSp>
              <xdr:nvGrpSpPr>
                <xdr:cNvPr id="262" name="Groupe 51">
                  <a:extLst>
                    <a:ext uri="{FF2B5EF4-FFF2-40B4-BE49-F238E27FC236}">
                      <a16:creationId xmlns:a16="http://schemas.microsoft.com/office/drawing/2014/main" id="{00000000-0008-0000-0000-000006010000}"/>
                    </a:ext>
                  </a:extLst>
                </xdr:cNvPr>
                <xdr:cNvGrpSpPr/>
              </xdr:nvGrpSpPr>
              <xdr:grpSpPr>
                <a:xfrm>
                  <a:off x="4620676" y="293017"/>
                  <a:ext cx="1575618" cy="1143000"/>
                  <a:chOff x="-261308" y="1634784"/>
                  <a:chExt cx="1925757" cy="1724025"/>
                </a:xfrm>
              </xdr:grpSpPr>
              <xdr:sp macro="" textlink="">
                <xdr:nvSpPr>
                  <xdr:cNvPr id="264" name="Rectangle 263">
                    <a:extLst>
                      <a:ext uri="{FF2B5EF4-FFF2-40B4-BE49-F238E27FC236}">
                        <a16:creationId xmlns:a16="http://schemas.microsoft.com/office/drawing/2014/main" id="{00000000-0008-0000-0000-000008010000}"/>
                      </a:ext>
                    </a:extLst>
                  </xdr:cNvPr>
                  <xdr:cNvSpPr/>
                </xdr:nvSpPr>
                <xdr:spPr bwMode="auto">
                  <a:xfrm>
                    <a:off x="-261308" y="1634784"/>
                    <a:ext cx="1899966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Transport!B2">
                <xdr:nvSpPr>
                  <xdr:cNvPr id="265" name="Rectangle à coins arrondis 264">
                    <a:extLst>
                      <a:ext uri="{FF2B5EF4-FFF2-40B4-BE49-F238E27FC236}">
                        <a16:creationId xmlns:a16="http://schemas.microsoft.com/office/drawing/2014/main" id="{00000000-0008-0000-0000-000009010000}"/>
                      </a:ext>
                    </a:extLst>
                  </xdr:cNvPr>
                  <xdr:cNvSpPr/>
                </xdr:nvSpPr>
                <xdr:spPr bwMode="auto">
                  <a:xfrm>
                    <a:off x="955205" y="2638207"/>
                    <a:ext cx="709244" cy="685051"/>
                  </a:xfrm>
                  <a:prstGeom prst="round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ctr" upright="1"/>
                  <a:lstStyle/>
                  <a:p>
                    <a:pPr algn="ctr"/>
                    <a:fld id="{0BD4A82D-0CD0-43A3-A7D4-D58E76021695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ctr"/>
                      <a:t>-4,0%</a:t>
                    </a:fld>
                    <a:endParaRPr lang="fr-FR" sz="1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263" name="ZoneTexte 262">
                  <a:extLst>
                    <a:ext uri="{FF2B5EF4-FFF2-40B4-BE49-F238E27FC236}">
                      <a16:creationId xmlns:a16="http://schemas.microsoft.com/office/drawing/2014/main" id="{00000000-0008-0000-0000-000007010000}"/>
                    </a:ext>
                  </a:extLst>
                </xdr:cNvPr>
                <xdr:cNvSpPr txBox="1"/>
              </xdr:nvSpPr>
              <xdr:spPr>
                <a:xfrm>
                  <a:off x="4606153" y="314325"/>
                  <a:ext cx="971148" cy="26149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r>
                    <a:rPr lang="fr-FR" sz="700"/>
                    <a:t>MOUVEMENTS</a:t>
                  </a:r>
                  <a:r>
                    <a:rPr lang="fr-FR" sz="700" baseline="0"/>
                    <a:t> D'</a:t>
                  </a:r>
                  <a:r>
                    <a:rPr lang="fr-FR" sz="700"/>
                    <a:t>AERONEFS</a:t>
                  </a:r>
                </a:p>
              </xdr:txBody>
            </xdr:sp>
          </xdr:grpSp>
          <xdr:sp macro="" textlink="">
            <xdr:nvSpPr>
              <xdr:cNvPr id="261" name="Rectangle à coins arrondis 260">
                <a:extLst>
                  <a:ext uri="{FF2B5EF4-FFF2-40B4-BE49-F238E27FC236}">
                    <a16:creationId xmlns:a16="http://schemas.microsoft.com/office/drawing/2014/main" id="{00000000-0008-0000-0000-000005010000}"/>
                  </a:ext>
                </a:extLst>
              </xdr:cNvPr>
              <xdr:cNvSpPr/>
            </xdr:nvSpPr>
            <xdr:spPr bwMode="auto">
              <a:xfrm>
                <a:off x="7410451" y="4450239"/>
                <a:ext cx="955436" cy="876636"/>
              </a:xfrm>
              <a:prstGeom prst="roundRect">
                <a:avLst/>
              </a:prstGeom>
              <a:blipFill>
                <a:blip xmlns:r="http://schemas.openxmlformats.org/officeDocument/2006/relationships" r:embed="rId11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259" name="Graphique 258">
              <a:extLst>
                <a:ext uri="{FF2B5EF4-FFF2-40B4-BE49-F238E27FC236}">
                  <a16:creationId xmlns:a16="http://schemas.microsoft.com/office/drawing/2014/main" id="{00000000-0008-0000-0000-000003010000}"/>
                </a:ext>
              </a:extLst>
            </xdr:cNvPr>
            <xdr:cNvGraphicFramePr>
              <a:graphicFrameLocks/>
            </xdr:cNvGraphicFramePr>
          </xdr:nvGraphicFramePr>
          <xdr:xfrm>
            <a:off x="9115425" y="2105025"/>
            <a:ext cx="790575" cy="4857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5"/>
            </a:graphicData>
          </a:graphic>
        </xdr:graphicFrame>
      </xdr:grpSp>
      <xdr:grpSp>
        <xdr:nvGrpSpPr>
          <xdr:cNvPr id="266" name="Groupe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GrpSpPr/>
        </xdr:nvGrpSpPr>
        <xdr:grpSpPr>
          <a:xfrm>
            <a:off x="7762874" y="1190625"/>
            <a:ext cx="2114551" cy="927689"/>
            <a:chOff x="6657974" y="4000500"/>
            <a:chExt cx="2276475" cy="927689"/>
          </a:xfrm>
        </xdr:grpSpPr>
        <xdr:grpSp>
          <xdr:nvGrpSpPr>
            <xdr:cNvPr id="267" name="Groupe 266">
              <a:extLst>
                <a:ext uri="{FF2B5EF4-FFF2-40B4-BE49-F238E27FC236}">
                  <a16:creationId xmlns:a16="http://schemas.microsoft.com/office/drawing/2014/main" id="{00000000-0008-0000-0000-00000B010000}"/>
                </a:ext>
              </a:extLst>
            </xdr:cNvPr>
            <xdr:cNvGrpSpPr/>
          </xdr:nvGrpSpPr>
          <xdr:grpSpPr>
            <a:xfrm>
              <a:off x="6657974" y="4000500"/>
              <a:ext cx="2276475" cy="927689"/>
              <a:chOff x="7392667" y="4179217"/>
              <a:chExt cx="1568022" cy="1147656"/>
            </a:xfrm>
          </xdr:grpSpPr>
          <xdr:grpSp>
            <xdr:nvGrpSpPr>
              <xdr:cNvPr id="269" name="Groupe 268">
                <a:extLst>
                  <a:ext uri="{FF2B5EF4-FFF2-40B4-BE49-F238E27FC236}">
                    <a16:creationId xmlns:a16="http://schemas.microsoft.com/office/drawing/2014/main" id="{00000000-0008-0000-0000-00000D010000}"/>
                  </a:ext>
                </a:extLst>
              </xdr:cNvPr>
              <xdr:cNvGrpSpPr/>
            </xdr:nvGrpSpPr>
            <xdr:grpSpPr>
              <a:xfrm>
                <a:off x="7392667" y="4179217"/>
                <a:ext cx="1568022" cy="1143000"/>
                <a:chOff x="4620675" y="293017"/>
                <a:chExt cx="1609285" cy="1143000"/>
              </a:xfrm>
            </xdr:grpSpPr>
            <xdr:grpSp>
              <xdr:nvGrpSpPr>
                <xdr:cNvPr id="271" name="Groupe 51">
                  <a:extLst>
                    <a:ext uri="{FF2B5EF4-FFF2-40B4-BE49-F238E27FC236}">
                      <a16:creationId xmlns:a16="http://schemas.microsoft.com/office/drawing/2014/main" id="{00000000-0008-0000-0000-00000F010000}"/>
                    </a:ext>
                  </a:extLst>
                </xdr:cNvPr>
                <xdr:cNvGrpSpPr/>
              </xdr:nvGrpSpPr>
              <xdr:grpSpPr>
                <a:xfrm>
                  <a:off x="4620675" y="293017"/>
                  <a:ext cx="1609285" cy="1143000"/>
                  <a:chOff x="-261309" y="1634784"/>
                  <a:chExt cx="1966906" cy="1724025"/>
                </a:xfrm>
              </xdr:grpSpPr>
              <xdr:sp macro="" textlink="">
                <xdr:nvSpPr>
                  <xdr:cNvPr id="273" name="Rectangle 272">
                    <a:extLst>
                      <a:ext uri="{FF2B5EF4-FFF2-40B4-BE49-F238E27FC236}">
                        <a16:creationId xmlns:a16="http://schemas.microsoft.com/office/drawing/2014/main" id="{00000000-0008-0000-0000-000011010000}"/>
                      </a:ext>
                    </a:extLst>
                  </xdr:cNvPr>
                  <xdr:cNvSpPr/>
                </xdr:nvSpPr>
                <xdr:spPr bwMode="auto">
                  <a:xfrm>
                    <a:off x="-261309" y="1634784"/>
                    <a:ext cx="1966906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L$10">
                <xdr:nvSpPr>
                  <xdr:cNvPr id="274" name="Rectangle à coins arrondis 273">
                    <a:extLst>
                      <a:ext uri="{FF2B5EF4-FFF2-40B4-BE49-F238E27FC236}">
                        <a16:creationId xmlns:a16="http://schemas.microsoft.com/office/drawing/2014/main" id="{00000000-0008-0000-0000-000012010000}"/>
                      </a:ext>
                    </a:extLst>
                  </xdr:cNvPr>
                  <xdr:cNvSpPr/>
                </xdr:nvSpPr>
                <xdr:spPr bwMode="auto">
                  <a:xfrm>
                    <a:off x="955205" y="2638207"/>
                    <a:ext cx="709244" cy="685051"/>
                  </a:xfrm>
                  <a:prstGeom prst="round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ctr" upright="1"/>
                  <a:lstStyle/>
                  <a:p>
                    <a:pPr algn="l"/>
                    <a:fld id="{9FB11218-9468-4E5A-80DF-7393B9578B49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l"/>
                      <a:t>2,46%</a:t>
                    </a:fld>
                    <a:endParaRPr lang="fr-FR" sz="1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272" name="ZoneTexte 271">
                  <a:extLst>
                    <a:ext uri="{FF2B5EF4-FFF2-40B4-BE49-F238E27FC236}">
                      <a16:creationId xmlns:a16="http://schemas.microsoft.com/office/drawing/2014/main" id="{00000000-0008-0000-0000-000010010000}"/>
                    </a:ext>
                  </a:extLst>
                </xdr:cNvPr>
                <xdr:cNvSpPr txBox="1"/>
              </xdr:nvSpPr>
              <xdr:spPr>
                <a:xfrm>
                  <a:off x="4667249" y="314325"/>
                  <a:ext cx="910052" cy="22614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r>
                    <a:rPr lang="fr-FR" sz="800"/>
                    <a:t>PASSAGERS</a:t>
                  </a:r>
                </a:p>
              </xdr:txBody>
            </xdr:sp>
          </xdr:grpSp>
          <xdr:sp macro="" textlink="">
            <xdr:nvSpPr>
              <xdr:cNvPr id="270" name="Rectangle à coins arrondis 269">
                <a:extLst>
                  <a:ext uri="{FF2B5EF4-FFF2-40B4-BE49-F238E27FC236}">
                    <a16:creationId xmlns:a16="http://schemas.microsoft.com/office/drawing/2014/main" id="{00000000-0008-0000-0000-00000E010000}"/>
                  </a:ext>
                </a:extLst>
              </xdr:cNvPr>
              <xdr:cNvSpPr/>
            </xdr:nvSpPr>
            <xdr:spPr bwMode="auto">
              <a:xfrm>
                <a:off x="7410451" y="4450238"/>
                <a:ext cx="940087" cy="876635"/>
              </a:xfrm>
              <a:prstGeom prst="roundRect">
                <a:avLst/>
              </a:prstGeom>
              <a:blipFill>
                <a:blip xmlns:r="http://schemas.openxmlformats.org/officeDocument/2006/relationships" r:embed="rId13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268" name="Graphique 267">
              <a:extLst>
                <a:ext uri="{FF2B5EF4-FFF2-40B4-BE49-F238E27FC236}">
                  <a16:creationId xmlns:a16="http://schemas.microsoft.com/office/drawing/2014/main" id="{00000000-0008-0000-0000-00000C010000}"/>
                </a:ext>
              </a:extLst>
            </xdr:cNvPr>
            <xdr:cNvGraphicFramePr>
              <a:graphicFrameLocks/>
            </xdr:cNvGraphicFramePr>
          </xdr:nvGraphicFramePr>
          <xdr:xfrm>
            <a:off x="8077200" y="4029075"/>
            <a:ext cx="781050" cy="5524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6"/>
            </a:graphicData>
          </a:graphic>
        </xdr:graphicFrame>
      </xdr:grpSp>
      <xdr:grpSp>
        <xdr:nvGrpSpPr>
          <xdr:cNvPr id="275" name="Groupe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GrpSpPr/>
        </xdr:nvGrpSpPr>
        <xdr:grpSpPr>
          <a:xfrm>
            <a:off x="10096500" y="247650"/>
            <a:ext cx="2276475" cy="1390650"/>
            <a:chOff x="8963025" y="3810000"/>
            <a:chExt cx="2276475" cy="927689"/>
          </a:xfrm>
        </xdr:grpSpPr>
        <xdr:grpSp>
          <xdr:nvGrpSpPr>
            <xdr:cNvPr id="276" name="Groupe 275">
              <a:extLst>
                <a:ext uri="{FF2B5EF4-FFF2-40B4-BE49-F238E27FC236}">
                  <a16:creationId xmlns:a16="http://schemas.microsoft.com/office/drawing/2014/main" id="{00000000-0008-0000-0000-000014010000}"/>
                </a:ext>
              </a:extLst>
            </xdr:cNvPr>
            <xdr:cNvGrpSpPr/>
          </xdr:nvGrpSpPr>
          <xdr:grpSpPr>
            <a:xfrm>
              <a:off x="8963025" y="3810000"/>
              <a:ext cx="2276475" cy="927689"/>
              <a:chOff x="7392667" y="4179217"/>
              <a:chExt cx="1568022" cy="1147656"/>
            </a:xfrm>
          </xdr:grpSpPr>
          <xdr:grpSp>
            <xdr:nvGrpSpPr>
              <xdr:cNvPr id="278" name="Groupe 277">
                <a:extLst>
                  <a:ext uri="{FF2B5EF4-FFF2-40B4-BE49-F238E27FC236}">
                    <a16:creationId xmlns:a16="http://schemas.microsoft.com/office/drawing/2014/main" id="{00000000-0008-0000-0000-000016010000}"/>
                  </a:ext>
                </a:extLst>
              </xdr:cNvPr>
              <xdr:cNvGrpSpPr/>
            </xdr:nvGrpSpPr>
            <xdr:grpSpPr>
              <a:xfrm>
                <a:off x="7392667" y="4179217"/>
                <a:ext cx="1568022" cy="1143000"/>
                <a:chOff x="4620675" y="293017"/>
                <a:chExt cx="1609285" cy="1143000"/>
              </a:xfrm>
            </xdr:grpSpPr>
            <xdr:grpSp>
              <xdr:nvGrpSpPr>
                <xdr:cNvPr id="280" name="Groupe 51">
                  <a:extLst>
                    <a:ext uri="{FF2B5EF4-FFF2-40B4-BE49-F238E27FC236}">
                      <a16:creationId xmlns:a16="http://schemas.microsoft.com/office/drawing/2014/main" id="{00000000-0008-0000-0000-000018010000}"/>
                    </a:ext>
                  </a:extLst>
                </xdr:cNvPr>
                <xdr:cNvGrpSpPr/>
              </xdr:nvGrpSpPr>
              <xdr:grpSpPr>
                <a:xfrm>
                  <a:off x="4620675" y="293017"/>
                  <a:ext cx="1609285" cy="1143000"/>
                  <a:chOff x="-261309" y="1634784"/>
                  <a:chExt cx="1966906" cy="1724025"/>
                </a:xfrm>
              </xdr:grpSpPr>
              <xdr:sp macro="" textlink="">
                <xdr:nvSpPr>
                  <xdr:cNvPr id="282" name="Rectangle 281">
                    <a:extLst>
                      <a:ext uri="{FF2B5EF4-FFF2-40B4-BE49-F238E27FC236}">
                        <a16:creationId xmlns:a16="http://schemas.microsoft.com/office/drawing/2014/main" id="{00000000-0008-0000-0000-00001A010000}"/>
                      </a:ext>
                    </a:extLst>
                  </xdr:cNvPr>
                  <xdr:cNvSpPr/>
                </xdr:nvSpPr>
                <xdr:spPr bwMode="auto">
                  <a:xfrm>
                    <a:off x="-261309" y="1634784"/>
                    <a:ext cx="1966906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$O$5">
                <xdr:nvSpPr>
                  <xdr:cNvPr id="283" name="Rectangle à coins arrondis 282">
                    <a:extLst>
                      <a:ext uri="{FF2B5EF4-FFF2-40B4-BE49-F238E27FC236}">
                        <a16:creationId xmlns:a16="http://schemas.microsoft.com/office/drawing/2014/main" id="{00000000-0008-0000-0000-00001B010000}"/>
                      </a:ext>
                    </a:extLst>
                  </xdr:cNvPr>
                  <xdr:cNvSpPr/>
                </xdr:nvSpPr>
                <xdr:spPr bwMode="auto">
                  <a:xfrm>
                    <a:off x="955205" y="2638207"/>
                    <a:ext cx="709244" cy="685051"/>
                  </a:xfrm>
                  <a:prstGeom prst="round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ctr" upright="1"/>
                  <a:lstStyle/>
                  <a:p>
                    <a:pPr algn="l"/>
                    <a:fld id="{A064C597-1B79-4CA2-9F7F-95B3EF5A6097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l"/>
                      <a:t>1,87%</a:t>
                    </a:fld>
                    <a:endParaRPr lang="fr-FR" sz="123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281" name="ZoneTexte 280">
                  <a:extLst>
                    <a:ext uri="{FF2B5EF4-FFF2-40B4-BE49-F238E27FC236}">
                      <a16:creationId xmlns:a16="http://schemas.microsoft.com/office/drawing/2014/main" id="{00000000-0008-0000-0000-000019010000}"/>
                    </a:ext>
                  </a:extLst>
                </xdr:cNvPr>
                <xdr:cNvSpPr txBox="1"/>
              </xdr:nvSpPr>
              <xdr:spPr>
                <a:xfrm>
                  <a:off x="4627408" y="298604"/>
                  <a:ext cx="983078" cy="20665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r>
                    <a:rPr lang="fr-FR" sz="900"/>
                    <a:t>EMBARQUEMENTS</a:t>
                  </a:r>
                </a:p>
              </xdr:txBody>
            </xdr:sp>
          </xdr:grpSp>
          <xdr:sp macro="" textlink="">
            <xdr:nvSpPr>
              <xdr:cNvPr id="279" name="Rectangle à coins arrondis 278">
                <a:extLst>
                  <a:ext uri="{FF2B5EF4-FFF2-40B4-BE49-F238E27FC236}">
                    <a16:creationId xmlns:a16="http://schemas.microsoft.com/office/drawing/2014/main" id="{00000000-0008-0000-0000-000017010000}"/>
                  </a:ext>
                </a:extLst>
              </xdr:cNvPr>
              <xdr:cNvSpPr/>
            </xdr:nvSpPr>
            <xdr:spPr bwMode="auto">
              <a:xfrm>
                <a:off x="7410451" y="4399315"/>
                <a:ext cx="940087" cy="927558"/>
              </a:xfrm>
              <a:prstGeom prst="roundRect">
                <a:avLst/>
              </a:prstGeom>
              <a:blipFill>
                <a:blip xmlns:r="http://schemas.openxmlformats.org/officeDocument/2006/relationships" r:embed="rId15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277" name="Graphique 276">
              <a:extLst>
                <a:ext uri="{FF2B5EF4-FFF2-40B4-BE49-F238E27FC236}">
                  <a16:creationId xmlns:a16="http://schemas.microsoft.com/office/drawing/2014/main" id="{00000000-0008-0000-0000-000015010000}"/>
                </a:ext>
              </a:extLst>
            </xdr:cNvPr>
            <xdr:cNvGraphicFramePr>
              <a:graphicFrameLocks/>
            </xdr:cNvGraphicFramePr>
          </xdr:nvGraphicFramePr>
          <xdr:xfrm>
            <a:off x="10410825" y="3816342"/>
            <a:ext cx="800100" cy="5334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7"/>
            </a:graphicData>
          </a:graphic>
        </xdr:graphicFrame>
      </xdr:grpSp>
      <xdr:grpSp>
        <xdr:nvGrpSpPr>
          <xdr:cNvPr id="284" name="Groupe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GrpSpPr/>
        </xdr:nvGrpSpPr>
        <xdr:grpSpPr>
          <a:xfrm>
            <a:off x="10096500" y="1666875"/>
            <a:ext cx="2276475" cy="1133476"/>
            <a:chOff x="8724900" y="3829051"/>
            <a:chExt cx="2276475" cy="927690"/>
          </a:xfrm>
        </xdr:grpSpPr>
        <xdr:grpSp>
          <xdr:nvGrpSpPr>
            <xdr:cNvPr id="285" name="Groupe 284">
              <a:extLst>
                <a:ext uri="{FF2B5EF4-FFF2-40B4-BE49-F238E27FC236}">
                  <a16:creationId xmlns:a16="http://schemas.microsoft.com/office/drawing/2014/main" id="{00000000-0008-0000-0000-00001D010000}"/>
                </a:ext>
              </a:extLst>
            </xdr:cNvPr>
            <xdr:cNvGrpSpPr/>
          </xdr:nvGrpSpPr>
          <xdr:grpSpPr>
            <a:xfrm>
              <a:off x="8724900" y="3829051"/>
              <a:ext cx="2276475" cy="927690"/>
              <a:chOff x="7392667" y="4179217"/>
              <a:chExt cx="1568022" cy="1147657"/>
            </a:xfrm>
          </xdr:grpSpPr>
          <xdr:grpSp>
            <xdr:nvGrpSpPr>
              <xdr:cNvPr id="287" name="Groupe 286">
                <a:extLst>
                  <a:ext uri="{FF2B5EF4-FFF2-40B4-BE49-F238E27FC236}">
                    <a16:creationId xmlns:a16="http://schemas.microsoft.com/office/drawing/2014/main" id="{00000000-0008-0000-0000-00001F010000}"/>
                  </a:ext>
                </a:extLst>
              </xdr:cNvPr>
              <xdr:cNvGrpSpPr/>
            </xdr:nvGrpSpPr>
            <xdr:grpSpPr>
              <a:xfrm>
                <a:off x="7392667" y="4179217"/>
                <a:ext cx="1568022" cy="1143000"/>
                <a:chOff x="4620675" y="293017"/>
                <a:chExt cx="1609285" cy="1143000"/>
              </a:xfrm>
            </xdr:grpSpPr>
            <xdr:grpSp>
              <xdr:nvGrpSpPr>
                <xdr:cNvPr id="289" name="Groupe 51">
                  <a:extLst>
                    <a:ext uri="{FF2B5EF4-FFF2-40B4-BE49-F238E27FC236}">
                      <a16:creationId xmlns:a16="http://schemas.microsoft.com/office/drawing/2014/main" id="{00000000-0008-0000-0000-000021010000}"/>
                    </a:ext>
                  </a:extLst>
                </xdr:cNvPr>
                <xdr:cNvGrpSpPr/>
              </xdr:nvGrpSpPr>
              <xdr:grpSpPr>
                <a:xfrm>
                  <a:off x="4620675" y="293017"/>
                  <a:ext cx="1609285" cy="1143000"/>
                  <a:chOff x="-261309" y="1634784"/>
                  <a:chExt cx="1966906" cy="1724025"/>
                </a:xfrm>
              </xdr:grpSpPr>
              <xdr:sp macro="" textlink="">
                <xdr:nvSpPr>
                  <xdr:cNvPr id="291" name="Rectangle 290">
                    <a:extLst>
                      <a:ext uri="{FF2B5EF4-FFF2-40B4-BE49-F238E27FC236}">
                        <a16:creationId xmlns:a16="http://schemas.microsoft.com/office/drawing/2014/main" id="{00000000-0008-0000-0000-000023010000}"/>
                      </a:ext>
                    </a:extLst>
                  </xdr:cNvPr>
                  <xdr:cNvSpPr/>
                </xdr:nvSpPr>
                <xdr:spPr bwMode="auto">
                  <a:xfrm>
                    <a:off x="-261309" y="1634784"/>
                    <a:ext cx="1966906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$O$14">
                <xdr:nvSpPr>
                  <xdr:cNvPr id="292" name="Rectangle à coins arrondis 291">
                    <a:extLst>
                      <a:ext uri="{FF2B5EF4-FFF2-40B4-BE49-F238E27FC236}">
                        <a16:creationId xmlns:a16="http://schemas.microsoft.com/office/drawing/2014/main" id="{00000000-0008-0000-0000-000024010000}"/>
                      </a:ext>
                    </a:extLst>
                  </xdr:cNvPr>
                  <xdr:cNvSpPr/>
                </xdr:nvSpPr>
                <xdr:spPr bwMode="auto">
                  <a:xfrm>
                    <a:off x="955205" y="2638207"/>
                    <a:ext cx="709244" cy="685051"/>
                  </a:xfrm>
                  <a:prstGeom prst="round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ctr" upright="1"/>
                  <a:lstStyle/>
                  <a:p>
                    <a:pPr algn="l"/>
                    <a:fld id="{D17E276B-86CE-4AF7-AF04-2427A8CD72DC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l"/>
                      <a:t>-20,51%</a:t>
                    </a:fld>
                    <a:endParaRPr lang="fr-FR" sz="123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290" name="ZoneTexte 289">
                  <a:extLst>
                    <a:ext uri="{FF2B5EF4-FFF2-40B4-BE49-F238E27FC236}">
                      <a16:creationId xmlns:a16="http://schemas.microsoft.com/office/drawing/2014/main" id="{00000000-0008-0000-0000-000022010000}"/>
                    </a:ext>
                  </a:extLst>
                </xdr:cNvPr>
                <xdr:cNvSpPr txBox="1"/>
              </xdr:nvSpPr>
              <xdr:spPr>
                <a:xfrm>
                  <a:off x="4640875" y="314325"/>
                  <a:ext cx="956144" cy="20050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r>
                    <a:rPr lang="fr-FR" sz="900"/>
                    <a:t>DEBARQUEMENTS</a:t>
                  </a:r>
                </a:p>
              </xdr:txBody>
            </xdr:sp>
          </xdr:grpSp>
          <xdr:sp macro="" textlink="">
            <xdr:nvSpPr>
              <xdr:cNvPr id="288" name="Rectangle à coins arrondis 287">
                <a:extLst>
                  <a:ext uri="{FF2B5EF4-FFF2-40B4-BE49-F238E27FC236}">
                    <a16:creationId xmlns:a16="http://schemas.microsoft.com/office/drawing/2014/main" id="{00000000-0008-0000-0000-000020010000}"/>
                  </a:ext>
                </a:extLst>
              </xdr:cNvPr>
              <xdr:cNvSpPr/>
            </xdr:nvSpPr>
            <xdr:spPr bwMode="auto">
              <a:xfrm>
                <a:off x="7410451" y="4401034"/>
                <a:ext cx="940087" cy="925840"/>
              </a:xfrm>
              <a:prstGeom prst="roundRect">
                <a:avLst/>
              </a:prstGeom>
              <a:blipFill>
                <a:blip xmlns:r="http://schemas.openxmlformats.org/officeDocument/2006/relationships" r:embed="rId17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286" name="Graphique 285">
              <a:extLst>
                <a:ext uri="{FF2B5EF4-FFF2-40B4-BE49-F238E27FC236}">
                  <a16:creationId xmlns:a16="http://schemas.microsoft.com/office/drawing/2014/main" id="{00000000-0008-0000-0000-00001E010000}"/>
                </a:ext>
              </a:extLst>
            </xdr:cNvPr>
            <xdr:cNvGraphicFramePr>
              <a:graphicFrameLocks/>
            </xdr:cNvGraphicFramePr>
          </xdr:nvGraphicFramePr>
          <xdr:xfrm>
            <a:off x="10115550" y="3838575"/>
            <a:ext cx="847725" cy="5810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8"/>
            </a:graphicData>
          </a:graphic>
        </xdr:graphicFrame>
      </xdr:grpSp>
      <xdr:grpSp>
        <xdr:nvGrpSpPr>
          <xdr:cNvPr id="293" name="Groupe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GrpSpPr/>
        </xdr:nvGrpSpPr>
        <xdr:grpSpPr>
          <a:xfrm>
            <a:off x="28575" y="1000126"/>
            <a:ext cx="2619375" cy="962025"/>
            <a:chOff x="228600" y="3810001"/>
            <a:chExt cx="2562225" cy="1038225"/>
          </a:xfrm>
        </xdr:grpSpPr>
        <xdr:grpSp>
          <xdr:nvGrpSpPr>
            <xdr:cNvPr id="294" name="Groupe 293">
              <a:extLst>
                <a:ext uri="{FF2B5EF4-FFF2-40B4-BE49-F238E27FC236}">
                  <a16:creationId xmlns:a16="http://schemas.microsoft.com/office/drawing/2014/main" id="{00000000-0008-0000-0000-000026010000}"/>
                </a:ext>
              </a:extLst>
            </xdr:cNvPr>
            <xdr:cNvGrpSpPr/>
          </xdr:nvGrpSpPr>
          <xdr:grpSpPr>
            <a:xfrm>
              <a:off x="228600" y="3810001"/>
              <a:ext cx="2562225" cy="1038225"/>
              <a:chOff x="9526" y="1685927"/>
              <a:chExt cx="2724151" cy="1724025"/>
            </a:xfrm>
          </xdr:grpSpPr>
          <xdr:grpSp>
            <xdr:nvGrpSpPr>
              <xdr:cNvPr id="296" name="Groupe 295">
                <a:extLst>
                  <a:ext uri="{FF2B5EF4-FFF2-40B4-BE49-F238E27FC236}">
                    <a16:creationId xmlns:a16="http://schemas.microsoft.com/office/drawing/2014/main" id="{00000000-0008-0000-0000-000028010000}"/>
                  </a:ext>
                </a:extLst>
              </xdr:cNvPr>
              <xdr:cNvGrpSpPr/>
            </xdr:nvGrpSpPr>
            <xdr:grpSpPr>
              <a:xfrm>
                <a:off x="9526" y="1685927"/>
                <a:ext cx="2724151" cy="1724025"/>
                <a:chOff x="123825" y="333377"/>
                <a:chExt cx="2657475" cy="1724025"/>
              </a:xfrm>
            </xdr:grpSpPr>
            <xdr:sp macro="" textlink="">
              <xdr:nvSpPr>
                <xdr:cNvPr id="298" name="Rectangle 297">
                  <a:extLst>
                    <a:ext uri="{FF2B5EF4-FFF2-40B4-BE49-F238E27FC236}">
                      <a16:creationId xmlns:a16="http://schemas.microsoft.com/office/drawing/2014/main" id="{00000000-0008-0000-0000-00002A010000}"/>
                    </a:ext>
                  </a:extLst>
                </xdr:cNvPr>
                <xdr:cNvSpPr/>
              </xdr:nvSpPr>
              <xdr:spPr bwMode="auto">
                <a:xfrm>
                  <a:off x="123825" y="333377"/>
                  <a:ext cx="2657475" cy="1724025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">
              <xdr:nvSpPr>
                <xdr:cNvPr id="299" name="Rectangle à coins arrondis 298">
                  <a:extLst>
                    <a:ext uri="{FF2B5EF4-FFF2-40B4-BE49-F238E27FC236}">
                      <a16:creationId xmlns:a16="http://schemas.microsoft.com/office/drawing/2014/main" id="{00000000-0008-0000-0000-00002B010000}"/>
                    </a:ext>
                  </a:extLst>
                </xdr:cNvPr>
                <xdr:cNvSpPr/>
              </xdr:nvSpPr>
              <xdr:spPr bwMode="auto">
                <a:xfrm>
                  <a:off x="200025" y="400050"/>
                  <a:ext cx="1076325" cy="733425"/>
                </a:xfrm>
                <a:prstGeom prst="roundRect">
                  <a:avLst/>
                </a:prstGeom>
                <a:blipFill>
                  <a:blip xmlns:r="http://schemas.openxmlformats.org/officeDocument/2006/relationships" r:embed="rId19" cstate="print"/>
                  <a:stretch>
                    <a:fillRect/>
                  </a:stretch>
                </a:blip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'Environnement International'!G247">
              <xdr:nvSpPr>
                <xdr:cNvPr id="300" name="Rectangle à coins arrondis 299">
                  <a:extLst>
                    <a:ext uri="{FF2B5EF4-FFF2-40B4-BE49-F238E27FC236}">
                      <a16:creationId xmlns:a16="http://schemas.microsoft.com/office/drawing/2014/main" id="{00000000-0008-0000-0000-00002C010000}"/>
                    </a:ext>
                  </a:extLst>
                </xdr:cNvPr>
                <xdr:cNvSpPr/>
              </xdr:nvSpPr>
              <xdr:spPr bwMode="auto">
                <a:xfrm>
                  <a:off x="1314450" y="419100"/>
                  <a:ext cx="1390650" cy="695325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67E097DD-7EAA-46C1-A7FD-A2FB2DD7A147}" type="TxLink">
                    <a:rPr lang="en-US" sz="1100" b="0" i="0" u="none" strike="noStrike">
                      <a:solidFill>
                        <a:srgbClr val="000000"/>
                      </a:solidFill>
                      <a:latin typeface="Arial"/>
                      <a:ea typeface="Calibri"/>
                      <a:cs typeface="Arial"/>
                    </a:rPr>
                    <a:pPr algn="l"/>
                    <a:t> 66,77   </a:t>
                  </a:fld>
                  <a:endParaRPr lang="fr-FR" sz="4000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01" name="ZoneTexte 300">
                  <a:extLst>
                    <a:ext uri="{FF2B5EF4-FFF2-40B4-BE49-F238E27FC236}">
                      <a16:creationId xmlns:a16="http://schemas.microsoft.com/office/drawing/2014/main" id="{00000000-0008-0000-0000-00002D010000}"/>
                    </a:ext>
                  </a:extLst>
                </xdr:cNvPr>
                <xdr:cNvSpPr txBox="1"/>
              </xdr:nvSpPr>
              <xdr:spPr>
                <a:xfrm>
                  <a:off x="2060126" y="538210"/>
                  <a:ext cx="654500" cy="427836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fr-FR" sz="1100"/>
                    <a:t>$/baril</a:t>
                  </a:r>
                </a:p>
              </xdr:txBody>
            </xdr:sp>
          </xdr:grpSp>
          <xdr:sp macro="" textlink="$B$9">
            <xdr:nvSpPr>
              <xdr:cNvPr id="297" name="Rectangle à coins arrondis 296">
                <a:extLst>
                  <a:ext uri="{FF2B5EF4-FFF2-40B4-BE49-F238E27FC236}">
                    <a16:creationId xmlns:a16="http://schemas.microsoft.com/office/drawing/2014/main" id="{00000000-0008-0000-0000-000029010000}"/>
                  </a:ext>
                </a:extLst>
              </xdr:cNvPr>
              <xdr:cNvSpPr/>
            </xdr:nvSpPr>
            <xdr:spPr bwMode="auto">
              <a:xfrm>
                <a:off x="1276351" y="2590800"/>
                <a:ext cx="1390651" cy="695325"/>
              </a:xfrm>
              <a:prstGeom prst="roundRect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ctr" upright="1"/>
              <a:lstStyle/>
              <a:p>
                <a:pPr algn="l"/>
                <a:fld id="{90366655-3C8D-49AB-B856-7E3B7F4AAB16}" type="TxLink">
                  <a:rPr lang="en-US" sz="2400" b="0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 algn="l"/>
                  <a:t>6,45%</a:t>
                </a:fld>
                <a:endParaRPr lang="fr-FR" sz="138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graphicFrame macro="">
          <xdr:nvGraphicFramePr>
            <xdr:cNvPr id="295" name="Graphique 294">
              <a:extLst>
                <a:ext uri="{FF2B5EF4-FFF2-40B4-BE49-F238E27FC236}">
                  <a16:creationId xmlns:a16="http://schemas.microsoft.com/office/drawing/2014/main" id="{00000000-0008-0000-0000-000027010000}"/>
                </a:ext>
              </a:extLst>
            </xdr:cNvPr>
            <xdr:cNvGraphicFramePr>
              <a:graphicFrameLocks/>
            </xdr:cNvGraphicFramePr>
          </xdr:nvGraphicFramePr>
          <xdr:xfrm>
            <a:off x="285750" y="4314825"/>
            <a:ext cx="1057275" cy="5143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9"/>
            </a:graphicData>
          </a:graphic>
        </xdr:graphicFrame>
      </xdr:grpSp>
      <xdr:grpSp>
        <xdr:nvGrpSpPr>
          <xdr:cNvPr id="302" name="Groupe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GrpSpPr/>
        </xdr:nvGrpSpPr>
        <xdr:grpSpPr>
          <a:xfrm>
            <a:off x="7772399" y="4076701"/>
            <a:ext cx="2081712" cy="781050"/>
            <a:chOff x="8372475" y="4429124"/>
            <a:chExt cx="2211241" cy="1133475"/>
          </a:xfrm>
        </xdr:grpSpPr>
        <xdr:grpSp>
          <xdr:nvGrpSpPr>
            <xdr:cNvPr id="303" name="Groupe 302">
              <a:extLst>
                <a:ext uri="{FF2B5EF4-FFF2-40B4-BE49-F238E27FC236}">
                  <a16:creationId xmlns:a16="http://schemas.microsoft.com/office/drawing/2014/main" id="{00000000-0008-0000-0000-00002F010000}"/>
                </a:ext>
              </a:extLst>
            </xdr:cNvPr>
            <xdr:cNvGrpSpPr/>
          </xdr:nvGrpSpPr>
          <xdr:grpSpPr>
            <a:xfrm>
              <a:off x="8372475" y="4429124"/>
              <a:ext cx="2211241" cy="1133475"/>
              <a:chOff x="7392666" y="4179217"/>
              <a:chExt cx="1523089" cy="1147656"/>
            </a:xfrm>
          </xdr:grpSpPr>
          <xdr:grpSp>
            <xdr:nvGrpSpPr>
              <xdr:cNvPr id="305" name="Groupe 304">
                <a:extLst>
                  <a:ext uri="{FF2B5EF4-FFF2-40B4-BE49-F238E27FC236}">
                    <a16:creationId xmlns:a16="http://schemas.microsoft.com/office/drawing/2014/main" id="{00000000-0008-0000-0000-000031010000}"/>
                  </a:ext>
                </a:extLst>
              </xdr:cNvPr>
              <xdr:cNvGrpSpPr/>
            </xdr:nvGrpSpPr>
            <xdr:grpSpPr>
              <a:xfrm>
                <a:off x="7392666" y="4179217"/>
                <a:ext cx="1523089" cy="1143000"/>
                <a:chOff x="4620675" y="293017"/>
                <a:chExt cx="1563170" cy="1143000"/>
              </a:xfrm>
            </xdr:grpSpPr>
            <xdr:sp macro="" textlink="">
              <xdr:nvSpPr>
                <xdr:cNvPr id="309" name="Rectangle 308">
                  <a:extLst>
                    <a:ext uri="{FF2B5EF4-FFF2-40B4-BE49-F238E27FC236}">
                      <a16:creationId xmlns:a16="http://schemas.microsoft.com/office/drawing/2014/main" id="{00000000-0008-0000-0000-000035010000}"/>
                    </a:ext>
                  </a:extLst>
                </xdr:cNvPr>
                <xdr:cNvSpPr/>
              </xdr:nvSpPr>
              <xdr:spPr bwMode="auto">
                <a:xfrm>
                  <a:off x="4620675" y="293017"/>
                  <a:ext cx="1563170" cy="1143000"/>
                </a:xfrm>
                <a:prstGeom prst="rect">
                  <a:avLst/>
                </a:prstGeom>
                <a:ln>
                  <a:headEnd type="none" w="med" len="med"/>
                  <a:tailEnd type="none" w="med" len="med"/>
                </a:ln>
              </xdr:spPr>
              <xdr:style>
                <a:lnRef idx="3">
                  <a:schemeClr val="lt1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">
              <xdr:nvSpPr>
                <xdr:cNvPr id="308" name="ZoneTexte 307">
                  <a:extLst>
                    <a:ext uri="{FF2B5EF4-FFF2-40B4-BE49-F238E27FC236}">
                      <a16:creationId xmlns:a16="http://schemas.microsoft.com/office/drawing/2014/main" id="{00000000-0008-0000-0000-000034010000}"/>
                    </a:ext>
                  </a:extLst>
                </xdr:cNvPr>
                <xdr:cNvSpPr txBox="1"/>
              </xdr:nvSpPr>
              <xdr:spPr>
                <a:xfrm>
                  <a:off x="4667249" y="314325"/>
                  <a:ext cx="910052" cy="22614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r>
                    <a:rPr lang="fr-FR" sz="900"/>
                    <a:t>PETROLE BRUT</a:t>
                  </a:r>
                </a:p>
              </xdr:txBody>
            </xdr:sp>
          </xdr:grpSp>
          <xdr:sp macro="" textlink="">
            <xdr:nvSpPr>
              <xdr:cNvPr id="306" name="Rectangle à coins arrondis 305">
                <a:extLst>
                  <a:ext uri="{FF2B5EF4-FFF2-40B4-BE49-F238E27FC236}">
                    <a16:creationId xmlns:a16="http://schemas.microsoft.com/office/drawing/2014/main" id="{00000000-0008-0000-0000-000032010000}"/>
                  </a:ext>
                </a:extLst>
              </xdr:cNvPr>
              <xdr:cNvSpPr/>
            </xdr:nvSpPr>
            <xdr:spPr bwMode="auto">
              <a:xfrm>
                <a:off x="7410451" y="4450238"/>
                <a:ext cx="940087" cy="876635"/>
              </a:xfrm>
              <a:prstGeom prst="roundRect">
                <a:avLst/>
              </a:prstGeom>
              <a:blipFill>
                <a:blip xmlns:r="http://schemas.openxmlformats.org/officeDocument/2006/relationships" r:embed="rId21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304" name="Graphique 303">
              <a:extLst>
                <a:ext uri="{FF2B5EF4-FFF2-40B4-BE49-F238E27FC236}">
                  <a16:creationId xmlns:a16="http://schemas.microsoft.com/office/drawing/2014/main" id="{00000000-0008-0000-0000-000030010000}"/>
                </a:ext>
              </a:extLst>
            </xdr:cNvPr>
            <xdr:cNvGraphicFramePr>
              <a:graphicFrameLocks/>
            </xdr:cNvGraphicFramePr>
          </xdr:nvGraphicFramePr>
          <xdr:xfrm>
            <a:off x="9791701" y="4448176"/>
            <a:ext cx="781049" cy="6477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0"/>
            </a:graphicData>
          </a:graphic>
        </xdr:graphicFrame>
      </xdr:grpSp>
      <xdr:grpSp>
        <xdr:nvGrpSpPr>
          <xdr:cNvPr id="311" name="Groupe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GrpSpPr/>
        </xdr:nvGrpSpPr>
        <xdr:grpSpPr>
          <a:xfrm>
            <a:off x="7791450" y="3105150"/>
            <a:ext cx="2076450" cy="933450"/>
            <a:chOff x="10229850" y="3552825"/>
            <a:chExt cx="2276475" cy="1133475"/>
          </a:xfrm>
        </xdr:grpSpPr>
        <xdr:grpSp>
          <xdr:nvGrpSpPr>
            <xdr:cNvPr id="312" name="Groupe 311">
              <a:extLst>
                <a:ext uri="{FF2B5EF4-FFF2-40B4-BE49-F238E27FC236}">
                  <a16:creationId xmlns:a16="http://schemas.microsoft.com/office/drawing/2014/main" id="{00000000-0008-0000-0000-000038010000}"/>
                </a:ext>
              </a:extLst>
            </xdr:cNvPr>
            <xdr:cNvGrpSpPr/>
          </xdr:nvGrpSpPr>
          <xdr:grpSpPr>
            <a:xfrm>
              <a:off x="10229850" y="3552825"/>
              <a:ext cx="2276475" cy="1133475"/>
              <a:chOff x="7392667" y="4179217"/>
              <a:chExt cx="1568022" cy="1147656"/>
            </a:xfrm>
          </xdr:grpSpPr>
          <xdr:grpSp>
            <xdr:nvGrpSpPr>
              <xdr:cNvPr id="314" name="Groupe 313">
                <a:extLst>
                  <a:ext uri="{FF2B5EF4-FFF2-40B4-BE49-F238E27FC236}">
                    <a16:creationId xmlns:a16="http://schemas.microsoft.com/office/drawing/2014/main" id="{00000000-0008-0000-0000-00003A010000}"/>
                  </a:ext>
                </a:extLst>
              </xdr:cNvPr>
              <xdr:cNvGrpSpPr/>
            </xdr:nvGrpSpPr>
            <xdr:grpSpPr>
              <a:xfrm>
                <a:off x="7392667" y="4179217"/>
                <a:ext cx="1568022" cy="1143000"/>
                <a:chOff x="4620675" y="293017"/>
                <a:chExt cx="1609285" cy="1143000"/>
              </a:xfrm>
            </xdr:grpSpPr>
            <xdr:grpSp>
              <xdr:nvGrpSpPr>
                <xdr:cNvPr id="316" name="Groupe 51">
                  <a:extLst>
                    <a:ext uri="{FF2B5EF4-FFF2-40B4-BE49-F238E27FC236}">
                      <a16:creationId xmlns:a16="http://schemas.microsoft.com/office/drawing/2014/main" id="{00000000-0008-0000-0000-00003C010000}"/>
                    </a:ext>
                  </a:extLst>
                </xdr:cNvPr>
                <xdr:cNvGrpSpPr/>
              </xdr:nvGrpSpPr>
              <xdr:grpSpPr>
                <a:xfrm>
                  <a:off x="4620675" y="293017"/>
                  <a:ext cx="1609285" cy="1143000"/>
                  <a:chOff x="-261309" y="1634784"/>
                  <a:chExt cx="1966906" cy="1724025"/>
                </a:xfrm>
              </xdr:grpSpPr>
              <xdr:sp macro="" textlink="">
                <xdr:nvSpPr>
                  <xdr:cNvPr id="318" name="Rectangle 317">
                    <a:extLst>
                      <a:ext uri="{FF2B5EF4-FFF2-40B4-BE49-F238E27FC236}">
                        <a16:creationId xmlns:a16="http://schemas.microsoft.com/office/drawing/2014/main" id="{00000000-0008-0000-0000-00003E010000}"/>
                      </a:ext>
                    </a:extLst>
                  </xdr:cNvPr>
                  <xdr:cNvSpPr/>
                </xdr:nvSpPr>
                <xdr:spPr bwMode="auto">
                  <a:xfrm>
                    <a:off x="-261309" y="1634784"/>
                    <a:ext cx="1966906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$L$20">
                <xdr:nvSpPr>
                  <xdr:cNvPr id="319" name="Rectangle à coins arrondis 318">
                    <a:extLst>
                      <a:ext uri="{FF2B5EF4-FFF2-40B4-BE49-F238E27FC236}">
                        <a16:creationId xmlns:a16="http://schemas.microsoft.com/office/drawing/2014/main" id="{00000000-0008-0000-0000-00003F010000}"/>
                      </a:ext>
                    </a:extLst>
                  </xdr:cNvPr>
                  <xdr:cNvSpPr/>
                </xdr:nvSpPr>
                <xdr:spPr bwMode="auto">
                  <a:xfrm>
                    <a:off x="955205" y="2638207"/>
                    <a:ext cx="709244" cy="685051"/>
                  </a:xfrm>
                  <a:prstGeom prst="round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ctr" upright="1"/>
                  <a:lstStyle/>
                  <a:p>
                    <a:pPr algn="l"/>
                    <a:fld id="{DA63308D-F712-42CB-9E89-83DBDAE85AB7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l"/>
                      <a:t>-3,60%</a:t>
                    </a:fld>
                    <a:endParaRPr lang="fr-FR" sz="123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317" name="ZoneTexte 316">
                  <a:extLst>
                    <a:ext uri="{FF2B5EF4-FFF2-40B4-BE49-F238E27FC236}">
                      <a16:creationId xmlns:a16="http://schemas.microsoft.com/office/drawing/2014/main" id="{00000000-0008-0000-0000-00003D010000}"/>
                    </a:ext>
                  </a:extLst>
                </xdr:cNvPr>
                <xdr:cNvSpPr txBox="1"/>
              </xdr:nvSpPr>
              <xdr:spPr>
                <a:xfrm>
                  <a:off x="4667249" y="314325"/>
                  <a:ext cx="910052" cy="22614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r>
                    <a:rPr lang="fr-FR" sz="900"/>
                    <a:t>RIZ</a:t>
                  </a:r>
                </a:p>
              </xdr:txBody>
            </xdr:sp>
          </xdr:grpSp>
          <xdr:sp macro="" textlink="">
            <xdr:nvSpPr>
              <xdr:cNvPr id="315" name="Rectangle à coins arrondis 314">
                <a:extLst>
                  <a:ext uri="{FF2B5EF4-FFF2-40B4-BE49-F238E27FC236}">
                    <a16:creationId xmlns:a16="http://schemas.microsoft.com/office/drawing/2014/main" id="{00000000-0008-0000-0000-00003B010000}"/>
                  </a:ext>
                </a:extLst>
              </xdr:cNvPr>
              <xdr:cNvSpPr/>
            </xdr:nvSpPr>
            <xdr:spPr bwMode="auto">
              <a:xfrm>
                <a:off x="7410451" y="4450238"/>
                <a:ext cx="940087" cy="876635"/>
              </a:xfrm>
              <a:prstGeom prst="roundRect">
                <a:avLst/>
              </a:prstGeom>
              <a:blipFill>
                <a:blip xmlns:r="http://schemas.openxmlformats.org/officeDocument/2006/relationships" r:embed="rId23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313" name="Graphique 312">
              <a:extLst>
                <a:ext uri="{FF2B5EF4-FFF2-40B4-BE49-F238E27FC236}">
                  <a16:creationId xmlns:a16="http://schemas.microsoft.com/office/drawing/2014/main" id="{00000000-0008-0000-0000-000039010000}"/>
                </a:ext>
              </a:extLst>
            </xdr:cNvPr>
            <xdr:cNvGraphicFramePr>
              <a:graphicFrameLocks/>
            </xdr:cNvGraphicFramePr>
          </xdr:nvGraphicFramePr>
          <xdr:xfrm>
            <a:off x="11620500" y="3600449"/>
            <a:ext cx="847725" cy="6000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1"/>
            </a:graphicData>
          </a:graphic>
        </xdr:graphicFrame>
      </xdr:grpSp>
      <xdr:grpSp>
        <xdr:nvGrpSpPr>
          <xdr:cNvPr id="320" name="Groupe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GrpSpPr/>
        </xdr:nvGrpSpPr>
        <xdr:grpSpPr>
          <a:xfrm>
            <a:off x="7781925" y="4914900"/>
            <a:ext cx="2105025" cy="828675"/>
            <a:chOff x="12325349" y="561975"/>
            <a:chExt cx="2276475" cy="1143000"/>
          </a:xfrm>
        </xdr:grpSpPr>
        <xdr:grpSp>
          <xdr:nvGrpSpPr>
            <xdr:cNvPr id="321" name="Groupe 320">
              <a:extLst>
                <a:ext uri="{FF2B5EF4-FFF2-40B4-BE49-F238E27FC236}">
                  <a16:creationId xmlns:a16="http://schemas.microsoft.com/office/drawing/2014/main" id="{00000000-0008-0000-0000-000041010000}"/>
                </a:ext>
              </a:extLst>
            </xdr:cNvPr>
            <xdr:cNvGrpSpPr/>
          </xdr:nvGrpSpPr>
          <xdr:grpSpPr>
            <a:xfrm>
              <a:off x="12325349" y="571500"/>
              <a:ext cx="2276475" cy="1133475"/>
              <a:chOff x="7392666" y="4179217"/>
              <a:chExt cx="1568022" cy="1147656"/>
            </a:xfrm>
          </xdr:grpSpPr>
          <xdr:grpSp>
            <xdr:nvGrpSpPr>
              <xdr:cNvPr id="323" name="Groupe 322">
                <a:extLst>
                  <a:ext uri="{FF2B5EF4-FFF2-40B4-BE49-F238E27FC236}">
                    <a16:creationId xmlns:a16="http://schemas.microsoft.com/office/drawing/2014/main" id="{00000000-0008-0000-0000-000043010000}"/>
                  </a:ext>
                </a:extLst>
              </xdr:cNvPr>
              <xdr:cNvGrpSpPr/>
            </xdr:nvGrpSpPr>
            <xdr:grpSpPr>
              <a:xfrm>
                <a:off x="7392666" y="4179217"/>
                <a:ext cx="1568022" cy="1143000"/>
                <a:chOff x="4620674" y="293017"/>
                <a:chExt cx="1609285" cy="1143000"/>
              </a:xfrm>
            </xdr:grpSpPr>
            <xdr:grpSp>
              <xdr:nvGrpSpPr>
                <xdr:cNvPr id="325" name="Groupe 51">
                  <a:extLst>
                    <a:ext uri="{FF2B5EF4-FFF2-40B4-BE49-F238E27FC236}">
                      <a16:creationId xmlns:a16="http://schemas.microsoft.com/office/drawing/2014/main" id="{00000000-0008-0000-0000-000045010000}"/>
                    </a:ext>
                  </a:extLst>
                </xdr:cNvPr>
                <xdr:cNvGrpSpPr/>
              </xdr:nvGrpSpPr>
              <xdr:grpSpPr>
                <a:xfrm>
                  <a:off x="4620674" y="293017"/>
                  <a:ext cx="1609285" cy="1143000"/>
                  <a:chOff x="-261310" y="1634784"/>
                  <a:chExt cx="1966906" cy="1724025"/>
                </a:xfrm>
              </xdr:grpSpPr>
              <xdr:sp macro="" textlink="">
                <xdr:nvSpPr>
                  <xdr:cNvPr id="327" name="Rectangle 326">
                    <a:extLst>
                      <a:ext uri="{FF2B5EF4-FFF2-40B4-BE49-F238E27FC236}">
                        <a16:creationId xmlns:a16="http://schemas.microsoft.com/office/drawing/2014/main" id="{00000000-0008-0000-0000-000047010000}"/>
                      </a:ext>
                    </a:extLst>
                  </xdr:cNvPr>
                  <xdr:cNvSpPr/>
                </xdr:nvSpPr>
                <xdr:spPr bwMode="auto">
                  <a:xfrm>
                    <a:off x="-261310" y="1634784"/>
                    <a:ext cx="1966906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$L$30">
                <xdr:nvSpPr>
                  <xdr:cNvPr id="328" name="Rectangle à coins arrondis 327">
                    <a:extLst>
                      <a:ext uri="{FF2B5EF4-FFF2-40B4-BE49-F238E27FC236}">
                        <a16:creationId xmlns:a16="http://schemas.microsoft.com/office/drawing/2014/main" id="{00000000-0008-0000-0000-000048010000}"/>
                      </a:ext>
                    </a:extLst>
                  </xdr:cNvPr>
                  <xdr:cNvSpPr/>
                </xdr:nvSpPr>
                <xdr:spPr bwMode="auto">
                  <a:xfrm>
                    <a:off x="955205" y="2638207"/>
                    <a:ext cx="709244" cy="685051"/>
                  </a:xfrm>
                  <a:prstGeom prst="round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ctr" upright="1"/>
                  <a:lstStyle/>
                  <a:p>
                    <a:pPr algn="l"/>
                    <a:fld id="{25A6F025-7F8F-43CB-81B3-8FF70063D7EC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l"/>
                      <a:t>52,06%</a:t>
                    </a:fld>
                    <a:endParaRPr lang="fr-FR" sz="123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326" name="ZoneTexte 325">
                  <a:extLst>
                    <a:ext uri="{FF2B5EF4-FFF2-40B4-BE49-F238E27FC236}">
                      <a16:creationId xmlns:a16="http://schemas.microsoft.com/office/drawing/2014/main" id="{00000000-0008-0000-0000-000046010000}"/>
                    </a:ext>
                  </a:extLst>
                </xdr:cNvPr>
                <xdr:cNvSpPr txBox="1"/>
              </xdr:nvSpPr>
              <xdr:spPr>
                <a:xfrm>
                  <a:off x="4667249" y="314325"/>
                  <a:ext cx="910052" cy="22614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r>
                    <a:rPr lang="fr-FR" sz="900"/>
                    <a:t>PETROLE RAFFINE</a:t>
                  </a:r>
                </a:p>
              </xdr:txBody>
            </xdr:sp>
          </xdr:grpSp>
          <xdr:sp macro="" textlink="">
            <xdr:nvSpPr>
              <xdr:cNvPr id="324" name="Rectangle à coins arrondis 323">
                <a:extLst>
                  <a:ext uri="{FF2B5EF4-FFF2-40B4-BE49-F238E27FC236}">
                    <a16:creationId xmlns:a16="http://schemas.microsoft.com/office/drawing/2014/main" id="{00000000-0008-0000-0000-000044010000}"/>
                  </a:ext>
                </a:extLst>
              </xdr:cNvPr>
              <xdr:cNvSpPr/>
            </xdr:nvSpPr>
            <xdr:spPr bwMode="auto">
              <a:xfrm>
                <a:off x="7410451" y="4450238"/>
                <a:ext cx="940087" cy="876635"/>
              </a:xfrm>
              <a:prstGeom prst="roundRect">
                <a:avLst/>
              </a:prstGeom>
              <a:blipFill>
                <a:blip xmlns:r="http://schemas.openxmlformats.org/officeDocument/2006/relationships" r:embed="rId25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322" name="Graphique 321">
              <a:extLst>
                <a:ext uri="{FF2B5EF4-FFF2-40B4-BE49-F238E27FC236}">
                  <a16:creationId xmlns:a16="http://schemas.microsoft.com/office/drawing/2014/main" id="{00000000-0008-0000-0000-000042010000}"/>
                </a:ext>
              </a:extLst>
            </xdr:cNvPr>
            <xdr:cNvGraphicFramePr>
              <a:graphicFrameLocks/>
            </xdr:cNvGraphicFramePr>
          </xdr:nvGraphicFramePr>
          <xdr:xfrm>
            <a:off x="13754100" y="561975"/>
            <a:ext cx="791630" cy="6572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2"/>
            </a:graphicData>
          </a:graphic>
        </xdr:graphicFrame>
      </xdr:grpSp>
      <xdr:grpSp>
        <xdr:nvGrpSpPr>
          <xdr:cNvPr id="329" name="Groupe 328">
            <a:extLst>
              <a:ext uri="{FF2B5EF4-FFF2-40B4-BE49-F238E27FC236}">
                <a16:creationId xmlns:a16="http://schemas.microsoft.com/office/drawing/2014/main" id="{00000000-0008-0000-0000-000049010000}"/>
              </a:ext>
            </a:extLst>
          </xdr:cNvPr>
          <xdr:cNvGrpSpPr/>
        </xdr:nvGrpSpPr>
        <xdr:grpSpPr>
          <a:xfrm>
            <a:off x="10125075" y="3105150"/>
            <a:ext cx="2304778" cy="1362075"/>
            <a:chOff x="4219575" y="4152900"/>
            <a:chExt cx="2314462" cy="1133475"/>
          </a:xfrm>
        </xdr:grpSpPr>
        <xdr:grpSp>
          <xdr:nvGrpSpPr>
            <xdr:cNvPr id="330" name="Groupe 329">
              <a:extLst>
                <a:ext uri="{FF2B5EF4-FFF2-40B4-BE49-F238E27FC236}">
                  <a16:creationId xmlns:a16="http://schemas.microsoft.com/office/drawing/2014/main" id="{00000000-0008-0000-0000-00004A010000}"/>
                </a:ext>
              </a:extLst>
            </xdr:cNvPr>
            <xdr:cNvGrpSpPr/>
          </xdr:nvGrpSpPr>
          <xdr:grpSpPr>
            <a:xfrm>
              <a:off x="4219575" y="4152900"/>
              <a:ext cx="2314462" cy="1133475"/>
              <a:chOff x="7392666" y="4179217"/>
              <a:chExt cx="1594187" cy="1147656"/>
            </a:xfrm>
          </xdr:grpSpPr>
          <xdr:grpSp>
            <xdr:nvGrpSpPr>
              <xdr:cNvPr id="332" name="Groupe 331">
                <a:extLst>
                  <a:ext uri="{FF2B5EF4-FFF2-40B4-BE49-F238E27FC236}">
                    <a16:creationId xmlns:a16="http://schemas.microsoft.com/office/drawing/2014/main" id="{00000000-0008-0000-0000-00004C010000}"/>
                  </a:ext>
                </a:extLst>
              </xdr:cNvPr>
              <xdr:cNvGrpSpPr/>
            </xdr:nvGrpSpPr>
            <xdr:grpSpPr>
              <a:xfrm>
                <a:off x="7392666" y="4179217"/>
                <a:ext cx="1594187" cy="1143000"/>
                <a:chOff x="4620675" y="293017"/>
                <a:chExt cx="1636139" cy="1143000"/>
              </a:xfrm>
            </xdr:grpSpPr>
            <xdr:grpSp>
              <xdr:nvGrpSpPr>
                <xdr:cNvPr id="334" name="Groupe 51">
                  <a:extLst>
                    <a:ext uri="{FF2B5EF4-FFF2-40B4-BE49-F238E27FC236}">
                      <a16:creationId xmlns:a16="http://schemas.microsoft.com/office/drawing/2014/main" id="{00000000-0008-0000-0000-00004E010000}"/>
                    </a:ext>
                  </a:extLst>
                </xdr:cNvPr>
                <xdr:cNvGrpSpPr/>
              </xdr:nvGrpSpPr>
              <xdr:grpSpPr>
                <a:xfrm>
                  <a:off x="4620675" y="293017"/>
                  <a:ext cx="1636139" cy="1143000"/>
                  <a:chOff x="-261309" y="1634784"/>
                  <a:chExt cx="1999728" cy="1724025"/>
                </a:xfrm>
              </xdr:grpSpPr>
              <xdr:sp macro="" textlink="">
                <xdr:nvSpPr>
                  <xdr:cNvPr id="336" name="Rectangle 335">
                    <a:extLst>
                      <a:ext uri="{FF2B5EF4-FFF2-40B4-BE49-F238E27FC236}">
                        <a16:creationId xmlns:a16="http://schemas.microsoft.com/office/drawing/2014/main" id="{00000000-0008-0000-0000-000050010000}"/>
                      </a:ext>
                    </a:extLst>
                  </xdr:cNvPr>
                  <xdr:cNvSpPr/>
                </xdr:nvSpPr>
                <xdr:spPr bwMode="auto">
                  <a:xfrm>
                    <a:off x="-261309" y="1634784"/>
                    <a:ext cx="1966906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$O$20">
                <xdr:nvSpPr>
                  <xdr:cNvPr id="337" name="Rectangle à coins arrondis 336">
                    <a:extLst>
                      <a:ext uri="{FF2B5EF4-FFF2-40B4-BE49-F238E27FC236}">
                        <a16:creationId xmlns:a16="http://schemas.microsoft.com/office/drawing/2014/main" id="{00000000-0008-0000-0000-000051010000}"/>
                      </a:ext>
                    </a:extLst>
                  </xdr:cNvPr>
                  <xdr:cNvSpPr/>
                </xdr:nvSpPr>
                <xdr:spPr bwMode="auto">
                  <a:xfrm>
                    <a:off x="955205" y="2644716"/>
                    <a:ext cx="783214" cy="678543"/>
                  </a:xfrm>
                  <a:prstGeom prst="round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ctr" upright="1"/>
                  <a:lstStyle/>
                  <a:p>
                    <a:pPr algn="l"/>
                    <a:fld id="{8307F4D9-AF38-4BF6-AC26-FC67CB41D6FB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l"/>
                      <a:t>-100,00%</a:t>
                    </a:fld>
                    <a:endParaRPr lang="fr-FR" sz="1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335" name="ZoneTexte 334">
                  <a:extLst>
                    <a:ext uri="{FF2B5EF4-FFF2-40B4-BE49-F238E27FC236}">
                      <a16:creationId xmlns:a16="http://schemas.microsoft.com/office/drawing/2014/main" id="{00000000-0008-0000-0000-00004F010000}"/>
                    </a:ext>
                  </a:extLst>
                </xdr:cNvPr>
                <xdr:cNvSpPr txBox="1"/>
              </xdr:nvSpPr>
              <xdr:spPr>
                <a:xfrm>
                  <a:off x="4627437" y="314326"/>
                  <a:ext cx="987208" cy="17933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r>
                    <a:rPr lang="fr-FR" sz="900"/>
                    <a:t>PRODUITS</a:t>
                  </a:r>
                  <a:r>
                    <a:rPr lang="fr-FR" sz="900" baseline="0"/>
                    <a:t> ARACHIDIERS</a:t>
                  </a:r>
                  <a:endParaRPr lang="fr-FR" sz="900"/>
                </a:p>
              </xdr:txBody>
            </xdr:sp>
          </xdr:grpSp>
          <xdr:sp macro="" textlink="">
            <xdr:nvSpPr>
              <xdr:cNvPr id="333" name="Rectangle à coins arrondis 332">
                <a:extLst>
                  <a:ext uri="{FF2B5EF4-FFF2-40B4-BE49-F238E27FC236}">
                    <a16:creationId xmlns:a16="http://schemas.microsoft.com/office/drawing/2014/main" id="{00000000-0008-0000-0000-00004D010000}"/>
                  </a:ext>
                </a:extLst>
              </xdr:cNvPr>
              <xdr:cNvSpPr/>
            </xdr:nvSpPr>
            <xdr:spPr bwMode="auto">
              <a:xfrm>
                <a:off x="7410451" y="4371831"/>
                <a:ext cx="940087" cy="955042"/>
              </a:xfrm>
              <a:prstGeom prst="roundRect">
                <a:avLst/>
              </a:prstGeom>
              <a:blipFill>
                <a:blip xmlns:r="http://schemas.openxmlformats.org/officeDocument/2006/relationships" r:embed="rId27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331" name="Graphique 330">
              <a:extLst>
                <a:ext uri="{FF2B5EF4-FFF2-40B4-BE49-F238E27FC236}">
                  <a16:creationId xmlns:a16="http://schemas.microsoft.com/office/drawing/2014/main" id="{00000000-0008-0000-0000-00004B010000}"/>
                </a:ext>
              </a:extLst>
            </xdr:cNvPr>
            <xdr:cNvGraphicFramePr>
              <a:graphicFrameLocks/>
            </xdr:cNvGraphicFramePr>
          </xdr:nvGraphicFramePr>
          <xdr:xfrm>
            <a:off x="5638799" y="4191001"/>
            <a:ext cx="828675" cy="609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3"/>
            </a:graphicData>
          </a:graphic>
        </xdr:graphicFrame>
      </xdr:grpSp>
      <xdr:grpSp>
        <xdr:nvGrpSpPr>
          <xdr:cNvPr id="338" name="Groupe 337">
            <a:extLst>
              <a:ext uri="{FF2B5EF4-FFF2-40B4-BE49-F238E27FC236}">
                <a16:creationId xmlns:a16="http://schemas.microsoft.com/office/drawing/2014/main" id="{00000000-0008-0000-0000-000052010000}"/>
              </a:ext>
            </a:extLst>
          </xdr:cNvPr>
          <xdr:cNvGrpSpPr/>
        </xdr:nvGrpSpPr>
        <xdr:grpSpPr>
          <a:xfrm>
            <a:off x="10144125" y="4514850"/>
            <a:ext cx="2228850" cy="1133476"/>
            <a:chOff x="3571875" y="4391025"/>
            <a:chExt cx="2276475" cy="1133476"/>
          </a:xfrm>
        </xdr:grpSpPr>
        <xdr:grpSp>
          <xdr:nvGrpSpPr>
            <xdr:cNvPr id="339" name="Groupe 338">
              <a:extLst>
                <a:ext uri="{FF2B5EF4-FFF2-40B4-BE49-F238E27FC236}">
                  <a16:creationId xmlns:a16="http://schemas.microsoft.com/office/drawing/2014/main" id="{00000000-0008-0000-0000-000053010000}"/>
                </a:ext>
              </a:extLst>
            </xdr:cNvPr>
            <xdr:cNvGrpSpPr/>
          </xdr:nvGrpSpPr>
          <xdr:grpSpPr>
            <a:xfrm>
              <a:off x="3571875" y="4391025"/>
              <a:ext cx="2276475" cy="1133476"/>
              <a:chOff x="7392667" y="4179217"/>
              <a:chExt cx="1568022" cy="1147657"/>
            </a:xfrm>
          </xdr:grpSpPr>
          <xdr:grpSp>
            <xdr:nvGrpSpPr>
              <xdr:cNvPr id="341" name="Groupe 340">
                <a:extLst>
                  <a:ext uri="{FF2B5EF4-FFF2-40B4-BE49-F238E27FC236}">
                    <a16:creationId xmlns:a16="http://schemas.microsoft.com/office/drawing/2014/main" id="{00000000-0008-0000-0000-000055010000}"/>
                  </a:ext>
                </a:extLst>
              </xdr:cNvPr>
              <xdr:cNvGrpSpPr/>
            </xdr:nvGrpSpPr>
            <xdr:grpSpPr>
              <a:xfrm>
                <a:off x="7392667" y="4179217"/>
                <a:ext cx="1568022" cy="1143000"/>
                <a:chOff x="4620675" y="293017"/>
                <a:chExt cx="1609285" cy="1143000"/>
              </a:xfrm>
            </xdr:grpSpPr>
            <xdr:grpSp>
              <xdr:nvGrpSpPr>
                <xdr:cNvPr id="343" name="Groupe 51">
                  <a:extLst>
                    <a:ext uri="{FF2B5EF4-FFF2-40B4-BE49-F238E27FC236}">
                      <a16:creationId xmlns:a16="http://schemas.microsoft.com/office/drawing/2014/main" id="{00000000-0008-0000-0000-000057010000}"/>
                    </a:ext>
                  </a:extLst>
                </xdr:cNvPr>
                <xdr:cNvGrpSpPr/>
              </xdr:nvGrpSpPr>
              <xdr:grpSpPr>
                <a:xfrm>
                  <a:off x="4620675" y="293017"/>
                  <a:ext cx="1609285" cy="1143000"/>
                  <a:chOff x="-261309" y="1634784"/>
                  <a:chExt cx="1966906" cy="1724025"/>
                </a:xfrm>
              </xdr:grpSpPr>
              <xdr:sp macro="" textlink="">
                <xdr:nvSpPr>
                  <xdr:cNvPr id="345" name="Rectangle 344">
                    <a:extLst>
                      <a:ext uri="{FF2B5EF4-FFF2-40B4-BE49-F238E27FC236}">
                        <a16:creationId xmlns:a16="http://schemas.microsoft.com/office/drawing/2014/main" id="{00000000-0008-0000-0000-000059010000}"/>
                      </a:ext>
                    </a:extLst>
                  </xdr:cNvPr>
                  <xdr:cNvSpPr/>
                </xdr:nvSpPr>
                <xdr:spPr bwMode="auto">
                  <a:xfrm>
                    <a:off x="-261309" y="1634784"/>
                    <a:ext cx="1966906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$O$28">
                <xdr:nvSpPr>
                  <xdr:cNvPr id="346" name="Rectangle à coins arrondis 345">
                    <a:extLst>
                      <a:ext uri="{FF2B5EF4-FFF2-40B4-BE49-F238E27FC236}">
                        <a16:creationId xmlns:a16="http://schemas.microsoft.com/office/drawing/2014/main" id="{00000000-0008-0000-0000-00005A010000}"/>
                      </a:ext>
                    </a:extLst>
                  </xdr:cNvPr>
                  <xdr:cNvSpPr/>
                </xdr:nvSpPr>
                <xdr:spPr bwMode="auto">
                  <a:xfrm>
                    <a:off x="955205" y="2638207"/>
                    <a:ext cx="709244" cy="685051"/>
                  </a:xfrm>
                  <a:prstGeom prst="round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ctr" upright="1"/>
                  <a:lstStyle/>
                  <a:p>
                    <a:pPr algn="l"/>
                    <a:fld id="{ABB86DE2-F131-4941-A0C0-AC23385A410B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l"/>
                      <a:t>35,37%</a:t>
                    </a:fld>
                    <a:endParaRPr lang="fr-FR" sz="1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344" name="ZoneTexte 343">
                  <a:extLst>
                    <a:ext uri="{FF2B5EF4-FFF2-40B4-BE49-F238E27FC236}">
                      <a16:creationId xmlns:a16="http://schemas.microsoft.com/office/drawing/2014/main" id="{00000000-0008-0000-0000-000058010000}"/>
                    </a:ext>
                  </a:extLst>
                </xdr:cNvPr>
                <xdr:cNvSpPr txBox="1"/>
              </xdr:nvSpPr>
              <xdr:spPr>
                <a:xfrm>
                  <a:off x="4627552" y="314325"/>
                  <a:ext cx="983452" cy="2294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r>
                    <a:rPr lang="fr-FR" sz="900"/>
                    <a:t>PRODUITS</a:t>
                  </a:r>
                  <a:r>
                    <a:rPr lang="fr-FR" sz="900" baseline="0"/>
                    <a:t> DE LA PECHE</a:t>
                  </a:r>
                  <a:endParaRPr lang="fr-FR" sz="900"/>
                </a:p>
              </xdr:txBody>
            </xdr:sp>
          </xdr:grpSp>
          <xdr:sp macro="" textlink="">
            <xdr:nvSpPr>
              <xdr:cNvPr id="342" name="Rectangle à coins arrondis 341">
                <a:extLst>
                  <a:ext uri="{FF2B5EF4-FFF2-40B4-BE49-F238E27FC236}">
                    <a16:creationId xmlns:a16="http://schemas.microsoft.com/office/drawing/2014/main" id="{00000000-0008-0000-0000-000056010000}"/>
                  </a:ext>
                </a:extLst>
              </xdr:cNvPr>
              <xdr:cNvSpPr/>
            </xdr:nvSpPr>
            <xdr:spPr bwMode="auto">
              <a:xfrm>
                <a:off x="7410451" y="4420322"/>
                <a:ext cx="940087" cy="906552"/>
              </a:xfrm>
              <a:prstGeom prst="roundRect">
                <a:avLst/>
              </a:prstGeom>
              <a:blipFill>
                <a:blip xmlns:r="http://schemas.openxmlformats.org/officeDocument/2006/relationships" r:embed="rId29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340" name="Graphique 339">
              <a:extLst>
                <a:ext uri="{FF2B5EF4-FFF2-40B4-BE49-F238E27FC236}">
                  <a16:creationId xmlns:a16="http://schemas.microsoft.com/office/drawing/2014/main" id="{00000000-0008-0000-0000-000054010000}"/>
                </a:ext>
              </a:extLst>
            </xdr:cNvPr>
            <xdr:cNvGraphicFramePr>
              <a:graphicFrameLocks/>
            </xdr:cNvGraphicFramePr>
          </xdr:nvGraphicFramePr>
          <xdr:xfrm>
            <a:off x="4972050" y="4400551"/>
            <a:ext cx="819150" cy="685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4"/>
            </a:graphicData>
          </a:graphic>
        </xdr:graphicFrame>
      </xdr:grpSp>
      <xdr:grpSp>
        <xdr:nvGrpSpPr>
          <xdr:cNvPr id="347" name="Groupe 346">
            <a:extLst>
              <a:ext uri="{FF2B5EF4-FFF2-40B4-BE49-F238E27FC236}">
                <a16:creationId xmlns:a16="http://schemas.microsoft.com/office/drawing/2014/main" id="{00000000-0008-0000-0000-00005B010000}"/>
              </a:ext>
            </a:extLst>
          </xdr:cNvPr>
          <xdr:cNvGrpSpPr/>
        </xdr:nvGrpSpPr>
        <xdr:grpSpPr>
          <a:xfrm>
            <a:off x="9527" y="1999809"/>
            <a:ext cx="2645519" cy="865102"/>
            <a:chOff x="9527" y="1971234"/>
            <a:chExt cx="2645519" cy="865102"/>
          </a:xfrm>
        </xdr:grpSpPr>
        <xdr:grpSp>
          <xdr:nvGrpSpPr>
            <xdr:cNvPr id="348" name="Groupe 347">
              <a:extLst>
                <a:ext uri="{FF2B5EF4-FFF2-40B4-BE49-F238E27FC236}">
                  <a16:creationId xmlns:a16="http://schemas.microsoft.com/office/drawing/2014/main" id="{00000000-0008-0000-0000-00005C010000}"/>
                </a:ext>
              </a:extLst>
            </xdr:cNvPr>
            <xdr:cNvGrpSpPr/>
          </xdr:nvGrpSpPr>
          <xdr:grpSpPr>
            <a:xfrm>
              <a:off x="9527" y="1971234"/>
              <a:ext cx="2645519" cy="865102"/>
              <a:chOff x="5924550" y="2037717"/>
              <a:chExt cx="1856673" cy="1243647"/>
            </a:xfrm>
          </xdr:grpSpPr>
          <xdr:sp macro="" textlink="">
            <xdr:nvSpPr>
              <xdr:cNvPr id="350" name="Rectangle 349">
                <a:extLst>
                  <a:ext uri="{FF2B5EF4-FFF2-40B4-BE49-F238E27FC236}">
                    <a16:creationId xmlns:a16="http://schemas.microsoft.com/office/drawing/2014/main" id="{00000000-0008-0000-0000-00005E010000}"/>
                  </a:ext>
                </a:extLst>
              </xdr:cNvPr>
              <xdr:cNvSpPr/>
            </xdr:nvSpPr>
            <xdr:spPr bwMode="auto">
              <a:xfrm>
                <a:off x="5924550" y="2038350"/>
                <a:ext cx="1838325" cy="1218668"/>
              </a:xfrm>
              <a:prstGeom prst="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3">
                <a:schemeClr val="lt1"/>
              </a:lnRef>
              <a:fillRef idx="1">
                <a:schemeClr val="accent1"/>
              </a:fillRef>
              <a:effectRef idx="1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  <xdr:grpSp>
            <xdr:nvGrpSpPr>
              <xdr:cNvPr id="351" name="Groupe 350">
                <a:extLst>
                  <a:ext uri="{FF2B5EF4-FFF2-40B4-BE49-F238E27FC236}">
                    <a16:creationId xmlns:a16="http://schemas.microsoft.com/office/drawing/2014/main" id="{00000000-0008-0000-0000-00005F010000}"/>
                  </a:ext>
                </a:extLst>
              </xdr:cNvPr>
              <xdr:cNvGrpSpPr/>
            </xdr:nvGrpSpPr>
            <xdr:grpSpPr>
              <a:xfrm>
                <a:off x="5988978" y="2037717"/>
                <a:ext cx="1792245" cy="1243647"/>
                <a:chOff x="5988978" y="2037717"/>
                <a:chExt cx="1792245" cy="1243647"/>
              </a:xfrm>
            </xdr:grpSpPr>
            <xdr:sp macro="" textlink="">
              <xdr:nvSpPr>
                <xdr:cNvPr id="352" name="Rectangle à coins arrondis 351">
                  <a:extLst>
                    <a:ext uri="{FF2B5EF4-FFF2-40B4-BE49-F238E27FC236}">
                      <a16:creationId xmlns:a16="http://schemas.microsoft.com/office/drawing/2014/main" id="{00000000-0008-0000-0000-000060010000}"/>
                    </a:ext>
                  </a:extLst>
                </xdr:cNvPr>
                <xdr:cNvSpPr/>
              </xdr:nvSpPr>
              <xdr:spPr bwMode="auto">
                <a:xfrm>
                  <a:off x="5988978" y="2076426"/>
                  <a:ext cx="837142" cy="591211"/>
                </a:xfrm>
                <a:prstGeom prst="roundRect">
                  <a:avLst/>
                </a:prstGeom>
                <a:blipFill>
                  <a:blip xmlns:r="http://schemas.openxmlformats.org/officeDocument/2006/relationships" r:embed="rId31" cstate="print"/>
                  <a:stretch>
                    <a:fillRect/>
                  </a:stretch>
                </a:blip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pPr algn="l"/>
                  <a:endParaRPr lang="fr-FR" sz="1100"/>
                </a:p>
              </xdr:txBody>
            </xdr:sp>
            <xdr:sp macro="" textlink="'Environnement International'!K247">
              <xdr:nvSpPr>
                <xdr:cNvPr id="353" name="Rectangle à coins arrondis 352">
                  <a:extLst>
                    <a:ext uri="{FF2B5EF4-FFF2-40B4-BE49-F238E27FC236}">
                      <a16:creationId xmlns:a16="http://schemas.microsoft.com/office/drawing/2014/main" id="{00000000-0008-0000-0000-000061010000}"/>
                    </a:ext>
                  </a:extLst>
                </xdr:cNvPr>
                <xdr:cNvSpPr/>
              </xdr:nvSpPr>
              <xdr:spPr bwMode="auto">
                <a:xfrm>
                  <a:off x="6892425" y="2037717"/>
                  <a:ext cx="888798" cy="596058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EA1D3D22-F3B4-458E-8599-4F2BE6A46F9E}" type="TxLink">
                    <a:rPr lang="en-US" sz="1100" b="0" i="0" u="none" strike="noStrike">
                      <a:solidFill>
                        <a:srgbClr val="000000"/>
                      </a:solidFill>
                      <a:latin typeface="Arial"/>
                      <a:ea typeface="Calibri"/>
                      <a:cs typeface="Arial"/>
                    </a:rPr>
                    <a:pPr algn="l"/>
                    <a:t> 1,17   </a:t>
                  </a:fld>
                  <a:endParaRPr lang="fr-FR" sz="40000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'Environnement International'!K3">
              <xdr:nvSpPr>
                <xdr:cNvPr id="354" name="Rectangle à coins arrondis 353">
                  <a:extLst>
                    <a:ext uri="{FF2B5EF4-FFF2-40B4-BE49-F238E27FC236}">
                      <a16:creationId xmlns:a16="http://schemas.microsoft.com/office/drawing/2014/main" id="{00000000-0008-0000-0000-000062010000}"/>
                    </a:ext>
                  </a:extLst>
                </xdr:cNvPr>
                <xdr:cNvSpPr/>
              </xdr:nvSpPr>
              <xdr:spPr bwMode="auto">
                <a:xfrm>
                  <a:off x="6864786" y="2680543"/>
                  <a:ext cx="875159" cy="596057"/>
                </a:xfrm>
                <a:prstGeom prst="round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horzOverflow="clip" wrap="square" lIns="18288" tIns="0" rIns="0" bIns="0" rtlCol="0" anchor="ctr" upright="1"/>
                <a:lstStyle/>
                <a:p>
                  <a:pPr algn="l"/>
                  <a:fld id="{B7A15C34-F969-4256-BAB6-017C16BB3CCB}" type="TxLink">
                    <a:rPr lang="en-US" sz="2400" b="0" i="0" u="none" strike="noStrike">
                      <a:solidFill>
                        <a:srgbClr val="000000"/>
                      </a:solidFill>
                      <a:latin typeface="Arial"/>
                      <a:cs typeface="Arial"/>
                    </a:rPr>
                    <a:pPr algn="l"/>
                    <a:t>0,2%</a:t>
                  </a:fld>
                  <a:endParaRPr lang="fr-FR" sz="1481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graphicFrame macro="">
              <xdr:nvGraphicFramePr>
                <xdr:cNvPr id="355" name="Graphique 354">
                  <a:extLst>
                    <a:ext uri="{FF2B5EF4-FFF2-40B4-BE49-F238E27FC236}">
                      <a16:creationId xmlns:a16="http://schemas.microsoft.com/office/drawing/2014/main" id="{00000000-0008-0000-0000-00006301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991226" y="2657476"/>
                <a:ext cx="838200" cy="62388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5"/>
                </a:graphicData>
              </a:graphic>
            </xdr:graphicFrame>
          </xdr:grpSp>
        </xdr:grpSp>
        <xdr:sp macro="" textlink="">
          <xdr:nvSpPr>
            <xdr:cNvPr id="349" name="ZoneTexte 348">
              <a:extLst>
                <a:ext uri="{FF2B5EF4-FFF2-40B4-BE49-F238E27FC236}">
                  <a16:creationId xmlns:a16="http://schemas.microsoft.com/office/drawing/2014/main" id="{00000000-0008-0000-0000-00005D010000}"/>
                </a:ext>
              </a:extLst>
            </xdr:cNvPr>
            <xdr:cNvSpPr txBox="1"/>
          </xdr:nvSpPr>
          <xdr:spPr>
            <a:xfrm>
              <a:off x="2133600" y="2057401"/>
              <a:ext cx="447675" cy="29527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/>
                <a:t>€/$</a:t>
              </a:r>
            </a:p>
          </xdr:txBody>
        </xdr:sp>
      </xdr:grpSp>
      <xdr:grpSp>
        <xdr:nvGrpSpPr>
          <xdr:cNvPr id="356" name="Groupe 355">
            <a:extLst>
              <a:ext uri="{FF2B5EF4-FFF2-40B4-BE49-F238E27FC236}">
                <a16:creationId xmlns:a16="http://schemas.microsoft.com/office/drawing/2014/main" id="{00000000-0008-0000-0000-000064010000}"/>
              </a:ext>
            </a:extLst>
          </xdr:cNvPr>
          <xdr:cNvGrpSpPr/>
        </xdr:nvGrpSpPr>
        <xdr:grpSpPr>
          <a:xfrm>
            <a:off x="7772400" y="2143126"/>
            <a:ext cx="2124075" cy="714374"/>
            <a:chOff x="180975" y="3714751"/>
            <a:chExt cx="2124075" cy="714374"/>
          </a:xfrm>
        </xdr:grpSpPr>
        <xdr:grpSp>
          <xdr:nvGrpSpPr>
            <xdr:cNvPr id="357" name="Groupe 356">
              <a:extLst>
                <a:ext uri="{FF2B5EF4-FFF2-40B4-BE49-F238E27FC236}">
                  <a16:creationId xmlns:a16="http://schemas.microsoft.com/office/drawing/2014/main" id="{00000000-0008-0000-0000-000065010000}"/>
                </a:ext>
              </a:extLst>
            </xdr:cNvPr>
            <xdr:cNvGrpSpPr/>
          </xdr:nvGrpSpPr>
          <xdr:grpSpPr>
            <a:xfrm>
              <a:off x="180975" y="3714751"/>
              <a:ext cx="2124075" cy="714374"/>
              <a:chOff x="7392667" y="4179217"/>
              <a:chExt cx="1568022" cy="1147654"/>
            </a:xfrm>
          </xdr:grpSpPr>
          <xdr:grpSp>
            <xdr:nvGrpSpPr>
              <xdr:cNvPr id="359" name="Groupe 358">
                <a:extLst>
                  <a:ext uri="{FF2B5EF4-FFF2-40B4-BE49-F238E27FC236}">
                    <a16:creationId xmlns:a16="http://schemas.microsoft.com/office/drawing/2014/main" id="{00000000-0008-0000-0000-000067010000}"/>
                  </a:ext>
                </a:extLst>
              </xdr:cNvPr>
              <xdr:cNvGrpSpPr/>
            </xdr:nvGrpSpPr>
            <xdr:grpSpPr>
              <a:xfrm>
                <a:off x="7392667" y="4179217"/>
                <a:ext cx="1568022" cy="1143000"/>
                <a:chOff x="4620675" y="293017"/>
                <a:chExt cx="1609285" cy="1143000"/>
              </a:xfrm>
            </xdr:grpSpPr>
            <xdr:grpSp>
              <xdr:nvGrpSpPr>
                <xdr:cNvPr id="361" name="Groupe 51">
                  <a:extLst>
                    <a:ext uri="{FF2B5EF4-FFF2-40B4-BE49-F238E27FC236}">
                      <a16:creationId xmlns:a16="http://schemas.microsoft.com/office/drawing/2014/main" id="{00000000-0008-0000-0000-000069010000}"/>
                    </a:ext>
                  </a:extLst>
                </xdr:cNvPr>
                <xdr:cNvGrpSpPr/>
              </xdr:nvGrpSpPr>
              <xdr:grpSpPr>
                <a:xfrm>
                  <a:off x="4620675" y="293017"/>
                  <a:ext cx="1609285" cy="1143000"/>
                  <a:chOff x="-261309" y="1634784"/>
                  <a:chExt cx="1966906" cy="1724025"/>
                </a:xfrm>
              </xdr:grpSpPr>
              <xdr:sp macro="" textlink="">
                <xdr:nvSpPr>
                  <xdr:cNvPr id="363" name="Rectangle 362">
                    <a:extLst>
                      <a:ext uri="{FF2B5EF4-FFF2-40B4-BE49-F238E27FC236}">
                        <a16:creationId xmlns:a16="http://schemas.microsoft.com/office/drawing/2014/main" id="{00000000-0008-0000-0000-00006B010000}"/>
                      </a:ext>
                    </a:extLst>
                  </xdr:cNvPr>
                  <xdr:cNvSpPr/>
                </xdr:nvSpPr>
                <xdr:spPr bwMode="auto">
                  <a:xfrm>
                    <a:off x="-261309" y="1634784"/>
                    <a:ext cx="1966906" cy="1724025"/>
                  </a:xfrm>
                  <a:prstGeom prst="rect">
                    <a:avLst/>
                  </a:prstGeom>
                  <a:ln>
                    <a:headEnd type="none" w="med" len="med"/>
                    <a:tailEnd type="none" w="med" len="med"/>
                  </a:ln>
                </xdr:spPr>
                <xdr:style>
                  <a:lnRef idx="3">
                    <a:schemeClr val="lt1"/>
                  </a:lnRef>
                  <a:fillRef idx="1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lIns="18288" tIns="0" rIns="0" bIns="0" rtlCol="0" anchor="t" upright="1"/>
                  <a:lstStyle/>
                  <a:p>
                    <a:pPr algn="l"/>
                    <a:endParaRPr lang="fr-FR" sz="1100"/>
                  </a:p>
                </xdr:txBody>
              </xdr:sp>
              <xdr:sp macro="" textlink="$L$15">
                <xdr:nvSpPr>
                  <xdr:cNvPr id="364" name="Rectangle à coins arrondis 363">
                    <a:extLst>
                      <a:ext uri="{FF2B5EF4-FFF2-40B4-BE49-F238E27FC236}">
                        <a16:creationId xmlns:a16="http://schemas.microsoft.com/office/drawing/2014/main" id="{00000000-0008-0000-0000-00006C010000}"/>
                      </a:ext>
                    </a:extLst>
                  </xdr:cNvPr>
                  <xdr:cNvSpPr/>
                </xdr:nvSpPr>
                <xdr:spPr bwMode="auto">
                  <a:xfrm>
                    <a:off x="955205" y="2638207"/>
                    <a:ext cx="709244" cy="685051"/>
                  </a:xfrm>
                  <a:prstGeom prst="round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horzOverflow="clip" wrap="square" lIns="18288" tIns="0" rIns="0" bIns="0" rtlCol="0" anchor="ctr" upright="1"/>
                  <a:lstStyle/>
                  <a:p>
                    <a:pPr algn="l"/>
                    <a:fld id="{9159E4A8-0797-44B9-A5DC-D161AE6AF219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l"/>
                      <a:t>14,36%</a:t>
                    </a:fld>
                    <a:endParaRPr lang="fr-FR" sz="1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362" name="ZoneTexte 361">
                  <a:extLst>
                    <a:ext uri="{FF2B5EF4-FFF2-40B4-BE49-F238E27FC236}">
                      <a16:creationId xmlns:a16="http://schemas.microsoft.com/office/drawing/2014/main" id="{00000000-0008-0000-0000-00006A010000}"/>
                    </a:ext>
                  </a:extLst>
                </xdr:cNvPr>
                <xdr:cNvSpPr txBox="1"/>
              </xdr:nvSpPr>
              <xdr:spPr>
                <a:xfrm>
                  <a:off x="4667249" y="314324"/>
                  <a:ext cx="910052" cy="3000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7030A0"/>
                  </a:solidFill>
                  <a:prstDash val="sysDash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wrap="square" rtlCol="0" anchor="t"/>
                <a:lstStyle/>
                <a:p>
                  <a:pPr algn="ctr"/>
                  <a:r>
                    <a:rPr lang="fr-FR" sz="1000" b="1"/>
                    <a:t>FRET</a:t>
                  </a:r>
                </a:p>
              </xdr:txBody>
            </xdr:sp>
          </xdr:grpSp>
          <xdr:sp macro="" textlink="">
            <xdr:nvSpPr>
              <xdr:cNvPr id="360" name="Rectangle à coins arrondis 359">
                <a:extLst>
                  <a:ext uri="{FF2B5EF4-FFF2-40B4-BE49-F238E27FC236}">
                    <a16:creationId xmlns:a16="http://schemas.microsoft.com/office/drawing/2014/main" id="{00000000-0008-0000-0000-000068010000}"/>
                  </a:ext>
                </a:extLst>
              </xdr:cNvPr>
              <xdr:cNvSpPr/>
            </xdr:nvSpPr>
            <xdr:spPr bwMode="auto">
              <a:xfrm>
                <a:off x="7410451" y="4485257"/>
                <a:ext cx="940087" cy="841614"/>
              </a:xfrm>
              <a:prstGeom prst="roundRect">
                <a:avLst/>
              </a:prstGeom>
              <a:blipFill>
                <a:blip xmlns:r="http://schemas.openxmlformats.org/officeDocument/2006/relationships" r:embed="rId33"/>
                <a:stretch>
                  <a:fillRect/>
                </a:stretch>
              </a:blip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fr-FR" sz="1100"/>
              </a:p>
            </xdr:txBody>
          </xdr:sp>
        </xdr:grpSp>
        <xdr:graphicFrame macro="">
          <xdr:nvGraphicFramePr>
            <xdr:cNvPr id="358" name="Graphique 357">
              <a:extLst>
                <a:ext uri="{FF2B5EF4-FFF2-40B4-BE49-F238E27FC236}">
                  <a16:creationId xmlns:a16="http://schemas.microsoft.com/office/drawing/2014/main" id="{00000000-0008-0000-0000-000066010000}"/>
                </a:ext>
              </a:extLst>
            </xdr:cNvPr>
            <xdr:cNvGraphicFramePr>
              <a:graphicFrameLocks/>
            </xdr:cNvGraphicFramePr>
          </xdr:nvGraphicFramePr>
          <xdr:xfrm>
            <a:off x="1485899" y="3743324"/>
            <a:ext cx="790575" cy="40481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6"/>
            </a:graphicData>
          </a:graphic>
        </xdr:graphicFrame>
      </xdr:grpSp>
      <xdr:pic>
        <xdr:nvPicPr>
          <xdr:cNvPr id="365" name="Image 364">
            <a:extLst>
              <a:ext uri="{FF2B5EF4-FFF2-40B4-BE49-F238E27FC236}">
                <a16:creationId xmlns:a16="http://schemas.microsoft.com/office/drawing/2014/main" id="{00000000-0008-0000-0000-00006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-30261" y="-17355"/>
            <a:ext cx="1838325" cy="77152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</xdr:colOff>
      <xdr:row>19</xdr:row>
      <xdr:rowOff>120650</xdr:rowOff>
    </xdr:from>
    <xdr:to>
      <xdr:col>5</xdr:col>
      <xdr:colOff>200025</xdr:colOff>
      <xdr:row>46</xdr:row>
      <xdr:rowOff>120650</xdr:rowOff>
    </xdr:to>
    <xdr:grpSp>
      <xdr:nvGrpSpPr>
        <xdr:cNvPr id="367" name="Group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GrpSpPr/>
      </xdr:nvGrpSpPr>
      <xdr:grpSpPr>
        <a:xfrm>
          <a:off x="2" y="3740150"/>
          <a:ext cx="5143498" cy="5143500"/>
          <a:chOff x="9101217" y="-1356946"/>
          <a:chExt cx="7138907" cy="5738446"/>
        </a:xfrm>
      </xdr:grpSpPr>
      <xdr:graphicFrame macro="">
        <xdr:nvGraphicFramePr>
          <xdr:cNvPr id="368" name="Graphique 367">
            <a:extLst>
              <a:ext uri="{FF2B5EF4-FFF2-40B4-BE49-F238E27FC236}">
                <a16:creationId xmlns:a16="http://schemas.microsoft.com/office/drawing/2014/main" id="{00000000-0008-0000-0000-000070010000}"/>
              </a:ext>
            </a:extLst>
          </xdr:cNvPr>
          <xdr:cNvGraphicFramePr/>
        </xdr:nvGraphicFramePr>
        <xdr:xfrm>
          <a:off x="9101217" y="-1356946"/>
          <a:ext cx="3697574" cy="25783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7"/>
          </a:graphicData>
        </a:graphic>
      </xdr:graphicFrame>
      <xdr:sp macro="" textlink="">
        <xdr:nvSpPr>
          <xdr:cNvPr id="369" name="Moins 368">
            <a:extLst>
              <a:ext uri="{FF2B5EF4-FFF2-40B4-BE49-F238E27FC236}">
                <a16:creationId xmlns:a16="http://schemas.microsoft.com/office/drawing/2014/main" id="{00000000-0008-0000-0000-000071010000}"/>
              </a:ext>
            </a:extLst>
          </xdr:cNvPr>
          <xdr:cNvSpPr/>
        </xdr:nvSpPr>
        <xdr:spPr>
          <a:xfrm>
            <a:off x="15944849" y="4219575"/>
            <a:ext cx="295275" cy="161925"/>
          </a:xfrm>
          <a:prstGeom prst="mathMinus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11</xdr:col>
      <xdr:colOff>95250</xdr:colOff>
      <xdr:row>23</xdr:row>
      <xdr:rowOff>171450</xdr:rowOff>
    </xdr:from>
    <xdr:to>
      <xdr:col>11</xdr:col>
      <xdr:colOff>857182</xdr:colOff>
      <xdr:row>25</xdr:row>
      <xdr:rowOff>157577</xdr:rowOff>
    </xdr:to>
    <xdr:sp macro="" textlink="'Commerce Extérieur'!D3">
      <xdr:nvSpPr>
        <xdr:cNvPr id="19" name="Rectangle à coins arrondis 264">
          <a:extLst>
            <a:ext uri="{FF2B5EF4-FFF2-40B4-BE49-F238E27FC236}">
              <a16:creationId xmlns:a16="http://schemas.microsoft.com/office/drawing/2014/main" id="{F0592722-5F5E-48B3-8D0A-8EF5FC69D45B}"/>
            </a:ext>
          </a:extLst>
        </xdr:cNvPr>
        <xdr:cNvSpPr/>
      </xdr:nvSpPr>
      <xdr:spPr bwMode="auto">
        <a:xfrm>
          <a:off x="9115425" y="4552950"/>
          <a:ext cx="761932" cy="367127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fld id="{8C6880B2-DDD6-4A6B-AEE0-C6DB6978F3B8}" type="TxLink">
            <a:rPr lang="en-US" sz="1400" b="1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-100,0%</a:t>
          </a:fld>
          <a:endParaRPr lang="fr-FR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104774</xdr:colOff>
      <xdr:row>0</xdr:row>
      <xdr:rowOff>0</xdr:rowOff>
    </xdr:from>
    <xdr:to>
      <xdr:col>23</xdr:col>
      <xdr:colOff>742950</xdr:colOff>
      <xdr:row>34</xdr:row>
      <xdr:rowOff>38100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3058774" y="0"/>
          <a:ext cx="5210176" cy="6515100"/>
          <a:chOff x="13058774" y="1657350"/>
          <a:chExt cx="5286375" cy="4857750"/>
        </a:xfrm>
      </xdr:grpSpPr>
      <xdr:graphicFrame macro="">
        <xdr:nvGraphicFramePr>
          <xdr:cNvPr id="6" name="Graphiqu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aphicFramePr/>
        </xdr:nvGraphicFramePr>
        <xdr:xfrm>
          <a:off x="13058774" y="1657350"/>
          <a:ext cx="5286375" cy="4857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" name="Moins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15944849" y="4219575"/>
            <a:ext cx="295275" cy="161925"/>
          </a:xfrm>
          <a:prstGeom prst="mathMinus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2/Desktop/Altew/Copie%20de%20TBO%20De&#204;&#129;cembre%202018_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Cadran"/>
      <sheetName val="Liste des tableaux"/>
      <sheetName val="Liste des graphiques"/>
      <sheetName val="similations"/>
      <sheetName val="Environnement International"/>
      <sheetName val="Elevage et pêche"/>
      <sheetName val="Secteur secondaire"/>
      <sheetName val="Transport"/>
      <sheetName val="I.C.A.S et ICAC"/>
      <sheetName val="ICA désaisonnalisés (CVS-CJO)"/>
      <sheetName val="Prix intérieur"/>
      <sheetName val="Comex"/>
      <sheetName val="Finances publiques et Det Pub"/>
    </sheetNames>
    <sheetDataSet>
      <sheetData sheetId="0"/>
      <sheetData sheetId="1"/>
      <sheetData sheetId="2"/>
      <sheetData sheetId="3"/>
      <sheetData sheetId="4"/>
      <sheetData sheetId="5">
        <row r="25">
          <cell r="B25" t="str">
            <v>COURS EURO / DOLLAR USA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selection activeCell="T18" sqref="T18"/>
    </sheetView>
  </sheetViews>
  <sheetFormatPr defaultColWidth="11.42578125" defaultRowHeight="15" x14ac:dyDescent="0.25"/>
  <cols>
    <col min="1" max="1" width="27.42578125" style="201" customWidth="1"/>
    <col min="2" max="2" width="12.42578125" style="201" customWidth="1"/>
    <col min="3" max="3" width="4" style="201" customWidth="1"/>
    <col min="4" max="4" width="18.42578125" style="201" customWidth="1"/>
    <col min="5" max="5" width="11.85546875" style="201" customWidth="1"/>
    <col min="6" max="6" width="3.85546875" style="201" customWidth="1"/>
    <col min="7" max="8" width="11.42578125" style="201"/>
    <col min="9" max="9" width="11.42578125" style="201" customWidth="1"/>
    <col min="10" max="10" width="4.42578125" style="201" customWidth="1"/>
    <col min="11" max="11" width="18.5703125" style="201" customWidth="1"/>
    <col min="12" max="12" width="12.85546875" style="201" customWidth="1"/>
    <col min="13" max="13" width="3.42578125" style="201" customWidth="1"/>
    <col min="14" max="15" width="11.42578125" style="201"/>
    <col min="16" max="16" width="11.42578125" style="201" customWidth="1"/>
    <col min="17" max="17" width="3.42578125" style="201" customWidth="1"/>
    <col min="18" max="16384" width="11.42578125" style="201"/>
  </cols>
  <sheetData>
    <row r="1" spans="1:17" x14ac:dyDescent="0.25">
      <c r="A1" s="199"/>
      <c r="B1" s="370" t="s">
        <v>380</v>
      </c>
      <c r="C1" s="372" t="s">
        <v>362</v>
      </c>
      <c r="D1" s="372"/>
      <c r="E1" s="372"/>
      <c r="F1" s="372"/>
      <c r="G1" s="372"/>
      <c r="H1" s="372"/>
      <c r="I1" s="372"/>
      <c r="J1" s="371" t="s">
        <v>363</v>
      </c>
      <c r="K1" s="371"/>
      <c r="L1" s="371"/>
      <c r="M1" s="371"/>
      <c r="N1" s="371"/>
      <c r="O1" s="371"/>
      <c r="P1" s="371"/>
      <c r="Q1" s="200"/>
    </row>
    <row r="2" spans="1:17" ht="15" customHeight="1" x14ac:dyDescent="0.25">
      <c r="A2" s="199"/>
      <c r="B2" s="370"/>
      <c r="C2" s="374" t="s">
        <v>352</v>
      </c>
      <c r="D2" s="202" t="str">
        <f>Primaire!B4</f>
        <v>Abattages contrôlés de viande</v>
      </c>
      <c r="E2" s="203">
        <f>Primaire!B164</f>
        <v>2190.384</v>
      </c>
      <c r="F2" s="374" t="s">
        <v>348</v>
      </c>
      <c r="G2" s="202" t="s">
        <v>360</v>
      </c>
      <c r="H2" s="203">
        <f>'Secteur Secondaire'!J164</f>
        <v>1167.3685823999999</v>
      </c>
      <c r="I2" s="199"/>
      <c r="J2" s="369" t="s">
        <v>364</v>
      </c>
      <c r="K2" s="202" t="s">
        <v>89</v>
      </c>
      <c r="L2" s="203">
        <f>Transport!$B$164</f>
        <v>2549</v>
      </c>
      <c r="M2" s="369" t="s">
        <v>365</v>
      </c>
      <c r="N2" s="202" t="s">
        <v>368</v>
      </c>
      <c r="O2" s="203">
        <f>+Transport!J163</f>
        <v>419.95299999999997</v>
      </c>
      <c r="P2" s="199"/>
      <c r="Q2" s="200"/>
    </row>
    <row r="3" spans="1:17" x14ac:dyDescent="0.25">
      <c r="A3" s="199"/>
      <c r="B3" s="370"/>
      <c r="C3" s="374"/>
      <c r="D3" s="204" t="s">
        <v>357</v>
      </c>
      <c r="E3" s="201">
        <f>IF(Primaire!$B$2&lt;0,0.5,0.49)</f>
        <v>0.5</v>
      </c>
      <c r="F3" s="374"/>
      <c r="G3" s="204" t="s">
        <v>357</v>
      </c>
      <c r="H3" s="201">
        <f>IF('Secteur Secondaire'!$J$3&lt;0,0.5,0.49)</f>
        <v>0.5</v>
      </c>
      <c r="I3" s="199"/>
      <c r="J3" s="369"/>
      <c r="K3" s="204" t="s">
        <v>357</v>
      </c>
      <c r="L3" s="201">
        <f>IF(Transport!$B$2&lt;0,0.5,0.49)</f>
        <v>0.5</v>
      </c>
      <c r="M3" s="369"/>
      <c r="N3" s="204" t="s">
        <v>357</v>
      </c>
      <c r="O3" s="201">
        <f>IF(Transport!$J$2&lt;0,0.5,0.49)</f>
        <v>0.49</v>
      </c>
      <c r="P3" s="199"/>
      <c r="Q3" s="200"/>
    </row>
    <row r="4" spans="1:17" x14ac:dyDescent="0.25">
      <c r="A4" s="199"/>
      <c r="B4" s="370"/>
      <c r="C4" s="374"/>
      <c r="D4" s="204" t="s">
        <v>358</v>
      </c>
      <c r="E4" s="201">
        <f>IF(Primaire!$B$2&gt;0,0.5,0.49)</f>
        <v>0.49</v>
      </c>
      <c r="F4" s="374"/>
      <c r="G4" s="204" t="s">
        <v>358</v>
      </c>
      <c r="H4" s="201">
        <f>IF('Secteur Secondaire'!$J$3&gt;0,0.5,0.49)</f>
        <v>0.49</v>
      </c>
      <c r="I4" s="199"/>
      <c r="J4" s="369"/>
      <c r="K4" s="204" t="s">
        <v>358</v>
      </c>
      <c r="L4" s="201">
        <f>IF(Transport!$B$2&gt;0,0.5,0.49)</f>
        <v>0.49</v>
      </c>
      <c r="M4" s="369"/>
      <c r="N4" s="204" t="s">
        <v>358</v>
      </c>
      <c r="O4" s="201">
        <f>IF(Transport!$J$2&gt;0,0.5,0.49)</f>
        <v>0.5</v>
      </c>
      <c r="P4" s="199"/>
      <c r="Q4" s="200"/>
    </row>
    <row r="5" spans="1:17" x14ac:dyDescent="0.25">
      <c r="A5" s="373" t="s">
        <v>351</v>
      </c>
      <c r="B5" s="373"/>
      <c r="C5" s="374"/>
      <c r="D5" s="204" t="s">
        <v>359</v>
      </c>
      <c r="E5" s="205">
        <f>Primaire!$B$2</f>
        <v>-0.1427537099222288</v>
      </c>
      <c r="F5" s="374"/>
      <c r="G5" s="204" t="s">
        <v>359</v>
      </c>
      <c r="H5" s="205">
        <f>'Secteur Secondaire'!$J$3</f>
        <v>-0.24958541550523305</v>
      </c>
      <c r="I5" s="199"/>
      <c r="J5" s="369"/>
      <c r="K5" s="204" t="s">
        <v>359</v>
      </c>
      <c r="L5" s="205">
        <f>Transport!$B$2</f>
        <v>-4.0300276570525484E-2</v>
      </c>
      <c r="M5" s="369"/>
      <c r="N5" s="204" t="s">
        <v>359</v>
      </c>
      <c r="O5" s="205">
        <f>Transport!$J$2</f>
        <v>1.8653680228684077E-2</v>
      </c>
      <c r="P5" s="199"/>
      <c r="Q5" s="200"/>
    </row>
    <row r="6" spans="1:17" x14ac:dyDescent="0.25">
      <c r="A6" s="204" t="s">
        <v>356</v>
      </c>
      <c r="B6" s="203">
        <f>'Environnement International'!G163</f>
        <v>59.27</v>
      </c>
      <c r="C6" s="374"/>
      <c r="D6" s="199"/>
      <c r="E6" s="199"/>
      <c r="F6" s="374"/>
      <c r="G6" s="202" t="s">
        <v>361</v>
      </c>
      <c r="H6" s="203">
        <f>'Secteur Secondaire'!C164</f>
        <v>132.524</v>
      </c>
      <c r="I6" s="199"/>
      <c r="J6" s="369"/>
      <c r="K6" s="199"/>
      <c r="L6" s="199"/>
      <c r="M6" s="369"/>
      <c r="N6" s="199"/>
      <c r="O6" s="199"/>
      <c r="P6" s="199"/>
      <c r="Q6" s="200"/>
    </row>
    <row r="7" spans="1:17" x14ac:dyDescent="0.25">
      <c r="A7" s="204" t="s">
        <v>357</v>
      </c>
      <c r="B7" s="201">
        <f>IF('Environnement International'!$G$3&lt;0,0.5,0.49)</f>
        <v>0.49</v>
      </c>
      <c r="C7" s="374"/>
      <c r="D7" s="202" t="str">
        <f>Primaire!C4</f>
        <v>Pêche</v>
      </c>
      <c r="E7" s="203">
        <f>Primaire!C164</f>
        <v>47975.904000000002</v>
      </c>
      <c r="F7" s="374"/>
      <c r="G7" s="204" t="s">
        <v>357</v>
      </c>
      <c r="H7" s="201">
        <f>IF('Secteur Secondaire'!$C$3&lt;0,0.5,0.49)</f>
        <v>0.5</v>
      </c>
      <c r="I7" s="199"/>
      <c r="J7" s="369"/>
      <c r="K7" s="202" t="s">
        <v>366</v>
      </c>
      <c r="L7" s="203">
        <f>Transport!$C$164</f>
        <v>195624</v>
      </c>
      <c r="M7" s="369"/>
      <c r="N7" s="199"/>
      <c r="O7" s="199"/>
      <c r="P7" s="199"/>
      <c r="Q7" s="200"/>
    </row>
    <row r="8" spans="1:17" x14ac:dyDescent="0.25">
      <c r="A8" s="204" t="s">
        <v>358</v>
      </c>
      <c r="B8" s="201">
        <f>IF('Environnement International'!$G$3&gt;0,0.5,0.49)</f>
        <v>0.5</v>
      </c>
      <c r="C8" s="374"/>
      <c r="D8" s="204" t="s">
        <v>357</v>
      </c>
      <c r="E8" s="201">
        <f>IF(Primaire!$C$2&lt;0,0.5,0.49)</f>
        <v>0.49</v>
      </c>
      <c r="F8" s="374"/>
      <c r="G8" s="204" t="s">
        <v>358</v>
      </c>
      <c r="H8" s="201">
        <f>IF('Secteur Secondaire'!$C$3&gt;0,0.5,0.49)</f>
        <v>0.49</v>
      </c>
      <c r="I8" s="199"/>
      <c r="J8" s="369"/>
      <c r="K8" s="204" t="s">
        <v>357</v>
      </c>
      <c r="L8" s="201">
        <f>IF(Transport!$C$2&lt;0,0.5,0.49)</f>
        <v>0.49</v>
      </c>
      <c r="M8" s="369"/>
      <c r="N8" s="199"/>
      <c r="O8" s="199"/>
      <c r="P8" s="199"/>
      <c r="Q8" s="200"/>
    </row>
    <row r="9" spans="1:17" x14ac:dyDescent="0.25">
      <c r="A9" s="204" t="s">
        <v>359</v>
      </c>
      <c r="B9" s="205">
        <f>'Environnement International'!$G$3</f>
        <v>6.4508928571428648E-2</v>
      </c>
      <c r="C9" s="374"/>
      <c r="D9" s="204" t="s">
        <v>358</v>
      </c>
      <c r="E9" s="201">
        <f>IF(Primaire!$C$2&gt;0,0.5,0.49)</f>
        <v>0.5</v>
      </c>
      <c r="F9" s="374"/>
      <c r="G9" s="204" t="s">
        <v>359</v>
      </c>
      <c r="H9" s="205">
        <f>'Secteur Secondaire'!$C$3</f>
        <v>-6.1808270820331801E-2</v>
      </c>
      <c r="I9" s="199"/>
      <c r="J9" s="369"/>
      <c r="K9" s="204" t="s">
        <v>358</v>
      </c>
      <c r="L9" s="201">
        <f>IF(Transport!$C$2&gt;0,0.5,0.49)</f>
        <v>0.5</v>
      </c>
      <c r="M9" s="369"/>
      <c r="N9" s="199"/>
      <c r="O9" s="199"/>
      <c r="P9" s="199"/>
      <c r="Q9" s="200"/>
    </row>
    <row r="10" spans="1:17" x14ac:dyDescent="0.25">
      <c r="A10" s="199"/>
      <c r="B10" s="199"/>
      <c r="C10" s="374"/>
      <c r="D10" s="204" t="s">
        <v>359</v>
      </c>
      <c r="E10" s="205">
        <f>Primaire!$C$2</f>
        <v>0.10355541965893078</v>
      </c>
      <c r="F10" s="374"/>
      <c r="G10" s="199"/>
      <c r="H10" s="199"/>
      <c r="I10" s="199"/>
      <c r="J10" s="369"/>
      <c r="K10" s="204" t="s">
        <v>359</v>
      </c>
      <c r="L10" s="205">
        <f>Transport!$C$2</f>
        <v>2.4612401724395161E-2</v>
      </c>
      <c r="M10" s="369"/>
      <c r="N10" s="199"/>
      <c r="O10" s="199"/>
      <c r="P10" s="199"/>
      <c r="Q10" s="200"/>
    </row>
    <row r="11" spans="1:17" x14ac:dyDescent="0.25">
      <c r="A11" s="199"/>
      <c r="B11" s="199"/>
      <c r="C11" s="374"/>
      <c r="D11" s="199"/>
      <c r="E11" s="199"/>
      <c r="F11" s="374"/>
      <c r="G11" s="199"/>
      <c r="H11" s="199"/>
      <c r="I11" s="199"/>
      <c r="J11" s="369"/>
      <c r="K11" s="199"/>
      <c r="L11" s="199"/>
      <c r="M11" s="369"/>
      <c r="N11" s="202" t="s">
        <v>369</v>
      </c>
      <c r="O11" s="203">
        <f>Transport!N163</f>
        <v>934.73900000000003</v>
      </c>
      <c r="P11" s="199"/>
      <c r="Q11" s="200"/>
    </row>
    <row r="12" spans="1:17" x14ac:dyDescent="0.25">
      <c r="A12" s="202" t="str">
        <f>'[1]Environnement International'!B25</f>
        <v>COURS EURO / DOLLAR USA</v>
      </c>
      <c r="B12" s="203">
        <f>'Environnement International'!K163</f>
        <v>1.1415999999999999</v>
      </c>
      <c r="C12" s="374"/>
      <c r="D12" s="199"/>
      <c r="E12" s="199"/>
      <c r="F12" s="374"/>
      <c r="G12" s="202" t="s">
        <v>44</v>
      </c>
      <c r="H12" s="203">
        <f>'Secteur Secondaire'!R164</f>
        <v>559.47708</v>
      </c>
      <c r="I12" s="199"/>
      <c r="J12" s="369"/>
      <c r="K12" s="202" t="s">
        <v>367</v>
      </c>
      <c r="L12" s="203">
        <f>Transport!$G$164</f>
        <v>3040.38</v>
      </c>
      <c r="M12" s="369"/>
      <c r="N12" s="204" t="s">
        <v>357</v>
      </c>
      <c r="O12" s="201">
        <f>IF(Transport!$N$2&lt;0,0.5,0.49)</f>
        <v>0.5</v>
      </c>
      <c r="P12" s="199"/>
      <c r="Q12" s="200"/>
    </row>
    <row r="13" spans="1:17" x14ac:dyDescent="0.25">
      <c r="A13" s="204" t="s">
        <v>357</v>
      </c>
      <c r="B13" s="201">
        <f>IF('Environnement International'!$K$3&lt;0,0.5,0.49)</f>
        <v>0.49</v>
      </c>
      <c r="C13" s="374"/>
      <c r="D13" s="199"/>
      <c r="E13" s="199"/>
      <c r="F13" s="374"/>
      <c r="G13" s="204" t="s">
        <v>357</v>
      </c>
      <c r="H13" s="201">
        <f>IF('Secteur Secondaire'!$R$3&lt;0,0.5,0.49)</f>
        <v>0.5</v>
      </c>
      <c r="I13" s="199"/>
      <c r="J13" s="369"/>
      <c r="K13" s="204" t="s">
        <v>357</v>
      </c>
      <c r="L13" s="201">
        <f>IF(Transport!$G$2&lt;0,0.5,0.49)</f>
        <v>0.49</v>
      </c>
      <c r="M13" s="369"/>
      <c r="N13" s="204" t="s">
        <v>358</v>
      </c>
      <c r="O13" s="201">
        <f>IF(Transport!$N$2&gt;0,0.5,0.49)</f>
        <v>0.49</v>
      </c>
      <c r="P13" s="199"/>
      <c r="Q13" s="200"/>
    </row>
    <row r="14" spans="1:17" x14ac:dyDescent="0.25">
      <c r="A14" s="204" t="s">
        <v>358</v>
      </c>
      <c r="B14" s="201">
        <f>IF('Environnement International'!$K$3&gt;0,0.5,0.49)</f>
        <v>0.5</v>
      </c>
      <c r="C14" s="374"/>
      <c r="D14" s="199"/>
      <c r="E14" s="199"/>
      <c r="F14" s="374"/>
      <c r="G14" s="204" t="s">
        <v>358</v>
      </c>
      <c r="H14" s="201">
        <f>IF('Secteur Secondaire'!$R$3&gt;0,0.5,0.49)</f>
        <v>0.49</v>
      </c>
      <c r="I14" s="199"/>
      <c r="J14" s="369"/>
      <c r="K14" s="204" t="s">
        <v>358</v>
      </c>
      <c r="L14" s="201">
        <f>IF(Transport!$G$2&gt;0,0.5,0.49)</f>
        <v>0.5</v>
      </c>
      <c r="M14" s="369"/>
      <c r="N14" s="204" t="s">
        <v>359</v>
      </c>
      <c r="O14" s="205">
        <f>Transport!$N$2</f>
        <v>-0.20512643694780641</v>
      </c>
      <c r="P14" s="199"/>
      <c r="Q14" s="200"/>
    </row>
    <row r="15" spans="1:17" x14ac:dyDescent="0.25">
      <c r="A15" s="204" t="s">
        <v>359</v>
      </c>
      <c r="B15" s="205">
        <f>'Environnement International'!$K$3</f>
        <v>2.4767273037833437E-3</v>
      </c>
      <c r="C15" s="374"/>
      <c r="D15" s="199"/>
      <c r="E15" s="199"/>
      <c r="F15" s="374"/>
      <c r="G15" s="204" t="s">
        <v>359</v>
      </c>
      <c r="H15" s="205">
        <f>'Secteur Secondaire'!$R$3</f>
        <v>-4.8948198782134078E-2</v>
      </c>
      <c r="I15" s="199"/>
      <c r="J15" s="369"/>
      <c r="K15" s="204" t="s">
        <v>359</v>
      </c>
      <c r="L15" s="205">
        <f>Transport!$G$2</f>
        <v>0.14355907879638474</v>
      </c>
      <c r="M15" s="369"/>
      <c r="N15" s="199"/>
      <c r="O15" s="199"/>
      <c r="P15" s="199"/>
      <c r="Q15" s="200"/>
    </row>
    <row r="16" spans="1:17" x14ac:dyDescent="0.25">
      <c r="A16" s="372" t="s">
        <v>354</v>
      </c>
      <c r="B16" s="372"/>
      <c r="C16" s="379" t="s">
        <v>400</v>
      </c>
      <c r="D16" s="379"/>
      <c r="E16" s="379"/>
      <c r="F16" s="379"/>
      <c r="G16" s="379"/>
      <c r="H16" s="379"/>
      <c r="I16" s="379"/>
      <c r="J16" s="376" t="s">
        <v>353</v>
      </c>
      <c r="K16" s="376"/>
      <c r="L16" s="376"/>
      <c r="M16" s="376"/>
      <c r="N16" s="376"/>
      <c r="O16" s="376"/>
      <c r="P16" s="376"/>
      <c r="Q16" s="206"/>
    </row>
    <row r="17" spans="1:17" x14ac:dyDescent="0.25">
      <c r="A17" s="239" t="s">
        <v>392</v>
      </c>
      <c r="B17" s="306" t="s">
        <v>480</v>
      </c>
      <c r="C17" s="377" t="s">
        <v>352</v>
      </c>
      <c r="D17" s="199"/>
      <c r="E17" s="199"/>
      <c r="F17" s="377" t="s">
        <v>348</v>
      </c>
      <c r="G17" s="199"/>
      <c r="H17" s="199"/>
      <c r="I17" s="199"/>
      <c r="J17" s="375" t="s">
        <v>135</v>
      </c>
      <c r="K17" s="202" t="s">
        <v>370</v>
      </c>
      <c r="L17" s="203">
        <f>'Commerce Extérieur'!B164</f>
        <v>112.596189</v>
      </c>
      <c r="M17" s="375" t="s">
        <v>140</v>
      </c>
      <c r="N17" s="202" t="s">
        <v>373</v>
      </c>
      <c r="O17" s="203">
        <f>'Commerce Extérieur'!F164</f>
        <v>30.703790000000001</v>
      </c>
      <c r="P17" s="199"/>
      <c r="Q17" s="206"/>
    </row>
    <row r="18" spans="1:17" x14ac:dyDescent="0.25">
      <c r="A18" s="240" t="s">
        <v>481</v>
      </c>
      <c r="B18" s="317">
        <f>graphes!O5</f>
        <v>339.34355435953205</v>
      </c>
      <c r="C18" s="377"/>
      <c r="D18" s="199"/>
      <c r="E18" s="199"/>
      <c r="F18" s="377"/>
      <c r="G18" s="199"/>
      <c r="H18" s="199"/>
      <c r="I18" s="199"/>
      <c r="J18" s="375"/>
      <c r="K18" s="204" t="s">
        <v>357</v>
      </c>
      <c r="L18" s="201">
        <f>IF('Commerce Extérieur'!$B$3&lt;0,0.5,0.49)</f>
        <v>0.5</v>
      </c>
      <c r="M18" s="375"/>
      <c r="N18" s="204" t="s">
        <v>357</v>
      </c>
      <c r="O18" s="201">
        <f>IF('Commerce Extérieur'!$F$3&lt;0,0.5,0.49)</f>
        <v>0.5</v>
      </c>
      <c r="P18" s="199"/>
      <c r="Q18" s="206"/>
    </row>
    <row r="19" spans="1:17" x14ac:dyDescent="0.25">
      <c r="A19" s="241" t="s">
        <v>482</v>
      </c>
      <c r="B19" s="318">
        <f>graphes!O6</f>
        <v>304.16192205485004</v>
      </c>
      <c r="C19" s="377"/>
      <c r="D19" s="199"/>
      <c r="E19" s="199"/>
      <c r="F19" s="377"/>
      <c r="G19" s="199"/>
      <c r="H19" s="199"/>
      <c r="I19" s="199"/>
      <c r="J19" s="375"/>
      <c r="K19" s="204" t="s">
        <v>358</v>
      </c>
      <c r="L19" s="201">
        <f>IF('Commerce Extérieur'!$B$3&gt;0,0.5,0.49)</f>
        <v>0.49</v>
      </c>
      <c r="M19" s="375"/>
      <c r="N19" s="204" t="s">
        <v>358</v>
      </c>
      <c r="O19" s="201">
        <f>IF('Commerce Extérieur'!$F$3&gt;0,0.5,0.49)</f>
        <v>0.49</v>
      </c>
      <c r="P19" s="199"/>
      <c r="Q19" s="206"/>
    </row>
    <row r="20" spans="1:17" x14ac:dyDescent="0.25">
      <c r="A20" s="199" t="s">
        <v>393</v>
      </c>
      <c r="B20" s="199">
        <f>B18-B19</f>
        <v>35.181632304682012</v>
      </c>
      <c r="C20" s="377"/>
      <c r="D20" s="199"/>
      <c r="E20" s="199"/>
      <c r="F20" s="377"/>
      <c r="G20" s="199"/>
      <c r="H20" s="199"/>
      <c r="I20" s="199"/>
      <c r="J20" s="375"/>
      <c r="K20" s="204" t="s">
        <v>359</v>
      </c>
      <c r="L20" s="205">
        <f>'Commerce Extérieur'!$B$3</f>
        <v>-3.6034591339255462E-2</v>
      </c>
      <c r="M20" s="375"/>
      <c r="N20" s="204" t="s">
        <v>359</v>
      </c>
      <c r="O20" s="205">
        <f>'Commerce Extérieur'!$F$3</f>
        <v>-1</v>
      </c>
      <c r="P20" s="199"/>
      <c r="Q20" s="206"/>
    </row>
    <row r="21" spans="1:17" x14ac:dyDescent="0.25">
      <c r="A21" s="199" t="s">
        <v>357</v>
      </c>
      <c r="B21" s="199">
        <f>IF(B18-B19&gt;0,0.5,0.49)</f>
        <v>0.5</v>
      </c>
      <c r="C21" s="377"/>
      <c r="D21" s="199"/>
      <c r="E21" s="199"/>
      <c r="F21" s="377"/>
      <c r="G21" s="199"/>
      <c r="H21" s="199"/>
      <c r="I21" s="199"/>
      <c r="J21" s="375"/>
      <c r="K21" s="199"/>
      <c r="L21" s="199"/>
      <c r="M21" s="375"/>
      <c r="N21" s="199"/>
      <c r="O21" s="199"/>
      <c r="P21" s="199"/>
      <c r="Q21" s="206"/>
    </row>
    <row r="22" spans="1:17" x14ac:dyDescent="0.25">
      <c r="A22" s="199" t="s">
        <v>358</v>
      </c>
      <c r="B22" s="199">
        <f>IF(B18-B19&lt;0,0.5,0.49)</f>
        <v>0.49</v>
      </c>
      <c r="C22" s="377"/>
      <c r="D22" s="199"/>
      <c r="E22" s="199"/>
      <c r="F22" s="377"/>
      <c r="G22" s="199"/>
      <c r="H22" s="199"/>
      <c r="I22" s="199"/>
      <c r="J22" s="375"/>
      <c r="K22" s="202" t="s">
        <v>371</v>
      </c>
      <c r="L22" s="203">
        <f>'Commerce Extérieur'!D164</f>
        <v>128.136346</v>
      </c>
      <c r="M22" s="375"/>
      <c r="N22" s="199"/>
      <c r="O22" s="199"/>
      <c r="P22" s="199"/>
      <c r="Q22" s="206"/>
    </row>
    <row r="23" spans="1:17" x14ac:dyDescent="0.25">
      <c r="A23" s="199"/>
      <c r="B23" s="199"/>
      <c r="C23" s="377"/>
      <c r="D23" s="199"/>
      <c r="E23" s="199"/>
      <c r="F23" s="377"/>
      <c r="G23" s="199"/>
      <c r="H23" s="199"/>
      <c r="I23" s="199"/>
      <c r="J23" s="375"/>
      <c r="K23" s="204" t="s">
        <v>357</v>
      </c>
      <c r="L23" s="201">
        <f>IF('Commerce Extérieur'!$D$3&lt;0,0.5,0.49)</f>
        <v>0.5</v>
      </c>
      <c r="M23" s="375"/>
      <c r="N23" s="199"/>
      <c r="O23" s="199"/>
      <c r="P23" s="199"/>
      <c r="Q23" s="206"/>
    </row>
    <row r="24" spans="1:17" x14ac:dyDescent="0.25">
      <c r="A24" s="199"/>
      <c r="B24" s="199"/>
      <c r="C24" s="378" t="s">
        <v>131</v>
      </c>
      <c r="D24" s="199"/>
      <c r="E24" s="199"/>
      <c r="F24" s="378" t="s">
        <v>107</v>
      </c>
      <c r="G24" s="199"/>
      <c r="H24" s="199"/>
      <c r="I24" s="199"/>
      <c r="J24" s="375"/>
      <c r="K24" s="204" t="s">
        <v>358</v>
      </c>
      <c r="L24" s="201">
        <f>IF('Commerce Extérieur'!$D$3&gt;0,0.5,0.49)</f>
        <v>0.49</v>
      </c>
      <c r="M24" s="375"/>
      <c r="N24" s="199"/>
      <c r="O24" s="199"/>
      <c r="P24" s="199"/>
      <c r="Q24" s="206"/>
    </row>
    <row r="25" spans="1:17" x14ac:dyDescent="0.25">
      <c r="A25" s="199"/>
      <c r="B25" s="199"/>
      <c r="C25" s="378"/>
      <c r="D25" s="199"/>
      <c r="E25" s="199"/>
      <c r="F25" s="378"/>
      <c r="G25" s="199"/>
      <c r="H25" s="199"/>
      <c r="I25" s="199"/>
      <c r="J25" s="375"/>
      <c r="K25" s="204" t="s">
        <v>359</v>
      </c>
      <c r="L25" s="205">
        <f>'Commerce Extérieur'!$D$3</f>
        <v>-1</v>
      </c>
      <c r="M25" s="375"/>
      <c r="N25" s="202" t="s">
        <v>374</v>
      </c>
      <c r="O25" s="203">
        <f>'Commerce Extérieur'!H164</f>
        <v>23.638000000000002</v>
      </c>
      <c r="P25" s="199"/>
      <c r="Q25" s="206"/>
    </row>
    <row r="26" spans="1:17" x14ac:dyDescent="0.25">
      <c r="A26" s="199"/>
      <c r="B26" s="199"/>
      <c r="C26" s="378"/>
      <c r="D26" s="199"/>
      <c r="E26" s="199"/>
      <c r="F26" s="378"/>
      <c r="G26" s="199"/>
      <c r="H26" s="199"/>
      <c r="I26" s="199"/>
      <c r="J26" s="375"/>
      <c r="K26" s="199"/>
      <c r="L26" s="199"/>
      <c r="M26" s="375"/>
      <c r="N26" s="204" t="s">
        <v>357</v>
      </c>
      <c r="O26" s="201">
        <f>IF('Commerce Extérieur'!$H$3&lt;0,0.5,0.49)</f>
        <v>0.49</v>
      </c>
      <c r="P26" s="199"/>
      <c r="Q26" s="206"/>
    </row>
    <row r="27" spans="1:17" x14ac:dyDescent="0.25">
      <c r="A27" s="199"/>
      <c r="B27" s="199"/>
      <c r="C27" s="378"/>
      <c r="D27" s="199"/>
      <c r="E27" s="199"/>
      <c r="F27" s="378"/>
      <c r="G27" s="199"/>
      <c r="H27" s="199"/>
      <c r="I27" s="199"/>
      <c r="J27" s="375"/>
      <c r="K27" s="202" t="s">
        <v>372</v>
      </c>
      <c r="L27" s="203">
        <f>'Commerce Extérieur'!E164</f>
        <v>124.97818700000001</v>
      </c>
      <c r="M27" s="375"/>
      <c r="N27" s="204" t="s">
        <v>358</v>
      </c>
      <c r="O27" s="201">
        <f>IF('Commerce Extérieur'!$H$3&gt;0,0.5,0.49)</f>
        <v>0.5</v>
      </c>
      <c r="P27" s="199"/>
      <c r="Q27" s="206"/>
    </row>
    <row r="28" spans="1:17" x14ac:dyDescent="0.25">
      <c r="A28" s="199"/>
      <c r="B28" s="199"/>
      <c r="C28" s="378"/>
      <c r="D28" s="199"/>
      <c r="E28" s="199"/>
      <c r="F28" s="378"/>
      <c r="G28" s="199"/>
      <c r="H28" s="199"/>
      <c r="I28" s="199"/>
      <c r="J28" s="375"/>
      <c r="K28" s="204" t="s">
        <v>357</v>
      </c>
      <c r="L28" s="201">
        <f>IF('Commerce Extérieur'!$E$3&lt;0,0.5,0.49)</f>
        <v>0.49</v>
      </c>
      <c r="M28" s="375"/>
      <c r="N28" s="204" t="s">
        <v>359</v>
      </c>
      <c r="O28" s="205">
        <f>'Commerce Extérieur'!$H$3</f>
        <v>0.35366648882565666</v>
      </c>
      <c r="P28" s="199"/>
      <c r="Q28" s="206"/>
    </row>
    <row r="29" spans="1:17" x14ac:dyDescent="0.25">
      <c r="A29" s="199"/>
      <c r="B29" s="199"/>
      <c r="C29" s="378"/>
      <c r="D29" s="199"/>
      <c r="E29" s="199"/>
      <c r="F29" s="378"/>
      <c r="G29" s="199"/>
      <c r="H29" s="199"/>
      <c r="I29" s="199"/>
      <c r="J29" s="375"/>
      <c r="K29" s="204" t="s">
        <v>358</v>
      </c>
      <c r="L29" s="201">
        <f>IF('Commerce Extérieur'!$E$3&gt;0,0.5,0.49)</f>
        <v>0.5</v>
      </c>
      <c r="M29" s="375"/>
      <c r="N29" s="199"/>
      <c r="O29" s="199"/>
      <c r="P29" s="199"/>
      <c r="Q29" s="206"/>
    </row>
    <row r="30" spans="1:17" x14ac:dyDescent="0.25">
      <c r="A30" s="199"/>
      <c r="B30" s="199"/>
      <c r="C30" s="378"/>
      <c r="D30" s="199"/>
      <c r="E30" s="199"/>
      <c r="F30" s="378"/>
      <c r="G30" s="199"/>
      <c r="H30" s="199"/>
      <c r="I30" s="199"/>
      <c r="J30" s="375"/>
      <c r="K30" s="204" t="s">
        <v>359</v>
      </c>
      <c r="L30" s="205">
        <f>'Commerce Extérieur'!$E$3</f>
        <v>0.52063667506666489</v>
      </c>
      <c r="M30" s="375"/>
      <c r="N30" s="199"/>
      <c r="O30" s="199"/>
      <c r="P30" s="199"/>
      <c r="Q30" s="206"/>
    </row>
    <row r="33" spans="19:19" x14ac:dyDescent="0.25">
      <c r="S33" s="201" t="s">
        <v>420</v>
      </c>
    </row>
  </sheetData>
  <mergeCells count="17">
    <mergeCell ref="J17:J30"/>
    <mergeCell ref="M17:M30"/>
    <mergeCell ref="J16:P16"/>
    <mergeCell ref="C17:C23"/>
    <mergeCell ref="C24:C30"/>
    <mergeCell ref="F17:F23"/>
    <mergeCell ref="F24:F30"/>
    <mergeCell ref="C16:I16"/>
    <mergeCell ref="J2:J15"/>
    <mergeCell ref="B1:B4"/>
    <mergeCell ref="M2:M15"/>
    <mergeCell ref="J1:P1"/>
    <mergeCell ref="A16:B16"/>
    <mergeCell ref="A5:B5"/>
    <mergeCell ref="F2:F15"/>
    <mergeCell ref="C2:C15"/>
    <mergeCell ref="C1:I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21" sqref="K121:K122"/>
    </sheetView>
  </sheetViews>
  <sheetFormatPr defaultColWidth="11.42578125" defaultRowHeight="15" x14ac:dyDescent="0.25"/>
  <sheetData>
    <row r="1" spans="1:17" x14ac:dyDescent="0.25">
      <c r="A1" t="s">
        <v>375</v>
      </c>
      <c r="B1" t="s">
        <v>461</v>
      </c>
      <c r="C1" t="s">
        <v>377</v>
      </c>
      <c r="E1" t="s">
        <v>462</v>
      </c>
      <c r="F1" t="s">
        <v>376</v>
      </c>
      <c r="H1" t="s">
        <v>463</v>
      </c>
      <c r="I1" t="s">
        <v>379</v>
      </c>
      <c r="K1" t="s">
        <v>464</v>
      </c>
      <c r="L1" t="s">
        <v>378</v>
      </c>
      <c r="N1" s="380" t="s">
        <v>383</v>
      </c>
      <c r="O1" s="380"/>
      <c r="P1" s="380"/>
      <c r="Q1" s="380"/>
    </row>
    <row r="2" spans="1:17" x14ac:dyDescent="0.25">
      <c r="A2" s="95">
        <f>Primaire!A127</f>
        <v>42370</v>
      </c>
      <c r="B2">
        <f>Primaire!H127</f>
        <v>314.81910354472546</v>
      </c>
      <c r="C2" t="e">
        <f>#REF!</f>
        <v>#REF!</v>
      </c>
      <c r="E2" s="184">
        <f>'Indice Secondaire'!B7</f>
        <v>50.653394487023427</v>
      </c>
      <c r="F2" s="182" t="e">
        <f>#REF!</f>
        <v>#REF!</v>
      </c>
      <c r="H2">
        <f>'ICAS et ICAC'!C115</f>
        <v>82.427166536939296</v>
      </c>
      <c r="I2" t="e">
        <f>#REF!</f>
        <v>#REF!</v>
      </c>
      <c r="K2">
        <f>'ICAS et ICAC'!AO115</f>
        <v>46.548084235745193</v>
      </c>
      <c r="L2" t="e">
        <f>#REF!</f>
        <v>#REF!</v>
      </c>
    </row>
    <row r="3" spans="1:17" x14ac:dyDescent="0.25">
      <c r="A3" s="95">
        <f>Primaire!A128</f>
        <v>42401</v>
      </c>
      <c r="B3">
        <f>Primaire!H128</f>
        <v>306.07245739342966</v>
      </c>
      <c r="C3" t="e">
        <f>#REF!</f>
        <v>#REF!</v>
      </c>
      <c r="E3" s="184">
        <f>'Indice Secondaire'!B8</f>
        <v>49.549390318927671</v>
      </c>
      <c r="F3" s="182" t="e">
        <f>#REF!</f>
        <v>#REF!</v>
      </c>
      <c r="H3">
        <f>'ICAS et ICAC'!C116</f>
        <v>88.269933106697977</v>
      </c>
      <c r="I3" t="e">
        <f>#REF!</f>
        <v>#REF!</v>
      </c>
      <c r="K3">
        <f>'ICAS et ICAC'!AO116</f>
        <v>46.677612204849446</v>
      </c>
      <c r="L3" t="e">
        <f>#REF!</f>
        <v>#REF!</v>
      </c>
      <c r="N3" s="380" t="s">
        <v>384</v>
      </c>
      <c r="O3" s="380"/>
      <c r="P3" s="380"/>
      <c r="Q3" s="380"/>
    </row>
    <row r="4" spans="1:17" x14ac:dyDescent="0.25">
      <c r="A4" s="95">
        <f>Primaire!A129</f>
        <v>42430</v>
      </c>
      <c r="B4">
        <f>Primaire!H129</f>
        <v>311.62872989050885</v>
      </c>
      <c r="C4" t="e">
        <f>#REF!</f>
        <v>#REF!</v>
      </c>
      <c r="E4" s="184">
        <f>'Indice Secondaire'!B9</f>
        <v>56.567738754230518</v>
      </c>
      <c r="F4" s="182" t="e">
        <f>#REF!</f>
        <v>#REF!</v>
      </c>
      <c r="H4">
        <f>'ICAS et ICAC'!C117</f>
        <v>85.365893727621682</v>
      </c>
      <c r="I4" t="e">
        <f>#REF!</f>
        <v>#REF!</v>
      </c>
      <c r="K4">
        <f>'ICAS et ICAC'!AO117</f>
        <v>52.553563846656161</v>
      </c>
      <c r="L4" t="e">
        <f>#REF!</f>
        <v>#REF!</v>
      </c>
    </row>
    <row r="5" spans="1:17" x14ac:dyDescent="0.25">
      <c r="A5" s="95">
        <f>Primaire!A130</f>
        <v>42461</v>
      </c>
      <c r="B5">
        <f>Primaire!H130</f>
        <v>308.24261116335947</v>
      </c>
      <c r="C5" t="e">
        <f>#REF!</f>
        <v>#REF!</v>
      </c>
      <c r="E5" s="184">
        <f>'Indice Secondaire'!B10</f>
        <v>52.171552732036922</v>
      </c>
      <c r="F5" s="182" t="e">
        <f>#REF!</f>
        <v>#REF!</v>
      </c>
      <c r="H5">
        <f>'ICAS et ICAC'!C118</f>
        <v>94.825273665886542</v>
      </c>
      <c r="I5" t="e">
        <f>#REF!</f>
        <v>#REF!</v>
      </c>
      <c r="K5">
        <f>'ICAS et ICAC'!AO118</f>
        <v>49.695327024021047</v>
      </c>
      <c r="L5" t="e">
        <f>#REF!</f>
        <v>#REF!</v>
      </c>
      <c r="N5" t="s">
        <v>386</v>
      </c>
      <c r="O5">
        <v>339.34355435953205</v>
      </c>
      <c r="P5" s="195">
        <f>O5/O6</f>
        <v>1.1156674447182697</v>
      </c>
    </row>
    <row r="6" spans="1:17" x14ac:dyDescent="0.25">
      <c r="A6" s="95">
        <f>Primaire!A131</f>
        <v>42491</v>
      </c>
      <c r="B6">
        <f>Primaire!H131</f>
        <v>322.15279182627057</v>
      </c>
      <c r="C6" t="e">
        <f>#REF!</f>
        <v>#REF!</v>
      </c>
      <c r="E6" s="184">
        <f>'Indice Secondaire'!B11</f>
        <v>57.916839085476056</v>
      </c>
      <c r="F6" s="182" t="e">
        <f>#REF!</f>
        <v>#REF!</v>
      </c>
      <c r="H6">
        <f>'ICAS et ICAC'!C119</f>
        <v>89.621283331491469</v>
      </c>
      <c r="I6" t="e">
        <f>#REF!</f>
        <v>#REF!</v>
      </c>
      <c r="K6">
        <f>'ICAS et ICAC'!AO119</f>
        <v>51.283739169034085</v>
      </c>
      <c r="L6" t="e">
        <f>#REF!</f>
        <v>#REF!</v>
      </c>
      <c r="N6" t="s">
        <v>387</v>
      </c>
      <c r="O6">
        <v>304.16192205485004</v>
      </c>
      <c r="P6" s="196">
        <f>P7-P5</f>
        <v>-0.11566744471826973</v>
      </c>
    </row>
    <row r="7" spans="1:17" x14ac:dyDescent="0.25">
      <c r="A7" s="95">
        <f>Primaire!A132</f>
        <v>42522</v>
      </c>
      <c r="B7">
        <f>Primaire!H132</f>
        <v>281.72881960347581</v>
      </c>
      <c r="C7" t="e">
        <f>#REF!</f>
        <v>#REF!</v>
      </c>
      <c r="E7" s="184">
        <f>'Indice Secondaire'!B12</f>
        <v>57.374721986803038</v>
      </c>
      <c r="F7" s="182" t="e">
        <f>#REF!</f>
        <v>#REF!</v>
      </c>
      <c r="H7">
        <f>'ICAS et ICAC'!C120</f>
        <v>89.235900237569652</v>
      </c>
      <c r="I7" t="e">
        <f>#REF!</f>
        <v>#REF!</v>
      </c>
      <c r="K7">
        <f>'ICAS et ICAC'!AO120</f>
        <v>51.228261625123757</v>
      </c>
      <c r="L7" t="e">
        <f>#REF!</f>
        <v>#REF!</v>
      </c>
      <c r="N7" t="s">
        <v>388</v>
      </c>
      <c r="O7">
        <f>SUM(O5:O6)</f>
        <v>643.50547641438209</v>
      </c>
      <c r="P7" s="196">
        <v>1</v>
      </c>
    </row>
    <row r="8" spans="1:17" x14ac:dyDescent="0.25">
      <c r="A8" s="95">
        <f>Primaire!A133</f>
        <v>42552</v>
      </c>
      <c r="B8">
        <f>Primaire!H133</f>
        <v>317.56454901274418</v>
      </c>
      <c r="C8" t="e">
        <f>#REF!</f>
        <v>#REF!</v>
      </c>
      <c r="E8" s="184">
        <f>'Indice Secondaire'!B13</f>
        <v>61.154546853706158</v>
      </c>
      <c r="F8" s="182" t="e">
        <f>#REF!</f>
        <v>#REF!</v>
      </c>
      <c r="H8">
        <f>'ICAS et ICAC'!C121</f>
        <v>94.623197055642748</v>
      </c>
      <c r="I8" t="e">
        <f>#REF!</f>
        <v>#REF!</v>
      </c>
      <c r="K8">
        <f>'ICAS et ICAC'!AO121</f>
        <v>47.626472967364236</v>
      </c>
      <c r="L8" t="e">
        <f>#REF!</f>
        <v>#REF!</v>
      </c>
    </row>
    <row r="9" spans="1:17" x14ac:dyDescent="0.25">
      <c r="A9" s="95">
        <f>Primaire!A134</f>
        <v>42583</v>
      </c>
      <c r="B9">
        <f>Primaire!H134</f>
        <v>312.35879448119726</v>
      </c>
      <c r="C9" t="e">
        <f>#REF!</f>
        <v>#REF!</v>
      </c>
      <c r="E9" s="184">
        <f>'Indice Secondaire'!B14</f>
        <v>58.312720541130837</v>
      </c>
      <c r="F9" s="182" t="e">
        <f>#REF!</f>
        <v>#REF!</v>
      </c>
      <c r="H9">
        <f>'ICAS et ICAC'!C122</f>
        <v>90.753064204628387</v>
      </c>
      <c r="I9" t="e">
        <f>#REF!</f>
        <v>#REF!</v>
      </c>
      <c r="K9">
        <f>'ICAS et ICAC'!AO122</f>
        <v>47.897653455162782</v>
      </c>
      <c r="L9" t="e">
        <f>#REF!</f>
        <v>#REF!</v>
      </c>
      <c r="N9" t="s">
        <v>390</v>
      </c>
      <c r="O9">
        <f>O5</f>
        <v>339.34355435953205</v>
      </c>
      <c r="P9" s="195">
        <f>P5</f>
        <v>1.1156674447182697</v>
      </c>
    </row>
    <row r="10" spans="1:17" x14ac:dyDescent="0.25">
      <c r="A10" s="95">
        <f>Primaire!A135</f>
        <v>42614</v>
      </c>
      <c r="B10">
        <f>Primaire!H135</f>
        <v>202.71897676372475</v>
      </c>
      <c r="C10" t="e">
        <f>#REF!</f>
        <v>#REF!</v>
      </c>
      <c r="E10" s="184">
        <f>'Indice Secondaire'!B15</f>
        <v>50.847475630068715</v>
      </c>
      <c r="F10" s="182" t="e">
        <f>#REF!</f>
        <v>#REF!</v>
      </c>
      <c r="H10">
        <f>'ICAS et ICAC'!C123</f>
        <v>91.592297678720826</v>
      </c>
      <c r="I10" t="e">
        <f>#REF!</f>
        <v>#REF!</v>
      </c>
      <c r="K10">
        <f>'ICAS et ICAC'!AO123</f>
        <v>45.538777307939007</v>
      </c>
      <c r="L10" t="e">
        <f>#REF!</f>
        <v>#REF!</v>
      </c>
      <c r="N10" t="s">
        <v>391</v>
      </c>
      <c r="O10">
        <v>3</v>
      </c>
      <c r="P10" s="195">
        <v>0.01</v>
      </c>
    </row>
    <row r="11" spans="1:17" x14ac:dyDescent="0.25">
      <c r="A11" s="95">
        <f>Primaire!A136</f>
        <v>42644</v>
      </c>
      <c r="B11">
        <f>Primaire!H136</f>
        <v>275.115037850661</v>
      </c>
      <c r="C11" t="e">
        <f>#REF!</f>
        <v>#REF!</v>
      </c>
      <c r="E11" s="184">
        <f>'Indice Secondaire'!B16</f>
        <v>51.058350751291023</v>
      </c>
      <c r="F11" s="182" t="e">
        <f>#REF!</f>
        <v>#REF!</v>
      </c>
      <c r="H11">
        <f>'ICAS et ICAC'!C124</f>
        <v>88.510845757546718</v>
      </c>
      <c r="I11" t="e">
        <f>#REF!</f>
        <v>#REF!</v>
      </c>
      <c r="K11">
        <f>'ICAS et ICAC'!AO124</f>
        <v>47.091860029271139</v>
      </c>
      <c r="L11" t="e">
        <f>#REF!</f>
        <v>#REF!</v>
      </c>
      <c r="N11" t="s">
        <v>388</v>
      </c>
      <c r="O11">
        <f>SUM(O5:O7)-SUM(O9:O10)</f>
        <v>944.66739846923213</v>
      </c>
      <c r="P11" s="195">
        <f>SUM(P5:P7)-SUM(P9:P10)</f>
        <v>0.87433255528173026</v>
      </c>
    </row>
    <row r="12" spans="1:17" x14ac:dyDescent="0.25">
      <c r="A12" s="95">
        <f>Primaire!A137</f>
        <v>42675</v>
      </c>
      <c r="B12">
        <f>Primaire!H137</f>
        <v>281.81391778537898</v>
      </c>
      <c r="C12" t="e">
        <f>#REF!</f>
        <v>#REF!</v>
      </c>
      <c r="E12" s="184">
        <f>'Indice Secondaire'!B17</f>
        <v>54.808174071124313</v>
      </c>
      <c r="F12" s="182" t="e">
        <f>#REF!</f>
        <v>#REF!</v>
      </c>
      <c r="H12">
        <f>'ICAS et ICAC'!C125</f>
        <v>110.68189130896988</v>
      </c>
      <c r="I12" t="e">
        <f>#REF!</f>
        <v>#REF!</v>
      </c>
      <c r="K12">
        <f>'ICAS et ICAC'!AO125</f>
        <v>54.027909518569935</v>
      </c>
      <c r="L12" t="e">
        <f>#REF!</f>
        <v>#REF!</v>
      </c>
    </row>
    <row r="13" spans="1:17" x14ac:dyDescent="0.25">
      <c r="A13" s="95">
        <f>Primaire!A138</f>
        <v>42705</v>
      </c>
      <c r="B13">
        <f>Primaire!H138</f>
        <v>344.51126257367451</v>
      </c>
      <c r="C13" t="e">
        <f>#REF!</f>
        <v>#REF!</v>
      </c>
      <c r="E13" s="184">
        <f>'Indice Secondaire'!B18</f>
        <v>60.100969907085918</v>
      </c>
      <c r="F13" s="182" t="e">
        <f>#REF!</f>
        <v>#REF!</v>
      </c>
      <c r="H13">
        <f>'ICAS et ICAC'!C126</f>
        <v>110.68189130896988</v>
      </c>
      <c r="I13" t="e">
        <f>#REF!</f>
        <v>#REF!</v>
      </c>
      <c r="K13">
        <f>'ICAS et ICAC'!AO126</f>
        <v>58.819748250846771</v>
      </c>
      <c r="L13" t="e">
        <f>#REF!</f>
        <v>#REF!</v>
      </c>
    </row>
    <row r="14" spans="1:17" x14ac:dyDescent="0.25">
      <c r="A14" s="95">
        <f>Primaire!A139</f>
        <v>42736</v>
      </c>
      <c r="B14">
        <f>Primaire!H139</f>
        <v>311.58575411049554</v>
      </c>
      <c r="C14" t="e">
        <f>#REF!</f>
        <v>#REF!</v>
      </c>
      <c r="E14" s="184">
        <f>'Indice Secondaire'!B19</f>
        <v>48.367177509752956</v>
      </c>
      <c r="F14" s="182" t="e">
        <f>#REF!</f>
        <v>#REF!</v>
      </c>
      <c r="H14">
        <f>'ICAS et ICAC'!C127</f>
        <v>89.646317060476733</v>
      </c>
      <c r="I14" t="e">
        <f>#REF!</f>
        <v>#REF!</v>
      </c>
      <c r="K14">
        <f>'ICAS et ICAC'!AO127</f>
        <v>55.809808424921606</v>
      </c>
      <c r="L14" t="e">
        <f>#REF!</f>
        <v>#REF!</v>
      </c>
    </row>
    <row r="15" spans="1:17" x14ac:dyDescent="0.25">
      <c r="A15" s="95">
        <f>Primaire!A140</f>
        <v>42767</v>
      </c>
      <c r="B15">
        <f>Primaire!H140</f>
        <v>291.56869722496901</v>
      </c>
      <c r="C15" t="e">
        <f>#REF!</f>
        <v>#REF!</v>
      </c>
      <c r="E15" s="184">
        <f>'Indice Secondaire'!B20</f>
        <v>50.6988948545889</v>
      </c>
      <c r="F15" s="182" t="e">
        <f>#REF!</f>
        <v>#REF!</v>
      </c>
      <c r="H15">
        <f>'ICAS et ICAC'!C128</f>
        <v>85.229786204296957</v>
      </c>
      <c r="I15" t="e">
        <f>#REF!</f>
        <v>#REF!</v>
      </c>
      <c r="K15">
        <f>'ICAS et ICAC'!AO128</f>
        <v>54.830954313724085</v>
      </c>
      <c r="L15" t="e">
        <f>#REF!</f>
        <v>#REF!</v>
      </c>
    </row>
    <row r="16" spans="1:17" x14ac:dyDescent="0.25">
      <c r="A16" s="95">
        <f>Primaire!A141</f>
        <v>42795</v>
      </c>
      <c r="B16">
        <f>Primaire!H141</f>
        <v>325.34686391845713</v>
      </c>
      <c r="C16" t="e">
        <f>#REF!</f>
        <v>#REF!</v>
      </c>
      <c r="E16" s="184">
        <f>'Indice Secondaire'!B21</f>
        <v>53.823284152837488</v>
      </c>
      <c r="F16" s="182" t="e">
        <f>#REF!</f>
        <v>#REF!</v>
      </c>
      <c r="H16">
        <f>'ICAS et ICAC'!C129</f>
        <v>90.618833836731881</v>
      </c>
      <c r="I16" t="e">
        <f>#REF!</f>
        <v>#REF!</v>
      </c>
      <c r="K16">
        <f>'ICAS et ICAC'!AO129</f>
        <v>59.332934974573867</v>
      </c>
      <c r="L16" t="e">
        <f>#REF!</f>
        <v>#REF!</v>
      </c>
    </row>
    <row r="17" spans="1:18" x14ac:dyDescent="0.25">
      <c r="A17" s="95">
        <f>Primaire!A142</f>
        <v>42826</v>
      </c>
      <c r="B17">
        <f>Primaire!H142</f>
        <v>330.60768895327277</v>
      </c>
      <c r="C17" t="e">
        <f>#REF!</f>
        <v>#REF!</v>
      </c>
      <c r="E17" s="184">
        <f>'Indice Secondaire'!B22</f>
        <v>49.566801848233176</v>
      </c>
      <c r="F17" s="182" t="e">
        <f>#REF!</f>
        <v>#REF!</v>
      </c>
      <c r="H17">
        <f>'ICAS et ICAC'!C130</f>
        <v>90.146117045757421</v>
      </c>
      <c r="I17" t="e">
        <f>#REF!</f>
        <v>#REF!</v>
      </c>
      <c r="K17">
        <f>'ICAS et ICAC'!AO130</f>
        <v>56.699294553902355</v>
      </c>
      <c r="L17" t="e">
        <f>#REF!</f>
        <v>#REF!</v>
      </c>
    </row>
    <row r="18" spans="1:18" x14ac:dyDescent="0.25">
      <c r="A18" s="95">
        <f>Primaire!A143</f>
        <v>42856</v>
      </c>
      <c r="B18">
        <f>Primaire!H143</f>
        <v>338.70057478021806</v>
      </c>
      <c r="C18" t="e">
        <f>#REF!</f>
        <v>#REF!</v>
      </c>
      <c r="E18" s="184">
        <f>'Indice Secondaire'!B23</f>
        <v>58.431243934723554</v>
      </c>
      <c r="F18" s="182" t="e">
        <f>#REF!</f>
        <v>#REF!</v>
      </c>
      <c r="H18">
        <f>'ICAS et ICAC'!C131</f>
        <v>88.671367392140752</v>
      </c>
      <c r="I18" t="e">
        <f>#REF!</f>
        <v>#REF!</v>
      </c>
      <c r="K18">
        <f>'ICAS et ICAC'!AO131</f>
        <v>57.894833074050617</v>
      </c>
      <c r="L18" t="e">
        <f>#REF!</f>
        <v>#REF!</v>
      </c>
      <c r="N18" s="380" t="s">
        <v>385</v>
      </c>
      <c r="O18" s="380"/>
      <c r="P18" s="380"/>
      <c r="Q18" s="380"/>
      <c r="R18" s="380"/>
    </row>
    <row r="19" spans="1:18" x14ac:dyDescent="0.25">
      <c r="A19" s="95">
        <f>Primaire!A144</f>
        <v>42887</v>
      </c>
      <c r="B19">
        <f>Primaire!H144</f>
        <v>294.9783913807355</v>
      </c>
      <c r="C19" t="e">
        <f>#REF!</f>
        <v>#REF!</v>
      </c>
      <c r="E19" s="184">
        <f>'Indice Secondaire'!B24</f>
        <v>57.791939404955016</v>
      </c>
      <c r="F19" s="182" t="e">
        <f>#REF!</f>
        <v>#REF!</v>
      </c>
      <c r="H19">
        <f>'ICAS et ICAC'!C132</f>
        <v>92.117849385836507</v>
      </c>
      <c r="I19" t="e">
        <f>#REF!</f>
        <v>#REF!</v>
      </c>
      <c r="K19">
        <f>'ICAS et ICAC'!AO132</f>
        <v>59.426001625611818</v>
      </c>
      <c r="L19" t="e">
        <f>#REF!</f>
        <v>#REF!</v>
      </c>
    </row>
    <row r="20" spans="1:18" x14ac:dyDescent="0.25">
      <c r="A20" s="95">
        <f>Primaire!A145</f>
        <v>42917</v>
      </c>
      <c r="B20">
        <f>Primaire!H145</f>
        <v>315.16493418242453</v>
      </c>
      <c r="C20" t="e">
        <f>#REF!</f>
        <v>#REF!</v>
      </c>
      <c r="E20" s="184">
        <f>'Indice Secondaire'!B25</f>
        <v>48.924651768339565</v>
      </c>
      <c r="F20" s="182" t="e">
        <f>#REF!</f>
        <v>#REF!</v>
      </c>
      <c r="H20">
        <f>'ICAS et ICAC'!C133</f>
        <v>91.878546260245898</v>
      </c>
      <c r="I20" t="e">
        <f>#REF!</f>
        <v>#REF!</v>
      </c>
      <c r="K20">
        <f>'ICAS et ICAC'!AO133</f>
        <v>59.839201104141587</v>
      </c>
      <c r="L20" t="e">
        <f>#REF!</f>
        <v>#REF!</v>
      </c>
      <c r="N20" t="s">
        <v>386</v>
      </c>
      <c r="O20">
        <f>'Finances Publiques '!B171</f>
        <v>1810.4299999999998</v>
      </c>
    </row>
    <row r="21" spans="1:18" x14ac:dyDescent="0.25">
      <c r="A21" s="95">
        <f>Primaire!A146</f>
        <v>42948</v>
      </c>
      <c r="B21">
        <f>Primaire!H146</f>
        <v>300.36126315453538</v>
      </c>
      <c r="C21" t="e">
        <f>#REF!</f>
        <v>#REF!</v>
      </c>
      <c r="E21" s="184">
        <f>'Indice Secondaire'!B26</f>
        <v>51.465987860312936</v>
      </c>
      <c r="F21" s="182" t="e">
        <f>#REF!</f>
        <v>#REF!</v>
      </c>
      <c r="H21">
        <f>'ICAS et ICAC'!C134</f>
        <v>97.625146459847073</v>
      </c>
      <c r="I21" t="e">
        <f>#REF!</f>
        <v>#REF!</v>
      </c>
      <c r="K21">
        <f>'ICAS et ICAC'!AO134</f>
        <v>56.714574526062599</v>
      </c>
      <c r="L21" t="e">
        <f>#REF!</f>
        <v>#REF!</v>
      </c>
      <c r="N21" t="s">
        <v>389</v>
      </c>
      <c r="O21">
        <v>2657.4</v>
      </c>
    </row>
    <row r="22" spans="1:18" x14ac:dyDescent="0.25">
      <c r="A22" s="95">
        <f>Primaire!A147</f>
        <v>42979</v>
      </c>
      <c r="B22">
        <f>Primaire!H147</f>
        <v>214.3996596875655</v>
      </c>
      <c r="C22" t="e">
        <f>#REF!</f>
        <v>#REF!</v>
      </c>
      <c r="E22" s="184">
        <f>'Indice Secondaire'!B27</f>
        <v>49.380611636719294</v>
      </c>
      <c r="F22" s="182" t="e">
        <f>#REF!</f>
        <v>#REF!</v>
      </c>
      <c r="H22">
        <f>'ICAS et ICAC'!C135</f>
        <v>90.888213392463683</v>
      </c>
      <c r="I22" t="e">
        <f>#REF!</f>
        <v>#REF!</v>
      </c>
      <c r="K22">
        <f>'ICAS et ICAC'!AO135</f>
        <v>58.229833602507036</v>
      </c>
      <c r="L22" t="e">
        <f>#REF!</f>
        <v>#REF!</v>
      </c>
      <c r="N22" t="s">
        <v>388</v>
      </c>
      <c r="O22">
        <f>SUM(O20:O21)</f>
        <v>4467.83</v>
      </c>
    </row>
    <row r="23" spans="1:18" x14ac:dyDescent="0.25">
      <c r="A23" s="95">
        <f>Primaire!A148</f>
        <v>43009</v>
      </c>
      <c r="B23">
        <f>Primaire!H148</f>
        <v>297.17797883419536</v>
      </c>
      <c r="C23" t="e">
        <f>#REF!</f>
        <v>#REF!</v>
      </c>
      <c r="E23" s="184">
        <f>'Indice Secondaire'!B28</f>
        <v>49.743874921037339</v>
      </c>
      <c r="F23" s="182" t="e">
        <f>#REF!</f>
        <v>#REF!</v>
      </c>
      <c r="H23">
        <f>'ICAS et ICAC'!C136</f>
        <v>87.866075115597837</v>
      </c>
      <c r="I23" t="e">
        <f>#REF!</f>
        <v>#REF!</v>
      </c>
      <c r="K23">
        <f>'ICAS et ICAC'!AO136</f>
        <v>62.947106119657363</v>
      </c>
      <c r="L23" t="e">
        <f>#REF!</f>
        <v>#REF!</v>
      </c>
    </row>
    <row r="24" spans="1:18" x14ac:dyDescent="0.25">
      <c r="A24" s="95">
        <f>Primaire!A149</f>
        <v>43040</v>
      </c>
      <c r="B24">
        <f>Primaire!H149</f>
        <v>333.64589003832742</v>
      </c>
      <c r="C24" t="e">
        <f>#REF!</f>
        <v>#REF!</v>
      </c>
      <c r="E24" s="184">
        <f>'Indice Secondaire'!B29</f>
        <v>51.427978228710884</v>
      </c>
      <c r="F24" s="182" t="e">
        <f>#REF!</f>
        <v>#REF!</v>
      </c>
      <c r="H24">
        <f>'ICAS et ICAC'!C137</f>
        <v>95.741008373352599</v>
      </c>
      <c r="I24" t="e">
        <f>#REF!</f>
        <v>#REF!</v>
      </c>
      <c r="K24">
        <f>'ICAS et ICAC'!AO137</f>
        <v>66.062312571379536</v>
      </c>
      <c r="L24" t="e">
        <f>#REF!</f>
        <v>#REF!</v>
      </c>
    </row>
    <row r="25" spans="1:18" x14ac:dyDescent="0.25">
      <c r="A25" s="95">
        <f>Primaire!A150</f>
        <v>43070</v>
      </c>
      <c r="B25">
        <f>Primaire!H150</f>
        <v>361.70796012213549</v>
      </c>
      <c r="C25" t="e">
        <f>#REF!</f>
        <v>#REF!</v>
      </c>
      <c r="E25" s="184">
        <f>'Indice Secondaire'!B30</f>
        <v>55.640720842365951</v>
      </c>
      <c r="F25" s="182" t="e">
        <f>#REF!</f>
        <v>#REF!</v>
      </c>
      <c r="H25">
        <f>'ICAS et ICAC'!C138</f>
        <v>94.866296261650618</v>
      </c>
      <c r="I25" t="e">
        <f>#REF!</f>
        <v>#REF!</v>
      </c>
      <c r="K25">
        <f>'ICAS et ICAC'!AO138</f>
        <v>66.3365912795105</v>
      </c>
      <c r="L25" t="e">
        <f>#REF!</f>
        <v>#REF!</v>
      </c>
    </row>
    <row r="26" spans="1:18" x14ac:dyDescent="0.25">
      <c r="A26" s="95">
        <f>Primaire!A151</f>
        <v>43101</v>
      </c>
      <c r="B26">
        <f>Primaire!H151</f>
        <v>346.830614354874</v>
      </c>
      <c r="C26" t="e">
        <f>#REF!</f>
        <v>#REF!</v>
      </c>
      <c r="E26" s="184">
        <f>'Indice Secondaire'!B31</f>
        <v>49.02726487693198</v>
      </c>
      <c r="F26" s="182" t="e">
        <f>#REF!</f>
        <v>#REF!</v>
      </c>
      <c r="H26">
        <f>'ICAS et ICAC'!C139</f>
        <v>96.229926658457856</v>
      </c>
      <c r="I26" t="e">
        <f>#REF!</f>
        <v>#REF!</v>
      </c>
      <c r="K26">
        <f>'ICAS et ICAC'!AO139</f>
        <v>61.217493846696989</v>
      </c>
      <c r="L26" t="e">
        <f>#REF!</f>
        <v>#REF!</v>
      </c>
    </row>
    <row r="27" spans="1:18" x14ac:dyDescent="0.25">
      <c r="A27" s="95">
        <f>Primaire!A152</f>
        <v>43132</v>
      </c>
      <c r="B27">
        <f>Primaire!H152</f>
        <v>322.77404381506085</v>
      </c>
      <c r="C27" t="e">
        <f>#REF!</f>
        <v>#REF!</v>
      </c>
      <c r="E27" s="184">
        <f>'Indice Secondaire'!B32</f>
        <v>49.499620419212022</v>
      </c>
      <c r="F27" s="182" t="e">
        <f>#REF!</f>
        <v>#REF!</v>
      </c>
      <c r="H27">
        <f>'ICAS et ICAC'!C140</f>
        <v>92.538420036269329</v>
      </c>
      <c r="I27" t="e">
        <f>#REF!</f>
        <v>#REF!</v>
      </c>
      <c r="K27">
        <f>'ICAS et ICAC'!AO140</f>
        <v>63.652574391906448</v>
      </c>
      <c r="L27" t="e">
        <f>#REF!</f>
        <v>#REF!</v>
      </c>
    </row>
    <row r="28" spans="1:18" x14ac:dyDescent="0.25">
      <c r="A28" s="95">
        <f>Primaire!A153</f>
        <v>43160</v>
      </c>
      <c r="B28">
        <f>Primaire!H153</f>
        <v>375.21534130860181</v>
      </c>
      <c r="C28" t="e">
        <f>#REF!</f>
        <v>#REF!</v>
      </c>
      <c r="E28" s="184">
        <f>'Indice Secondaire'!B33</f>
        <v>55.996608985550729</v>
      </c>
      <c r="F28" s="182" t="e">
        <f>#REF!</f>
        <v>#REF!</v>
      </c>
      <c r="H28">
        <f>'ICAS et ICAC'!C141</f>
        <v>92.693022146334499</v>
      </c>
      <c r="I28" t="e">
        <f>#REF!</f>
        <v>#REF!</v>
      </c>
      <c r="K28">
        <f>'ICAS et ICAC'!AO141</f>
        <v>62.147878011759708</v>
      </c>
      <c r="L28" t="e">
        <f>#REF!</f>
        <v>#REF!</v>
      </c>
    </row>
    <row r="29" spans="1:18" x14ac:dyDescent="0.25">
      <c r="A29" s="95">
        <f>Primaire!A154</f>
        <v>43191</v>
      </c>
      <c r="B29">
        <f>Primaire!H154</f>
        <v>358.33769487446511</v>
      </c>
      <c r="C29" t="e">
        <f>#REF!</f>
        <v>#REF!</v>
      </c>
      <c r="E29" s="184">
        <f>'Indice Secondaire'!B34</f>
        <v>53.190611528449161</v>
      </c>
      <c r="F29" s="182" t="e">
        <f>#REF!</f>
        <v>#REF!</v>
      </c>
      <c r="H29">
        <f>'ICAS et ICAC'!C142</f>
        <v>92.079511570425112</v>
      </c>
      <c r="I29" t="e">
        <f>#REF!</f>
        <v>#REF!</v>
      </c>
      <c r="K29">
        <f>'ICAS et ICAC'!AO142</f>
        <v>61.634924646725246</v>
      </c>
      <c r="L29" t="e">
        <f>#REF!</f>
        <v>#REF!</v>
      </c>
    </row>
    <row r="30" spans="1:18" x14ac:dyDescent="0.25">
      <c r="A30" s="95">
        <f>Primaire!A155</f>
        <v>43221</v>
      </c>
      <c r="B30">
        <f>Primaire!H155</f>
        <v>343.90640610266792</v>
      </c>
      <c r="C30" t="e">
        <f>#REF!</f>
        <v>#REF!</v>
      </c>
      <c r="E30" s="184">
        <f>'Indice Secondaire'!B35</f>
        <v>60.560515725480521</v>
      </c>
      <c r="F30" s="182" t="e">
        <f>#REF!</f>
        <v>#REF!</v>
      </c>
      <c r="H30">
        <f>'ICAS et ICAC'!C143</f>
        <v>96.138390825419819</v>
      </c>
      <c r="I30" t="e">
        <f>#REF!</f>
        <v>#REF!</v>
      </c>
      <c r="K30">
        <f>'ICAS et ICAC'!AO143</f>
        <v>65.861986780681619</v>
      </c>
      <c r="L30" t="e">
        <f>#REF!</f>
        <v>#REF!</v>
      </c>
    </row>
    <row r="31" spans="1:18" x14ac:dyDescent="0.25">
      <c r="A31" s="95">
        <f>Primaire!A156</f>
        <v>43252</v>
      </c>
      <c r="B31">
        <f>Primaire!H156</f>
        <v>334.54210416373621</v>
      </c>
      <c r="C31" t="e">
        <f>#REF!</f>
        <v>#REF!</v>
      </c>
      <c r="E31" s="184">
        <f>'Indice Secondaire'!B36</f>
        <v>55.389780622515801</v>
      </c>
      <c r="F31" s="182" t="e">
        <f>#REF!</f>
        <v>#REF!</v>
      </c>
      <c r="H31">
        <f>'ICAS et ICAC'!C144</f>
        <v>97.981844729445996</v>
      </c>
      <c r="I31" t="e">
        <f>#REF!</f>
        <v>#REF!</v>
      </c>
      <c r="K31">
        <f>'ICAS et ICAC'!AO144</f>
        <v>61.847001263886142</v>
      </c>
      <c r="L31" t="e">
        <f>#REF!</f>
        <v>#REF!</v>
      </c>
    </row>
    <row r="32" spans="1:18" x14ac:dyDescent="0.25">
      <c r="A32" s="95">
        <f>Primaire!A157</f>
        <v>43282</v>
      </c>
      <c r="B32">
        <f>Primaire!H157</f>
        <v>321.84620969338948</v>
      </c>
      <c r="C32" t="e">
        <f>#REF!</f>
        <v>#REF!</v>
      </c>
      <c r="E32" s="184">
        <f>'Indice Secondaire'!B37</f>
        <v>57.849910930480171</v>
      </c>
      <c r="F32" s="182" t="e">
        <f>#REF!</f>
        <v>#REF!</v>
      </c>
      <c r="H32">
        <f>'ICAS et ICAC'!C145</f>
        <v>99.590283227548184</v>
      </c>
      <c r="I32" t="e">
        <f>#REF!</f>
        <v>#REF!</v>
      </c>
      <c r="K32">
        <f>'ICAS et ICAC'!AO145</f>
        <v>65.338898792078908</v>
      </c>
      <c r="L32" t="e">
        <f>#REF!</f>
        <v>#REF!</v>
      </c>
    </row>
    <row r="33" spans="1:12" x14ac:dyDescent="0.25">
      <c r="A33" s="95">
        <f>Primaire!A158</f>
        <v>43313</v>
      </c>
      <c r="B33">
        <f>Primaire!H158</f>
        <v>261.85722264635359</v>
      </c>
      <c r="C33" t="e">
        <f>#REF!</f>
        <v>#REF!</v>
      </c>
      <c r="E33" s="184">
        <f>'Indice Secondaire'!B38</f>
        <v>55.851853966826525</v>
      </c>
      <c r="F33" s="182" t="e">
        <f>#REF!</f>
        <v>#REF!</v>
      </c>
      <c r="H33">
        <f>'ICAS et ICAC'!C146</f>
        <v>94.106022558454157</v>
      </c>
      <c r="I33" t="e">
        <f>#REF!</f>
        <v>#REF!</v>
      </c>
      <c r="K33">
        <f>'ICAS et ICAC'!AO146</f>
        <v>64.518521381056289</v>
      </c>
      <c r="L33" t="e">
        <f>#REF!</f>
        <v>#REF!</v>
      </c>
    </row>
    <row r="34" spans="1:12" x14ac:dyDescent="0.25">
      <c r="A34" s="95">
        <f>Primaire!A159</f>
        <v>43344</v>
      </c>
      <c r="B34">
        <f>Primaire!H159</f>
        <v>256.90839595719928</v>
      </c>
      <c r="C34" t="e">
        <f>#REF!</f>
        <v>#REF!</v>
      </c>
      <c r="E34" s="184">
        <f>'Indice Secondaire'!B39</f>
        <v>54.484074376468349</v>
      </c>
      <c r="F34" s="182" t="e">
        <f>#REF!</f>
        <v>#REF!</v>
      </c>
      <c r="H34">
        <f>'ICAS et ICAC'!C147</f>
        <v>95.573003799125246</v>
      </c>
      <c r="I34" t="e">
        <f>#REF!</f>
        <v>#REF!</v>
      </c>
      <c r="K34">
        <f>'ICAS et ICAC'!AO147</f>
        <v>61.992498455505256</v>
      </c>
      <c r="L34" t="e">
        <f>#REF!</f>
        <v>#REF!</v>
      </c>
    </row>
    <row r="35" spans="1:12" x14ac:dyDescent="0.25">
      <c r="A35" s="95">
        <f>Primaire!A160</f>
        <v>43374</v>
      </c>
      <c r="B35">
        <f>Primaire!H160</f>
        <v>343.91057139641418</v>
      </c>
      <c r="C35" t="e">
        <f>#REF!</f>
        <v>#REF!</v>
      </c>
      <c r="E35" s="184">
        <f>'Indice Secondaire'!B40</f>
        <v>57.740677616201467</v>
      </c>
      <c r="F35" s="182" t="e">
        <f>#REF!</f>
        <v>#REF!</v>
      </c>
      <c r="H35">
        <f>'ICAS et ICAC'!C148</f>
        <v>95.214105480801251</v>
      </c>
      <c r="I35" t="e">
        <f>#REF!</f>
        <v>#REF!</v>
      </c>
      <c r="K35">
        <f>'ICAS et ICAC'!AO148</f>
        <v>67.182654488025946</v>
      </c>
      <c r="L35" t="e">
        <f>#REF!</f>
        <v>#REF!</v>
      </c>
    </row>
    <row r="36" spans="1:12" x14ac:dyDescent="0.25">
      <c r="A36" s="95">
        <f>Primaire!A161</f>
        <v>43405</v>
      </c>
      <c r="B36">
        <f>Primaire!H161</f>
        <v>350.7679377175528</v>
      </c>
      <c r="C36" t="e">
        <f>#REF!</f>
        <v>#REF!</v>
      </c>
      <c r="E36" s="184">
        <f>'Indice Secondaire'!B41</f>
        <v>52.467570698167144</v>
      </c>
      <c r="F36" s="182" t="e">
        <f>#REF!</f>
        <v>#REF!</v>
      </c>
      <c r="H36">
        <f>'ICAS et ICAC'!C149</f>
        <v>98.475700461430705</v>
      </c>
      <c r="I36" t="e">
        <f>#REF!</f>
        <v>#REF!</v>
      </c>
      <c r="K36">
        <f>'ICAS et ICAC'!AO149</f>
        <v>69.394465898956213</v>
      </c>
      <c r="L36" t="e">
        <f>#REF!</f>
        <v>#REF!</v>
      </c>
    </row>
    <row r="37" spans="1:12" x14ac:dyDescent="0.25">
      <c r="A37" s="95">
        <f>Primaire!A162</f>
        <v>43435</v>
      </c>
      <c r="B37">
        <f>Primaire!H162</f>
        <v>399.96181640136098</v>
      </c>
      <c r="C37" t="e">
        <f>#REF!</f>
        <v>#REF!</v>
      </c>
      <c r="E37" s="184">
        <f>'Indice Secondaire'!B42</f>
        <v>62.131591512834369</v>
      </c>
      <c r="F37" s="182" t="e">
        <f>#REF!</f>
        <v>#REF!</v>
      </c>
      <c r="H37">
        <f>'ICAS et ICAC'!C150</f>
        <v>102.67835129662693</v>
      </c>
      <c r="I37" t="e">
        <f>#REF!</f>
        <v>#REF!</v>
      </c>
      <c r="K37">
        <f>'ICAS et ICAC'!AO150</f>
        <v>70.614865916811326</v>
      </c>
      <c r="L37" t="e">
        <f>#REF!</f>
        <v>#REF!</v>
      </c>
    </row>
    <row r="38" spans="1:12" x14ac:dyDescent="0.25">
      <c r="A38" s="95">
        <f>Primaire!A163</f>
        <v>43466</v>
      </c>
      <c r="B38">
        <f>Primaire!H163</f>
        <v>356.19801200685367</v>
      </c>
      <c r="C38" t="e">
        <f>#REF!</f>
        <v>#REF!</v>
      </c>
      <c r="E38" s="184">
        <f>'Indice Secondaire'!B43</f>
        <v>55.022209968626612</v>
      </c>
      <c r="F38" s="182" t="e">
        <f>#REF!</f>
        <v>#REF!</v>
      </c>
      <c r="H38">
        <f>'ICAS et ICAC'!C151</f>
        <v>98.791511477648513</v>
      </c>
      <c r="I38" t="e">
        <f>#REF!</f>
        <v>#REF!</v>
      </c>
      <c r="K38">
        <f>'ICAS et ICAC'!AO151</f>
        <v>64.439595324416246</v>
      </c>
      <c r="L38" t="e">
        <f>#REF!</f>
        <v>#REF!</v>
      </c>
    </row>
    <row r="39" spans="1:12" x14ac:dyDescent="0.25">
      <c r="A39" s="95">
        <f>Primaire!A164</f>
        <v>43497</v>
      </c>
      <c r="B39">
        <f>Primaire!H164</f>
        <v>340.4002020766228</v>
      </c>
      <c r="C39" t="e">
        <f>#REF!</f>
        <v>#REF!</v>
      </c>
      <c r="E39" s="184">
        <f>'Indice Secondaire'!B44</f>
        <v>52.773596721952032</v>
      </c>
      <c r="F39" s="182" t="e">
        <f>#REF!</f>
        <v>#REF!</v>
      </c>
      <c r="H39">
        <f>'ICAS et ICAC'!C152</f>
        <v>96.96627428591809</v>
      </c>
      <c r="I39" t="e">
        <f>#REF!</f>
        <v>#REF!</v>
      </c>
      <c r="K39">
        <f>'ICAS et ICAC'!AO152</f>
        <v>62.606376252090946</v>
      </c>
      <c r="L39" t="e">
        <f>#REF!</f>
        <v>#REF!</v>
      </c>
    </row>
    <row r="40" spans="1:12" x14ac:dyDescent="0.25">
      <c r="A40" s="95">
        <f>Primaire!A165</f>
        <v>43525</v>
      </c>
      <c r="B40">
        <f>Primaire!H165</f>
        <v>384.53392190382539</v>
      </c>
      <c r="C40" t="e">
        <f>#REF!</f>
        <v>#REF!</v>
      </c>
      <c r="E40" s="184">
        <f>'Indice Secondaire'!B45</f>
        <v>60.562969293444247</v>
      </c>
      <c r="F40" s="182" t="e">
        <f>#REF!</f>
        <v>#REF!</v>
      </c>
      <c r="H40">
        <f>'ICAS et ICAC'!C153</f>
        <v>98.067962383374081</v>
      </c>
      <c r="I40" t="e">
        <f>#REF!</f>
        <v>#REF!</v>
      </c>
      <c r="K40">
        <f>'ICAS et ICAC'!AO153</f>
        <v>66.621095646102688</v>
      </c>
      <c r="L40" t="e">
        <f>#REF!</f>
        <v>#REF!</v>
      </c>
    </row>
    <row r="41" spans="1:12" x14ac:dyDescent="0.25">
      <c r="A41" s="95">
        <f>Primaire!A166</f>
        <v>43556</v>
      </c>
      <c r="B41">
        <f>Primaire!H166</f>
        <v>396.24415452176629</v>
      </c>
      <c r="C41" t="e">
        <f>#REF!</f>
        <v>#REF!</v>
      </c>
      <c r="E41" s="184">
        <f>'Indice Secondaire'!B46</f>
        <v>54.950413966522234</v>
      </c>
      <c r="F41" s="182" t="e">
        <f>#REF!</f>
        <v>#REF!</v>
      </c>
      <c r="H41">
        <f>'ICAS et ICAC'!C154</f>
        <v>96.000939887136155</v>
      </c>
      <c r="I41" t="e">
        <f>#REF!</f>
        <v>#REF!</v>
      </c>
      <c r="K41">
        <f>'ICAS et ICAC'!AO154</f>
        <v>67.012125622414374</v>
      </c>
      <c r="L41" t="e">
        <f>#REF!</f>
        <v>#REF!</v>
      </c>
    </row>
    <row r="42" spans="1:12" x14ac:dyDescent="0.25">
      <c r="A42" s="95">
        <f>Primaire!A167</f>
        <v>43586</v>
      </c>
      <c r="B42">
        <f>Primaire!H167</f>
        <v>366.40531148839761</v>
      </c>
      <c r="C42" t="e">
        <f>#REF!</f>
        <v>#REF!</v>
      </c>
      <c r="E42" s="184">
        <f>'Indice Secondaire'!B47</f>
        <v>63.311302317942953</v>
      </c>
      <c r="F42" s="182" t="e">
        <f>#REF!</f>
        <v>#REF!</v>
      </c>
      <c r="H42">
        <f>'ICAS et ICAC'!C155</f>
        <v>95.859622128691825</v>
      </c>
      <c r="I42" t="e">
        <f>#REF!</f>
        <v>#REF!</v>
      </c>
      <c r="K42">
        <f>'ICAS et ICAC'!AO155</f>
        <v>66.421867592095055</v>
      </c>
      <c r="L42" t="e">
        <f>#REF!</f>
        <v>#REF!</v>
      </c>
    </row>
    <row r="43" spans="1:12" x14ac:dyDescent="0.25">
      <c r="A43" s="95">
        <f>Primaire!A168</f>
        <v>43617</v>
      </c>
      <c r="B43">
        <f>Primaire!H168</f>
        <v>372.099322352309</v>
      </c>
      <c r="C43" t="e">
        <f>#REF!</f>
        <v>#REF!</v>
      </c>
      <c r="E43" s="184">
        <f>'Indice Secondaire'!B48</f>
        <v>59.275178428602878</v>
      </c>
      <c r="F43" s="182" t="e">
        <f>#REF!</f>
        <v>#REF!</v>
      </c>
      <c r="H43">
        <f>'ICAS et ICAC'!C156</f>
        <v>96.517205315239039</v>
      </c>
      <c r="I43" t="e">
        <f>#REF!</f>
        <v>#REF!</v>
      </c>
      <c r="K43">
        <f>'ICAS et ICAC'!AO156</f>
        <v>66.501571602193252</v>
      </c>
      <c r="L43" t="e">
        <f>#REF!</f>
        <v>#REF!</v>
      </c>
    </row>
    <row r="44" spans="1:12" x14ac:dyDescent="0.25">
      <c r="A44" s="95">
        <f>Primaire!A169</f>
        <v>43647</v>
      </c>
      <c r="B44">
        <f>Primaire!H169</f>
        <v>385.41236098095078</v>
      </c>
      <c r="C44" t="e">
        <f>#REF!</f>
        <v>#REF!</v>
      </c>
      <c r="E44" s="184">
        <f>'Indice Secondaire'!B49</f>
        <v>59.548896001046678</v>
      </c>
      <c r="F44" s="182" t="e">
        <f>#REF!</f>
        <v>#REF!</v>
      </c>
      <c r="H44">
        <f>'ICAS et ICAC'!C157</f>
        <v>101.38800800986473</v>
      </c>
      <c r="I44" t="e">
        <f>#REF!</f>
        <v>#REF!</v>
      </c>
      <c r="K44">
        <f>'ICAS et ICAC'!AO157</f>
        <v>69.994335144517777</v>
      </c>
      <c r="L44" t="e">
        <f>#REF!</f>
        <v>#REF!</v>
      </c>
    </row>
    <row r="45" spans="1:12" x14ac:dyDescent="0.25">
      <c r="A45" s="95">
        <f>Primaire!A170</f>
        <v>43678</v>
      </c>
      <c r="B45">
        <f>Primaire!H170</f>
        <v>257.89204550307625</v>
      </c>
      <c r="C45" t="e">
        <f>#REF!</f>
        <v>#REF!</v>
      </c>
      <c r="E45" s="184">
        <f>'Indice Secondaire'!B50</f>
        <v>55.795724777635222</v>
      </c>
      <c r="F45" s="182" t="e">
        <f>#REF!</f>
        <v>#REF!</v>
      </c>
      <c r="H45">
        <f>'ICAS et ICAC'!C158</f>
        <v>96.369516287564068</v>
      </c>
      <c r="I45" t="e">
        <f>#REF!</f>
        <v>#REF!</v>
      </c>
      <c r="K45">
        <f>'ICAS et ICAC'!AO158</f>
        <v>66.771124917221854</v>
      </c>
      <c r="L45" t="e">
        <f>#REF!</f>
        <v>#REF!</v>
      </c>
    </row>
    <row r="46" spans="1:12" x14ac:dyDescent="0.25">
      <c r="A46" s="95">
        <f>Primaire!A171</f>
        <v>43709</v>
      </c>
      <c r="B46">
        <f>Primaire!H171</f>
        <v>298.55471118834225</v>
      </c>
      <c r="C46" t="e">
        <f>#REF!</f>
        <v>#REF!</v>
      </c>
      <c r="E46" s="184">
        <f>'Indice Secondaire'!B51</f>
        <v>53.890943435066291</v>
      </c>
      <c r="F46" s="182" t="e">
        <f>#REF!</f>
        <v>#REF!</v>
      </c>
      <c r="H46">
        <f>'ICAS et ICAC'!C159</f>
        <v>97.990951700288718</v>
      </c>
      <c r="I46" t="e">
        <f>#REF!</f>
        <v>#REF!</v>
      </c>
      <c r="K46">
        <f>'ICAS et ICAC'!AO159</f>
        <v>68.121170409179342</v>
      </c>
      <c r="L46" t="e">
        <f>#REF!</f>
        <v>#REF!</v>
      </c>
    </row>
    <row r="47" spans="1:12" x14ac:dyDescent="0.25">
      <c r="A47" s="95">
        <f>Primaire!A172</f>
        <v>43739</v>
      </c>
      <c r="B47">
        <f>Primaire!H172</f>
        <v>354.40708071807268</v>
      </c>
      <c r="C47" t="e">
        <f>#REF!</f>
        <v>#REF!</v>
      </c>
      <c r="E47" s="184">
        <f>'Indice Secondaire'!B52</f>
        <v>53.775070293560319</v>
      </c>
      <c r="F47" s="182" t="e">
        <f>#REF!</f>
        <v>#REF!</v>
      </c>
      <c r="H47">
        <f>'ICAS et ICAC'!C160</f>
        <v>103.87731791031038</v>
      </c>
      <c r="I47" t="e">
        <f>#REF!</f>
        <v>#REF!</v>
      </c>
      <c r="K47">
        <f>'ICAS et ICAC'!AO160</f>
        <v>74.827358357186696</v>
      </c>
      <c r="L47" t="e">
        <f>#REF!</f>
        <v>#REF!</v>
      </c>
    </row>
    <row r="48" spans="1:12" x14ac:dyDescent="0.25">
      <c r="A48" s="95">
        <f>Primaire!A173</f>
        <v>43770</v>
      </c>
      <c r="B48">
        <f>Primaire!H173</f>
        <v>374.06148651793075</v>
      </c>
      <c r="C48" t="e">
        <f>#REF!</f>
        <v>#REF!</v>
      </c>
      <c r="E48" s="184">
        <f>'Indice Secondaire'!B53</f>
        <v>51.090956700081158</v>
      </c>
      <c r="F48" s="182" t="e">
        <f>#REF!</f>
        <v>#REF!</v>
      </c>
      <c r="H48">
        <f>'ICAS et ICAC'!C161</f>
        <v>97.728852767800433</v>
      </c>
      <c r="I48" t="e">
        <f>#REF!</f>
        <v>#REF!</v>
      </c>
      <c r="K48">
        <f>'ICAS et ICAC'!AO161</f>
        <v>74.167496437077361</v>
      </c>
      <c r="L48" t="e">
        <f>#REF!</f>
        <v>#REF!</v>
      </c>
    </row>
    <row r="49" spans="1:12" x14ac:dyDescent="0.25">
      <c r="A49" s="95">
        <f>Primaire!A174</f>
        <v>43800</v>
      </c>
      <c r="B49">
        <f>Primaire!H174</f>
        <v>428.59042506923686</v>
      </c>
      <c r="C49" t="e">
        <f>#REF!</f>
        <v>#REF!</v>
      </c>
      <c r="E49" s="184">
        <f>'Indice Secondaire'!B54</f>
        <v>64.644568016473173</v>
      </c>
      <c r="F49" s="182" t="e">
        <f>#REF!</f>
        <v>#REF!</v>
      </c>
      <c r="H49">
        <f>'ICAS et ICAC'!C162</f>
        <v>104.53942655242584</v>
      </c>
      <c r="I49" t="e">
        <f>#REF!</f>
        <v>#REF!</v>
      </c>
      <c r="K49">
        <f>'ICAS et ICAC'!AO162</f>
        <v>77.942938212968471</v>
      </c>
      <c r="L49" t="e">
        <f>#REF!</f>
        <v>#REF!</v>
      </c>
    </row>
    <row r="50" spans="1:12" x14ac:dyDescent="0.25">
      <c r="A50" s="95">
        <f>Primaire!A175</f>
        <v>43831</v>
      </c>
      <c r="B50">
        <f>Primaire!H175</f>
        <v>393.87281003665129</v>
      </c>
      <c r="C50" t="e">
        <f>#REF!</f>
        <v>#REF!</v>
      </c>
      <c r="E50" s="184">
        <f>'Indice Secondaire'!B55</f>
        <v>57.345763659854789</v>
      </c>
      <c r="F50" s="182" t="e">
        <f>#REF!</f>
        <v>#REF!</v>
      </c>
      <c r="H50">
        <f>'ICAS et ICAC'!C163</f>
        <v>99.232614181863298</v>
      </c>
      <c r="I50" t="e">
        <f>#REF!</f>
        <v>#REF!</v>
      </c>
      <c r="K50">
        <f>'ICAS et ICAC'!AO163</f>
        <v>75.021790591717988</v>
      </c>
      <c r="L50" t="e">
        <f>#REF!</f>
        <v>#REF!</v>
      </c>
    </row>
    <row r="51" spans="1:12" x14ac:dyDescent="0.25">
      <c r="A51" s="95">
        <f>Primaire!A176</f>
        <v>43862</v>
      </c>
      <c r="B51">
        <f>Primaire!H176</f>
        <v>378.72795212609179</v>
      </c>
      <c r="C51" t="e">
        <f>#REF!</f>
        <v>#REF!</v>
      </c>
      <c r="E51" s="184">
        <f>'Indice Secondaire'!B56</f>
        <v>51.247983505834128</v>
      </c>
      <c r="F51" s="182" t="e">
        <f>#REF!</f>
        <v>#REF!</v>
      </c>
      <c r="H51">
        <f>'ICAS et ICAC'!C164</f>
        <v>91.294189112948956</v>
      </c>
      <c r="I51" t="e">
        <f>#REF!</f>
        <v>#REF!</v>
      </c>
      <c r="K51">
        <f>'ICAS et ICAC'!AO164</f>
        <v>67.829058506900651</v>
      </c>
      <c r="L51" t="e">
        <f>#REF!</f>
        <v>#REF!</v>
      </c>
    </row>
    <row r="52" spans="1:12" x14ac:dyDescent="0.25">
      <c r="A52" s="95">
        <f>Primaire!A177</f>
        <v>43891</v>
      </c>
      <c r="B52">
        <f>Primaire!H177</f>
        <v>378.21822465965363</v>
      </c>
      <c r="C52" t="e">
        <f>#REF!</f>
        <v>#REF!</v>
      </c>
      <c r="E52" s="184">
        <f>'Indice Secondaire'!B57</f>
        <v>58.402852431986048</v>
      </c>
      <c r="F52" s="182" t="e">
        <f>#REF!</f>
        <v>#REF!</v>
      </c>
      <c r="H52">
        <f>'ICAS et ICAC'!C165</f>
        <v>93.053039982730908</v>
      </c>
      <c r="I52" t="e">
        <f>#REF!</f>
        <v>#REF!</v>
      </c>
      <c r="K52">
        <f>'ICAS et ICAC'!AO165</f>
        <v>73.178930943655104</v>
      </c>
      <c r="L52" t="e">
        <f>#REF!</f>
        <v>#REF!</v>
      </c>
    </row>
    <row r="53" spans="1:12" x14ac:dyDescent="0.25">
      <c r="A53" s="95">
        <f>Primaire!A178</f>
        <v>43922</v>
      </c>
      <c r="B53">
        <f>Primaire!H178</f>
        <v>260.07404675901194</v>
      </c>
      <c r="C53" t="e">
        <f>#REF!</f>
        <v>#REF!</v>
      </c>
      <c r="E53" s="184">
        <f>'Indice Secondaire'!B58</f>
        <v>50.439488576728706</v>
      </c>
      <c r="F53" s="182" t="e">
        <f>#REF!</f>
        <v>#REF!</v>
      </c>
      <c r="H53">
        <f>'ICAS et ICAC'!C166</f>
        <v>88.690726147442803</v>
      </c>
      <c r="I53" t="e">
        <f>#REF!</f>
        <v>#REF!</v>
      </c>
      <c r="K53">
        <f>'ICAS et ICAC'!AO166</f>
        <v>64.410583787831371</v>
      </c>
      <c r="L53" t="e">
        <f>#REF!</f>
        <v>#REF!</v>
      </c>
    </row>
    <row r="54" spans="1:12" x14ac:dyDescent="0.25">
      <c r="A54" s="95">
        <f>Primaire!A179</f>
        <v>43952</v>
      </c>
      <c r="B54">
        <f>Primaire!H179</f>
        <v>300.56703453872802</v>
      </c>
      <c r="C54" t="e">
        <f>#REF!</f>
        <v>#REF!</v>
      </c>
      <c r="E54" s="184">
        <f>'Indice Secondaire'!B59</f>
        <v>50.738132706697783</v>
      </c>
      <c r="F54" s="182" t="e">
        <f>#REF!</f>
        <v>#REF!</v>
      </c>
      <c r="H54">
        <f>'ICAS et ICAC'!C167</f>
        <v>88.969825815676757</v>
      </c>
      <c r="I54" t="e">
        <f>#REF!</f>
        <v>#REF!</v>
      </c>
      <c r="K54">
        <f>'ICAS et ICAC'!AO167</f>
        <v>61.35681302028182</v>
      </c>
      <c r="L54" t="e">
        <f>#REF!</f>
        <v>#REF!</v>
      </c>
    </row>
    <row r="55" spans="1:12" x14ac:dyDescent="0.25">
      <c r="A55" s="95">
        <f>Primaire!A180</f>
        <v>43983</v>
      </c>
      <c r="B55">
        <f>Primaire!H180</f>
        <v>309.30971559074368</v>
      </c>
      <c r="C55" t="e">
        <f>#REF!</f>
        <v>#REF!</v>
      </c>
      <c r="E55" s="184">
        <f>'Indice Secondaire'!B60</f>
        <v>57.330311228731702</v>
      </c>
      <c r="F55" s="182" t="e">
        <f>#REF!</f>
        <v>#REF!</v>
      </c>
      <c r="H55">
        <f>'ICAS et ICAC'!C168</f>
        <v>94.018479733550961</v>
      </c>
      <c r="I55" t="e">
        <f>#REF!</f>
        <v>#REF!</v>
      </c>
      <c r="K55">
        <f>'ICAS et ICAC'!AO168</f>
        <v>64.85425293102449</v>
      </c>
      <c r="L55" t="e">
        <f>#REF!</f>
        <v>#REF!</v>
      </c>
    </row>
    <row r="56" spans="1:12" x14ac:dyDescent="0.25">
      <c r="A56" s="95">
        <f>Primaire!A181</f>
        <v>44013</v>
      </c>
      <c r="B56">
        <f>Primaire!H181</f>
        <v>323.39419898878174</v>
      </c>
      <c r="C56" t="e">
        <f>#REF!</f>
        <v>#REF!</v>
      </c>
      <c r="E56" s="184">
        <f>'Indice Secondaire'!B61</f>
        <v>55.639533162505053</v>
      </c>
      <c r="F56" s="182" t="e">
        <f>#REF!</f>
        <v>#REF!</v>
      </c>
      <c r="H56">
        <f>'ICAS et ICAC'!C169</f>
        <v>91.722192518087553</v>
      </c>
      <c r="I56" t="e">
        <f>#REF!</f>
        <v>#REF!</v>
      </c>
      <c r="K56">
        <f>'ICAS et ICAC'!AO169</f>
        <v>66.740214056175375</v>
      </c>
      <c r="L56" t="e">
        <f>#REF!</f>
        <v>#REF!</v>
      </c>
    </row>
    <row r="57" spans="1:12" x14ac:dyDescent="0.25">
      <c r="A57" s="95">
        <f>Primaire!A182</f>
        <v>44044</v>
      </c>
      <c r="B57">
        <f>Primaire!H182</f>
        <v>229.07520346835707</v>
      </c>
      <c r="C57" t="e">
        <f>#REF!</f>
        <v>#REF!</v>
      </c>
      <c r="E57" s="184">
        <f>'Indice Secondaire'!B62</f>
        <v>48.852919893805982</v>
      </c>
      <c r="F57" s="182" t="e">
        <f>#REF!</f>
        <v>#REF!</v>
      </c>
      <c r="H57">
        <f>'ICAS et ICAC'!C170</f>
        <v>89.172360330871456</v>
      </c>
      <c r="I57" t="e">
        <f>#REF!</f>
        <v>#REF!</v>
      </c>
      <c r="K57">
        <f>'ICAS et ICAC'!AO170</f>
        <v>67.317783581323567</v>
      </c>
      <c r="L57" t="e">
        <f>#REF!</f>
        <v>#REF!</v>
      </c>
    </row>
    <row r="58" spans="1:12" x14ac:dyDescent="0.25">
      <c r="A58" s="95">
        <f>Primaire!A183</f>
        <v>44075</v>
      </c>
      <c r="B58">
        <f>Primaire!H183</f>
        <v>313.44352917730373</v>
      </c>
      <c r="C58" t="e">
        <f>#REF!</f>
        <v>#REF!</v>
      </c>
      <c r="E58" s="184">
        <f>'Indice Secondaire'!B63</f>
        <v>51.659130252158391</v>
      </c>
      <c r="F58" s="182" t="e">
        <f>#REF!</f>
        <v>#REF!</v>
      </c>
      <c r="H58">
        <f>'ICAS et ICAC'!C171</f>
        <v>93.337222850400963</v>
      </c>
      <c r="I58" t="e">
        <f>#REF!</f>
        <v>#REF!</v>
      </c>
      <c r="K58">
        <f>'ICAS et ICAC'!AO171</f>
        <v>70.576669908195157</v>
      </c>
      <c r="L58" t="e">
        <f>#REF!</f>
        <v>#REF!</v>
      </c>
    </row>
    <row r="59" spans="1:12" x14ac:dyDescent="0.25">
      <c r="A59" s="95">
        <f>Primaire!A184</f>
        <v>44105</v>
      </c>
      <c r="B59">
        <f>Primaire!H184</f>
        <v>382.5101425384899</v>
      </c>
      <c r="C59" t="e">
        <f>#REF!</f>
        <v>#REF!</v>
      </c>
      <c r="E59" s="184">
        <f>'Indice Secondaire'!B64</f>
        <v>50.068697689792202</v>
      </c>
      <c r="F59" s="182" t="e">
        <f>#REF!</f>
        <v>#REF!</v>
      </c>
      <c r="H59">
        <f>'ICAS et ICAC'!C172</f>
        <v>94.033795203660077</v>
      </c>
      <c r="I59" t="e">
        <f>#REF!</f>
        <v>#REF!</v>
      </c>
      <c r="K59">
        <f>'ICAS et ICAC'!AO172</f>
        <v>69.539811341657057</v>
      </c>
      <c r="L59" t="e">
        <f>#REF!</f>
        <v>#REF!</v>
      </c>
    </row>
    <row r="60" spans="1:12" x14ac:dyDescent="0.25">
      <c r="A60" s="95">
        <f>Primaire!A185</f>
        <v>44136</v>
      </c>
      <c r="B60">
        <f>Primaire!H185</f>
        <v>376.85573743356906</v>
      </c>
      <c r="C60" t="e">
        <f>#REF!</f>
        <v>#REF!</v>
      </c>
      <c r="E60" s="184">
        <f>'Indice Secondaire'!B65</f>
        <v>56.382360143396042</v>
      </c>
      <c r="F60" s="182" t="e">
        <f>#REF!</f>
        <v>#REF!</v>
      </c>
      <c r="H60">
        <f>'ICAS et ICAC'!C173</f>
        <v>94.873721982090345</v>
      </c>
      <c r="I60" t="e">
        <f>#REF!</f>
        <v>#REF!</v>
      </c>
      <c r="K60">
        <f>'ICAS et ICAC'!AO173</f>
        <v>72.225980358605099</v>
      </c>
      <c r="L60" t="e">
        <f>#REF!</f>
        <v>#REF!</v>
      </c>
    </row>
    <row r="61" spans="1:12" x14ac:dyDescent="0.25">
      <c r="A61" s="95">
        <f>Primaire!A186</f>
        <v>44166</v>
      </c>
      <c r="B61">
        <f>Primaire!H186</f>
        <v>424.24529897200694</v>
      </c>
      <c r="C61" t="e">
        <f>#REF!</f>
        <v>#REF!</v>
      </c>
      <c r="E61" s="184">
        <f>'Indice Secondaire'!B66</f>
        <v>64.673168342396806</v>
      </c>
      <c r="F61" s="182" t="e">
        <f>#REF!</f>
        <v>#REF!</v>
      </c>
      <c r="H61">
        <f>'ICAS et ICAC'!C174</f>
        <v>112.15160806569777</v>
      </c>
      <c r="I61" t="e">
        <f>#REF!</f>
        <v>#REF!</v>
      </c>
      <c r="K61">
        <f>'ICAS et ICAC'!AO174</f>
        <v>74.449444051171028</v>
      </c>
      <c r="L61" t="e">
        <f>#REF!</f>
        <v>#REF!</v>
      </c>
    </row>
    <row r="62" spans="1:12" x14ac:dyDescent="0.25">
      <c r="A62" s="95">
        <f>Primaire!A187</f>
        <v>44197</v>
      </c>
      <c r="B62">
        <f>Primaire!H187</f>
        <v>352.02922907273273</v>
      </c>
      <c r="C62" t="e">
        <f>#REF!</f>
        <v>#REF!</v>
      </c>
      <c r="E62" s="184">
        <f>'Indice Secondaire'!B67</f>
        <v>60.721302462074163</v>
      </c>
      <c r="F62" s="182" t="e">
        <f>#REF!</f>
        <v>#REF!</v>
      </c>
      <c r="H62">
        <f>'ICAS et ICAC'!C175</f>
        <v>79.446567761300841</v>
      </c>
      <c r="I62" t="e">
        <f>#REF!</f>
        <v>#REF!</v>
      </c>
      <c r="K62">
        <f>'ICAS et ICAC'!AO175</f>
        <v>63.226496879733588</v>
      </c>
      <c r="L62" t="e">
        <f>#REF!</f>
        <v>#REF!</v>
      </c>
    </row>
    <row r="63" spans="1:12" x14ac:dyDescent="0.25">
      <c r="A63" s="95">
        <f>Primaire!A188</f>
        <v>44228</v>
      </c>
      <c r="B63">
        <f>Primaire!H188</f>
        <v>344.05863925400587</v>
      </c>
      <c r="C63" t="e">
        <f>#REF!</f>
        <v>#REF!</v>
      </c>
      <c r="E63" s="184">
        <f>'Indice Secondaire'!B68</f>
        <v>55.408846149445104</v>
      </c>
      <c r="F63" s="182" t="e">
        <f>#REF!</f>
        <v>#REF!</v>
      </c>
      <c r="H63">
        <f>'ICAS et ICAC'!C176</f>
        <v>78.6351130160498</v>
      </c>
      <c r="I63" t="e">
        <f>#REF!</f>
        <v>#REF!</v>
      </c>
      <c r="K63">
        <f>'ICAS et ICAC'!AO176</f>
        <v>61.354114778311548</v>
      </c>
      <c r="L63" t="e">
        <f>#REF!</f>
        <v>#REF!</v>
      </c>
    </row>
    <row r="64" spans="1:12" x14ac:dyDescent="0.25">
      <c r="A64" s="95">
        <f>Primaire!A189</f>
        <v>44256</v>
      </c>
      <c r="B64">
        <f>Primaire!H189</f>
        <v>351.87794366848766</v>
      </c>
      <c r="C64" t="e">
        <f>#REF!</f>
        <v>#REF!</v>
      </c>
      <c r="E64" s="184">
        <f>'Indice Secondaire'!B69</f>
        <v>63.117550920807467</v>
      </c>
      <c r="F64" s="182" t="e">
        <f>#REF!</f>
        <v>#REF!</v>
      </c>
      <c r="H64">
        <f>'ICAS et ICAC'!C177</f>
        <v>97.682523216345842</v>
      </c>
      <c r="I64" t="e">
        <f>#REF!</f>
        <v>#REF!</v>
      </c>
      <c r="K64">
        <f>'ICAS et ICAC'!AO177</f>
        <v>73.199550458122545</v>
      </c>
      <c r="L64" t="e">
        <f>#REF!</f>
        <v>#REF!</v>
      </c>
    </row>
    <row r="65" spans="1:12" x14ac:dyDescent="0.25">
      <c r="A65" s="95">
        <f>Primaire!A190</f>
        <v>44287</v>
      </c>
      <c r="B65">
        <f>Primaire!H190</f>
        <v>350.37284836489818</v>
      </c>
      <c r="C65" t="e">
        <f>#REF!</f>
        <v>#REF!</v>
      </c>
      <c r="E65" s="184">
        <f>'Indice Secondaire'!B70</f>
        <v>63.273560259717193</v>
      </c>
      <c r="F65" s="182" t="e">
        <f>#REF!</f>
        <v>#REF!</v>
      </c>
      <c r="H65">
        <f>'ICAS et ICAC'!C178</f>
        <v>84.108286153281014</v>
      </c>
      <c r="I65" t="e">
        <f>#REF!</f>
        <v>#REF!</v>
      </c>
      <c r="K65">
        <f>'ICAS et ICAC'!AO178</f>
        <v>71.438702893437622</v>
      </c>
      <c r="L65" t="e">
        <f>#REF!</f>
        <v>#REF!</v>
      </c>
    </row>
    <row r="66" spans="1:12" x14ac:dyDescent="0.25">
      <c r="A66" s="95">
        <f>Primaire!A191</f>
        <v>44317</v>
      </c>
      <c r="B66">
        <f>Primaire!H191</f>
        <v>358.55108957921095</v>
      </c>
      <c r="C66" t="e">
        <f>#REF!</f>
        <v>#REF!</v>
      </c>
      <c r="E66" s="184">
        <f>'Indice Secondaire'!B71</f>
        <v>65.053891005693529</v>
      </c>
      <c r="F66" s="182" t="e">
        <f>#REF!</f>
        <v>#REF!</v>
      </c>
      <c r="H66">
        <f>'ICAS et ICAC'!C179</f>
        <v>83.082243562524354</v>
      </c>
      <c r="I66" t="e">
        <f>#REF!</f>
        <v>#REF!</v>
      </c>
      <c r="K66">
        <f>'ICAS et ICAC'!AO179</f>
        <v>66.538922020562723</v>
      </c>
      <c r="L66" t="e">
        <f>#REF!</f>
        <v>#REF!</v>
      </c>
    </row>
    <row r="67" spans="1:12" x14ac:dyDescent="0.25">
      <c r="A67" s="95">
        <f>Primaire!A192</f>
        <v>44348</v>
      </c>
      <c r="B67">
        <f>Primaire!H192</f>
        <v>328.32470468940659</v>
      </c>
      <c r="C67" t="e">
        <f>#REF!</f>
        <v>#REF!</v>
      </c>
      <c r="E67" s="184">
        <f>'Indice Secondaire'!B72</f>
        <v>71.97815730536351</v>
      </c>
      <c r="F67" s="182" t="e">
        <f>#REF!</f>
        <v>#REF!</v>
      </c>
      <c r="H67">
        <f>'ICAS et ICAC'!C180</f>
        <v>93.242363693206187</v>
      </c>
      <c r="I67" t="e">
        <f>#REF!</f>
        <v>#REF!</v>
      </c>
      <c r="K67">
        <f>'ICAS et ICAC'!AO180</f>
        <v>78.496482785960453</v>
      </c>
      <c r="L67" t="e">
        <f>#REF!</f>
        <v>#REF!</v>
      </c>
    </row>
    <row r="68" spans="1:12" x14ac:dyDescent="0.25">
      <c r="A68" s="95">
        <f>Primaire!A193</f>
        <v>44378</v>
      </c>
      <c r="B68">
        <f>Primaire!H193</f>
        <v>257.42106369365854</v>
      </c>
      <c r="C68" t="e">
        <f>#REF!</f>
        <v>#REF!</v>
      </c>
      <c r="E68" s="184">
        <f>'Indice Secondaire'!B73</f>
        <v>70.62279269109176</v>
      </c>
      <c r="F68" s="182" t="e">
        <f>#REF!</f>
        <v>#REF!</v>
      </c>
      <c r="H68">
        <f>'ICAS et ICAC'!C181</f>
        <v>85.873295616471481</v>
      </c>
      <c r="I68" t="e">
        <f>#REF!</f>
        <v>#REF!</v>
      </c>
      <c r="K68">
        <f>'ICAS et ICAC'!AO181</f>
        <v>76.923833474943322</v>
      </c>
      <c r="L68" t="e">
        <f>#REF!</f>
        <v>#REF!</v>
      </c>
    </row>
    <row r="69" spans="1:12" x14ac:dyDescent="0.25">
      <c r="A69" s="95">
        <f>Primaire!A194</f>
        <v>44409</v>
      </c>
      <c r="B69">
        <f>Primaire!H194</f>
        <v>239.81679819496497</v>
      </c>
      <c r="C69" t="e">
        <f>#REF!</f>
        <v>#REF!</v>
      </c>
      <c r="E69" s="184">
        <f>'Indice Secondaire'!B74</f>
        <v>68.897545533401598</v>
      </c>
      <c r="F69" s="182" t="e">
        <f>#REF!</f>
        <v>#REF!</v>
      </c>
      <c r="H69">
        <f>'ICAS et ICAC'!C182</f>
        <v>98.911942962599269</v>
      </c>
      <c r="I69" t="e">
        <f>#REF!</f>
        <v>#REF!</v>
      </c>
      <c r="K69">
        <f>'ICAS et ICAC'!AO182</f>
        <v>79.415122062541244</v>
      </c>
      <c r="L69" t="e">
        <f>#REF!</f>
        <v>#REF!</v>
      </c>
    </row>
    <row r="70" spans="1:12" x14ac:dyDescent="0.25">
      <c r="A70" s="95">
        <f>Primaire!A195</f>
        <v>44440</v>
      </c>
      <c r="B70">
        <f>Primaire!H195</f>
        <v>273.06768595278243</v>
      </c>
      <c r="C70" t="e">
        <f>#REF!</f>
        <v>#REF!</v>
      </c>
      <c r="E70" s="184">
        <f>'Indice Secondaire'!B75</f>
        <v>73.291472121269777</v>
      </c>
      <c r="F70" s="182" t="e">
        <f>#REF!</f>
        <v>#REF!</v>
      </c>
      <c r="H70">
        <f>'ICAS et ICAC'!C183</f>
        <v>92.188050542500747</v>
      </c>
      <c r="I70" t="e">
        <f>#REF!</f>
        <v>#REF!</v>
      </c>
      <c r="K70">
        <f>'ICAS et ICAC'!AO183</f>
        <v>75.281570289555788</v>
      </c>
      <c r="L70" t="e">
        <f>#REF!</f>
        <v>#REF!</v>
      </c>
    </row>
    <row r="71" spans="1:12" x14ac:dyDescent="0.25">
      <c r="A71" s="95">
        <f>Primaire!A196</f>
        <v>44470</v>
      </c>
      <c r="B71">
        <f>Primaire!H196</f>
        <v>339.37796463261611</v>
      </c>
      <c r="C71" t="e">
        <f>#REF!</f>
        <v>#REF!</v>
      </c>
      <c r="E71" s="184">
        <f>'Indice Secondaire'!B76</f>
        <v>66.748776942743248</v>
      </c>
      <c r="F71" s="182" t="e">
        <f>#REF!</f>
        <v>#REF!</v>
      </c>
      <c r="H71">
        <f>'ICAS et ICAC'!C184</f>
        <v>89.386483965525457</v>
      </c>
      <c r="I71" t="e">
        <f>#REF!</f>
        <v>#REF!</v>
      </c>
      <c r="K71">
        <f>'ICAS et ICAC'!AO184</f>
        <v>80.368128380460163</v>
      </c>
      <c r="L71" t="e">
        <f>#REF!</f>
        <v>#REF!</v>
      </c>
    </row>
    <row r="72" spans="1:12" x14ac:dyDescent="0.25">
      <c r="A72" s="95">
        <f>Primaire!A197</f>
        <v>44501</v>
      </c>
      <c r="B72">
        <f>Primaire!H197</f>
        <v>333.85334870451328</v>
      </c>
      <c r="C72" t="e">
        <f>#REF!</f>
        <v>#REF!</v>
      </c>
      <c r="E72" s="184">
        <f>'Indice Secondaire'!B77</f>
        <v>73.770085283412271</v>
      </c>
      <c r="F72" s="182" t="e">
        <f>#REF!</f>
        <v>#REF!</v>
      </c>
      <c r="H72">
        <f>'ICAS et ICAC'!C185</f>
        <v>94.938093131366884</v>
      </c>
      <c r="I72" t="e">
        <f>#REF!</f>
        <v>#REF!</v>
      </c>
      <c r="K72">
        <f>'ICAS et ICAC'!AO185</f>
        <v>80.690669866590639</v>
      </c>
      <c r="L72" t="e">
        <f>#REF!</f>
        <v>#REF!</v>
      </c>
    </row>
    <row r="73" spans="1:12" x14ac:dyDescent="0.25">
      <c r="A73" s="95">
        <f>Primaire!A198</f>
        <v>44531</v>
      </c>
      <c r="B73">
        <f>Primaire!H198</f>
        <v>389.17255279178272</v>
      </c>
      <c r="C73" t="e">
        <f>#REF!</f>
        <v>#REF!</v>
      </c>
      <c r="E73" s="184">
        <f>'Indice Secondaire'!B78</f>
        <v>89.81262848806125</v>
      </c>
      <c r="F73" s="182" t="e">
        <f>#REF!</f>
        <v>#REF!</v>
      </c>
      <c r="H73">
        <f>'ICAS et ICAC'!C186</f>
        <v>110.56380366699712</v>
      </c>
      <c r="I73" t="e">
        <f>#REF!</f>
        <v>#REF!</v>
      </c>
      <c r="K73">
        <f>'ICAS et ICAC'!AO186</f>
        <v>98.219628946433858</v>
      </c>
      <c r="L73" t="e">
        <f>#REF!</f>
        <v>#REF!</v>
      </c>
    </row>
    <row r="74" spans="1:12" x14ac:dyDescent="0.25">
      <c r="A74" s="95">
        <f>Primaire!A199</f>
        <v>44562</v>
      </c>
      <c r="B74">
        <f>Primaire!H199</f>
        <v>338.81149674194825</v>
      </c>
      <c r="C74" t="e">
        <f>#REF!</f>
        <v>#REF!</v>
      </c>
      <c r="E74" s="184">
        <f>'Indice Secondaire'!B79</f>
        <v>69.420430370625326</v>
      </c>
      <c r="F74" s="182" t="e">
        <f>#REF!</f>
        <v>#REF!</v>
      </c>
      <c r="H74">
        <f>'ICAS et ICAC'!C187</f>
        <v>95.072037797734055</v>
      </c>
      <c r="I74" t="e">
        <f>#REF!</f>
        <v>#REF!</v>
      </c>
      <c r="K74">
        <f>'ICAS et ICAC'!AO187</f>
        <v>80.281476866263361</v>
      </c>
      <c r="L74" t="e">
        <f>#REF!</f>
        <v>#REF!</v>
      </c>
    </row>
    <row r="75" spans="1:12" x14ac:dyDescent="0.25">
      <c r="A75" s="95">
        <f>Primaire!A200</f>
        <v>44593</v>
      </c>
      <c r="B75">
        <f>Primaire!H200</f>
        <v>310.983144288559</v>
      </c>
      <c r="C75" t="e">
        <f>#REF!</f>
        <v>#REF!</v>
      </c>
      <c r="E75" s="184">
        <f>'Indice Secondaire'!B80</f>
        <v>64.254638669119075</v>
      </c>
      <c r="F75" s="182" t="e">
        <f>#REF!</f>
        <v>#REF!</v>
      </c>
      <c r="H75">
        <f>'ICAS et ICAC'!C188</f>
        <v>89.172917703323705</v>
      </c>
      <c r="I75" t="e">
        <f>#REF!</f>
        <v>#REF!</v>
      </c>
      <c r="K75">
        <f>'ICAS et ICAC'!AO188</f>
        <v>79.082839907871843</v>
      </c>
      <c r="L75" t="e">
        <f>#REF!</f>
        <v>#REF!</v>
      </c>
    </row>
    <row r="76" spans="1:12" x14ac:dyDescent="0.25">
      <c r="A76" s="95">
        <f>Primaire!A201</f>
        <v>44621</v>
      </c>
      <c r="B76">
        <f>Primaire!H201</f>
        <v>347.24840356458259</v>
      </c>
      <c r="C76" t="e">
        <f>#REF!</f>
        <v>#REF!</v>
      </c>
      <c r="E76" s="184">
        <f>'Indice Secondaire'!B81</f>
        <v>90.625106870710823</v>
      </c>
      <c r="F76" s="182" t="e">
        <f>#REF!</f>
        <v>#REF!</v>
      </c>
      <c r="H76">
        <f>'ICAS et ICAC'!C189</f>
        <v>100.17191120555047</v>
      </c>
      <c r="I76" t="e">
        <f>#REF!</f>
        <v>#REF!</v>
      </c>
      <c r="K76">
        <f>'ICAS et ICAC'!AO189</f>
        <v>88.264132225063591</v>
      </c>
      <c r="L76" t="e">
        <f>#REF!</f>
        <v>#REF!</v>
      </c>
    </row>
    <row r="77" spans="1:12" x14ac:dyDescent="0.25">
      <c r="A77" s="95">
        <f>Primaire!A202</f>
        <v>44652</v>
      </c>
      <c r="B77">
        <f>Primaire!H202</f>
        <v>343.4223719439313</v>
      </c>
      <c r="C77" t="e">
        <f>#REF!</f>
        <v>#REF!</v>
      </c>
      <c r="E77" s="184">
        <f>'Indice Secondaire'!B82</f>
        <v>65.779111289131265</v>
      </c>
      <c r="F77" s="182" t="e">
        <f>#REF!</f>
        <v>#REF!</v>
      </c>
      <c r="H77">
        <f>'ICAS et ICAC'!C190</f>
        <v>91.825384612491035</v>
      </c>
      <c r="I77" t="e">
        <f>#REF!</f>
        <v>#REF!</v>
      </c>
      <c r="K77">
        <f>'ICAS et ICAC'!AO190</f>
        <v>99.254034951034456</v>
      </c>
      <c r="L77" t="e">
        <f>#REF!</f>
        <v>#REF!</v>
      </c>
    </row>
    <row r="78" spans="1:12" x14ac:dyDescent="0.25">
      <c r="A78" s="95">
        <f>Primaire!A203</f>
        <v>44682</v>
      </c>
      <c r="B78">
        <f>Primaire!H203</f>
        <v>318.71184376870076</v>
      </c>
      <c r="C78" t="e">
        <f>#REF!</f>
        <v>#REF!</v>
      </c>
      <c r="E78" s="184">
        <f>'Indice Secondaire'!B83</f>
        <v>81.193138567891367</v>
      </c>
      <c r="F78" s="182" t="e">
        <f>#REF!</f>
        <v>#REF!</v>
      </c>
      <c r="H78">
        <f>'ICAS et ICAC'!C191</f>
        <v>95.829241772986748</v>
      </c>
      <c r="I78" t="e">
        <f>#REF!</f>
        <v>#REF!</v>
      </c>
      <c r="K78">
        <f>'ICAS et ICAC'!AO191</f>
        <v>101.23826186007521</v>
      </c>
      <c r="L78" t="e">
        <f>#REF!</f>
        <v>#REF!</v>
      </c>
    </row>
    <row r="79" spans="1:12" x14ac:dyDescent="0.25">
      <c r="A79" s="95">
        <f>Primaire!A204</f>
        <v>44713</v>
      </c>
      <c r="B79">
        <f>Primaire!H204</f>
        <v>313.25005288781261</v>
      </c>
      <c r="C79" t="e">
        <f>#REF!</f>
        <v>#REF!</v>
      </c>
      <c r="E79" s="184">
        <f>'Indice Secondaire'!B84</f>
        <v>105.25511814346463</v>
      </c>
      <c r="F79" s="182" t="e">
        <f>#REF!</f>
        <v>#REF!</v>
      </c>
      <c r="H79">
        <f>'ICAS et ICAC'!C192</f>
        <v>106.15160633976605</v>
      </c>
      <c r="I79" t="e">
        <f>#REF!</f>
        <v>#REF!</v>
      </c>
      <c r="K79">
        <f>'ICAS et ICAC'!AO192</f>
        <v>111.05720076237687</v>
      </c>
      <c r="L79" t="e">
        <f>#REF!</f>
        <v>#REF!</v>
      </c>
    </row>
    <row r="80" spans="1:12" x14ac:dyDescent="0.25">
      <c r="A80" s="95">
        <f>Primaire!A205</f>
        <v>44743</v>
      </c>
      <c r="B80">
        <f>Primaire!H205</f>
        <v>287.77999581042707</v>
      </c>
      <c r="C80" t="e">
        <f>#REF!</f>
        <v>#REF!</v>
      </c>
      <c r="E80" s="184">
        <f>'Indice Secondaire'!B85</f>
        <v>75.058253615002286</v>
      </c>
      <c r="F80" s="182" t="e">
        <f>#REF!</f>
        <v>#REF!</v>
      </c>
      <c r="H80">
        <f>'ICAS et ICAC'!C193</f>
        <v>94.031387583654876</v>
      </c>
      <c r="I80" t="e">
        <f>#REF!</f>
        <v>#REF!</v>
      </c>
      <c r="K80">
        <f>'ICAS et ICAC'!AO193</f>
        <v>116.08786544546037</v>
      </c>
      <c r="L80" t="e">
        <f>#REF!</f>
        <v>#REF!</v>
      </c>
    </row>
    <row r="81" spans="1:12" x14ac:dyDescent="0.25">
      <c r="A81" s="95">
        <f>Primaire!A206</f>
        <v>44774</v>
      </c>
      <c r="B81">
        <f>Primaire!H206</f>
        <v>278.36364695290047</v>
      </c>
      <c r="C81" t="e">
        <f>#REF!</f>
        <v>#REF!</v>
      </c>
      <c r="E81" s="184">
        <f>'Indice Secondaire'!B86</f>
        <v>89.777958065483929</v>
      </c>
      <c r="F81" s="182" t="e">
        <f>#REF!</f>
        <v>#REF!</v>
      </c>
      <c r="H81">
        <f>'ICAS et ICAC'!C194</f>
        <v>100.81269562586617</v>
      </c>
      <c r="I81" t="e">
        <f>#REF!</f>
        <v>#REF!</v>
      </c>
      <c r="K81">
        <f>'ICAS et ICAC'!AO194</f>
        <v>107.52164066280196</v>
      </c>
      <c r="L81" t="e">
        <f>#REF!</f>
        <v>#REF!</v>
      </c>
    </row>
    <row r="82" spans="1:12" x14ac:dyDescent="0.25">
      <c r="A82" s="95">
        <f>Primaire!A207</f>
        <v>44805</v>
      </c>
      <c r="B82">
        <f>Primaire!H207</f>
        <v>311.86986249951667</v>
      </c>
      <c r="C82" t="e">
        <f>#REF!</f>
        <v>#REF!</v>
      </c>
      <c r="E82" s="184">
        <f>'Indice Secondaire'!B87</f>
        <v>91.414483453637772</v>
      </c>
      <c r="F82" s="182" t="e">
        <f>#REF!</f>
        <v>#REF!</v>
      </c>
      <c r="H82">
        <f>'ICAS et ICAC'!C195</f>
        <v>108.06440236095381</v>
      </c>
      <c r="I82" t="e">
        <f>#REF!</f>
        <v>#REF!</v>
      </c>
      <c r="K82">
        <f>'ICAS et ICAC'!AO195</f>
        <v>103.78544185593697</v>
      </c>
      <c r="L82" t="e">
        <f>#REF!</f>
        <v>#REF!</v>
      </c>
    </row>
    <row r="83" spans="1:12" x14ac:dyDescent="0.25">
      <c r="A83" s="95">
        <f>Primaire!A208</f>
        <v>44835</v>
      </c>
      <c r="B83">
        <f>Primaire!H208</f>
        <v>337.55313775113149</v>
      </c>
      <c r="C83" t="e">
        <f>#REF!</f>
        <v>#REF!</v>
      </c>
      <c r="E83" s="184">
        <f>'Indice Secondaire'!B88</f>
        <v>79.037162985381372</v>
      </c>
      <c r="F83" s="182" t="e">
        <f>#REF!</f>
        <v>#REF!</v>
      </c>
      <c r="H83">
        <f>'ICAS et ICAC'!C196</f>
        <v>103.82100128318046</v>
      </c>
      <c r="I83" t="e">
        <f>#REF!</f>
        <v>#REF!</v>
      </c>
      <c r="K83">
        <f>'ICAS et ICAC'!AO196</f>
        <v>98.721906722333884</v>
      </c>
      <c r="L83" t="e">
        <f>#REF!</f>
        <v>#REF!</v>
      </c>
    </row>
    <row r="84" spans="1:12" x14ac:dyDescent="0.25">
      <c r="A84" s="95">
        <f>Primaire!A209</f>
        <v>44866</v>
      </c>
      <c r="B84">
        <f>Primaire!H209</f>
        <v>324.3489722144397</v>
      </c>
      <c r="C84" t="e">
        <f>#REF!</f>
        <v>#REF!</v>
      </c>
      <c r="E84" s="184">
        <f>'Indice Secondaire'!B89</f>
        <v>91.298737578111727</v>
      </c>
      <c r="F84" s="182" t="e">
        <f>#REF!</f>
        <v>#REF!</v>
      </c>
      <c r="H84">
        <f>'ICAS et ICAC'!C197</f>
        <v>106.22483221579198</v>
      </c>
      <c r="I84" t="e">
        <f>#REF!</f>
        <v>#REF!</v>
      </c>
      <c r="K84">
        <f>'ICAS et ICAC'!AO197</f>
        <v>99.564401290048892</v>
      </c>
      <c r="L84" t="e">
        <f>#REF!</f>
        <v>#REF!</v>
      </c>
    </row>
    <row r="85" spans="1:12" x14ac:dyDescent="0.25">
      <c r="A85" s="95">
        <f>Primaire!A210</f>
        <v>44896</v>
      </c>
      <c r="B85">
        <f>Primaire!H210</f>
        <v>118.31156793650391</v>
      </c>
      <c r="C85" t="e">
        <f>#REF!</f>
        <v>#REF!</v>
      </c>
      <c r="E85" s="184">
        <f>'Indice Secondaire'!B90</f>
        <v>125.63121468947132</v>
      </c>
      <c r="F85" s="182" t="e">
        <f>#REF!</f>
        <v>#REF!</v>
      </c>
      <c r="H85">
        <f>'ICAS et ICAC'!C198</f>
        <v>123.74834190732413</v>
      </c>
      <c r="I85" t="e">
        <f>#REF!</f>
        <v>#REF!</v>
      </c>
      <c r="K85">
        <f>'ICAS et ICAC'!AO198</f>
        <v>119.54843241467564</v>
      </c>
      <c r="L85" t="e">
        <f>#REF!</f>
        <v>#REF!</v>
      </c>
    </row>
    <row r="86" spans="1:12" x14ac:dyDescent="0.25">
      <c r="A86" s="95">
        <f>Primaire!A211</f>
        <v>44927</v>
      </c>
      <c r="B86">
        <f>Primaire!H211</f>
        <v>106.15736844824828</v>
      </c>
      <c r="C86" t="e">
        <f>#REF!</f>
        <v>#REF!</v>
      </c>
      <c r="E86" s="184">
        <f>'Indice Secondaire'!B91</f>
        <v>78.765068988232727</v>
      </c>
      <c r="F86" s="182" t="e">
        <f>#REF!</f>
        <v>#REF!</v>
      </c>
      <c r="H86">
        <f>'ICAS et ICAC'!C199</f>
        <v>101.60720140155013</v>
      </c>
      <c r="I86" t="e">
        <f>#REF!</f>
        <v>#REF!</v>
      </c>
      <c r="K86">
        <f>'ICAS et ICAC'!AO199</f>
        <v>93.88226376564154</v>
      </c>
      <c r="L86" t="e">
        <f>#REF!</f>
        <v>#REF!</v>
      </c>
    </row>
    <row r="87" spans="1:12" x14ac:dyDescent="0.25">
      <c r="A87" s="95">
        <f>Primaire!A212</f>
        <v>44958</v>
      </c>
      <c r="B87">
        <f>Primaire!H212</f>
        <v>103.22657850804194</v>
      </c>
      <c r="C87" t="e">
        <f>#REF!</f>
        <v>#REF!</v>
      </c>
      <c r="E87" s="184">
        <f>'Indice Secondaire'!B92</f>
        <v>81.655232980497587</v>
      </c>
      <c r="F87" s="182" t="e">
        <f>#REF!</f>
        <v>#REF!</v>
      </c>
      <c r="H87">
        <f>'ICAS et ICAC'!C200</f>
        <v>96.08546423704405</v>
      </c>
      <c r="I87" t="e">
        <f>#REF!</f>
        <v>#REF!</v>
      </c>
      <c r="K87">
        <f>'ICAS et ICAC'!AO200</f>
        <v>105.75432171942097</v>
      </c>
      <c r="L87" t="e">
        <f>#REF!</f>
        <v>#REF!</v>
      </c>
    </row>
    <row r="88" spans="1:12" x14ac:dyDescent="0.25">
      <c r="A88" s="95">
        <f>Primaire!A213</f>
        <v>44986</v>
      </c>
      <c r="B88">
        <f>Primaire!H213</f>
        <v>118.61467564976714</v>
      </c>
      <c r="C88" t="e">
        <f>#REF!</f>
        <v>#REF!</v>
      </c>
      <c r="E88" s="184">
        <f>'Indice Secondaire'!B93</f>
        <v>92.158344849202621</v>
      </c>
      <c r="F88" s="182" t="e">
        <f>#REF!</f>
        <v>#REF!</v>
      </c>
      <c r="H88">
        <f>'ICAS et ICAC'!C201</f>
        <v>110.18702283564627</v>
      </c>
      <c r="I88" t="e">
        <f>#REF!</f>
        <v>#REF!</v>
      </c>
      <c r="K88">
        <f>'ICAS et ICAC'!AO201</f>
        <v>101.09858965694336</v>
      </c>
      <c r="L88" t="e">
        <f>#REF!</f>
        <v>#REF!</v>
      </c>
    </row>
    <row r="89" spans="1:12" x14ac:dyDescent="0.25">
      <c r="A89" s="95">
        <f>Primaire!A214</f>
        <v>45017</v>
      </c>
      <c r="B89">
        <f>Primaire!H214</f>
        <v>113.55094238535223</v>
      </c>
      <c r="C89" t="e">
        <f>#REF!</f>
        <v>#REF!</v>
      </c>
      <c r="E89" s="184">
        <f>'Indice Secondaire'!B94</f>
        <v>78.667310578673835</v>
      </c>
      <c r="F89" s="182" t="e">
        <f>#REF!</f>
        <v>#REF!</v>
      </c>
      <c r="H89">
        <f>'ICAS et ICAC'!C202</f>
        <v>98.464341392360055</v>
      </c>
      <c r="I89" t="e">
        <f>#REF!</f>
        <v>#REF!</v>
      </c>
      <c r="K89">
        <f>'ICAS et ICAC'!AO202</f>
        <v>106.34976516888679</v>
      </c>
      <c r="L89" t="e">
        <f>#REF!</f>
        <v>#REF!</v>
      </c>
    </row>
    <row r="90" spans="1:12" x14ac:dyDescent="0.25">
      <c r="A90" s="95">
        <f>Primaire!A215</f>
        <v>45047</v>
      </c>
      <c r="B90">
        <f>Primaire!H215</f>
        <v>110.45408475894294</v>
      </c>
      <c r="C90" t="e">
        <f>#REF!</f>
        <v>#REF!</v>
      </c>
      <c r="E90" s="184">
        <f>'Indice Secondaire'!B95</f>
        <v>85.041222007277668</v>
      </c>
      <c r="F90" s="182" t="e">
        <f>#REF!</f>
        <v>#REF!</v>
      </c>
      <c r="H90">
        <f>'ICAS et ICAC'!C203</f>
        <v>107.9428239543066</v>
      </c>
      <c r="I90" t="e">
        <f>#REF!</f>
        <v>#REF!</v>
      </c>
      <c r="K90">
        <f>'ICAS et ICAC'!AO203</f>
        <v>100.3499614653942</v>
      </c>
      <c r="L90" t="e">
        <f>#REF!</f>
        <v>#REF!</v>
      </c>
    </row>
    <row r="91" spans="1:12" x14ac:dyDescent="0.25">
      <c r="A91" s="95">
        <f>Primaire!A216</f>
        <v>45078</v>
      </c>
      <c r="B91">
        <f>Primaire!H216</f>
        <v>92.601683083452627</v>
      </c>
      <c r="C91" t="e">
        <f>#REF!</f>
        <v>#REF!</v>
      </c>
      <c r="E91" s="184">
        <f>'Indice Secondaire'!B96</f>
        <v>89.991183702558374</v>
      </c>
      <c r="F91" s="182" t="e">
        <f>#REF!</f>
        <v>#REF!</v>
      </c>
      <c r="H91">
        <f>'ICAS et ICAC'!C204</f>
        <v>108.08556706027545</v>
      </c>
      <c r="I91" t="e">
        <f>#REF!</f>
        <v>#REF!</v>
      </c>
      <c r="K91">
        <f>'ICAS et ICAC'!AO204</f>
        <v>110.23001649959836</v>
      </c>
      <c r="L91" t="e">
        <f>#REF!</f>
        <v>#REF!</v>
      </c>
    </row>
    <row r="92" spans="1:12" x14ac:dyDescent="0.25">
      <c r="A92" s="95">
        <f>Primaire!A217</f>
        <v>45108</v>
      </c>
      <c r="B92">
        <f>Primaire!H217</f>
        <v>73.791238376622175</v>
      </c>
      <c r="C92" t="e">
        <f>#REF!</f>
        <v>#REF!</v>
      </c>
      <c r="E92" s="184">
        <f>'Indice Secondaire'!B97</f>
        <v>76.681915553950574</v>
      </c>
      <c r="F92" s="182" t="e">
        <f>#REF!</f>
        <v>#REF!</v>
      </c>
      <c r="H92">
        <f>'ICAS et ICAC'!C205</f>
        <v>102.59555970973079</v>
      </c>
      <c r="I92" t="e">
        <f>#REF!</f>
        <v>#REF!</v>
      </c>
      <c r="K92">
        <f>'ICAS et ICAC'!AO205</f>
        <v>111.65800736864503</v>
      </c>
      <c r="L92" t="e">
        <f>#REF!</f>
        <v>#REF!</v>
      </c>
    </row>
    <row r="93" spans="1:12" x14ac:dyDescent="0.25">
      <c r="A93" s="95">
        <f>Primaire!A218</f>
        <v>45139</v>
      </c>
      <c r="B93">
        <f>Primaire!H218</f>
        <v>95.539172502709363</v>
      </c>
      <c r="C93" t="e">
        <f>#REF!</f>
        <v>#REF!</v>
      </c>
      <c r="E93" s="184">
        <f>'Indice Secondaire'!B98</f>
        <v>109.54946776168863</v>
      </c>
      <c r="F93" s="182" t="e">
        <f>#REF!</f>
        <v>#REF!</v>
      </c>
      <c r="H93">
        <f>'ICAS et ICAC'!C206</f>
        <v>106.47764344239758</v>
      </c>
      <c r="I93" t="e">
        <f>#REF!</f>
        <v>#REF!</v>
      </c>
      <c r="K93">
        <f>'ICAS et ICAC'!AO206</f>
        <v>107.89076157777851</v>
      </c>
      <c r="L93" t="e">
        <f>#REF!</f>
        <v>#REF!</v>
      </c>
    </row>
    <row r="94" spans="1:12" x14ac:dyDescent="0.25">
      <c r="A94" s="95">
        <f>Primaire!A219</f>
        <v>45170</v>
      </c>
      <c r="B94">
        <f>Primaire!H219</f>
        <v>102.51994790139381</v>
      </c>
      <c r="C94" t="e">
        <f>#REF!</f>
        <v>#REF!</v>
      </c>
      <c r="E94" s="184">
        <f>'Indice Secondaire'!B99</f>
        <v>81.387369613460038</v>
      </c>
      <c r="F94" s="182" t="e">
        <f>#REF!</f>
        <v>#REF!</v>
      </c>
      <c r="H94">
        <f>'ICAS et ICAC'!C207</f>
        <v>108.34017549790438</v>
      </c>
      <c r="I94" t="e">
        <f>#REF!</f>
        <v>#REF!</v>
      </c>
      <c r="K94">
        <f>'ICAS et ICAC'!AO207</f>
        <v>110.7182488950225</v>
      </c>
      <c r="L94" t="e">
        <f>#REF!</f>
        <v>#REF!</v>
      </c>
    </row>
    <row r="95" spans="1:12" x14ac:dyDescent="0.25">
      <c r="A95" s="95">
        <f>Primaire!A220</f>
        <v>45200</v>
      </c>
      <c r="B95">
        <f>Primaire!H220</f>
        <v>103.9352188096329</v>
      </c>
      <c r="C95" t="e">
        <f>#REF!</f>
        <v>#REF!</v>
      </c>
      <c r="E95" s="184">
        <f>'Indice Secondaire'!B100</f>
        <v>86.820577360487334</v>
      </c>
      <c r="F95" s="182" t="e">
        <f>#REF!</f>
        <v>#REF!</v>
      </c>
      <c r="H95">
        <f>'ICAS et ICAC'!C208</f>
        <v>108.55285991144505</v>
      </c>
      <c r="I95" t="e">
        <f>#REF!</f>
        <v>#REF!</v>
      </c>
      <c r="K95">
        <f>'ICAS et ICAC'!AO208</f>
        <v>109.29892459544654</v>
      </c>
      <c r="L95" t="e">
        <f>#REF!</f>
        <v>#REF!</v>
      </c>
    </row>
    <row r="96" spans="1:12" x14ac:dyDescent="0.25">
      <c r="A96" s="95">
        <f>Primaire!A221</f>
        <v>45231</v>
      </c>
      <c r="B96">
        <f>Primaire!H221</f>
        <v>102.80305255606136</v>
      </c>
      <c r="C96" t="e">
        <f>#REF!</f>
        <v>#REF!</v>
      </c>
      <c r="E96" s="184">
        <f>'Indice Secondaire'!B101</f>
        <v>92.647737115845842</v>
      </c>
      <c r="F96" s="182" t="e">
        <f>#REF!</f>
        <v>#REF!</v>
      </c>
      <c r="H96">
        <f>'ICAS et ICAC'!C209</f>
        <v>110.91248249819334</v>
      </c>
      <c r="I96" t="e">
        <f>#REF!</f>
        <v>#REF!</v>
      </c>
      <c r="K96">
        <f>'ICAS et ICAC'!AO209</f>
        <v>105.53677507532177</v>
      </c>
      <c r="L96" t="e">
        <f>#REF!</f>
        <v>#REF!</v>
      </c>
    </row>
    <row r="97" spans="1:12" x14ac:dyDescent="0.25">
      <c r="A97" s="95">
        <f>Primaire!A222</f>
        <v>45261</v>
      </c>
      <c r="B97">
        <f>Primaire!H222</f>
        <v>129.1866247020472</v>
      </c>
      <c r="C97" t="e">
        <f>#REF!</f>
        <v>#REF!</v>
      </c>
      <c r="E97" s="184">
        <f>'Indice Secondaire'!B102</f>
        <v>97.921788838981385</v>
      </c>
      <c r="F97" s="182" t="e">
        <f>#REF!</f>
        <v>#REF!</v>
      </c>
      <c r="H97">
        <f>'ICAS et ICAC'!C210</f>
        <v>134.63197472084437</v>
      </c>
      <c r="I97" t="e">
        <f>#REF!</f>
        <v>#REF!</v>
      </c>
      <c r="K97">
        <f>'ICAS et ICAC'!AO210</f>
        <v>123.2999255491337</v>
      </c>
      <c r="L97" t="e">
        <f>#REF!</f>
        <v>#REF!</v>
      </c>
    </row>
    <row r="98" spans="1:12" x14ac:dyDescent="0.25">
      <c r="A98" s="95">
        <f>Primaire!A223</f>
        <v>45292</v>
      </c>
      <c r="B98">
        <f>Primaire!H223</f>
        <v>111.59176517736414</v>
      </c>
      <c r="C98" t="e">
        <f>#REF!</f>
        <v>#REF!</v>
      </c>
      <c r="E98" s="184">
        <f>'Indice Secondaire'!B103</f>
        <v>78.479461246808739</v>
      </c>
      <c r="F98" s="182" t="e">
        <f>#REF!</f>
        <v>#REF!</v>
      </c>
      <c r="H98">
        <f>'ICAS et ICAC'!C211</f>
        <v>106.36717547851339</v>
      </c>
      <c r="I98" t="e">
        <f>#REF!</f>
        <v>#REF!</v>
      </c>
      <c r="K98">
        <f>'ICAS et ICAC'!AO211</f>
        <v>98.685253665618461</v>
      </c>
      <c r="L98" t="e">
        <f>#REF!</f>
        <v>#REF!</v>
      </c>
    </row>
    <row r="99" spans="1:12" x14ac:dyDescent="0.25">
      <c r="A99" s="95">
        <f>Primaire!A224</f>
        <v>45323</v>
      </c>
      <c r="B99">
        <f>Primaire!H224</f>
        <v>103.97666999570905</v>
      </c>
      <c r="C99" t="e">
        <f>#REF!</f>
        <v>#REF!</v>
      </c>
      <c r="E99" s="184">
        <f>'Indice Secondaire'!B104</f>
        <v>85.129477137823642</v>
      </c>
      <c r="F99" s="182" t="e">
        <f>#REF!</f>
        <v>#REF!</v>
      </c>
      <c r="H99">
        <f>'ICAS et ICAC'!C212</f>
        <v>99.840130823881296</v>
      </c>
      <c r="I99" t="e">
        <f>#REF!</f>
        <v>#REF!</v>
      </c>
      <c r="K99">
        <f>'ICAS et ICAC'!AO212</f>
        <v>93.312416719103595</v>
      </c>
      <c r="L99" t="e">
        <f>#REF!</f>
        <v>#REF!</v>
      </c>
    </row>
    <row r="100" spans="1:12" x14ac:dyDescent="0.25">
      <c r="A100" s="95">
        <f>Primaire!A225</f>
        <v>45352</v>
      </c>
      <c r="B100">
        <f>Primaire!H225</f>
        <v>114.01898309867539</v>
      </c>
      <c r="C100" t="e">
        <f>#REF!</f>
        <v>#REF!</v>
      </c>
      <c r="E100" s="184">
        <f>'Indice Secondaire'!B105</f>
        <v>84.926475553579877</v>
      </c>
      <c r="F100" s="182" t="e">
        <f>#REF!</f>
        <v>#REF!</v>
      </c>
      <c r="H100">
        <f>'ICAS et ICAC'!C213</f>
        <v>115.29297116929403</v>
      </c>
      <c r="I100" t="e">
        <f>#REF!</f>
        <v>#REF!</v>
      </c>
      <c r="K100">
        <f>'ICAS et ICAC'!AO213</f>
        <v>106.84751764296618</v>
      </c>
      <c r="L100" t="e">
        <f>#REF!</f>
        <v>#REF!</v>
      </c>
    </row>
    <row r="101" spans="1:12" x14ac:dyDescent="0.25">
      <c r="A101" s="95">
        <f>Primaire!A226</f>
        <v>45383</v>
      </c>
      <c r="B101">
        <f>Primaire!H226</f>
        <v>112.71009268576768</v>
      </c>
      <c r="C101" t="e">
        <f>#REF!</f>
        <v>#REF!</v>
      </c>
      <c r="E101" s="184">
        <f>'Indice Secondaire'!B106</f>
        <v>78.334707943440776</v>
      </c>
      <c r="F101" s="182" t="e">
        <f>#REF!</f>
        <v>#REF!</v>
      </c>
      <c r="H101">
        <f>'ICAS et ICAC'!C214</f>
        <v>106.65704551811986</v>
      </c>
      <c r="I101" t="e">
        <f>#REF!</f>
        <v>#REF!</v>
      </c>
      <c r="K101">
        <f>'ICAS et ICAC'!AO214</f>
        <v>97.820552760827553</v>
      </c>
      <c r="L101" t="e">
        <f>#REF!</f>
        <v>#REF!</v>
      </c>
    </row>
    <row r="102" spans="1:12" x14ac:dyDescent="0.25">
      <c r="A102" s="95">
        <f>Primaire!A227</f>
        <v>45413</v>
      </c>
      <c r="B102">
        <f>Primaire!H227</f>
        <v>111.83594915573481</v>
      </c>
      <c r="C102" t="e">
        <f>#REF!</f>
        <v>#REF!</v>
      </c>
      <c r="E102" s="184">
        <f>'Indice Secondaire'!B107</f>
        <v>84.223357061265304</v>
      </c>
      <c r="F102" s="182" t="e">
        <f>#REF!</f>
        <v>#REF!</v>
      </c>
      <c r="H102">
        <f>'ICAS et ICAC'!C215</f>
        <v>116.25580758211397</v>
      </c>
      <c r="I102" t="e">
        <f>#REF!</f>
        <v>#REF!</v>
      </c>
      <c r="K102">
        <f>'ICAS et ICAC'!AO215</f>
        <v>110.84778708020983</v>
      </c>
      <c r="L102" t="e">
        <f>#REF!</f>
        <v>#REF!</v>
      </c>
    </row>
    <row r="103" spans="1:12" x14ac:dyDescent="0.25">
      <c r="A103" s="95">
        <f>Primaire!A228</f>
        <v>45444</v>
      </c>
      <c r="B103">
        <f>Primaire!H228</f>
        <v>82.049944577930361</v>
      </c>
      <c r="C103" t="e">
        <f>#REF!</f>
        <v>#REF!</v>
      </c>
      <c r="E103" s="184">
        <f>'Indice Secondaire'!B108</f>
        <v>81.75356542406135</v>
      </c>
      <c r="F103" s="182" t="e">
        <f>#REF!</f>
        <v>#REF!</v>
      </c>
      <c r="H103">
        <f>'ICAS et ICAC'!C216</f>
        <v>109.76837608860953</v>
      </c>
      <c r="I103" t="e">
        <f>#REF!</f>
        <v>#REF!</v>
      </c>
      <c r="K103">
        <f>'ICAS et ICAC'!AO216</f>
        <v>108.19651174140492</v>
      </c>
      <c r="L103" t="e">
        <f>#REF!</f>
        <v>#REF!</v>
      </c>
    </row>
    <row r="104" spans="1:12" x14ac:dyDescent="0.25">
      <c r="A104" s="95">
        <f>Primaire!A229</f>
        <v>45474</v>
      </c>
      <c r="B104">
        <f>Primaire!H229</f>
        <v>88.409559591962662</v>
      </c>
      <c r="C104" t="e">
        <f>#REF!</f>
        <v>#REF!</v>
      </c>
      <c r="E104" s="184">
        <f>'Indice Secondaire'!B109</f>
        <v>97.226123832284728</v>
      </c>
      <c r="F104" s="182" t="e">
        <f>#REF!</f>
        <v>#REF!</v>
      </c>
      <c r="H104">
        <f>'ICAS et ICAC'!C217</f>
        <v>125.27908859103698</v>
      </c>
      <c r="I104" t="e">
        <f>#REF!</f>
        <v>#REF!</v>
      </c>
      <c r="K104">
        <f>'ICAS et ICAC'!AO217</f>
        <v>119.57716677614222</v>
      </c>
      <c r="L104" t="e">
        <f>#REF!</f>
        <v>#REF!</v>
      </c>
    </row>
    <row r="105" spans="1:12" x14ac:dyDescent="0.25">
      <c r="A105" s="95">
        <f>Primaire!A230</f>
        <v>45505</v>
      </c>
      <c r="B105">
        <f>Primaire!H230</f>
        <v>95.153466499785296</v>
      </c>
      <c r="C105" t="e">
        <f>#REF!</f>
        <v>#REF!</v>
      </c>
      <c r="E105" s="184">
        <f>'Indice Secondaire'!B110</f>
        <v>103.90895318419864</v>
      </c>
      <c r="F105" s="182" t="e">
        <f>#REF!</f>
        <v>#REF!</v>
      </c>
      <c r="H105">
        <f>'ICAS et ICAC'!C218</f>
        <v>111.05832619605629</v>
      </c>
      <c r="I105" t="e">
        <f>#REF!</f>
        <v>#REF!</v>
      </c>
      <c r="K105">
        <f>'ICAS et ICAC'!AO218</f>
        <v>108.71071707369912</v>
      </c>
      <c r="L105" t="e">
        <f>#REF!</f>
        <v>#REF!</v>
      </c>
    </row>
    <row r="106" spans="1:12" x14ac:dyDescent="0.25">
      <c r="A106" s="95">
        <f>Primaire!A231</f>
        <v>45536</v>
      </c>
      <c r="B106">
        <f>Primaire!H231</f>
        <v>97.726924779744223</v>
      </c>
      <c r="C106" t="e">
        <f>#REF!</f>
        <v>#REF!</v>
      </c>
      <c r="E106" s="184">
        <f>'Indice Secondaire'!B111</f>
        <v>94.509060254558548</v>
      </c>
      <c r="F106" s="182" t="e">
        <f>#REF!</f>
        <v>#REF!</v>
      </c>
      <c r="H106">
        <f>'ICAS et ICAC'!C219</f>
        <v>122.90304885825981</v>
      </c>
      <c r="I106" t="e">
        <f>#REF!</f>
        <v>#REF!</v>
      </c>
      <c r="K106">
        <f>'ICAS et ICAC'!AO219</f>
        <v>97.015207820831606</v>
      </c>
      <c r="L106" t="e">
        <f>#REF!</f>
        <v>#REF!</v>
      </c>
    </row>
    <row r="107" spans="1:12" x14ac:dyDescent="0.25">
      <c r="A107" s="95">
        <f>Primaire!A232</f>
        <v>45566</v>
      </c>
      <c r="B107">
        <f>Primaire!H232</f>
        <v>102.93442864535882</v>
      </c>
      <c r="C107" t="e">
        <f>#REF!</f>
        <v>#REF!</v>
      </c>
      <c r="E107" s="184">
        <f>'Indice Secondaire'!B112</f>
        <v>91.552055204552389</v>
      </c>
      <c r="F107" s="182" t="e">
        <f>#REF!</f>
        <v>#REF!</v>
      </c>
      <c r="H107">
        <f>'ICAS et ICAC'!C220</f>
        <v>112.52117085783946</v>
      </c>
      <c r="I107" t="e">
        <f>#REF!</f>
        <v>#REF!</v>
      </c>
      <c r="K107">
        <f>'ICAS et ICAC'!AO220</f>
        <v>107.05379196956802</v>
      </c>
      <c r="L107" t="e">
        <f>#REF!</f>
        <v>#REF!</v>
      </c>
    </row>
    <row r="108" spans="1:12" x14ac:dyDescent="0.25">
      <c r="A108" s="95">
        <f>Primaire!A233</f>
        <v>45597</v>
      </c>
      <c r="B108">
        <f>Primaire!H233</f>
        <v>105.18860876699448</v>
      </c>
      <c r="C108" t="e">
        <f>#REF!</f>
        <v>#REF!</v>
      </c>
      <c r="E108" s="184">
        <f>'Indice Secondaire'!B113</f>
        <v>105.94064181155345</v>
      </c>
      <c r="F108" s="182" t="e">
        <f>#REF!</f>
        <v>#REF!</v>
      </c>
      <c r="H108">
        <f>'ICAS et ICAC'!C221</f>
        <v>118.13256956325563</v>
      </c>
      <c r="I108" t="e">
        <f>#REF!</f>
        <v>#REF!</v>
      </c>
      <c r="K108">
        <f>'ICAS et ICAC'!AO221</f>
        <v>105.66071293314204</v>
      </c>
      <c r="L108" t="e">
        <f>#REF!</f>
        <v>#REF!</v>
      </c>
    </row>
    <row r="109" spans="1:12" x14ac:dyDescent="0.25">
      <c r="A109" s="95">
        <f>Primaire!A234</f>
        <v>45627</v>
      </c>
      <c r="B109">
        <f>Primaire!H234</f>
        <v>124.21772917274208</v>
      </c>
      <c r="C109" t="e">
        <f>#REF!</f>
        <v>#REF!</v>
      </c>
      <c r="E109" s="184">
        <f>'Indice Secondaire'!B114</f>
        <v>124.1597651309919</v>
      </c>
      <c r="F109" s="182" t="e">
        <f>#REF!</f>
        <v>#REF!</v>
      </c>
      <c r="H109">
        <f>'ICAS et ICAC'!C222</f>
        <v>148.42983061169957</v>
      </c>
      <c r="I109" t="e">
        <f>#REF!</f>
        <v>#REF!</v>
      </c>
      <c r="K109">
        <f>'ICAS et ICAC'!AO222</f>
        <v>112.46000703885481</v>
      </c>
      <c r="L109" t="e">
        <f>#REF!</f>
        <v>#REF!</v>
      </c>
    </row>
    <row r="110" spans="1:12" x14ac:dyDescent="0.25">
      <c r="A110" s="95">
        <f>Primaire!A235</f>
        <v>45658</v>
      </c>
      <c r="B110">
        <f>Primaire!H235</f>
        <v>113.84350897098579</v>
      </c>
      <c r="C110" t="e">
        <f>#REF!</f>
        <v>#REF!</v>
      </c>
      <c r="E110" s="184">
        <f>'Indice Secondaire'!B115</f>
        <v>96.880473492974303</v>
      </c>
      <c r="F110" s="182" t="e">
        <f>#REF!</f>
        <v>#REF!</v>
      </c>
      <c r="H110">
        <f>'ICAS et ICAC'!C223</f>
        <v>118.06547804265213</v>
      </c>
      <c r="I110" t="e">
        <f>#REF!</f>
        <v>#REF!</v>
      </c>
      <c r="K110">
        <f>'ICAS et ICAC'!AO223</f>
        <v>95.029109524876034</v>
      </c>
      <c r="L110" t="e">
        <f>#REF!</f>
        <v>#REF!</v>
      </c>
    </row>
    <row r="111" spans="1:12" x14ac:dyDescent="0.25">
      <c r="A111" s="95">
        <f>Primaire!A236</f>
        <v>45689</v>
      </c>
      <c r="B111">
        <f>Primaire!H236</f>
        <v>109.5633628356774</v>
      </c>
      <c r="C111" t="e">
        <f>#REF!</f>
        <v>#REF!</v>
      </c>
      <c r="E111" s="184">
        <f>'Indice Secondaire'!B116</f>
        <v>95.974951848639236</v>
      </c>
      <c r="F111" s="182" t="e">
        <f>#REF!</f>
        <v>#REF!</v>
      </c>
      <c r="H111">
        <f>'ICAS et ICAC'!C224</f>
        <v>108.3606040359149</v>
      </c>
      <c r="I111" t="e">
        <f>#REF!</f>
        <v>#REF!</v>
      </c>
      <c r="K111">
        <f>'ICAS et ICAC'!AO224</f>
        <v>93.621545436174387</v>
      </c>
      <c r="L111" t="e">
        <f>#REF!</f>
        <v>#REF!</v>
      </c>
    </row>
    <row r="112" spans="1:12" x14ac:dyDescent="0.25">
      <c r="A112" s="95">
        <f>Primaire!A237</f>
        <v>45717</v>
      </c>
      <c r="B112">
        <f>Primaire!H237</f>
        <v>120.34656523621229</v>
      </c>
      <c r="C112" t="e">
        <f>#REF!</f>
        <v>#REF!</v>
      </c>
      <c r="E112" s="184">
        <f>'Indice Secondaire'!B117</f>
        <v>101.82918279840139</v>
      </c>
      <c r="F112" s="182" t="e">
        <f>#REF!</f>
        <v>#REF!</v>
      </c>
      <c r="H112">
        <f>'ICAS et ICAC'!C225</f>
        <v>125.73229058445666</v>
      </c>
      <c r="I112" t="e">
        <f>#REF!</f>
        <v>#REF!</v>
      </c>
      <c r="K112">
        <f>'ICAS et ICAC'!AO225</f>
        <v>107.47092086309792</v>
      </c>
      <c r="L112" t="e">
        <f>#REF!</f>
        <v>#REF!</v>
      </c>
    </row>
    <row r="113" spans="1:12" x14ac:dyDescent="0.25">
      <c r="A113" s="95">
        <f>Primaire!A238</f>
        <v>45748</v>
      </c>
      <c r="B113">
        <f>Primaire!H238</f>
        <v>101.45527711870042</v>
      </c>
      <c r="C113" t="e">
        <f>#REF!</f>
        <v>#REF!</v>
      </c>
      <c r="E113" s="184">
        <f>'Indice Secondaire'!B118</f>
        <v>92.540722812429806</v>
      </c>
      <c r="F113" s="182" t="e">
        <f>#REF!</f>
        <v>#REF!</v>
      </c>
      <c r="H113">
        <f>'ICAS et ICAC'!C226</f>
        <v>106.46148270650401</v>
      </c>
      <c r="I113" t="e">
        <f>#REF!</f>
        <v>#REF!</v>
      </c>
      <c r="K113">
        <f>'ICAS et ICAC'!AO226</f>
        <v>98.959952468278757</v>
      </c>
      <c r="L113" t="e">
        <f>#REF!</f>
        <v>#REF!</v>
      </c>
    </row>
    <row r="114" spans="1:12" x14ac:dyDescent="0.25">
      <c r="A114" s="95">
        <f>Primaire!A239</f>
        <v>45778</v>
      </c>
      <c r="B114">
        <f>Primaire!H239</f>
        <v>109.80097648580241</v>
      </c>
      <c r="C114" t="e">
        <f>#REF!</f>
        <v>#REF!</v>
      </c>
      <c r="E114" s="184">
        <f>'Indice Secondaire'!B119</f>
        <v>98.230039885909619</v>
      </c>
      <c r="F114" s="182" t="e">
        <f>#REF!</f>
        <v>#REF!</v>
      </c>
      <c r="H114">
        <f>'ICAS et ICAC'!C227</f>
        <v>118.98162430447805</v>
      </c>
      <c r="I114" t="e">
        <f>#REF!</f>
        <v>#REF!</v>
      </c>
      <c r="K114">
        <f>'ICAS et ICAC'!AO227</f>
        <v>94.499605289048333</v>
      </c>
      <c r="L114" t="e">
        <f>#REF!</f>
        <v>#REF!</v>
      </c>
    </row>
    <row r="115" spans="1:12" x14ac:dyDescent="0.25">
      <c r="A115" s="95">
        <f>Primaire!A240</f>
        <v>45809</v>
      </c>
      <c r="B115">
        <f>Primaire!H240</f>
        <v>69.325261157608693</v>
      </c>
      <c r="C115" t="e">
        <f>#REF!</f>
        <v>#REF!</v>
      </c>
      <c r="E115" s="184">
        <f>'Indice Secondaire'!B120</f>
        <v>115.93588853732584</v>
      </c>
      <c r="F115" s="182" t="e">
        <f>#REF!</f>
        <v>#REF!</v>
      </c>
      <c r="H115">
        <f>'ICAS et ICAC'!C228</f>
        <v>115.52299191589572</v>
      </c>
      <c r="I115" t="e">
        <f>#REF!</f>
        <v>#REF!</v>
      </c>
      <c r="K115">
        <f>'ICAS et ICAC'!AO228</f>
        <v>107.84525417758159</v>
      </c>
      <c r="L115" t="e">
        <f>#REF!</f>
        <v>#REF!</v>
      </c>
    </row>
    <row r="116" spans="1:12" x14ac:dyDescent="0.25">
      <c r="A116" s="95">
        <f>Primaire!A241</f>
        <v>45839</v>
      </c>
      <c r="B116">
        <f>Primaire!H241</f>
        <v>92.996682733587903</v>
      </c>
      <c r="C116" t="e">
        <f>#REF!</f>
        <v>#REF!</v>
      </c>
      <c r="E116" s="184">
        <f>'Indice Secondaire'!B121</f>
        <v>106.08406762371111</v>
      </c>
      <c r="F116" s="182" t="e">
        <f>#REF!</f>
        <v>#REF!</v>
      </c>
      <c r="H116">
        <f>'ICAS et ICAC'!C229</f>
        <v>126.33649753229625</v>
      </c>
      <c r="I116" t="e">
        <f>#REF!</f>
        <v>#REF!</v>
      </c>
      <c r="K116">
        <f>'ICAS et ICAC'!AO229</f>
        <v>100.79882619941971</v>
      </c>
      <c r="L116" t="e">
        <f>#REF!</f>
        <v>#REF!</v>
      </c>
    </row>
    <row r="117" spans="1:12" x14ac:dyDescent="0.25">
      <c r="A117" s="95">
        <f>Primaire!A242</f>
        <v>45870</v>
      </c>
      <c r="B117">
        <f>Primaire!H242</f>
        <v>99.491592950375292</v>
      </c>
      <c r="C117" t="e">
        <f>#REF!</f>
        <v>#REF!</v>
      </c>
      <c r="E117" s="184">
        <f>'Indice Secondaire'!B122</f>
        <v>89.74251415019917</v>
      </c>
      <c r="F117" s="182" t="e">
        <f>#REF!</f>
        <v>#REF!</v>
      </c>
      <c r="H117">
        <f>'ICAS et ICAC'!C230</f>
        <v>109.07102633251105</v>
      </c>
      <c r="I117" t="e">
        <f>#REF!</f>
        <v>#REF!</v>
      </c>
      <c r="K117">
        <f>'ICAS et ICAC'!AO230</f>
        <v>95.468522999792313</v>
      </c>
      <c r="L117" t="e">
        <f>#REF!</f>
        <v>#REF!</v>
      </c>
    </row>
    <row r="118" spans="1:12" x14ac:dyDescent="0.25">
      <c r="A118" s="95">
        <f>Primaire!A243</f>
        <v>45901</v>
      </c>
      <c r="B118">
        <f>Primaire!H243</f>
        <v>99.451574738485988</v>
      </c>
      <c r="C118" t="e">
        <f>#REF!</f>
        <v>#REF!</v>
      </c>
      <c r="E118" s="184">
        <f>'Indice Secondaire'!B123</f>
        <v>87.740997931753341</v>
      </c>
      <c r="F118" s="182" t="e">
        <f>#REF!</f>
        <v>#REF!</v>
      </c>
      <c r="H118">
        <f>'ICAS et ICAC'!C231</f>
        <v>114.67016436862745</v>
      </c>
      <c r="I118" t="e">
        <f>#REF!</f>
        <v>#REF!</v>
      </c>
      <c r="K118">
        <f>'ICAS et ICAC'!AO231</f>
        <v>92.783487418764224</v>
      </c>
      <c r="L118" t="e">
        <f>#REF!</f>
        <v>#REF!</v>
      </c>
    </row>
    <row r="119" spans="1:12" x14ac:dyDescent="0.25">
      <c r="A119" s="95">
        <f>Primaire!A244</f>
        <v>45931</v>
      </c>
      <c r="B119">
        <f>Primaire!H244</f>
        <v>104.34454465114096</v>
      </c>
      <c r="C119" t="e">
        <f>#REF!</f>
        <v>#REF!</v>
      </c>
      <c r="E119" s="184">
        <f>'Indice Secondaire'!B124</f>
        <v>89.832112186937763</v>
      </c>
      <c r="F119" s="182" t="e">
        <f>#REF!</f>
        <v>#REF!</v>
      </c>
      <c r="H119">
        <f>'ICAS et ICAC'!C232</f>
        <v>118.46064868097203</v>
      </c>
      <c r="I119" t="e">
        <f>#REF!</f>
        <v>#REF!</v>
      </c>
      <c r="K119">
        <f>'ICAS et ICAC'!AO232</f>
        <v>100.22113280731863</v>
      </c>
      <c r="L119" t="e">
        <f>#REF!</f>
        <v>#REF!</v>
      </c>
    </row>
    <row r="120" spans="1:12" x14ac:dyDescent="0.25">
      <c r="A120" s="95">
        <f>Primaire!A245</f>
        <v>45962</v>
      </c>
      <c r="B120">
        <f>Primaire!H245</f>
        <v>100.33443566751896</v>
      </c>
      <c r="C120" t="e">
        <f>#REF!</f>
        <v>#REF!</v>
      </c>
      <c r="E120" s="184">
        <f>'Indice Secondaire'!B125</f>
        <v>84.825010251025077</v>
      </c>
      <c r="F120" s="182" t="e">
        <f>#REF!</f>
        <v>#REF!</v>
      </c>
      <c r="H120">
        <f>'ICAS et ICAC'!C233</f>
        <v>117.43026963934881</v>
      </c>
      <c r="I120" t="e">
        <f>#REF!</f>
        <v>#REF!</v>
      </c>
      <c r="K120">
        <f>'ICAS et ICAC'!AO233</f>
        <v>94.128177274882745</v>
      </c>
      <c r="L120" t="e">
        <f>#REF!</f>
        <v>#REF!</v>
      </c>
    </row>
    <row r="121" spans="1:12" x14ac:dyDescent="0.25">
      <c r="A121" s="95">
        <f>Primaire!A246</f>
        <v>45992</v>
      </c>
      <c r="B121">
        <f>Primaire!H246</f>
        <v>123.47313690237897</v>
      </c>
      <c r="C121" t="e">
        <f>#REF!</f>
        <v>#REF!</v>
      </c>
      <c r="E121" s="184">
        <f>'Indice Secondaire'!B126</f>
        <v>120.19417008040183</v>
      </c>
      <c r="F121" s="182" t="e">
        <f>#REF!</f>
        <v>#REF!</v>
      </c>
      <c r="H121">
        <f>'ICAS et ICAC'!C234</f>
        <v>148.17682506182774</v>
      </c>
      <c r="I121" t="e">
        <f>#REF!</f>
        <v>#REF!</v>
      </c>
      <c r="K121">
        <f>'ICAS et ICAC'!AO234</f>
        <v>103.7918720487241</v>
      </c>
      <c r="L121" t="e">
        <f>#REF!</f>
        <v>#REF!</v>
      </c>
    </row>
    <row r="122" spans="1:12" x14ac:dyDescent="0.25">
      <c r="A122" s="95">
        <f>Primaire!A247</f>
        <v>46023</v>
      </c>
      <c r="B122">
        <f>Primaire!H247</f>
        <v>110.09630961152997</v>
      </c>
      <c r="C122" t="e">
        <f>#REF!</f>
        <v>#REF!</v>
      </c>
      <c r="E122" s="184">
        <f>'Indice Secondaire'!B128</f>
        <v>0</v>
      </c>
      <c r="H122">
        <f>'ICAS et ICAC'!C235</f>
        <v>123.00144083930842</v>
      </c>
      <c r="K122">
        <f>'ICAS et ICAC'!AO235</f>
        <v>89.835383196849349</v>
      </c>
    </row>
  </sheetData>
  <mergeCells count="3">
    <mergeCell ref="N1:Q1"/>
    <mergeCell ref="N3:Q3"/>
    <mergeCell ref="N18:R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8"/>
  <sheetViews>
    <sheetView workbookViewId="0">
      <pane xSplit="1" ySplit="6" topLeftCell="B223" activePane="bottomRight" state="frozen"/>
      <selection pane="topRight" activeCell="B1" sqref="B1"/>
      <selection pane="bottomLeft" activeCell="A7" sqref="A7"/>
      <selection pane="bottomRight" activeCell="W244" sqref="W244"/>
    </sheetView>
  </sheetViews>
  <sheetFormatPr defaultColWidth="11.42578125" defaultRowHeight="15" x14ac:dyDescent="0.25"/>
  <cols>
    <col min="1" max="1" width="8.85546875" bestFit="1" customWidth="1"/>
    <col min="2" max="3" width="12.140625" bestFit="1" customWidth="1"/>
    <col min="4" max="9" width="10.42578125" bestFit="1" customWidth="1"/>
    <col min="10" max="10" width="11.42578125" customWidth="1"/>
    <col min="11" max="11" width="12.85546875" customWidth="1"/>
    <col min="12" max="12" width="10.42578125" bestFit="1" customWidth="1"/>
    <col min="13" max="13" width="8.140625" bestFit="1" customWidth="1"/>
    <col min="14" max="14" width="12" bestFit="1" customWidth="1"/>
    <col min="15" max="17" width="8.140625" bestFit="1" customWidth="1"/>
    <col min="18" max="18" width="12" bestFit="1" customWidth="1"/>
    <col min="19" max="19" width="9.42578125" bestFit="1" customWidth="1"/>
    <col min="20" max="20" width="11.85546875" bestFit="1" customWidth="1"/>
  </cols>
  <sheetData>
    <row r="1" spans="1:20" ht="45.95" customHeight="1" x14ac:dyDescent="0.35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2"/>
      <c r="L1" s="2"/>
      <c r="M1" s="2"/>
    </row>
    <row r="2" spans="1:20" ht="12.75" hidden="1" customHeight="1" x14ac:dyDescent="0.35">
      <c r="A2" s="2"/>
    </row>
    <row r="3" spans="1:20" s="1" customFormat="1" ht="23.25" hidden="1" x14ac:dyDescent="0.35">
      <c r="A3" s="2"/>
      <c r="B3" s="192">
        <f>B247/B246-1</f>
        <v>6.2677359654534248E-2</v>
      </c>
      <c r="C3" s="192">
        <f t="shared" ref="C3:K3" si="0">C247/C246-1</f>
        <v>2.4630039469255793E-2</v>
      </c>
      <c r="D3" s="192">
        <f t="shared" si="0"/>
        <v>-1.6896055875102678E-2</v>
      </c>
      <c r="E3" s="192">
        <f t="shared" si="0"/>
        <v>-5.872300997186608E-3</v>
      </c>
      <c r="F3" s="192">
        <f t="shared" si="0"/>
        <v>0</v>
      </c>
      <c r="G3" s="192">
        <f t="shared" si="0"/>
        <v>6.4508928571428648E-2</v>
      </c>
      <c r="H3" s="192" t="e">
        <f t="shared" si="0"/>
        <v>#VALUE!</v>
      </c>
      <c r="I3" s="192">
        <f>I247/I246-1</f>
        <v>0</v>
      </c>
      <c r="J3" s="192">
        <f t="shared" si="0"/>
        <v>-2.4706082807974816E-3</v>
      </c>
      <c r="K3" s="192">
        <f t="shared" si="0"/>
        <v>2.4767273037833437E-3</v>
      </c>
      <c r="L3" s="290"/>
    </row>
    <row r="4" spans="1:20" s="1" customFormat="1" ht="30" customHeight="1" x14ac:dyDescent="0.25">
      <c r="B4" s="385" t="s">
        <v>9</v>
      </c>
      <c r="C4" s="385"/>
      <c r="D4" s="385"/>
      <c r="E4" s="385"/>
      <c r="F4" s="385"/>
      <c r="G4" s="385"/>
      <c r="H4" s="383" t="s">
        <v>24</v>
      </c>
      <c r="I4" s="383"/>
      <c r="J4" s="383"/>
      <c r="K4" s="384" t="s">
        <v>10</v>
      </c>
      <c r="L4" s="383" t="s">
        <v>18</v>
      </c>
      <c r="M4" s="383"/>
      <c r="N4" s="383"/>
      <c r="O4" s="383"/>
      <c r="P4" s="381" t="s">
        <v>23</v>
      </c>
      <c r="Q4" s="381"/>
      <c r="R4" s="381"/>
      <c r="S4" s="381"/>
      <c r="T4" s="381"/>
    </row>
    <row r="5" spans="1:20" s="3" customFormat="1" ht="25.5" x14ac:dyDescent="0.2">
      <c r="B5" s="198" t="s">
        <v>1</v>
      </c>
      <c r="C5" s="198" t="s">
        <v>2</v>
      </c>
      <c r="D5" s="198" t="s">
        <v>3</v>
      </c>
      <c r="E5" s="198" t="s">
        <v>4</v>
      </c>
      <c r="F5" s="198" t="s">
        <v>5</v>
      </c>
      <c r="G5" s="198" t="s">
        <v>6</v>
      </c>
      <c r="H5" s="198" t="s">
        <v>11</v>
      </c>
      <c r="I5" s="198" t="s">
        <v>12</v>
      </c>
      <c r="J5" s="198" t="s">
        <v>13</v>
      </c>
      <c r="K5" s="384"/>
      <c r="L5" s="3" t="s">
        <v>14</v>
      </c>
      <c r="M5" s="3" t="s">
        <v>15</v>
      </c>
      <c r="N5" s="3" t="s">
        <v>16</v>
      </c>
      <c r="O5" s="3" t="s">
        <v>17</v>
      </c>
      <c r="P5" s="3" t="s">
        <v>15</v>
      </c>
      <c r="Q5" s="3" t="s">
        <v>17</v>
      </c>
      <c r="R5" s="3" t="s">
        <v>16</v>
      </c>
      <c r="S5" s="3" t="s">
        <v>21</v>
      </c>
      <c r="T5" s="3" t="s">
        <v>22</v>
      </c>
    </row>
    <row r="6" spans="1:20" s="1" customFormat="1" ht="14.25" x14ac:dyDescent="0.2">
      <c r="B6" s="6" t="s">
        <v>7</v>
      </c>
      <c r="C6" s="6" t="s">
        <v>7</v>
      </c>
      <c r="D6" s="6" t="s">
        <v>7</v>
      </c>
      <c r="E6" s="6" t="s">
        <v>7</v>
      </c>
      <c r="F6" s="6" t="s">
        <v>7</v>
      </c>
      <c r="G6" s="6" t="s">
        <v>8</v>
      </c>
    </row>
    <row r="7" spans="1:20" s="1" customFormat="1" ht="14.25" x14ac:dyDescent="0.2">
      <c r="A7" s="7">
        <v>38718</v>
      </c>
      <c r="B7" s="14">
        <v>930</v>
      </c>
      <c r="C7" s="14">
        <v>424</v>
      </c>
      <c r="D7" s="14">
        <v>211</v>
      </c>
      <c r="E7" s="14">
        <v>102.7</v>
      </c>
      <c r="F7" s="14">
        <v>42</v>
      </c>
      <c r="G7" s="14">
        <v>63.6</v>
      </c>
      <c r="H7" s="14">
        <v>784.44989237024629</v>
      </c>
      <c r="I7" s="14">
        <v>655.95699999999999</v>
      </c>
      <c r="J7" s="14">
        <v>542.01726910000002</v>
      </c>
      <c r="K7" s="14">
        <v>1.21</v>
      </c>
      <c r="L7" s="14">
        <v>3.4</v>
      </c>
      <c r="M7" s="14">
        <v>4.42</v>
      </c>
      <c r="N7" s="14">
        <v>3.26</v>
      </c>
      <c r="O7" s="14">
        <v>1.56</v>
      </c>
      <c r="P7" s="14">
        <v>4.0999999999999996</v>
      </c>
      <c r="Q7" s="14">
        <v>0.5</v>
      </c>
      <c r="R7" s="14">
        <v>2.1</v>
      </c>
      <c r="S7" s="14">
        <v>2</v>
      </c>
      <c r="T7" s="14">
        <v>2.0333333333333332</v>
      </c>
    </row>
    <row r="8" spans="1:20" s="1" customFormat="1" ht="14.25" x14ac:dyDescent="0.2">
      <c r="A8" s="7">
        <v>38749</v>
      </c>
      <c r="B8" s="14">
        <v>921</v>
      </c>
      <c r="C8" s="14">
        <v>445</v>
      </c>
      <c r="D8" s="14">
        <v>215.3</v>
      </c>
      <c r="E8" s="14">
        <v>107.1</v>
      </c>
      <c r="F8" s="14">
        <v>42</v>
      </c>
      <c r="G8" s="14">
        <v>59.9</v>
      </c>
      <c r="H8" s="14">
        <v>788.88394467829221</v>
      </c>
      <c r="I8" s="14">
        <v>655.95699999999999</v>
      </c>
      <c r="J8" s="14">
        <v>549.46894062000001</v>
      </c>
      <c r="K8" s="14">
        <v>1.19</v>
      </c>
      <c r="L8" s="14">
        <v>3.56</v>
      </c>
      <c r="M8" s="14">
        <v>4.57</v>
      </c>
      <c r="N8" s="14">
        <v>3.4</v>
      </c>
      <c r="O8" s="14">
        <v>1.58</v>
      </c>
      <c r="P8" s="14">
        <v>3.6</v>
      </c>
      <c r="Q8" s="14">
        <v>0.4</v>
      </c>
      <c r="R8" s="14">
        <v>2.1</v>
      </c>
      <c r="S8" s="14">
        <v>1.9</v>
      </c>
      <c r="T8" s="14">
        <v>2.2000000000000002</v>
      </c>
    </row>
    <row r="9" spans="1:20" s="1" customFormat="1" ht="14.25" x14ac:dyDescent="0.2">
      <c r="A9" s="7">
        <v>38777</v>
      </c>
      <c r="B9" s="14">
        <v>902</v>
      </c>
      <c r="C9" s="14">
        <v>440</v>
      </c>
      <c r="D9" s="14">
        <v>215</v>
      </c>
      <c r="E9" s="14">
        <v>105.3</v>
      </c>
      <c r="F9" s="14">
        <v>43</v>
      </c>
      <c r="G9" s="14">
        <v>62.3</v>
      </c>
      <c r="H9" s="14">
        <v>785.38912835249039</v>
      </c>
      <c r="I9" s="14">
        <v>655.95699999999999</v>
      </c>
      <c r="J9" s="14">
        <v>545.72129783693845</v>
      </c>
      <c r="K9" s="14">
        <v>1.202</v>
      </c>
      <c r="L9" s="14">
        <v>3.72</v>
      </c>
      <c r="M9" s="14">
        <v>4.72</v>
      </c>
      <c r="N9" s="14">
        <v>3.59</v>
      </c>
      <c r="O9" s="14">
        <v>1.77</v>
      </c>
      <c r="P9" s="14">
        <v>3.3</v>
      </c>
      <c r="Q9" s="14">
        <v>0.3</v>
      </c>
      <c r="R9" s="14">
        <v>1.8</v>
      </c>
      <c r="S9" s="14">
        <v>1.5</v>
      </c>
      <c r="T9" s="14">
        <v>2.3333333333333335</v>
      </c>
    </row>
    <row r="10" spans="1:20" s="1" customFormat="1" ht="14.25" x14ac:dyDescent="0.2">
      <c r="A10" s="7">
        <v>38808</v>
      </c>
      <c r="B10" s="14">
        <v>899</v>
      </c>
      <c r="C10" s="14">
        <v>439</v>
      </c>
      <c r="D10" s="14">
        <v>216.8</v>
      </c>
      <c r="E10" s="14">
        <v>107.7</v>
      </c>
      <c r="F10" s="14">
        <v>43</v>
      </c>
      <c r="G10" s="14">
        <v>70.400000000000006</v>
      </c>
      <c r="H10" s="14">
        <v>776.09678182678658</v>
      </c>
      <c r="I10" s="14">
        <v>655.95699999999999</v>
      </c>
      <c r="J10" s="14">
        <v>534.55871567109443</v>
      </c>
      <c r="K10" s="14">
        <v>1.2270000000000001</v>
      </c>
      <c r="L10" s="14">
        <v>4.01</v>
      </c>
      <c r="M10" s="14">
        <v>4.99</v>
      </c>
      <c r="N10" s="14">
        <v>3.84</v>
      </c>
      <c r="O10" s="14">
        <v>1.92</v>
      </c>
      <c r="P10" s="14">
        <v>3.5</v>
      </c>
      <c r="Q10" s="14">
        <v>0.4</v>
      </c>
      <c r="R10" s="14">
        <v>2</v>
      </c>
      <c r="S10" s="14">
        <v>1.7</v>
      </c>
      <c r="T10" s="14">
        <v>2.4</v>
      </c>
    </row>
    <row r="11" spans="1:20" s="1" customFormat="1" ht="14.25" x14ac:dyDescent="0.2">
      <c r="A11" s="7">
        <v>38838</v>
      </c>
      <c r="B11" s="14">
        <v>892</v>
      </c>
      <c r="C11" s="14">
        <v>440</v>
      </c>
      <c r="D11" s="14">
        <v>217.6</v>
      </c>
      <c r="E11" s="14">
        <v>110.6</v>
      </c>
      <c r="F11" s="14">
        <v>43</v>
      </c>
      <c r="G11" s="14">
        <v>70.2</v>
      </c>
      <c r="H11" s="14">
        <v>765.14289047008049</v>
      </c>
      <c r="I11" s="14">
        <v>655.95699999999999</v>
      </c>
      <c r="J11" s="14">
        <v>513.71054898582508</v>
      </c>
      <c r="K11" s="14">
        <v>1.2768999999999999</v>
      </c>
      <c r="L11" s="14">
        <v>4.07</v>
      </c>
      <c r="M11" s="14">
        <v>5.1100000000000003</v>
      </c>
      <c r="N11" s="14">
        <v>3.89</v>
      </c>
      <c r="O11" s="14">
        <v>1.81</v>
      </c>
      <c r="P11" s="14">
        <v>4.2</v>
      </c>
      <c r="Q11" s="14">
        <v>0.6</v>
      </c>
      <c r="R11" s="14">
        <v>1.9</v>
      </c>
      <c r="S11" s="14">
        <v>2.1</v>
      </c>
      <c r="T11" s="14">
        <v>2.2444444444444445</v>
      </c>
    </row>
    <row r="12" spans="1:20" s="1" customFormat="1" ht="14.25" x14ac:dyDescent="0.2">
      <c r="A12" s="7">
        <v>38869</v>
      </c>
      <c r="B12" s="14">
        <v>898</v>
      </c>
      <c r="C12" s="14">
        <v>437</v>
      </c>
      <c r="D12" s="14">
        <v>215.5</v>
      </c>
      <c r="E12" s="14">
        <v>109.4</v>
      </c>
      <c r="F12" s="14">
        <v>44.5</v>
      </c>
      <c r="G12" s="14">
        <v>68.900000000000006</v>
      </c>
      <c r="H12" s="14">
        <v>766.48399158681934</v>
      </c>
      <c r="I12" s="14">
        <v>655.95699999999999</v>
      </c>
      <c r="J12" s="14">
        <v>518.5840777927109</v>
      </c>
      <c r="K12" s="14">
        <v>1.2648999999999999</v>
      </c>
      <c r="L12" s="14">
        <v>4.0599999999999996</v>
      </c>
      <c r="M12" s="14">
        <v>5.1100000000000003</v>
      </c>
      <c r="N12" s="14">
        <v>3.9</v>
      </c>
      <c r="O12" s="14">
        <v>1.92</v>
      </c>
      <c r="P12" s="14">
        <v>4.3</v>
      </c>
      <c r="Q12" s="14">
        <v>0.5</v>
      </c>
      <c r="R12" s="14">
        <v>2</v>
      </c>
      <c r="S12" s="14">
        <v>1.9</v>
      </c>
      <c r="T12" s="14">
        <v>2.5</v>
      </c>
    </row>
    <row r="13" spans="1:20" s="1" customFormat="1" ht="14.25" x14ac:dyDescent="0.2">
      <c r="A13" s="7">
        <v>38899</v>
      </c>
      <c r="B13" s="14">
        <v>928</v>
      </c>
      <c r="C13" s="14">
        <v>471</v>
      </c>
      <c r="D13" s="14">
        <v>217.3</v>
      </c>
      <c r="E13" s="14">
        <v>113.99108</v>
      </c>
      <c r="F13" s="14">
        <v>45.5</v>
      </c>
      <c r="G13" s="14">
        <v>74</v>
      </c>
      <c r="H13" s="14">
        <v>764.3</v>
      </c>
      <c r="I13" s="14">
        <v>655.95699999999999</v>
      </c>
      <c r="J13" s="14">
        <v>517.20000000000005</v>
      </c>
      <c r="K13" s="14">
        <v>1.2689999999999999</v>
      </c>
      <c r="L13" s="14">
        <v>4.09</v>
      </c>
      <c r="M13" s="14">
        <v>5.09</v>
      </c>
      <c r="N13" s="14">
        <v>3.96</v>
      </c>
      <c r="O13" s="14">
        <v>1.92</v>
      </c>
      <c r="P13" s="14">
        <v>4.0999999999999996</v>
      </c>
      <c r="Q13" s="14">
        <v>0.3</v>
      </c>
      <c r="R13" s="14">
        <v>1.9</v>
      </c>
      <c r="S13" s="14">
        <v>1.9</v>
      </c>
      <c r="T13" s="14">
        <v>2.5</v>
      </c>
    </row>
    <row r="14" spans="1:20" s="1" customFormat="1" ht="14.25" x14ac:dyDescent="0.2">
      <c r="A14" s="7">
        <v>38930</v>
      </c>
      <c r="B14" s="14">
        <v>944</v>
      </c>
      <c r="C14" s="14">
        <v>510</v>
      </c>
      <c r="D14" s="14">
        <v>217.7</v>
      </c>
      <c r="E14" s="14">
        <v>116.58833200000001</v>
      </c>
      <c r="F14" s="14">
        <v>45.5</v>
      </c>
      <c r="G14" s="14">
        <v>73.599999999999994</v>
      </c>
      <c r="H14" s="14">
        <v>761.4</v>
      </c>
      <c r="I14" s="14">
        <v>655.95699999999999</v>
      </c>
      <c r="J14" s="14">
        <v>512</v>
      </c>
      <c r="K14" s="14">
        <v>1.28</v>
      </c>
      <c r="L14" s="14">
        <v>3.96</v>
      </c>
      <c r="M14" s="14">
        <v>4.88</v>
      </c>
      <c r="N14" s="14">
        <v>3.85</v>
      </c>
      <c r="O14" s="14">
        <v>1.61</v>
      </c>
      <c r="P14" s="14">
        <v>3.8</v>
      </c>
      <c r="Q14" s="14">
        <v>1</v>
      </c>
      <c r="R14" s="14">
        <v>1.7</v>
      </c>
      <c r="S14" s="14">
        <v>1.9</v>
      </c>
      <c r="T14" s="14">
        <v>2.5</v>
      </c>
    </row>
    <row r="15" spans="1:20" s="1" customFormat="1" ht="14.25" x14ac:dyDescent="0.2">
      <c r="A15" s="7">
        <v>38961</v>
      </c>
      <c r="B15" s="14">
        <v>959</v>
      </c>
      <c r="C15" s="14">
        <v>498</v>
      </c>
      <c r="D15" s="14">
        <v>222.6</v>
      </c>
      <c r="E15" s="14">
        <v>121.74554000000001</v>
      </c>
      <c r="F15" s="14">
        <v>45.5</v>
      </c>
      <c r="G15" s="14">
        <v>63.575666666666663</v>
      </c>
      <c r="H15" s="14">
        <v>757</v>
      </c>
      <c r="I15" s="14">
        <v>655.95699999999999</v>
      </c>
      <c r="J15" s="14">
        <v>515</v>
      </c>
      <c r="K15" s="14">
        <v>1.27</v>
      </c>
      <c r="L15" s="14">
        <v>3.84</v>
      </c>
      <c r="M15" s="14">
        <v>4.72</v>
      </c>
      <c r="N15" s="14">
        <v>3.75</v>
      </c>
      <c r="O15" s="14">
        <v>1.66</v>
      </c>
      <c r="P15" s="14">
        <v>2.1</v>
      </c>
      <c r="Q15" s="14">
        <v>0.6</v>
      </c>
      <c r="R15" s="14">
        <v>1</v>
      </c>
      <c r="S15" s="14">
        <v>1.2</v>
      </c>
      <c r="T15" s="14">
        <v>2.5</v>
      </c>
    </row>
    <row r="16" spans="1:20" s="1" customFormat="1" ht="14.25" x14ac:dyDescent="0.2">
      <c r="A16" s="7">
        <v>38991</v>
      </c>
      <c r="B16" s="14">
        <v>1068</v>
      </c>
      <c r="C16" s="14">
        <v>506.92041522491343</v>
      </c>
      <c r="D16" s="14">
        <v>222.3</v>
      </c>
      <c r="E16" s="14">
        <v>142.19999999999999</v>
      </c>
      <c r="F16" s="14">
        <v>45.5</v>
      </c>
      <c r="G16" s="14">
        <v>59.629999999999995</v>
      </c>
      <c r="H16" s="14">
        <v>766.48399158681934</v>
      </c>
      <c r="I16" s="14">
        <v>655.95699999999999</v>
      </c>
      <c r="J16" s="14">
        <v>520.14669732772973</v>
      </c>
      <c r="K16" s="14">
        <v>1.26</v>
      </c>
      <c r="L16" s="14">
        <v>3.88</v>
      </c>
      <c r="M16" s="14">
        <v>4.7300000000000004</v>
      </c>
      <c r="N16" s="14">
        <v>3.79</v>
      </c>
      <c r="O16" s="14">
        <v>1.71</v>
      </c>
      <c r="P16" s="14">
        <v>1.3</v>
      </c>
      <c r="Q16" s="14">
        <v>0.3</v>
      </c>
      <c r="R16" s="14">
        <v>1.1000000000000001</v>
      </c>
      <c r="S16" s="14">
        <v>1.1000000000000001</v>
      </c>
      <c r="T16" s="14">
        <v>1.6</v>
      </c>
    </row>
    <row r="17" spans="1:20" s="1" customFormat="1" ht="14.25" x14ac:dyDescent="0.2">
      <c r="A17" s="7">
        <v>39022</v>
      </c>
      <c r="B17" s="14">
        <v>1120</v>
      </c>
      <c r="C17" s="14">
        <v>547.02532888278029</v>
      </c>
      <c r="D17" s="14">
        <v>219</v>
      </c>
      <c r="E17" s="14">
        <v>164.538556</v>
      </c>
      <c r="F17" s="14">
        <v>45.5</v>
      </c>
      <c r="G17" s="14">
        <v>58.633999999999972</v>
      </c>
      <c r="H17" s="14">
        <v>767.5602621109291</v>
      </c>
      <c r="I17" s="14">
        <v>655.95699999999999</v>
      </c>
      <c r="J17" s="14">
        <v>509.24384752736592</v>
      </c>
      <c r="K17" s="14">
        <v>1.29</v>
      </c>
      <c r="L17" s="14">
        <v>3.81</v>
      </c>
      <c r="M17" s="14">
        <v>4.5999999999999996</v>
      </c>
      <c r="N17" s="14">
        <v>3.73</v>
      </c>
      <c r="O17" s="14">
        <v>1.65</v>
      </c>
      <c r="P17" s="14">
        <v>1.9</v>
      </c>
      <c r="Q17" s="14">
        <v>0.1</v>
      </c>
      <c r="R17" s="14">
        <v>1.5</v>
      </c>
      <c r="S17" s="14">
        <v>1.4</v>
      </c>
      <c r="T17" s="14">
        <v>1.6</v>
      </c>
    </row>
    <row r="18" spans="1:20" s="1" customFormat="1" ht="14.25" x14ac:dyDescent="0.2">
      <c r="A18" s="7">
        <v>39052</v>
      </c>
      <c r="B18" s="14">
        <v>1173</v>
      </c>
      <c r="C18" s="14">
        <v>582.94098690835858</v>
      </c>
      <c r="D18" s="14">
        <v>226.3</v>
      </c>
      <c r="E18" s="14">
        <v>160.37538999999998</v>
      </c>
      <c r="F18" s="14">
        <v>45.5</v>
      </c>
      <c r="G18" s="14">
        <v>62.236666666666679</v>
      </c>
      <c r="H18" s="14">
        <v>748.6</v>
      </c>
      <c r="I18" s="14">
        <v>655.95699999999999</v>
      </c>
      <c r="J18" s="14">
        <v>496.48577051165609</v>
      </c>
      <c r="K18" s="14">
        <v>1.32</v>
      </c>
      <c r="L18" s="14">
        <v>3.87</v>
      </c>
      <c r="M18" s="14">
        <v>4.5599999999999996</v>
      </c>
      <c r="N18" s="14">
        <v>3.8</v>
      </c>
      <c r="O18" s="14">
        <v>1.68</v>
      </c>
      <c r="P18" s="14">
        <v>2.5</v>
      </c>
      <c r="Q18" s="14">
        <v>0</v>
      </c>
      <c r="R18" s="14">
        <v>1.4</v>
      </c>
      <c r="S18" s="14">
        <v>1.5</v>
      </c>
      <c r="T18" s="14">
        <v>2</v>
      </c>
    </row>
    <row r="19" spans="1:20" s="1" customFormat="1" ht="14.25" x14ac:dyDescent="0.2">
      <c r="A19" s="7">
        <v>39083</v>
      </c>
      <c r="B19" s="14">
        <v>1180</v>
      </c>
      <c r="C19" s="14">
        <v>599.20634920634916</v>
      </c>
      <c r="D19" s="14">
        <v>241.6</v>
      </c>
      <c r="E19" s="14">
        <v>164.8</v>
      </c>
      <c r="F19" s="14">
        <v>45.5</v>
      </c>
      <c r="G19" s="14">
        <v>54.3</v>
      </c>
      <c r="H19" s="14">
        <v>754.4</v>
      </c>
      <c r="I19" s="14">
        <v>655.95699999999999</v>
      </c>
      <c r="J19" s="14">
        <v>504.65994768425907</v>
      </c>
      <c r="K19" s="14">
        <v>1.29</v>
      </c>
      <c r="L19" s="14">
        <v>4.0999999999999996</v>
      </c>
      <c r="M19" s="14">
        <v>4.8600000000000003</v>
      </c>
      <c r="N19" s="14">
        <v>4.03</v>
      </c>
      <c r="O19" s="14">
        <v>1.7</v>
      </c>
      <c r="P19" s="14">
        <v>2</v>
      </c>
      <c r="Q19" s="14">
        <v>-0.3</v>
      </c>
      <c r="R19" s="14">
        <v>1.6</v>
      </c>
      <c r="S19" s="14">
        <v>1.3</v>
      </c>
      <c r="T19" s="14">
        <v>1.9</v>
      </c>
    </row>
    <row r="20" spans="1:20" s="1" customFormat="1" ht="14.25" x14ac:dyDescent="0.2">
      <c r="A20" s="7">
        <v>39114</v>
      </c>
      <c r="B20" s="14">
        <v>1173</v>
      </c>
      <c r="C20" s="14">
        <v>605</v>
      </c>
      <c r="D20" s="14">
        <v>254.5</v>
      </c>
      <c r="E20" s="14">
        <v>177.34890747070313</v>
      </c>
      <c r="F20" s="14">
        <v>45.5</v>
      </c>
      <c r="G20" s="14">
        <v>57.76</v>
      </c>
      <c r="H20" s="14">
        <v>751.21049015116807</v>
      </c>
      <c r="I20" s="14">
        <v>655.95699999999999</v>
      </c>
      <c r="J20" s="14">
        <v>501.72632706134317</v>
      </c>
      <c r="K20" s="14">
        <v>1.31</v>
      </c>
      <c r="L20" s="14">
        <v>4.1399999999999997</v>
      </c>
      <c r="M20" s="14">
        <v>4.72</v>
      </c>
      <c r="N20" s="14">
        <v>4.0599999999999996</v>
      </c>
      <c r="O20" s="14">
        <v>1.63</v>
      </c>
      <c r="P20" s="14">
        <v>2.4</v>
      </c>
      <c r="Q20" s="14">
        <v>-0.5</v>
      </c>
      <c r="R20" s="14">
        <v>1.7</v>
      </c>
      <c r="S20" s="14">
        <v>1</v>
      </c>
      <c r="T20" s="14">
        <v>2</v>
      </c>
    </row>
    <row r="21" spans="1:20" s="1" customFormat="1" ht="14.25" x14ac:dyDescent="0.2">
      <c r="A21" s="7">
        <v>39142</v>
      </c>
      <c r="B21" s="14">
        <v>1157</v>
      </c>
      <c r="C21" s="14">
        <v>622</v>
      </c>
      <c r="D21" s="14">
        <v>260.7</v>
      </c>
      <c r="E21" s="14">
        <v>170.50674438476563</v>
      </c>
      <c r="F21" s="14">
        <v>45.5</v>
      </c>
      <c r="G21" s="14">
        <v>62.14</v>
      </c>
      <c r="H21" s="14">
        <v>742.9</v>
      </c>
      <c r="I21" s="14">
        <v>655.95699999999999</v>
      </c>
      <c r="J21" s="14">
        <v>495.39838380786944</v>
      </c>
      <c r="K21" s="14">
        <v>1.32</v>
      </c>
      <c r="L21" s="14">
        <v>4.1500000000000004</v>
      </c>
      <c r="M21" s="14">
        <v>4.5599999999999996</v>
      </c>
      <c r="N21" s="14">
        <v>3.97</v>
      </c>
      <c r="O21" s="14">
        <v>1.65</v>
      </c>
      <c r="P21" s="14">
        <v>2.8</v>
      </c>
      <c r="Q21" s="14">
        <v>-0.4</v>
      </c>
      <c r="R21" s="14">
        <v>1.9</v>
      </c>
      <c r="S21" s="14">
        <v>1.2</v>
      </c>
      <c r="T21" s="14">
        <v>2.1</v>
      </c>
    </row>
    <row r="22" spans="1:20" s="1" customFormat="1" ht="14.25" x14ac:dyDescent="0.2">
      <c r="A22" s="7">
        <v>39173</v>
      </c>
      <c r="B22" s="14">
        <v>1202</v>
      </c>
      <c r="C22" s="14">
        <v>710</v>
      </c>
      <c r="D22" s="14">
        <v>257</v>
      </c>
      <c r="E22" s="14">
        <v>152.74783325195313</v>
      </c>
      <c r="F22" s="14">
        <v>45.5</v>
      </c>
      <c r="G22" s="14">
        <v>67.400000000000006</v>
      </c>
      <c r="H22" s="14">
        <v>737.6</v>
      </c>
      <c r="I22" s="14">
        <v>655.95699999999999</v>
      </c>
      <c r="J22" s="14">
        <v>485.3</v>
      </c>
      <c r="K22" s="14">
        <v>1.35</v>
      </c>
      <c r="L22" s="14">
        <v>4.24</v>
      </c>
      <c r="M22" s="14">
        <v>4.6900000000000004</v>
      </c>
      <c r="N22" s="14">
        <v>3.99</v>
      </c>
      <c r="O22" s="14">
        <v>1.62</v>
      </c>
      <c r="P22" s="14">
        <v>2.6</v>
      </c>
      <c r="Q22" s="14">
        <v>-0.4</v>
      </c>
      <c r="R22" s="14">
        <v>1.9</v>
      </c>
      <c r="S22" s="14">
        <v>1.3</v>
      </c>
      <c r="T22" s="14">
        <v>2.2000000000000002</v>
      </c>
    </row>
    <row r="23" spans="1:20" s="1" customFormat="1" ht="14.25" x14ac:dyDescent="0.2">
      <c r="A23" s="7">
        <v>39203</v>
      </c>
      <c r="B23" s="14">
        <v>1159</v>
      </c>
      <c r="C23" s="14">
        <v>772</v>
      </c>
      <c r="D23" s="14">
        <v>254.2</v>
      </c>
      <c r="E23" s="14">
        <v>160.19999999999999</v>
      </c>
      <c r="F23" s="14">
        <v>54.1</v>
      </c>
      <c r="G23" s="14">
        <v>67.48</v>
      </c>
      <c r="H23" s="14">
        <v>736.7</v>
      </c>
      <c r="I23" s="14">
        <v>655.95699999999999</v>
      </c>
      <c r="J23" s="14">
        <v>485.5</v>
      </c>
      <c r="K23" s="14">
        <v>1.35</v>
      </c>
      <c r="L23" s="14">
        <v>4.37</v>
      </c>
      <c r="M23" s="14">
        <v>4.75</v>
      </c>
      <c r="N23" s="14">
        <v>4.32</v>
      </c>
      <c r="O23" s="14">
        <v>1.75</v>
      </c>
      <c r="P23" s="14">
        <v>2.7</v>
      </c>
      <c r="Q23" s="14">
        <v>-0.6</v>
      </c>
      <c r="R23" s="14">
        <v>1.9</v>
      </c>
      <c r="S23" s="14">
        <v>1</v>
      </c>
      <c r="T23" s="14">
        <v>1.9</v>
      </c>
    </row>
    <row r="24" spans="1:20" s="1" customFormat="1" ht="14.25" x14ac:dyDescent="0.2">
      <c r="A24" s="7">
        <v>39234</v>
      </c>
      <c r="B24" s="14">
        <v>1209</v>
      </c>
      <c r="C24" s="14">
        <v>805</v>
      </c>
      <c r="D24" s="14">
        <v>254.5</v>
      </c>
      <c r="E24" s="14">
        <v>165.2</v>
      </c>
      <c r="F24" s="14">
        <v>80</v>
      </c>
      <c r="G24" s="14">
        <v>71.319999999999993</v>
      </c>
      <c r="H24" s="14">
        <v>738.8567244874971</v>
      </c>
      <c r="I24" s="14">
        <v>655.95699999999999</v>
      </c>
      <c r="J24" s="14">
        <v>488.9</v>
      </c>
      <c r="K24" s="14">
        <v>1.34</v>
      </c>
      <c r="L24" s="14">
        <v>4.62</v>
      </c>
      <c r="M24" s="14">
        <v>5.0999999999999996</v>
      </c>
      <c r="N24" s="14">
        <v>4.5599999999999996</v>
      </c>
      <c r="O24" s="14">
        <v>1.87</v>
      </c>
      <c r="P24" s="14">
        <v>2.7</v>
      </c>
      <c r="Q24" s="14">
        <v>-0.2</v>
      </c>
      <c r="R24" s="14">
        <v>1.3</v>
      </c>
      <c r="S24" s="14">
        <v>1.2</v>
      </c>
      <c r="T24" s="14">
        <v>2</v>
      </c>
    </row>
    <row r="25" spans="1:20" s="1" customFormat="1" ht="14.25" x14ac:dyDescent="0.2">
      <c r="A25" s="7">
        <v>39264</v>
      </c>
      <c r="B25" s="14">
        <v>1342</v>
      </c>
      <c r="C25" s="14">
        <v>811</v>
      </c>
      <c r="D25" s="14">
        <v>259</v>
      </c>
      <c r="E25" s="14">
        <v>146.80000000000001</v>
      </c>
      <c r="F25" s="14">
        <v>80</v>
      </c>
      <c r="G25" s="14">
        <v>77.2</v>
      </c>
      <c r="H25" s="14">
        <v>731.3</v>
      </c>
      <c r="I25" s="14">
        <v>655.95699999999999</v>
      </c>
      <c r="J25" s="14">
        <v>478.3</v>
      </c>
      <c r="K25" s="14">
        <v>1.37</v>
      </c>
      <c r="L25" s="14">
        <v>4.5199999999999996</v>
      </c>
      <c r="M25" s="14">
        <v>5</v>
      </c>
      <c r="N25" s="14">
        <v>4.5</v>
      </c>
      <c r="O25" s="14">
        <v>1.79</v>
      </c>
      <c r="P25" s="14">
        <v>2.4</v>
      </c>
      <c r="Q25" s="14">
        <v>0</v>
      </c>
      <c r="R25" s="14">
        <v>1.5</v>
      </c>
      <c r="S25" s="14">
        <v>1.1000000000000001</v>
      </c>
      <c r="T25" s="14">
        <v>2</v>
      </c>
    </row>
    <row r="26" spans="1:20" s="1" customFormat="1" ht="14.25" x14ac:dyDescent="0.2">
      <c r="A26" s="7">
        <v>39295</v>
      </c>
      <c r="B26" s="14">
        <v>1404</v>
      </c>
      <c r="C26" s="14">
        <v>821</v>
      </c>
      <c r="D26" s="14">
        <v>261.3</v>
      </c>
      <c r="E26" s="14">
        <v>151.19999999999999</v>
      </c>
      <c r="F26" s="14">
        <v>80</v>
      </c>
      <c r="G26" s="14">
        <v>70.8</v>
      </c>
      <c r="H26" s="14">
        <v>736.5</v>
      </c>
      <c r="I26" s="14">
        <v>655.95699999999999</v>
      </c>
      <c r="J26" s="14">
        <v>481.54235795037437</v>
      </c>
      <c r="K26" s="14">
        <v>1.36</v>
      </c>
      <c r="L26" s="14">
        <v>4.3899999999999997</v>
      </c>
      <c r="M26" s="14">
        <v>4.67</v>
      </c>
      <c r="N26" s="14">
        <v>4.3</v>
      </c>
      <c r="O26" s="14">
        <v>1.6</v>
      </c>
      <c r="P26" s="14">
        <v>1.9</v>
      </c>
      <c r="Q26" s="14">
        <v>-0.2</v>
      </c>
      <c r="R26" s="14">
        <v>1.5</v>
      </c>
      <c r="S26" s="14">
        <v>1.2</v>
      </c>
      <c r="T26" s="14">
        <v>2</v>
      </c>
    </row>
    <row r="27" spans="1:20" s="1" customFormat="1" ht="14.25" x14ac:dyDescent="0.2">
      <c r="A27" s="7">
        <v>39326</v>
      </c>
      <c r="B27" s="14">
        <v>1445</v>
      </c>
      <c r="C27" s="14">
        <v>835</v>
      </c>
      <c r="D27" s="14">
        <v>267.8</v>
      </c>
      <c r="E27" s="14">
        <v>160.30000000000001</v>
      </c>
      <c r="F27" s="14">
        <v>80</v>
      </c>
      <c r="G27" s="14">
        <v>77.13</v>
      </c>
      <c r="H27" s="14">
        <v>724.2</v>
      </c>
      <c r="I27" s="14">
        <v>655.95699999999999</v>
      </c>
      <c r="J27" s="14">
        <v>472.1</v>
      </c>
      <c r="K27" s="14">
        <v>1.39</v>
      </c>
      <c r="L27" s="14">
        <v>4.3600000000000003</v>
      </c>
      <c r="M27" s="14">
        <v>4.5199999999999996</v>
      </c>
      <c r="N27" s="14">
        <v>4.22</v>
      </c>
      <c r="O27" s="14">
        <v>1.68</v>
      </c>
      <c r="P27" s="14">
        <v>2.8</v>
      </c>
      <c r="Q27" s="14">
        <v>-0.2</v>
      </c>
      <c r="R27" s="14">
        <v>2</v>
      </c>
      <c r="S27" s="14">
        <v>1.5</v>
      </c>
      <c r="T27" s="14">
        <v>2</v>
      </c>
    </row>
    <row r="28" spans="1:20" s="1" customFormat="1" ht="14.25" x14ac:dyDescent="0.2">
      <c r="A28" s="7">
        <v>39356</v>
      </c>
      <c r="B28" s="14">
        <v>1486</v>
      </c>
      <c r="C28" s="14">
        <v>881</v>
      </c>
      <c r="D28" s="14">
        <v>289</v>
      </c>
      <c r="E28" s="14">
        <v>164.2</v>
      </c>
      <c r="F28" s="14">
        <v>80</v>
      </c>
      <c r="G28" s="14">
        <v>82.86</v>
      </c>
      <c r="H28" s="14">
        <v>718.5</v>
      </c>
      <c r="I28" s="14">
        <v>655.95699999999999</v>
      </c>
      <c r="J28" s="14">
        <v>464.1</v>
      </c>
      <c r="K28" s="14">
        <v>1.423</v>
      </c>
      <c r="L28" s="14">
        <v>4.42</v>
      </c>
      <c r="M28" s="14">
        <v>4.53</v>
      </c>
      <c r="N28" s="14">
        <v>4.22</v>
      </c>
      <c r="O28" s="14">
        <v>1.6</v>
      </c>
      <c r="P28" s="14">
        <v>3.5</v>
      </c>
      <c r="Q28" s="14">
        <v>0.3</v>
      </c>
      <c r="R28" s="14">
        <v>2.2000000000000002</v>
      </c>
      <c r="S28" s="14">
        <v>2</v>
      </c>
      <c r="T28" s="14">
        <v>2</v>
      </c>
    </row>
    <row r="29" spans="1:20" s="1" customFormat="1" ht="14.25" x14ac:dyDescent="0.2">
      <c r="A29" s="7">
        <v>39387</v>
      </c>
      <c r="B29" s="14">
        <v>1691</v>
      </c>
      <c r="C29" s="14">
        <v>952</v>
      </c>
      <c r="D29" s="14">
        <v>307.3</v>
      </c>
      <c r="E29" s="14">
        <v>171.3</v>
      </c>
      <c r="F29" s="14">
        <v>80</v>
      </c>
      <c r="G29" s="14">
        <v>92.67</v>
      </c>
      <c r="H29" s="14">
        <v>708.7</v>
      </c>
      <c r="I29" s="14">
        <v>655.95699999999999</v>
      </c>
      <c r="J29" s="14">
        <v>446.8</v>
      </c>
      <c r="K29" s="14">
        <v>1.47</v>
      </c>
      <c r="L29" s="14">
        <v>4.2300000000000004</v>
      </c>
      <c r="M29" s="14">
        <v>4.1500000000000004</v>
      </c>
      <c r="N29" s="14">
        <v>4.09</v>
      </c>
      <c r="O29" s="14">
        <v>1.47</v>
      </c>
      <c r="P29" s="14">
        <v>4.3</v>
      </c>
      <c r="Q29" s="14">
        <v>0.6</v>
      </c>
      <c r="R29" s="14">
        <v>2.9</v>
      </c>
      <c r="S29" s="14">
        <v>2.4</v>
      </c>
      <c r="T29" s="14">
        <v>2</v>
      </c>
    </row>
    <row r="30" spans="1:20" s="1" customFormat="1" ht="14.25" x14ac:dyDescent="0.2">
      <c r="A30" s="7">
        <v>39417</v>
      </c>
      <c r="B30" s="14">
        <v>1777</v>
      </c>
      <c r="C30" s="14">
        <v>950</v>
      </c>
      <c r="D30" s="14">
        <v>328</v>
      </c>
      <c r="E30" s="14">
        <v>180.3</v>
      </c>
      <c r="F30" s="14">
        <v>135</v>
      </c>
      <c r="G30" s="14">
        <v>91.45</v>
      </c>
      <c r="H30" s="14">
        <v>709</v>
      </c>
      <c r="I30" s="14">
        <v>655.95699999999999</v>
      </c>
      <c r="J30" s="14">
        <v>449.9</v>
      </c>
      <c r="K30" s="14">
        <v>1.46</v>
      </c>
      <c r="L30" s="14">
        <v>4.3499999999999996</v>
      </c>
      <c r="M30" s="14">
        <v>4.0999999999999996</v>
      </c>
      <c r="N30" s="14">
        <v>4.21</v>
      </c>
      <c r="O30" s="14">
        <v>1.5</v>
      </c>
      <c r="P30" s="14">
        <v>4.0999999999999996</v>
      </c>
      <c r="Q30" s="14">
        <v>0.7</v>
      </c>
      <c r="R30" s="14">
        <v>2.6</v>
      </c>
      <c r="S30" s="14">
        <v>2.6</v>
      </c>
      <c r="T30" s="14">
        <v>2</v>
      </c>
    </row>
    <row r="31" spans="1:20" s="1" customFormat="1" ht="14.25" x14ac:dyDescent="0.2">
      <c r="A31" s="7">
        <v>39448</v>
      </c>
      <c r="B31" s="14">
        <v>1861</v>
      </c>
      <c r="C31" s="14">
        <v>1059</v>
      </c>
      <c r="D31" s="14">
        <v>354.6</v>
      </c>
      <c r="E31" s="14">
        <v>206.7</v>
      </c>
      <c r="F31" s="14">
        <v>190</v>
      </c>
      <c r="G31" s="14">
        <v>91.92</v>
      </c>
      <c r="H31" s="14">
        <v>706</v>
      </c>
      <c r="I31" s="14">
        <v>655.95699999999999</v>
      </c>
      <c r="J31" s="14">
        <v>445.7</v>
      </c>
      <c r="K31" s="14">
        <v>1.4718</v>
      </c>
      <c r="L31" s="14">
        <v>4.1500000000000004</v>
      </c>
      <c r="M31" s="14">
        <v>3.74</v>
      </c>
      <c r="N31" s="14">
        <v>4.03</v>
      </c>
      <c r="O31" s="14">
        <v>1.43</v>
      </c>
      <c r="P31" s="14">
        <v>4.3</v>
      </c>
      <c r="Q31" s="14">
        <v>0.7</v>
      </c>
      <c r="R31" s="14">
        <v>2.8</v>
      </c>
      <c r="S31" s="14">
        <v>2.8</v>
      </c>
      <c r="T31" s="14">
        <v>3.2</v>
      </c>
    </row>
    <row r="32" spans="1:20" s="1" customFormat="1" ht="14.25" x14ac:dyDescent="0.2">
      <c r="A32" s="7">
        <v>39479</v>
      </c>
      <c r="B32" s="14">
        <v>1958</v>
      </c>
      <c r="C32" s="14">
        <v>1160</v>
      </c>
      <c r="D32" s="14">
        <v>432.8</v>
      </c>
      <c r="E32" s="14">
        <v>220.1</v>
      </c>
      <c r="F32" s="14">
        <v>190</v>
      </c>
      <c r="G32" s="14">
        <v>94.82</v>
      </c>
      <c r="H32" s="14">
        <v>705.4</v>
      </c>
      <c r="I32" s="14">
        <v>655.95699999999999</v>
      </c>
      <c r="J32" s="14">
        <v>444.9</v>
      </c>
      <c r="K32" s="14">
        <v>1.4748000000000001</v>
      </c>
      <c r="L32" s="14">
        <v>4.08</v>
      </c>
      <c r="M32" s="14">
        <v>3.74</v>
      </c>
      <c r="N32" s="14">
        <v>3.95</v>
      </c>
      <c r="O32" s="14">
        <v>1.36</v>
      </c>
      <c r="P32" s="14">
        <v>4</v>
      </c>
      <c r="Q32" s="14">
        <v>1</v>
      </c>
      <c r="R32" s="14">
        <v>2.8</v>
      </c>
      <c r="S32" s="14">
        <v>2.8</v>
      </c>
      <c r="T32" s="14">
        <v>3.3</v>
      </c>
    </row>
    <row r="33" spans="1:20" s="1" customFormat="1" ht="14.25" x14ac:dyDescent="0.2">
      <c r="A33" s="7">
        <v>39508</v>
      </c>
      <c r="B33" s="14">
        <v>2203</v>
      </c>
      <c r="C33" s="14">
        <v>1249</v>
      </c>
      <c r="D33" s="14">
        <v>537.6</v>
      </c>
      <c r="E33" s="14">
        <v>234.4</v>
      </c>
      <c r="F33" s="14">
        <v>321.10000000000002</v>
      </c>
      <c r="G33" s="14">
        <v>103.89725806451611</v>
      </c>
      <c r="H33" s="14">
        <v>689.7</v>
      </c>
      <c r="I33" s="14">
        <v>655.95699999999999</v>
      </c>
      <c r="J33" s="14">
        <v>422.6</v>
      </c>
      <c r="K33" s="14">
        <v>1.5527</v>
      </c>
      <c r="L33" s="14">
        <v>4.0199999999999996</v>
      </c>
      <c r="M33" s="14">
        <v>3.51</v>
      </c>
      <c r="N33" s="14">
        <v>3.8</v>
      </c>
      <c r="O33" s="14">
        <v>1.27</v>
      </c>
      <c r="P33" s="14">
        <v>3.9</v>
      </c>
      <c r="Q33" s="14">
        <v>1.2</v>
      </c>
      <c r="R33" s="14">
        <v>3.1</v>
      </c>
      <c r="S33" s="14">
        <v>3.2</v>
      </c>
      <c r="T33" s="14">
        <v>3.6</v>
      </c>
    </row>
    <row r="34" spans="1:20" s="1" customFormat="1" ht="14.25" x14ac:dyDescent="0.2">
      <c r="A34" s="7">
        <v>39539</v>
      </c>
      <c r="B34" s="14">
        <v>2200</v>
      </c>
      <c r="C34" s="14">
        <v>1174</v>
      </c>
      <c r="D34" s="14">
        <v>762.7</v>
      </c>
      <c r="E34" s="14">
        <v>246.4</v>
      </c>
      <c r="F34" s="14">
        <v>367.5</v>
      </c>
      <c r="G34" s="14">
        <v>110.16199999999999</v>
      </c>
      <c r="H34" s="14">
        <v>681.7</v>
      </c>
      <c r="I34" s="14">
        <v>655.95699999999999</v>
      </c>
      <c r="J34" s="14">
        <v>416.45419338454712</v>
      </c>
      <c r="K34" s="14">
        <v>1.5750999999999999</v>
      </c>
      <c r="L34" s="14">
        <v>4.2699999999999996</v>
      </c>
      <c r="M34" s="14">
        <v>3.68</v>
      </c>
      <c r="N34" s="14">
        <v>4.04</v>
      </c>
      <c r="O34" s="14">
        <v>1.58</v>
      </c>
      <c r="P34" s="14">
        <v>4</v>
      </c>
      <c r="Q34" s="14">
        <v>0.8</v>
      </c>
      <c r="R34" s="14">
        <v>2.4</v>
      </c>
      <c r="S34" s="14">
        <v>3</v>
      </c>
      <c r="T34" s="14">
        <v>3.6</v>
      </c>
    </row>
    <row r="35" spans="1:20" s="1" customFormat="1" ht="14.25" x14ac:dyDescent="0.2">
      <c r="A35" s="7">
        <v>39569</v>
      </c>
      <c r="B35" s="14">
        <v>2345</v>
      </c>
      <c r="C35" s="14">
        <v>1208</v>
      </c>
      <c r="D35" s="14">
        <v>727.4</v>
      </c>
      <c r="E35" s="14">
        <v>243.5</v>
      </c>
      <c r="F35" s="14">
        <v>367.5</v>
      </c>
      <c r="G35" s="14">
        <v>124.4</v>
      </c>
      <c r="H35" s="14">
        <v>686.9</v>
      </c>
      <c r="I35" s="14">
        <v>655.95699999999999</v>
      </c>
      <c r="J35" s="14">
        <v>421.64748987593998</v>
      </c>
      <c r="K35" s="14">
        <v>1.5557000000000001</v>
      </c>
      <c r="L35" s="14">
        <v>4.41</v>
      </c>
      <c r="M35" s="14">
        <v>3.88</v>
      </c>
      <c r="N35" s="14">
        <v>4.2</v>
      </c>
      <c r="O35" s="14">
        <v>1.75</v>
      </c>
      <c r="P35" s="14">
        <v>4.0999999999999996</v>
      </c>
      <c r="Q35" s="14">
        <v>1.3</v>
      </c>
      <c r="R35" s="14">
        <v>3</v>
      </c>
      <c r="S35" s="14">
        <v>3.3</v>
      </c>
      <c r="T35" s="14">
        <v>3.7</v>
      </c>
    </row>
    <row r="36" spans="1:20" s="1" customFormat="1" ht="14.25" x14ac:dyDescent="0.2">
      <c r="A36" s="7">
        <v>39600</v>
      </c>
      <c r="B36" s="14">
        <v>2439</v>
      </c>
      <c r="C36" s="14">
        <v>1206</v>
      </c>
      <c r="D36" s="14">
        <v>591</v>
      </c>
      <c r="E36" s="14">
        <v>287.10000000000002</v>
      </c>
      <c r="F36" s="14">
        <v>367.5</v>
      </c>
      <c r="G36" s="14">
        <v>134.38833333333332</v>
      </c>
      <c r="H36" s="14">
        <v>669.1</v>
      </c>
      <c r="I36" s="14">
        <v>655.95699999999999</v>
      </c>
      <c r="J36" s="14">
        <v>421.78305041152259</v>
      </c>
      <c r="K36" s="14">
        <v>1.5551999999999999</v>
      </c>
      <c r="L36" s="14">
        <v>4.7300000000000004</v>
      </c>
      <c r="M36" s="14">
        <v>4.0999999999999996</v>
      </c>
      <c r="N36" s="14">
        <v>4.5199999999999996</v>
      </c>
      <c r="O36" s="14">
        <v>1.59</v>
      </c>
      <c r="P36" s="14">
        <v>5</v>
      </c>
      <c r="Q36" s="14">
        <v>2</v>
      </c>
      <c r="R36" s="14">
        <v>3.2</v>
      </c>
      <c r="S36" s="14">
        <v>3.6</v>
      </c>
      <c r="T36" s="14">
        <v>4</v>
      </c>
    </row>
    <row r="37" spans="1:20" s="1" customFormat="1" ht="14.25" x14ac:dyDescent="0.2">
      <c r="A37" s="7">
        <v>39630</v>
      </c>
      <c r="B37" s="14">
        <v>2536</v>
      </c>
      <c r="C37" s="14">
        <v>1128</v>
      </c>
      <c r="D37" s="14">
        <v>546.5</v>
      </c>
      <c r="E37" s="14">
        <v>265.3</v>
      </c>
      <c r="F37" s="14">
        <v>367.5</v>
      </c>
      <c r="G37" s="14">
        <v>135.33032258064515</v>
      </c>
      <c r="H37" s="14">
        <v>678</v>
      </c>
      <c r="I37" s="14">
        <v>655.95699999999999</v>
      </c>
      <c r="J37" s="14">
        <v>416.24192987124661</v>
      </c>
      <c r="K37" s="14">
        <v>1.5759032258064509</v>
      </c>
      <c r="L37" s="14">
        <v>4.6900000000000004</v>
      </c>
      <c r="M37" s="14">
        <v>4.01</v>
      </c>
      <c r="N37" s="14">
        <v>4.49</v>
      </c>
      <c r="O37" s="14">
        <v>1.53</v>
      </c>
      <c r="P37" s="14">
        <v>5.6</v>
      </c>
      <c r="Q37" s="14">
        <v>2.2999999999999998</v>
      </c>
      <c r="R37" s="14">
        <v>3.3</v>
      </c>
      <c r="S37" s="14">
        <v>3.6</v>
      </c>
      <c r="T37" s="14">
        <v>4.0999999999999996</v>
      </c>
    </row>
    <row r="38" spans="1:20" s="1" customFormat="1" ht="14.25" x14ac:dyDescent="0.2">
      <c r="A38" s="7">
        <v>39661</v>
      </c>
      <c r="B38" s="14">
        <v>2372</v>
      </c>
      <c r="C38" s="14">
        <v>885</v>
      </c>
      <c r="D38" s="14">
        <v>468.8</v>
      </c>
      <c r="E38" s="14">
        <v>235</v>
      </c>
      <c r="F38" s="14">
        <v>430</v>
      </c>
      <c r="G38" s="14">
        <v>115.42903225806454</v>
      </c>
      <c r="H38" s="14">
        <v>676</v>
      </c>
      <c r="I38" s="14">
        <v>655.95699999999999</v>
      </c>
      <c r="J38" s="14">
        <v>437.13950474407886</v>
      </c>
      <c r="K38" s="14">
        <v>1.5005999999999999</v>
      </c>
      <c r="L38" s="14">
        <v>4.4000000000000004</v>
      </c>
      <c r="M38" s="14">
        <v>3.89</v>
      </c>
      <c r="N38" s="14">
        <v>4.2</v>
      </c>
      <c r="O38" s="14">
        <v>1.41</v>
      </c>
      <c r="P38" s="14">
        <v>5.4</v>
      </c>
      <c r="Q38" s="14">
        <v>2.1</v>
      </c>
      <c r="R38" s="14">
        <v>3.1</v>
      </c>
      <c r="S38" s="14">
        <v>3.2</v>
      </c>
      <c r="T38" s="14">
        <v>3.8</v>
      </c>
    </row>
    <row r="39" spans="1:20" s="1" customFormat="1" ht="14.25" x14ac:dyDescent="0.2">
      <c r="A39" s="7">
        <v>39692</v>
      </c>
      <c r="B39" s="14">
        <v>2341</v>
      </c>
      <c r="C39" s="14">
        <v>771</v>
      </c>
      <c r="D39" s="14">
        <v>420</v>
      </c>
      <c r="E39" s="14">
        <v>233.8</v>
      </c>
      <c r="F39" s="14">
        <v>430</v>
      </c>
      <c r="G39" s="14">
        <v>101.35966666666666</v>
      </c>
      <c r="H39" s="14">
        <v>697</v>
      </c>
      <c r="I39" s="14">
        <v>655.95699999999999</v>
      </c>
      <c r="J39" s="14">
        <v>457.40698929012945</v>
      </c>
      <c r="K39" s="14">
        <v>1.4340773432824219</v>
      </c>
      <c r="L39" s="14">
        <v>436</v>
      </c>
      <c r="M39" s="14">
        <v>3.69</v>
      </c>
      <c r="N39" s="14">
        <v>4.0999999999999996</v>
      </c>
      <c r="O39" s="14">
        <v>1.46</v>
      </c>
      <c r="P39" s="14">
        <v>5</v>
      </c>
      <c r="Q39" s="14">
        <v>2.1</v>
      </c>
      <c r="R39" s="14">
        <v>2.9</v>
      </c>
      <c r="S39" s="14">
        <v>3</v>
      </c>
      <c r="T39" s="14">
        <v>3.6</v>
      </c>
    </row>
    <row r="40" spans="1:20" s="1" customFormat="1" ht="14.25" x14ac:dyDescent="0.2">
      <c r="A40" s="7">
        <v>39722</v>
      </c>
      <c r="B40" s="14">
        <v>2110</v>
      </c>
      <c r="C40" s="14">
        <v>545</v>
      </c>
      <c r="D40" s="14">
        <v>348.3</v>
      </c>
      <c r="E40" s="14">
        <v>183.1</v>
      </c>
      <c r="F40" s="14">
        <v>414</v>
      </c>
      <c r="G40" s="14">
        <v>74.280645161290323</v>
      </c>
      <c r="H40" s="14">
        <v>746.8</v>
      </c>
      <c r="I40" s="14">
        <v>655.95699999999999</v>
      </c>
      <c r="J40" s="14">
        <v>493</v>
      </c>
      <c r="K40" s="14">
        <v>1.3289</v>
      </c>
      <c r="L40" s="14">
        <v>4.18</v>
      </c>
      <c r="M40" s="14">
        <v>3.81</v>
      </c>
      <c r="N40" s="14">
        <v>3.88</v>
      </c>
      <c r="O40" s="14">
        <v>1.47</v>
      </c>
      <c r="P40" s="14">
        <v>3.7</v>
      </c>
      <c r="Q40" s="14">
        <v>1.7</v>
      </c>
      <c r="R40" s="14">
        <v>2.4</v>
      </c>
      <c r="S40" s="14">
        <v>2.7</v>
      </c>
      <c r="T40" s="14">
        <v>3.2</v>
      </c>
    </row>
    <row r="41" spans="1:20" s="1" customFormat="1" ht="14.25" x14ac:dyDescent="0.2">
      <c r="A41" s="7">
        <v>39753</v>
      </c>
      <c r="B41" s="14">
        <v>1772</v>
      </c>
      <c r="C41" s="14">
        <v>488</v>
      </c>
      <c r="D41" s="14">
        <v>307</v>
      </c>
      <c r="E41" s="14">
        <v>163.80000000000001</v>
      </c>
      <c r="F41" s="14">
        <v>350</v>
      </c>
      <c r="G41" s="14">
        <v>54.859666666666662</v>
      </c>
      <c r="H41" s="14">
        <v>764.1</v>
      </c>
      <c r="I41" s="14">
        <v>655.95699999999999</v>
      </c>
      <c r="J41" s="14">
        <v>515</v>
      </c>
      <c r="K41" s="14">
        <v>1.2719833333333332</v>
      </c>
      <c r="L41" s="14">
        <v>3.98</v>
      </c>
      <c r="M41" s="14">
        <v>3.53</v>
      </c>
      <c r="N41" s="14">
        <v>3.56</v>
      </c>
      <c r="O41" s="14">
        <v>1.39</v>
      </c>
      <c r="P41" s="14">
        <v>1.1000000000000001</v>
      </c>
      <c r="Q41" s="14">
        <v>1</v>
      </c>
      <c r="R41" s="14">
        <v>1.3</v>
      </c>
      <c r="S41" s="14">
        <v>1.6</v>
      </c>
      <c r="T41" s="14">
        <v>2.1</v>
      </c>
    </row>
    <row r="42" spans="1:20" s="1" customFormat="1" ht="14.25" x14ac:dyDescent="0.2">
      <c r="A42" s="7">
        <v>39783</v>
      </c>
      <c r="B42" s="14">
        <v>1436</v>
      </c>
      <c r="C42" s="14">
        <v>503</v>
      </c>
      <c r="D42" s="14">
        <v>287.3</v>
      </c>
      <c r="E42" s="14">
        <v>158.30000000000001</v>
      </c>
      <c r="F42" s="14">
        <v>350</v>
      </c>
      <c r="G42" s="14">
        <v>42.72511051343286</v>
      </c>
      <c r="H42" s="14">
        <v>732.4</v>
      </c>
      <c r="I42" s="14">
        <v>655.95699999999999</v>
      </c>
      <c r="J42" s="14">
        <v>481.5</v>
      </c>
      <c r="K42" s="14">
        <v>1.3519387096774196</v>
      </c>
      <c r="L42" s="14">
        <v>3.54</v>
      </c>
      <c r="M42" s="14">
        <v>2.42</v>
      </c>
      <c r="N42" s="14">
        <v>3.05</v>
      </c>
      <c r="O42" s="14">
        <v>1.17</v>
      </c>
      <c r="P42" s="14">
        <v>0.1</v>
      </c>
      <c r="Q42" s="14">
        <v>0.4</v>
      </c>
      <c r="R42" s="14">
        <v>1</v>
      </c>
      <c r="S42" s="14">
        <v>1</v>
      </c>
      <c r="T42" s="14">
        <v>1.6</v>
      </c>
    </row>
    <row r="43" spans="1:20" s="1" customFormat="1" ht="14.25" x14ac:dyDescent="0.2">
      <c r="A43" s="7">
        <v>39814</v>
      </c>
      <c r="B43" s="14">
        <v>1343</v>
      </c>
      <c r="C43" s="14">
        <v>562</v>
      </c>
      <c r="D43" s="14">
        <v>318.60000000000002</v>
      </c>
      <c r="E43" s="14">
        <v>172.8</v>
      </c>
      <c r="F43" s="14">
        <v>265</v>
      </c>
      <c r="G43" s="14">
        <v>45.54</v>
      </c>
      <c r="H43" s="14">
        <v>684.5</v>
      </c>
      <c r="I43" s="14">
        <v>655.95699999999999</v>
      </c>
      <c r="J43" s="14">
        <v>450.2</v>
      </c>
      <c r="K43" s="14">
        <v>1.3284709677419351</v>
      </c>
      <c r="L43" s="14">
        <v>3.6</v>
      </c>
      <c r="M43" s="14">
        <v>2.52</v>
      </c>
      <c r="N43" s="14">
        <v>3.07</v>
      </c>
      <c r="O43" s="14">
        <v>1.29</v>
      </c>
      <c r="P43" s="14">
        <v>0</v>
      </c>
      <c r="Q43" s="14">
        <v>0</v>
      </c>
      <c r="R43" s="14">
        <v>1</v>
      </c>
      <c r="S43" s="14">
        <v>0.7</v>
      </c>
      <c r="T43" s="14">
        <v>1.1000000000000001</v>
      </c>
    </row>
    <row r="44" spans="1:20" s="1" customFormat="1" ht="14.25" x14ac:dyDescent="0.2">
      <c r="A44" s="7">
        <v>39845</v>
      </c>
      <c r="B44" s="14">
        <v>1295</v>
      </c>
      <c r="C44" s="14">
        <v>571</v>
      </c>
      <c r="D44" s="14">
        <v>316.3</v>
      </c>
      <c r="E44" s="14">
        <v>163.4</v>
      </c>
      <c r="F44" s="14">
        <v>157.5</v>
      </c>
      <c r="G44" s="14">
        <v>43.881071428571438</v>
      </c>
      <c r="H44" s="14">
        <v>762.3</v>
      </c>
      <c r="I44" s="14">
        <v>655.95699999999999</v>
      </c>
      <c r="J44" s="14">
        <v>513.1</v>
      </c>
      <c r="K44" s="14">
        <v>1.2800821428571434</v>
      </c>
      <c r="L44" s="14">
        <v>3.68</v>
      </c>
      <c r="M44" s="14">
        <v>2.87</v>
      </c>
      <c r="N44" s="14">
        <v>3.13</v>
      </c>
      <c r="O44" s="14">
        <v>1.27</v>
      </c>
      <c r="P44" s="14">
        <v>0.2</v>
      </c>
      <c r="Q44" s="14">
        <v>-0.1</v>
      </c>
      <c r="R44" s="14">
        <v>1.1000000000000001</v>
      </c>
      <c r="S44" s="14">
        <v>0.9</v>
      </c>
      <c r="T44" s="14">
        <v>1.2</v>
      </c>
    </row>
    <row r="45" spans="1:20" s="1" customFormat="1" ht="14.25" x14ac:dyDescent="0.2">
      <c r="A45" s="7">
        <v>39873</v>
      </c>
      <c r="B45" s="14">
        <v>1224</v>
      </c>
      <c r="C45" s="14">
        <v>597</v>
      </c>
      <c r="D45" s="14">
        <v>332</v>
      </c>
      <c r="E45" s="14">
        <v>164.6</v>
      </c>
      <c r="F45" s="14">
        <v>157.5</v>
      </c>
      <c r="G45" s="14">
        <v>47.420645161290309</v>
      </c>
      <c r="H45" s="14">
        <v>746.2</v>
      </c>
      <c r="I45" s="14">
        <v>655.95699999999999</v>
      </c>
      <c r="J45" s="14">
        <v>503.1</v>
      </c>
      <c r="K45" s="14">
        <v>1.3057000000000001</v>
      </c>
      <c r="L45" s="14">
        <v>3.65</v>
      </c>
      <c r="M45" s="14">
        <v>2.82</v>
      </c>
      <c r="N45" s="14">
        <v>3.02</v>
      </c>
      <c r="O45" s="14">
        <v>1.35</v>
      </c>
      <c r="P45" s="14">
        <v>-0.4</v>
      </c>
      <c r="Q45" s="14">
        <v>-0.3</v>
      </c>
      <c r="R45" s="14">
        <v>0.4</v>
      </c>
      <c r="S45" s="14">
        <v>0.3</v>
      </c>
      <c r="T45" s="14">
        <v>0.6</v>
      </c>
    </row>
    <row r="46" spans="1:20" s="1" customFormat="1" ht="14.25" x14ac:dyDescent="0.2">
      <c r="A46" s="7">
        <v>39904</v>
      </c>
      <c r="B46" s="14">
        <v>1188</v>
      </c>
      <c r="C46" s="14">
        <v>700</v>
      </c>
      <c r="D46" s="14">
        <v>335.7</v>
      </c>
      <c r="E46" s="14">
        <v>168.5</v>
      </c>
      <c r="F46" s="14">
        <v>125.5</v>
      </c>
      <c r="G46" s="14">
        <v>51.584262546666643</v>
      </c>
      <c r="H46" s="14">
        <v>743.1</v>
      </c>
      <c r="I46" s="14">
        <v>655.95699999999999</v>
      </c>
      <c r="J46" s="14">
        <v>497.3</v>
      </c>
      <c r="K46" s="14">
        <v>1.3212799999999996</v>
      </c>
      <c r="L46" s="14">
        <v>3.66</v>
      </c>
      <c r="M46" s="14">
        <v>2.93</v>
      </c>
      <c r="N46" s="14">
        <v>3.13</v>
      </c>
      <c r="O46" s="14">
        <v>1.42</v>
      </c>
      <c r="P46" s="14">
        <v>-0.8</v>
      </c>
      <c r="Q46" s="14">
        <v>-0.1</v>
      </c>
      <c r="R46" s="14">
        <v>0.6</v>
      </c>
      <c r="S46" s="14">
        <v>0.1</v>
      </c>
      <c r="T46" s="14">
        <v>0.6</v>
      </c>
    </row>
    <row r="47" spans="1:20" s="1" customFormat="1" ht="14.25" x14ac:dyDescent="0.2">
      <c r="A47" s="7">
        <v>39934</v>
      </c>
      <c r="B47" s="14">
        <v>1157</v>
      </c>
      <c r="C47" s="14">
        <v>801</v>
      </c>
      <c r="D47" s="14">
        <v>322.39999999999998</v>
      </c>
      <c r="E47" s="14">
        <v>179.9</v>
      </c>
      <c r="F47" s="14">
        <v>117.5</v>
      </c>
      <c r="G47" s="14">
        <v>58.291820580645165</v>
      </c>
      <c r="H47" s="14">
        <v>732</v>
      </c>
      <c r="I47" s="14">
        <v>655.95699999999999</v>
      </c>
      <c r="J47" s="14">
        <v>481.3</v>
      </c>
      <c r="K47" s="14">
        <v>1.3674548387096777</v>
      </c>
      <c r="L47" s="14">
        <v>3.8</v>
      </c>
      <c r="M47" s="14">
        <v>3.29</v>
      </c>
      <c r="N47" s="14">
        <v>3.37</v>
      </c>
      <c r="O47" s="14">
        <v>1.48</v>
      </c>
      <c r="P47" s="14">
        <v>-1.3</v>
      </c>
      <c r="Q47" s="14">
        <v>-1.1000000000000001</v>
      </c>
      <c r="R47" s="14">
        <v>0</v>
      </c>
      <c r="S47" s="14">
        <v>-0.3</v>
      </c>
      <c r="T47" s="14">
        <v>0</v>
      </c>
    </row>
    <row r="48" spans="1:20" s="1" customFormat="1" ht="14.25" x14ac:dyDescent="0.2">
      <c r="A48" s="7">
        <v>39965</v>
      </c>
      <c r="B48" s="14">
        <v>1154</v>
      </c>
      <c r="C48" s="14">
        <v>730</v>
      </c>
      <c r="D48" s="14">
        <v>320.8</v>
      </c>
      <c r="E48" s="14">
        <v>179.5</v>
      </c>
      <c r="F48" s="14">
        <v>96.9</v>
      </c>
      <c r="G48" s="14">
        <v>69.359666666666669</v>
      </c>
      <c r="H48" s="14">
        <v>723</v>
      </c>
      <c r="I48" s="14">
        <v>655.95699999999999</v>
      </c>
      <c r="J48" s="14">
        <v>468</v>
      </c>
      <c r="K48" s="14">
        <v>1.4018300000000004</v>
      </c>
      <c r="L48" s="14">
        <v>3.9</v>
      </c>
      <c r="M48" s="14">
        <v>3.72</v>
      </c>
      <c r="N48" s="14">
        <v>3.47</v>
      </c>
      <c r="O48" s="14">
        <v>1.35</v>
      </c>
      <c r="P48" s="14">
        <v>-1.5</v>
      </c>
      <c r="Q48" s="14">
        <v>-1.8</v>
      </c>
      <c r="R48" s="14">
        <v>0.1</v>
      </c>
      <c r="S48" s="14">
        <v>-0.5</v>
      </c>
      <c r="T48" s="14">
        <v>-0.1</v>
      </c>
    </row>
    <row r="49" spans="1:20" s="1" customFormat="1" ht="14.25" x14ac:dyDescent="0.2">
      <c r="A49" s="7">
        <v>39995</v>
      </c>
      <c r="B49" s="14">
        <v>1149</v>
      </c>
      <c r="C49" s="14">
        <v>639</v>
      </c>
      <c r="D49" s="14">
        <v>320.3</v>
      </c>
      <c r="E49" s="14">
        <v>151.6</v>
      </c>
      <c r="F49" s="14">
        <v>90</v>
      </c>
      <c r="G49" s="14">
        <v>65.408709677419353</v>
      </c>
      <c r="H49" s="14">
        <v>722</v>
      </c>
      <c r="I49" s="14">
        <v>655.95699999999999</v>
      </c>
      <c r="J49" s="14">
        <v>466</v>
      </c>
      <c r="K49" s="14">
        <v>1.407470967741935</v>
      </c>
      <c r="L49" s="14">
        <v>3.73</v>
      </c>
      <c r="M49" s="14">
        <v>3.56</v>
      </c>
      <c r="N49" s="14">
        <v>3.34</v>
      </c>
      <c r="O49" s="14">
        <v>1.41</v>
      </c>
      <c r="P49" s="14">
        <v>-2.1</v>
      </c>
      <c r="Q49" s="14">
        <v>-2.2999999999999998</v>
      </c>
      <c r="R49" s="14">
        <v>-0.5</v>
      </c>
      <c r="S49" s="14">
        <v>-0.7</v>
      </c>
      <c r="T49" s="14">
        <v>-0.6</v>
      </c>
    </row>
    <row r="50" spans="1:20" s="1" customFormat="1" ht="14.25" x14ac:dyDescent="0.2">
      <c r="A50" s="7">
        <v>40026</v>
      </c>
      <c r="B50" s="14">
        <v>1131</v>
      </c>
      <c r="C50" s="14">
        <v>723</v>
      </c>
      <c r="D50" s="14">
        <v>305.5</v>
      </c>
      <c r="E50" s="14">
        <v>152</v>
      </c>
      <c r="F50" s="14">
        <v>90</v>
      </c>
      <c r="G50" s="14">
        <v>72.858064516129019</v>
      </c>
      <c r="H50" s="14">
        <v>717.4</v>
      </c>
      <c r="I50" s="14">
        <v>655.95699999999999</v>
      </c>
      <c r="J50" s="14">
        <v>459.82314552674188</v>
      </c>
      <c r="K50" s="14">
        <v>1.4265419354838709</v>
      </c>
      <c r="L50" s="14">
        <v>3.59</v>
      </c>
      <c r="M50" s="14">
        <v>3.59</v>
      </c>
      <c r="N50" s="14">
        <v>3.31</v>
      </c>
      <c r="O50" s="14">
        <v>1.31</v>
      </c>
      <c r="P50" s="14">
        <v>-1.5</v>
      </c>
      <c r="Q50" s="14">
        <v>-2.2999999999999998</v>
      </c>
      <c r="R50" s="14">
        <v>0</v>
      </c>
      <c r="S50" s="14">
        <v>-0.2</v>
      </c>
      <c r="T50" s="14">
        <v>-0.2</v>
      </c>
    </row>
    <row r="51" spans="1:20" s="1" customFormat="1" ht="14.25" x14ac:dyDescent="0.2">
      <c r="A51" s="7">
        <v>40057</v>
      </c>
      <c r="B51" s="14">
        <v>1120</v>
      </c>
      <c r="C51" s="14">
        <v>678</v>
      </c>
      <c r="D51" s="14">
        <v>303.3</v>
      </c>
      <c r="E51" s="14">
        <v>150.4</v>
      </c>
      <c r="F51" s="14">
        <v>90</v>
      </c>
      <c r="G51" s="14">
        <v>68.153999999999982</v>
      </c>
      <c r="H51" s="14">
        <v>710.8</v>
      </c>
      <c r="I51" s="14">
        <v>655.95699999999999</v>
      </c>
      <c r="J51" s="14">
        <v>450.5</v>
      </c>
      <c r="K51" s="14">
        <v>1.4566733333333337</v>
      </c>
      <c r="L51" s="14">
        <v>3.59</v>
      </c>
      <c r="M51" s="14">
        <v>3.4</v>
      </c>
      <c r="N51" s="14">
        <v>3.26</v>
      </c>
      <c r="O51" s="14">
        <v>1.29</v>
      </c>
      <c r="P51" s="14">
        <v>-1.3</v>
      </c>
      <c r="Q51" s="14">
        <v>-2.2999999999999998</v>
      </c>
      <c r="R51" s="14">
        <v>-0.3</v>
      </c>
      <c r="S51" s="14">
        <v>-0.4</v>
      </c>
      <c r="T51" s="14">
        <v>-0.3</v>
      </c>
    </row>
    <row r="52" spans="1:20" s="1" customFormat="1" ht="14.25" x14ac:dyDescent="0.2">
      <c r="A52" s="7">
        <v>40087</v>
      </c>
      <c r="B52" s="14">
        <v>1148</v>
      </c>
      <c r="C52" s="14">
        <v>679.9</v>
      </c>
      <c r="D52" s="14">
        <v>298.39999999999998</v>
      </c>
      <c r="E52" s="14">
        <v>167.3</v>
      </c>
      <c r="F52" s="14">
        <v>90</v>
      </c>
      <c r="G52" s="14">
        <v>73.604838709677438</v>
      </c>
      <c r="H52" s="14">
        <v>703.8</v>
      </c>
      <c r="I52" s="14">
        <v>655.95699999999999</v>
      </c>
      <c r="J52" s="14">
        <v>442.8</v>
      </c>
      <c r="K52" s="14">
        <v>1.4811129032258068</v>
      </c>
      <c r="L52" s="14">
        <v>3.56</v>
      </c>
      <c r="M52" s="14">
        <v>3.9</v>
      </c>
      <c r="N52" s="14">
        <v>3.21</v>
      </c>
      <c r="O52" s="14">
        <v>1.41</v>
      </c>
      <c r="P52" s="14">
        <v>-0.2</v>
      </c>
      <c r="Q52" s="14">
        <v>-2.6</v>
      </c>
      <c r="R52" s="14">
        <v>0</v>
      </c>
      <c r="S52" s="14">
        <v>-0.2</v>
      </c>
      <c r="T52" s="14">
        <v>-0.2</v>
      </c>
    </row>
    <row r="53" spans="1:20" s="1" customFormat="1" ht="14.25" x14ac:dyDescent="0.2">
      <c r="A53" s="7">
        <v>40118</v>
      </c>
      <c r="B53" s="14">
        <v>1116</v>
      </c>
      <c r="C53" s="14">
        <v>725</v>
      </c>
      <c r="D53" s="14">
        <v>340</v>
      </c>
      <c r="E53" s="14">
        <v>171.6</v>
      </c>
      <c r="F53" s="14">
        <v>90</v>
      </c>
      <c r="G53" s="14">
        <v>77.11966666666666</v>
      </c>
      <c r="H53" s="14">
        <v>702.37</v>
      </c>
      <c r="I53" s="14">
        <v>655.95699999999999</v>
      </c>
      <c r="J53" s="14">
        <v>439.8</v>
      </c>
      <c r="K53" s="14">
        <v>1.4923166666666667</v>
      </c>
      <c r="L53" s="14">
        <v>3.56</v>
      </c>
      <c r="M53" s="14">
        <v>3.4</v>
      </c>
      <c r="N53" s="14">
        <v>3.22</v>
      </c>
      <c r="O53" s="14">
        <v>1.26</v>
      </c>
      <c r="P53" s="14">
        <v>1.9</v>
      </c>
      <c r="Q53" s="14">
        <v>-1.9</v>
      </c>
      <c r="R53" s="14">
        <v>0.3</v>
      </c>
      <c r="S53" s="14">
        <v>0.4</v>
      </c>
      <c r="T53" s="14">
        <v>0.5</v>
      </c>
    </row>
    <row r="54" spans="1:20" s="1" customFormat="1" ht="14.25" x14ac:dyDescent="0.2">
      <c r="A54" s="7">
        <v>40148</v>
      </c>
      <c r="B54" s="14">
        <v>1192</v>
      </c>
      <c r="C54" s="14">
        <v>791</v>
      </c>
      <c r="D54" s="14">
        <v>403</v>
      </c>
      <c r="E54" s="14">
        <v>164.6</v>
      </c>
      <c r="F54" s="14">
        <v>90</v>
      </c>
      <c r="G54" s="14">
        <v>75.252258064516155</v>
      </c>
      <c r="H54" s="14">
        <v>710.91772151898738</v>
      </c>
      <c r="I54" s="14">
        <v>655.95699999999999</v>
      </c>
      <c r="J54" s="14">
        <v>449.3</v>
      </c>
      <c r="K54" s="14">
        <v>1.4562806451612904</v>
      </c>
      <c r="L54" s="14">
        <v>3.48</v>
      </c>
      <c r="M54" s="14">
        <v>3.59</v>
      </c>
      <c r="N54" s="14">
        <v>3.14</v>
      </c>
      <c r="O54" s="14">
        <v>1.29</v>
      </c>
      <c r="P54" s="14">
        <v>2.7</v>
      </c>
      <c r="Q54" s="14">
        <v>-1.7</v>
      </c>
      <c r="R54" s="14">
        <v>0.9</v>
      </c>
      <c r="S54" s="14">
        <v>0.9</v>
      </c>
      <c r="T54" s="14">
        <v>0.9</v>
      </c>
    </row>
    <row r="55" spans="1:20" s="1" customFormat="1" ht="14.25" x14ac:dyDescent="0.2">
      <c r="A55" s="7">
        <v>40179</v>
      </c>
      <c r="B55" s="14">
        <v>1314</v>
      </c>
      <c r="C55" s="14">
        <v>795</v>
      </c>
      <c r="D55" s="14">
        <v>419.8</v>
      </c>
      <c r="E55" s="14">
        <v>167.3</v>
      </c>
      <c r="F55" s="14">
        <v>97.5</v>
      </c>
      <c r="G55" s="14">
        <v>76.976451612903219</v>
      </c>
      <c r="H55" s="14">
        <v>719.4</v>
      </c>
      <c r="I55" s="14">
        <v>655.95699999999999</v>
      </c>
      <c r="J55" s="14">
        <v>459.7</v>
      </c>
      <c r="K55" s="14">
        <v>1.4257967741935484</v>
      </c>
      <c r="L55" s="14">
        <v>3.52</v>
      </c>
      <c r="M55" s="14">
        <v>3.73</v>
      </c>
      <c r="N55" s="14">
        <v>3.26</v>
      </c>
      <c r="O55" s="14">
        <v>1.32</v>
      </c>
      <c r="P55" s="14">
        <v>2.7</v>
      </c>
      <c r="Q55" s="14">
        <v>-1.3</v>
      </c>
      <c r="R55" s="14">
        <v>0.7</v>
      </c>
      <c r="S55" s="14">
        <v>1.1000000000000001</v>
      </c>
      <c r="T55" s="14">
        <v>1</v>
      </c>
    </row>
    <row r="56" spans="1:20" s="1" customFormat="1" ht="14.25" x14ac:dyDescent="0.2">
      <c r="A56" s="7">
        <v>40210</v>
      </c>
      <c r="B56" s="14">
        <v>1380</v>
      </c>
      <c r="C56" s="14">
        <v>798</v>
      </c>
      <c r="D56" s="14">
        <v>405</v>
      </c>
      <c r="E56" s="14">
        <v>161.80000000000001</v>
      </c>
      <c r="F56" s="14">
        <v>103.8</v>
      </c>
      <c r="G56" s="14">
        <v>74.551428571428573</v>
      </c>
      <c r="H56" s="14">
        <v>737.2</v>
      </c>
      <c r="I56" s="14">
        <v>655.95699999999999</v>
      </c>
      <c r="J56" s="14">
        <v>480.26662414270203</v>
      </c>
      <c r="K56" s="14">
        <v>1.3658184163242935</v>
      </c>
      <c r="L56" s="14">
        <v>3.5</v>
      </c>
      <c r="M56" s="14">
        <v>3.69</v>
      </c>
      <c r="N56" s="14">
        <v>3.17</v>
      </c>
      <c r="O56" s="14">
        <v>1.3</v>
      </c>
      <c r="P56" s="14">
        <v>2.2000000000000002</v>
      </c>
      <c r="Q56" s="14">
        <v>-1.1000000000000001</v>
      </c>
      <c r="R56" s="14">
        <v>0.6</v>
      </c>
      <c r="S56" s="14">
        <v>1.3</v>
      </c>
      <c r="T56" s="14">
        <v>0.9</v>
      </c>
    </row>
    <row r="57" spans="1:20" s="1" customFormat="1" ht="14.25" x14ac:dyDescent="0.2">
      <c r="A57" s="7">
        <v>40238</v>
      </c>
      <c r="B57" s="14">
        <v>1380</v>
      </c>
      <c r="C57" s="14">
        <v>832</v>
      </c>
      <c r="D57" s="14">
        <v>377</v>
      </c>
      <c r="E57" s="14">
        <v>159</v>
      </c>
      <c r="F57" s="14">
        <v>105</v>
      </c>
      <c r="G57" s="14">
        <v>79.976129032258086</v>
      </c>
      <c r="H57" s="14">
        <v>737.1</v>
      </c>
      <c r="I57" s="14">
        <v>655.95699999999999</v>
      </c>
      <c r="J57" s="14">
        <v>483.1406916378582</v>
      </c>
      <c r="K57" s="14">
        <v>1.3576935483870971</v>
      </c>
      <c r="L57" s="14">
        <v>3.44</v>
      </c>
      <c r="M57" s="14">
        <v>3.73</v>
      </c>
      <c r="N57" s="14">
        <v>3.1</v>
      </c>
      <c r="O57" s="14">
        <v>1.39</v>
      </c>
      <c r="P57" s="14">
        <v>2.4</v>
      </c>
      <c r="Q57" s="14">
        <v>-1.1000000000000001</v>
      </c>
      <c r="R57" s="14">
        <v>1.2</v>
      </c>
      <c r="S57" s="14">
        <v>1.6</v>
      </c>
      <c r="T57" s="14">
        <v>1.4</v>
      </c>
    </row>
    <row r="58" spans="1:20" s="1" customFormat="1" ht="14.25" x14ac:dyDescent="0.2">
      <c r="A58" s="7">
        <v>40269</v>
      </c>
      <c r="B58" s="14">
        <v>1361</v>
      </c>
      <c r="C58" s="14">
        <v>830</v>
      </c>
      <c r="D58" s="14">
        <v>343</v>
      </c>
      <c r="E58" s="14">
        <v>157.1</v>
      </c>
      <c r="F58" s="14">
        <v>125</v>
      </c>
      <c r="G58" s="14">
        <v>85.453333333333347</v>
      </c>
      <c r="H58" s="14">
        <v>742.3</v>
      </c>
      <c r="I58" s="14">
        <v>655.95699999999999</v>
      </c>
      <c r="J58" s="14">
        <v>488.28728459238494</v>
      </c>
      <c r="K58" s="14">
        <v>1.3433833333333332</v>
      </c>
      <c r="L58" s="14">
        <v>3.4</v>
      </c>
      <c r="M58" s="14">
        <v>3.85</v>
      </c>
      <c r="N58" s="14">
        <v>3.06</v>
      </c>
      <c r="O58" s="14">
        <v>1.28</v>
      </c>
      <c r="P58" s="14">
        <v>2.2999999999999998</v>
      </c>
      <c r="Q58" s="14">
        <v>-1.2</v>
      </c>
      <c r="R58" s="14">
        <v>1.1000000000000001</v>
      </c>
      <c r="S58" s="14">
        <v>1.7</v>
      </c>
      <c r="T58" s="14">
        <v>1.5</v>
      </c>
    </row>
    <row r="59" spans="1:20" s="1" customFormat="1" ht="14.25" x14ac:dyDescent="0.2">
      <c r="A59" s="7">
        <v>40299</v>
      </c>
      <c r="B59" s="14">
        <v>1353</v>
      </c>
      <c r="C59" s="14">
        <v>811</v>
      </c>
      <c r="D59" s="14">
        <v>329</v>
      </c>
      <c r="E59" s="14">
        <v>163.4</v>
      </c>
      <c r="F59" s="14">
        <v>125</v>
      </c>
      <c r="G59" s="14">
        <v>77.551942438561468</v>
      </c>
      <c r="H59" s="14">
        <v>772.9</v>
      </c>
      <c r="I59" s="14">
        <v>655.95699999999999</v>
      </c>
      <c r="J59" s="14">
        <v>521.82854693967636</v>
      </c>
      <c r="K59" s="14">
        <v>1.2570354838709676</v>
      </c>
      <c r="L59" s="14">
        <v>3.08</v>
      </c>
      <c r="M59" s="14">
        <v>3.42</v>
      </c>
      <c r="N59" s="14">
        <v>2.73</v>
      </c>
      <c r="O59" s="14">
        <v>1.26</v>
      </c>
      <c r="P59" s="14">
        <v>2.1</v>
      </c>
      <c r="Q59" s="14">
        <v>-0.9</v>
      </c>
      <c r="R59" s="14">
        <v>1.3</v>
      </c>
      <c r="S59" s="14">
        <v>1.6</v>
      </c>
      <c r="T59" s="14">
        <v>1.6</v>
      </c>
    </row>
    <row r="60" spans="1:20" s="1" customFormat="1" ht="14.25" x14ac:dyDescent="0.2">
      <c r="A60" s="7">
        <v>40330</v>
      </c>
      <c r="B60" s="14">
        <v>1342</v>
      </c>
      <c r="C60" s="14">
        <v>789</v>
      </c>
      <c r="D60" s="14">
        <v>329.5</v>
      </c>
      <c r="E60" s="14">
        <v>152.69999999999999</v>
      </c>
      <c r="F60" s="14">
        <v>125</v>
      </c>
      <c r="G60" s="14">
        <v>75.795666666666662</v>
      </c>
      <c r="H60" s="14">
        <v>789</v>
      </c>
      <c r="I60" s="14">
        <v>655.95699999999999</v>
      </c>
      <c r="J60" s="14">
        <v>537.28212436930721</v>
      </c>
      <c r="K60" s="14">
        <v>1.2208800000000004</v>
      </c>
      <c r="L60" s="14">
        <v>3.13</v>
      </c>
      <c r="M60" s="14">
        <v>3.2</v>
      </c>
      <c r="N60" s="14">
        <v>2.54</v>
      </c>
      <c r="O60" s="14">
        <v>1.08</v>
      </c>
      <c r="P60" s="14">
        <v>1.1000000000000001</v>
      </c>
      <c r="Q60" s="14">
        <v>-0.7</v>
      </c>
      <c r="R60" s="14">
        <v>0.8</v>
      </c>
      <c r="S60" s="14">
        <v>1.5</v>
      </c>
      <c r="T60" s="14">
        <v>1.4</v>
      </c>
    </row>
    <row r="61" spans="1:20" s="1" customFormat="1" ht="14.25" x14ac:dyDescent="0.2">
      <c r="A61" s="7">
        <v>40360</v>
      </c>
      <c r="B61" s="14">
        <v>1300</v>
      </c>
      <c r="C61" s="14">
        <v>807</v>
      </c>
      <c r="D61" s="14">
        <v>349.8</v>
      </c>
      <c r="E61" s="14">
        <v>163.80000000000001</v>
      </c>
      <c r="F61" s="14">
        <v>125</v>
      </c>
      <c r="G61" s="14">
        <v>75.384193548387103</v>
      </c>
      <c r="H61" s="14">
        <v>772.2</v>
      </c>
      <c r="I61" s="14">
        <v>655.95699999999999</v>
      </c>
      <c r="J61" s="14">
        <v>512.80888193980377</v>
      </c>
      <c r="K61" s="14">
        <v>1.279145161290322</v>
      </c>
      <c r="L61" s="14">
        <v>2.99</v>
      </c>
      <c r="M61" s="14">
        <v>3.01</v>
      </c>
      <c r="N61" s="14">
        <v>2.62</v>
      </c>
      <c r="O61" s="14">
        <v>1.07</v>
      </c>
      <c r="P61" s="14">
        <v>1.2350000000000001</v>
      </c>
      <c r="Q61" s="14">
        <v>-0.9</v>
      </c>
      <c r="R61" s="14">
        <v>1.2</v>
      </c>
      <c r="S61" s="14">
        <v>1.9</v>
      </c>
      <c r="T61" s="14">
        <v>1.7</v>
      </c>
    </row>
    <row r="62" spans="1:20" s="1" customFormat="1" ht="14.25" x14ac:dyDescent="0.2">
      <c r="A62" s="7">
        <v>40391</v>
      </c>
      <c r="B62" s="14">
        <v>1334</v>
      </c>
      <c r="C62" s="14">
        <v>905</v>
      </c>
      <c r="D62" s="14">
        <v>369</v>
      </c>
      <c r="E62" s="14">
        <v>175.6</v>
      </c>
      <c r="F62" s="14">
        <v>125</v>
      </c>
      <c r="G62" s="14">
        <v>77.011935483870928</v>
      </c>
      <c r="H62" s="14">
        <v>772.3</v>
      </c>
      <c r="I62" s="14">
        <v>655.95699999999999</v>
      </c>
      <c r="J62" s="14">
        <v>508.94050541986087</v>
      </c>
      <c r="K62" s="14">
        <v>1.2888677419354839</v>
      </c>
      <c r="L62" s="14">
        <v>2.68</v>
      </c>
      <c r="M62" s="14">
        <v>2.7</v>
      </c>
      <c r="N62" s="14">
        <v>2.35</v>
      </c>
      <c r="O62" s="14">
        <v>0.96</v>
      </c>
      <c r="P62" s="14">
        <v>1.1000000000000001</v>
      </c>
      <c r="Q62" s="14">
        <v>-0.9</v>
      </c>
      <c r="R62" s="14">
        <v>1</v>
      </c>
      <c r="S62" s="14">
        <v>1.6</v>
      </c>
      <c r="T62" s="14">
        <v>1.6</v>
      </c>
    </row>
    <row r="63" spans="1:20" s="1" customFormat="1" ht="14.25" x14ac:dyDescent="0.2">
      <c r="A63" s="7">
        <v>40422</v>
      </c>
      <c r="B63" s="14">
        <v>1270</v>
      </c>
      <c r="C63" s="14">
        <v>912</v>
      </c>
      <c r="D63" s="14">
        <v>412</v>
      </c>
      <c r="E63" s="14">
        <v>205.9</v>
      </c>
      <c r="F63" s="14">
        <v>125</v>
      </c>
      <c r="G63" s="14">
        <v>78.138999999999996</v>
      </c>
      <c r="H63" s="14">
        <v>766.4</v>
      </c>
      <c r="I63" s="14">
        <v>655.95699999999999</v>
      </c>
      <c r="J63" s="14">
        <v>501.85427930225444</v>
      </c>
      <c r="K63" s="14">
        <v>1.3070666666666666</v>
      </c>
      <c r="L63" s="14">
        <v>2.68</v>
      </c>
      <c r="M63" s="14">
        <v>2.65</v>
      </c>
      <c r="N63" s="14">
        <v>2.2999999999999998</v>
      </c>
      <c r="O63" s="14">
        <v>0.93</v>
      </c>
      <c r="P63" s="14">
        <v>1.1000000000000001</v>
      </c>
      <c r="Q63" s="14">
        <v>-0.6</v>
      </c>
      <c r="R63" s="14">
        <v>1.3</v>
      </c>
      <c r="S63" s="14">
        <v>1.6</v>
      </c>
      <c r="T63" s="14">
        <v>1.9</v>
      </c>
    </row>
    <row r="64" spans="1:20" s="1" customFormat="1" ht="14.25" x14ac:dyDescent="0.2">
      <c r="A64" s="7">
        <v>40452</v>
      </c>
      <c r="B64" s="14">
        <v>1331</v>
      </c>
      <c r="C64" s="14">
        <v>984</v>
      </c>
      <c r="D64" s="14">
        <v>428.3</v>
      </c>
      <c r="E64" s="14">
        <v>235.8</v>
      </c>
      <c r="F64" s="14">
        <v>140</v>
      </c>
      <c r="G64" s="14">
        <v>83.515483870967756</v>
      </c>
      <c r="H64" s="14">
        <v>741</v>
      </c>
      <c r="I64" s="14">
        <v>655.95699999999999</v>
      </c>
      <c r="J64" s="14">
        <v>471.77903164810988</v>
      </c>
      <c r="K64" s="14">
        <v>1.3903903225806453</v>
      </c>
      <c r="L64" s="14">
        <v>2.72</v>
      </c>
      <c r="M64" s="14">
        <v>2.54</v>
      </c>
      <c r="N64" s="14">
        <v>2.35</v>
      </c>
      <c r="O64" s="14">
        <v>0.93</v>
      </c>
      <c r="P64" s="14">
        <v>1.2</v>
      </c>
      <c r="Q64" s="14">
        <v>0.2</v>
      </c>
      <c r="R64" s="14">
        <v>1.3</v>
      </c>
      <c r="S64" s="14">
        <v>1.6</v>
      </c>
      <c r="T64" s="14">
        <v>1.9</v>
      </c>
    </row>
    <row r="65" spans="1:20" s="1" customFormat="1" ht="14.25" x14ac:dyDescent="0.2">
      <c r="A65" s="7">
        <v>40483</v>
      </c>
      <c r="B65" s="14">
        <v>1728</v>
      </c>
      <c r="C65" s="14">
        <v>1109</v>
      </c>
      <c r="D65" s="14">
        <v>427.8</v>
      </c>
      <c r="E65" s="14">
        <v>238.2</v>
      </c>
      <c r="F65" s="14">
        <v>140</v>
      </c>
      <c r="G65" s="14">
        <v>86.150388997523152</v>
      </c>
      <c r="H65" s="14">
        <v>744</v>
      </c>
      <c r="I65" s="14">
        <v>655.95699999999999</v>
      </c>
      <c r="J65" s="14">
        <v>480.4982566146092</v>
      </c>
      <c r="K65" s="14">
        <v>1.3651600000000002</v>
      </c>
      <c r="L65" s="14">
        <v>3</v>
      </c>
      <c r="M65" s="14">
        <v>2.76</v>
      </c>
      <c r="N65" s="14">
        <v>2.5299999999999998</v>
      </c>
      <c r="O65" s="14">
        <v>1.19</v>
      </c>
      <c r="P65" s="14">
        <v>1.1000000000000001</v>
      </c>
      <c r="Q65" s="14">
        <v>0.1</v>
      </c>
      <c r="R65" s="14">
        <v>1.6</v>
      </c>
      <c r="S65" s="14">
        <v>1.6</v>
      </c>
      <c r="T65" s="14">
        <v>1.9</v>
      </c>
    </row>
    <row r="66" spans="1:20" s="1" customFormat="1" ht="14.25" x14ac:dyDescent="0.2">
      <c r="A66" s="7">
        <v>40513</v>
      </c>
      <c r="B66" s="14">
        <v>1753</v>
      </c>
      <c r="C66" s="14">
        <v>1228</v>
      </c>
      <c r="D66" s="14">
        <v>413.4</v>
      </c>
      <c r="E66" s="14">
        <v>250.4</v>
      </c>
      <c r="F66" s="14">
        <v>140</v>
      </c>
      <c r="G66" s="14">
        <v>91.874072827031753</v>
      </c>
      <c r="H66" s="14">
        <v>753</v>
      </c>
      <c r="I66" s="14">
        <v>655.95699999999999</v>
      </c>
      <c r="J66" s="14">
        <v>496.05459983216576</v>
      </c>
      <c r="K66" s="14">
        <v>1.3223483870967738</v>
      </c>
      <c r="L66" s="14">
        <v>3.34</v>
      </c>
      <c r="M66" s="14">
        <v>3.29</v>
      </c>
      <c r="N66" s="14">
        <v>2.91</v>
      </c>
      <c r="O66" s="14">
        <v>1.1200000000000001</v>
      </c>
      <c r="P66" s="14">
        <v>1.5</v>
      </c>
      <c r="Q66" s="14">
        <v>0</v>
      </c>
      <c r="R66" s="14">
        <v>1.8</v>
      </c>
      <c r="S66" s="14">
        <v>1.8</v>
      </c>
      <c r="T66" s="14">
        <v>2.2000000000000002</v>
      </c>
    </row>
    <row r="67" spans="1:20" s="1" customFormat="1" ht="14.25" x14ac:dyDescent="0.2">
      <c r="A67" s="7">
        <v>40544</v>
      </c>
      <c r="B67" s="14">
        <v>1788</v>
      </c>
      <c r="C67" s="14">
        <v>1279</v>
      </c>
      <c r="D67" s="14">
        <v>405</v>
      </c>
      <c r="E67" s="14">
        <v>264.89999999999998</v>
      </c>
      <c r="F67" s="14">
        <v>155</v>
      </c>
      <c r="G67" s="14">
        <v>96.469354838709691</v>
      </c>
      <c r="H67" s="14">
        <v>753.7</v>
      </c>
      <c r="I67" s="14">
        <v>655.95699999999999</v>
      </c>
      <c r="J67" s="14">
        <v>490.65169553278855</v>
      </c>
      <c r="K67" s="14">
        <v>1.3369096774193552</v>
      </c>
      <c r="L67" s="14">
        <v>3.44</v>
      </c>
      <c r="M67" s="14">
        <v>3.39</v>
      </c>
      <c r="N67" s="14">
        <v>3</v>
      </c>
      <c r="O67" s="14">
        <v>1.21</v>
      </c>
      <c r="P67" s="14">
        <v>1.6</v>
      </c>
      <c r="Q67" s="14">
        <v>0</v>
      </c>
      <c r="R67" s="14">
        <v>2</v>
      </c>
      <c r="S67" s="14">
        <v>1.8</v>
      </c>
      <c r="T67" s="14">
        <v>2.2999999999999998</v>
      </c>
    </row>
    <row r="68" spans="1:20" s="1" customFormat="1" ht="14.25" x14ac:dyDescent="0.2">
      <c r="A68" s="7">
        <v>40575</v>
      </c>
      <c r="B68" s="14">
        <v>1730</v>
      </c>
      <c r="C68" s="14">
        <v>1292</v>
      </c>
      <c r="D68" s="14">
        <v>420.5</v>
      </c>
      <c r="E68" s="14">
        <v>292.89999999999998</v>
      </c>
      <c r="F68" s="14">
        <v>160</v>
      </c>
      <c r="G68" s="14">
        <v>104.25999999999999</v>
      </c>
      <c r="H68" s="14">
        <v>746.8</v>
      </c>
      <c r="I68" s="14">
        <v>655.95699999999999</v>
      </c>
      <c r="J68" s="14">
        <v>480.38992391409539</v>
      </c>
      <c r="K68" s="14">
        <v>1.3654678571428571</v>
      </c>
      <c r="L68" s="14">
        <v>3.6</v>
      </c>
      <c r="M68" s="14">
        <v>3.58</v>
      </c>
      <c r="N68" s="14">
        <v>3.2</v>
      </c>
      <c r="O68" s="14">
        <v>1.26</v>
      </c>
      <c r="P68" s="14">
        <v>2.1</v>
      </c>
      <c r="Q68" s="14">
        <v>0</v>
      </c>
      <c r="R68" s="14">
        <v>2.1</v>
      </c>
      <c r="S68" s="14">
        <v>1.7</v>
      </c>
      <c r="T68" s="14">
        <v>2.4</v>
      </c>
    </row>
    <row r="69" spans="1:20" s="1" customFormat="1" ht="14.25" x14ac:dyDescent="0.2">
      <c r="A69" s="7">
        <v>40603</v>
      </c>
      <c r="B69" s="14">
        <v>1650</v>
      </c>
      <c r="C69" s="14">
        <v>1180</v>
      </c>
      <c r="D69" s="14">
        <v>408.3</v>
      </c>
      <c r="E69" s="14">
        <v>290.5</v>
      </c>
      <c r="F69" s="14">
        <v>160</v>
      </c>
      <c r="G69" s="14">
        <v>114.71645161290324</v>
      </c>
      <c r="H69" s="14">
        <v>738.6</v>
      </c>
      <c r="I69" s="14">
        <v>655.95699999999999</v>
      </c>
      <c r="J69" s="14">
        <v>467.96815417081865</v>
      </c>
      <c r="K69" s="14">
        <v>1.4017129032258064</v>
      </c>
      <c r="L69" s="14">
        <v>3.61</v>
      </c>
      <c r="M69" s="14">
        <v>3.41</v>
      </c>
      <c r="N69" s="14">
        <v>3.21</v>
      </c>
      <c r="O69" s="14">
        <v>1.25</v>
      </c>
      <c r="P69" s="14">
        <v>2.7</v>
      </c>
      <c r="Q69" s="14">
        <v>-0.5</v>
      </c>
      <c r="R69" s="14">
        <v>2.1</v>
      </c>
      <c r="S69" s="14">
        <v>2</v>
      </c>
      <c r="T69" s="14">
        <v>2.7</v>
      </c>
    </row>
    <row r="70" spans="1:20" s="1" customFormat="1" ht="14.25" x14ac:dyDescent="0.2">
      <c r="A70" s="7">
        <v>40634</v>
      </c>
      <c r="B70" s="14">
        <v>1680</v>
      </c>
      <c r="C70" s="14">
        <v>1149</v>
      </c>
      <c r="D70" s="14">
        <v>409</v>
      </c>
      <c r="E70" s="14">
        <v>319.3</v>
      </c>
      <c r="F70" s="14">
        <v>182.5</v>
      </c>
      <c r="G70" s="14">
        <v>108.89</v>
      </c>
      <c r="H70" s="14">
        <v>728.6</v>
      </c>
      <c r="I70" s="14">
        <v>655.95699999999999</v>
      </c>
      <c r="J70" s="14">
        <v>453.24060638724217</v>
      </c>
      <c r="K70" s="14">
        <v>1.4472599999999998</v>
      </c>
      <c r="L70" s="14">
        <v>3.69</v>
      </c>
      <c r="M70" s="14">
        <v>3.46</v>
      </c>
      <c r="N70" s="14">
        <v>3.34</v>
      </c>
      <c r="O70" s="14">
        <v>1.2</v>
      </c>
      <c r="P70" s="14">
        <v>3.2</v>
      </c>
      <c r="Q70" s="14">
        <v>-0.5</v>
      </c>
      <c r="R70" s="14">
        <v>2.4</v>
      </c>
      <c r="S70" s="14">
        <v>2.1</v>
      </c>
      <c r="T70" s="14">
        <v>2.7</v>
      </c>
    </row>
    <row r="71" spans="1:20" s="1" customFormat="1" ht="14.25" x14ac:dyDescent="0.2">
      <c r="A71" s="7">
        <v>40664</v>
      </c>
      <c r="B71" s="14">
        <v>1830</v>
      </c>
      <c r="C71" s="14">
        <v>1159</v>
      </c>
      <c r="D71" s="14">
        <v>421.2</v>
      </c>
      <c r="E71" s="14">
        <v>307.89999999999998</v>
      </c>
      <c r="F71" s="14">
        <v>182.5</v>
      </c>
      <c r="G71" s="14">
        <v>114.41903225806449</v>
      </c>
      <c r="H71" s="14">
        <v>730.7</v>
      </c>
      <c r="I71" s="14">
        <v>655.95699999999999</v>
      </c>
      <c r="J71" s="14">
        <v>458.23889160934732</v>
      </c>
      <c r="K71" s="14">
        <v>1.4314738709677421</v>
      </c>
      <c r="L71" s="14">
        <v>3.49</v>
      </c>
      <c r="M71" s="14">
        <v>3.17</v>
      </c>
      <c r="N71" s="14">
        <v>3.06</v>
      </c>
      <c r="O71" s="14">
        <v>1.1499999999999999</v>
      </c>
      <c r="P71" s="14">
        <v>3.6</v>
      </c>
      <c r="Q71" s="14">
        <v>-0.4</v>
      </c>
      <c r="R71" s="14">
        <v>2.2999999999999998</v>
      </c>
      <c r="S71" s="14">
        <v>2</v>
      </c>
      <c r="T71" s="14">
        <v>2.7</v>
      </c>
    </row>
    <row r="72" spans="1:20" s="1" customFormat="1" ht="14.25" x14ac:dyDescent="0.2">
      <c r="A72" s="7">
        <v>40695</v>
      </c>
      <c r="B72" s="14">
        <v>1980</v>
      </c>
      <c r="C72" s="14">
        <v>1133</v>
      </c>
      <c r="D72" s="14">
        <v>427.5</v>
      </c>
      <c r="E72" s="14">
        <v>310.60000000000002</v>
      </c>
      <c r="F72" s="14">
        <v>182.5</v>
      </c>
      <c r="G72" s="14">
        <v>113.47291845922965</v>
      </c>
      <c r="H72" s="14">
        <v>729.6</v>
      </c>
      <c r="I72" s="14">
        <v>655.95699999999999</v>
      </c>
      <c r="J72" s="14">
        <v>455.78929480845898</v>
      </c>
      <c r="K72" s="14">
        <v>1.4391671929803871</v>
      </c>
      <c r="L72" s="14">
        <v>3.43</v>
      </c>
      <c r="M72" s="14">
        <v>3</v>
      </c>
      <c r="N72" s="14">
        <v>2.89</v>
      </c>
      <c r="O72" s="14">
        <v>1.1299999999999999</v>
      </c>
      <c r="P72" s="14">
        <v>3.6</v>
      </c>
      <c r="Q72" s="14">
        <v>-0.4</v>
      </c>
      <c r="R72" s="14">
        <v>2.2999999999999998</v>
      </c>
      <c r="S72" s="14">
        <v>2.1</v>
      </c>
      <c r="T72" s="14">
        <v>2.7</v>
      </c>
    </row>
    <row r="73" spans="1:20" s="1" customFormat="1" ht="14.25" x14ac:dyDescent="0.2">
      <c r="A73" s="7">
        <v>40725</v>
      </c>
      <c r="B73" s="14">
        <v>2120</v>
      </c>
      <c r="C73" s="14">
        <v>1089</v>
      </c>
      <c r="D73" s="14">
        <v>449.3</v>
      </c>
      <c r="E73" s="14">
        <v>300.8</v>
      </c>
      <c r="F73" s="14">
        <v>197.5</v>
      </c>
      <c r="G73" s="14">
        <v>116.36387096774192</v>
      </c>
      <c r="H73" s="14">
        <v>732.9</v>
      </c>
      <c r="I73" s="14">
        <v>655.95699999999999</v>
      </c>
      <c r="J73" s="14">
        <v>458.36989949851824</v>
      </c>
      <c r="K73" s="14">
        <v>1.4310647377099868</v>
      </c>
      <c r="L73" s="14">
        <v>3.4</v>
      </c>
      <c r="M73" s="14">
        <v>3.4</v>
      </c>
      <c r="N73" s="14">
        <v>2.74</v>
      </c>
      <c r="O73" s="14">
        <v>1.08</v>
      </c>
      <c r="P73" s="14">
        <v>3.6</v>
      </c>
      <c r="Q73" s="14">
        <v>0.2</v>
      </c>
      <c r="R73" s="14">
        <v>2.4</v>
      </c>
      <c r="S73" s="14">
        <v>19</v>
      </c>
      <c r="T73" s="14">
        <v>2.5</v>
      </c>
    </row>
    <row r="74" spans="1:20" s="1" customFormat="1" ht="14.25" x14ac:dyDescent="0.2">
      <c r="A74" s="7">
        <v>40756</v>
      </c>
      <c r="B74" s="14">
        <v>2100</v>
      </c>
      <c r="C74" s="14">
        <v>1033</v>
      </c>
      <c r="D74" s="14">
        <v>465.3</v>
      </c>
      <c r="E74" s="14">
        <v>310.2</v>
      </c>
      <c r="F74" s="14">
        <v>197.5</v>
      </c>
      <c r="G74" s="14">
        <v>109.67451612903228</v>
      </c>
      <c r="H74" s="14">
        <v>730.8</v>
      </c>
      <c r="I74" s="14">
        <v>655.95699999999999</v>
      </c>
      <c r="J74" s="14">
        <v>457.54384820140803</v>
      </c>
      <c r="K74" s="14">
        <v>1.4336483870967744</v>
      </c>
      <c r="L74" s="14">
        <v>2.98</v>
      </c>
      <c r="M74" s="14">
        <v>2.2999999999999998</v>
      </c>
      <c r="N74" s="14">
        <v>2.21</v>
      </c>
      <c r="O74" s="14">
        <v>1.03</v>
      </c>
      <c r="P74" s="14">
        <v>3.8</v>
      </c>
      <c r="Q74" s="14">
        <v>0.2</v>
      </c>
      <c r="R74" s="14">
        <v>2.4</v>
      </c>
      <c r="S74" s="14">
        <v>2.2000000000000002</v>
      </c>
      <c r="T74" s="14">
        <v>2.5</v>
      </c>
    </row>
    <row r="75" spans="1:20" s="1" customFormat="1" ht="14.25" x14ac:dyDescent="0.2">
      <c r="A75" s="7">
        <v>40787</v>
      </c>
      <c r="B75" s="14">
        <v>2110</v>
      </c>
      <c r="C75" s="14">
        <v>1065</v>
      </c>
      <c r="D75" s="14">
        <v>514</v>
      </c>
      <c r="E75" s="14">
        <v>295.3</v>
      </c>
      <c r="F75" s="14">
        <v>197.5</v>
      </c>
      <c r="G75" s="14">
        <v>110.33233333333334</v>
      </c>
      <c r="H75" s="14">
        <v>744.3</v>
      </c>
      <c r="I75" s="14">
        <v>655.95699999999999</v>
      </c>
      <c r="J75" s="14">
        <v>476.99719309472209</v>
      </c>
      <c r="K75" s="14">
        <v>1.3751800000000001</v>
      </c>
      <c r="L75" s="14">
        <v>2.64</v>
      </c>
      <c r="M75" s="14">
        <v>1.98</v>
      </c>
      <c r="N75" s="14">
        <v>1.84</v>
      </c>
      <c r="O75" s="14">
        <v>1.03</v>
      </c>
      <c r="P75" s="14">
        <v>3.9</v>
      </c>
      <c r="Q75" s="14">
        <v>0</v>
      </c>
      <c r="R75" s="14">
        <v>2.6</v>
      </c>
      <c r="S75" s="14">
        <v>2.2000000000000002</v>
      </c>
      <c r="T75" s="14">
        <v>3</v>
      </c>
    </row>
    <row r="76" spans="1:20" s="1" customFormat="1" ht="14.25" x14ac:dyDescent="0.2">
      <c r="A76" s="7">
        <v>40817</v>
      </c>
      <c r="B76" s="14">
        <v>2020.7</v>
      </c>
      <c r="C76" s="14">
        <v>994</v>
      </c>
      <c r="D76" s="14">
        <v>490.5</v>
      </c>
      <c r="E76" s="14">
        <v>274.8</v>
      </c>
      <c r="F76" s="14">
        <v>198.8</v>
      </c>
      <c r="G76" s="14">
        <v>108.44709677419358</v>
      </c>
      <c r="H76" s="14">
        <v>745.6</v>
      </c>
      <c r="I76" s="14">
        <v>655.95699999999999</v>
      </c>
      <c r="J76" s="14">
        <v>477.99038597151065</v>
      </c>
      <c r="K76" s="14">
        <v>1.3723225806451609</v>
      </c>
      <c r="L76" s="14">
        <v>2.99</v>
      </c>
      <c r="M76" s="14">
        <v>2.15</v>
      </c>
      <c r="N76" s="14">
        <v>2</v>
      </c>
      <c r="O76" s="14">
        <v>1.05</v>
      </c>
      <c r="P76" s="14">
        <v>3.5</v>
      </c>
      <c r="Q76" s="14">
        <v>-0.2</v>
      </c>
      <c r="R76" s="14">
        <v>2.5</v>
      </c>
      <c r="S76" s="14">
        <v>2.2999999999999998</v>
      </c>
      <c r="T76" s="14">
        <v>3</v>
      </c>
    </row>
    <row r="77" spans="1:20" s="1" customFormat="1" ht="14.25" x14ac:dyDescent="0.2">
      <c r="A77" s="7">
        <v>40848</v>
      </c>
      <c r="B77" s="14">
        <v>2225</v>
      </c>
      <c r="C77" s="14">
        <v>1053</v>
      </c>
      <c r="D77" s="14">
        <v>549.9</v>
      </c>
      <c r="E77" s="14">
        <v>274.39999999999998</v>
      </c>
      <c r="F77" s="14">
        <v>202.5</v>
      </c>
      <c r="G77" s="14">
        <v>110.27133333333332</v>
      </c>
      <c r="H77" s="14">
        <v>749.1</v>
      </c>
      <c r="I77" s="14">
        <v>655.95699999999999</v>
      </c>
      <c r="J77" s="14">
        <v>483.8321130195759</v>
      </c>
      <c r="K77" s="14">
        <v>1.3557533333333331</v>
      </c>
      <c r="L77" s="14">
        <v>3.41</v>
      </c>
      <c r="M77" s="14">
        <v>2.0099999999999998</v>
      </c>
      <c r="N77" s="14">
        <v>1.87</v>
      </c>
      <c r="O77" s="14">
        <v>1.07</v>
      </c>
      <c r="P77" s="14">
        <v>3.4</v>
      </c>
      <c r="Q77" s="14">
        <v>-0.5</v>
      </c>
      <c r="R77" s="14">
        <v>2.4</v>
      </c>
      <c r="S77" s="14">
        <v>2.5</v>
      </c>
      <c r="T77" s="14">
        <v>3</v>
      </c>
    </row>
    <row r="78" spans="1:20" s="1" customFormat="1" ht="14.25" x14ac:dyDescent="0.2">
      <c r="A78" s="7">
        <v>40878</v>
      </c>
      <c r="B78" s="14">
        <v>2167</v>
      </c>
      <c r="C78" s="14">
        <v>1027</v>
      </c>
      <c r="D78" s="14">
        <v>544</v>
      </c>
      <c r="E78" s="14">
        <v>258.60000000000002</v>
      </c>
      <c r="F78" s="14">
        <v>202.5</v>
      </c>
      <c r="G78" s="14">
        <v>107.59677419354841</v>
      </c>
      <c r="H78" s="14">
        <v>751</v>
      </c>
      <c r="I78" s="14">
        <v>655.95699999999999</v>
      </c>
      <c r="J78" s="14">
        <v>498.59911827303142</v>
      </c>
      <c r="K78" s="14">
        <v>1.3155999999999997</v>
      </c>
      <c r="L78" s="14">
        <v>3.15</v>
      </c>
      <c r="M78" s="14">
        <v>1.98</v>
      </c>
      <c r="N78" s="14">
        <v>1.93</v>
      </c>
      <c r="O78" s="14">
        <v>0.98</v>
      </c>
      <c r="P78" s="14">
        <v>3</v>
      </c>
      <c r="Q78" s="14">
        <v>-0.1</v>
      </c>
      <c r="R78" s="14">
        <v>2</v>
      </c>
      <c r="S78" s="14">
        <v>2.5</v>
      </c>
      <c r="T78" s="14">
        <v>2.7</v>
      </c>
    </row>
    <row r="79" spans="1:20" s="1" customFormat="1" ht="14.25" x14ac:dyDescent="0.2">
      <c r="A79" s="7">
        <v>40909</v>
      </c>
      <c r="B79" s="14">
        <v>2241.9782</v>
      </c>
      <c r="C79" s="14">
        <v>1061</v>
      </c>
      <c r="D79" s="14">
        <v>516.29999999999995</v>
      </c>
      <c r="E79" s="14">
        <v>272.8</v>
      </c>
      <c r="F79" s="14">
        <v>202.5</v>
      </c>
      <c r="G79" s="14">
        <v>111.12773349976496</v>
      </c>
      <c r="H79" s="14">
        <v>765</v>
      </c>
      <c r="I79" s="14">
        <v>655.95699999999999</v>
      </c>
      <c r="J79" s="14">
        <v>508.54085024120764</v>
      </c>
      <c r="K79" s="14">
        <v>1.2898806451612903</v>
      </c>
      <c r="L79" s="14">
        <v>3.18</v>
      </c>
      <c r="M79" s="14">
        <v>1.97</v>
      </c>
      <c r="N79" s="14">
        <v>1.82</v>
      </c>
      <c r="O79" s="14">
        <v>0.96</v>
      </c>
      <c r="P79" s="14">
        <v>2.9</v>
      </c>
      <c r="Q79" s="14">
        <v>0.1</v>
      </c>
      <c r="R79" s="14">
        <v>2.1</v>
      </c>
      <c r="S79" s="14">
        <v>2.2999999999999998</v>
      </c>
      <c r="T79" s="14">
        <v>2.7</v>
      </c>
    </row>
    <row r="80" spans="1:20" s="1" customFormat="1" ht="14.25" x14ac:dyDescent="0.2">
      <c r="A80" s="7">
        <v>40940</v>
      </c>
      <c r="B80" s="14">
        <v>2336.7219567538</v>
      </c>
      <c r="C80" s="14">
        <v>1106</v>
      </c>
      <c r="D80" s="14">
        <v>518.29999999999995</v>
      </c>
      <c r="E80" s="14">
        <v>279.5</v>
      </c>
      <c r="F80" s="14">
        <v>192.5</v>
      </c>
      <c r="G80" s="14">
        <v>118.57068965517242</v>
      </c>
      <c r="H80" s="14">
        <v>757</v>
      </c>
      <c r="I80" s="14">
        <v>655.95699999999999</v>
      </c>
      <c r="J80" s="14">
        <v>495.53259439675929</v>
      </c>
      <c r="K80" s="14">
        <v>1.3237413793103452</v>
      </c>
      <c r="L80" s="14">
        <v>3.02</v>
      </c>
      <c r="M80" s="14">
        <v>1.97</v>
      </c>
      <c r="N80" s="14">
        <v>1.85</v>
      </c>
      <c r="O80" s="14">
        <v>0.96</v>
      </c>
      <c r="P80" s="14">
        <v>2.9</v>
      </c>
      <c r="Q80" s="14">
        <v>0.3</v>
      </c>
      <c r="R80" s="14">
        <v>2.2999999999999998</v>
      </c>
      <c r="S80" s="14">
        <v>2.2999999999999998</v>
      </c>
      <c r="T80" s="14">
        <v>2.7</v>
      </c>
    </row>
    <row r="81" spans="1:20" s="1" customFormat="1" ht="14.25" x14ac:dyDescent="0.2">
      <c r="A81" s="7">
        <v>40969</v>
      </c>
      <c r="B81" s="14">
        <v>2433.9093075771952</v>
      </c>
      <c r="C81" s="14">
        <v>1153</v>
      </c>
      <c r="D81" s="14">
        <v>526.79999999999995</v>
      </c>
      <c r="E81" s="14">
        <v>280.7</v>
      </c>
      <c r="F81" s="14">
        <v>192.5</v>
      </c>
      <c r="G81" s="14">
        <v>124.53219963280061</v>
      </c>
      <c r="H81" s="14">
        <v>757</v>
      </c>
      <c r="I81" s="14">
        <v>655.95699999999999</v>
      </c>
      <c r="J81" s="14">
        <v>496.54517572883583</v>
      </c>
      <c r="K81" s="14">
        <v>1.3210419354838707</v>
      </c>
      <c r="L81" s="14">
        <v>2.95</v>
      </c>
      <c r="M81" s="14">
        <v>2.17</v>
      </c>
      <c r="N81" s="14">
        <v>1.83</v>
      </c>
      <c r="O81" s="14">
        <v>0.99</v>
      </c>
      <c r="P81" s="14">
        <v>2.7</v>
      </c>
      <c r="Q81" s="14">
        <v>0.5</v>
      </c>
      <c r="R81" s="14">
        <v>2.1</v>
      </c>
      <c r="S81" s="14">
        <v>2.2999999999999998</v>
      </c>
      <c r="T81" s="14">
        <v>2.7</v>
      </c>
    </row>
    <row r="82" spans="1:20" s="1" customFormat="1" ht="14.25" x14ac:dyDescent="0.2">
      <c r="A82" s="7">
        <v>41000</v>
      </c>
      <c r="B82" s="14">
        <v>2494.5</v>
      </c>
      <c r="C82" s="14">
        <v>1181</v>
      </c>
      <c r="D82" s="14">
        <v>533.29999999999995</v>
      </c>
      <c r="E82" s="14">
        <v>274</v>
      </c>
      <c r="F82" s="14">
        <v>188.1</v>
      </c>
      <c r="G82" s="14">
        <v>120.60833333333332</v>
      </c>
      <c r="H82" s="14">
        <v>759</v>
      </c>
      <c r="I82" s="14">
        <v>655.95699999999999</v>
      </c>
      <c r="J82" s="14">
        <v>498.20401880539669</v>
      </c>
      <c r="K82" s="14">
        <v>1.3166433333333329</v>
      </c>
      <c r="L82" s="14">
        <v>2.99</v>
      </c>
      <c r="M82" s="14">
        <v>2.0499999999999998</v>
      </c>
      <c r="N82" s="14">
        <v>1.62</v>
      </c>
      <c r="O82" s="14">
        <v>0.89</v>
      </c>
      <c r="P82" s="14">
        <v>2.2999999999999998</v>
      </c>
      <c r="Q82" s="14">
        <v>0.5</v>
      </c>
      <c r="R82" s="14">
        <v>2.1</v>
      </c>
      <c r="S82" s="14">
        <v>2.1</v>
      </c>
      <c r="T82" s="14">
        <v>2.6</v>
      </c>
    </row>
    <row r="83" spans="1:20" s="1" customFormat="1" ht="14.25" x14ac:dyDescent="0.2">
      <c r="A83" s="7">
        <v>41030</v>
      </c>
      <c r="B83" s="14">
        <v>2555</v>
      </c>
      <c r="C83" s="14">
        <v>1085</v>
      </c>
      <c r="D83" s="14">
        <v>561.79999999999995</v>
      </c>
      <c r="E83" s="14">
        <v>269.3</v>
      </c>
      <c r="F83" s="14">
        <v>175</v>
      </c>
      <c r="G83" s="14">
        <v>110.13420762179031</v>
      </c>
      <c r="H83" s="14">
        <v>766</v>
      </c>
      <c r="I83" s="14">
        <v>655.95699999999999</v>
      </c>
      <c r="J83" s="14">
        <v>512.7998295262546</v>
      </c>
      <c r="K83" s="14">
        <v>1.2791677419354837</v>
      </c>
      <c r="L83" s="14">
        <v>2.75</v>
      </c>
      <c r="M83" s="14">
        <v>1.8</v>
      </c>
      <c r="N83" s="14">
        <v>1.34</v>
      </c>
      <c r="O83" s="14">
        <v>0.83</v>
      </c>
      <c r="P83" s="14">
        <v>1.7</v>
      </c>
      <c r="Q83" s="14">
        <v>0.2</v>
      </c>
      <c r="R83" s="14">
        <v>1.9</v>
      </c>
      <c r="S83" s="14">
        <v>2</v>
      </c>
      <c r="T83" s="14">
        <v>2.4</v>
      </c>
    </row>
    <row r="84" spans="1:20" s="1" customFormat="1" ht="14.25" x14ac:dyDescent="0.2">
      <c r="A84" s="7">
        <v>41061</v>
      </c>
      <c r="B84" s="14">
        <v>2520</v>
      </c>
      <c r="C84" s="14">
        <v>999</v>
      </c>
      <c r="D84" s="14">
        <v>541.20000000000005</v>
      </c>
      <c r="E84" s="14">
        <v>267.3</v>
      </c>
      <c r="F84" s="14">
        <v>175</v>
      </c>
      <c r="G84" s="14">
        <v>96.193740809603042</v>
      </c>
      <c r="H84" s="14">
        <v>775</v>
      </c>
      <c r="I84" s="14">
        <v>655.95699999999999</v>
      </c>
      <c r="J84" s="14">
        <v>522.56802725604598</v>
      </c>
      <c r="K84" s="14">
        <v>1.2552566666666665</v>
      </c>
      <c r="L84" s="14">
        <v>2.57</v>
      </c>
      <c r="M84" s="14">
        <v>1.62</v>
      </c>
      <c r="N84" s="14">
        <v>1.3</v>
      </c>
      <c r="O84" s="14">
        <v>0.84</v>
      </c>
      <c r="P84" s="14">
        <v>1.7</v>
      </c>
      <c r="Q84" s="14">
        <v>-0.5</v>
      </c>
      <c r="R84" s="14">
        <v>1.7</v>
      </c>
      <c r="S84" s="14">
        <v>1.9</v>
      </c>
      <c r="T84" s="14">
        <v>2.4</v>
      </c>
    </row>
    <row r="85" spans="1:20" s="1" customFormat="1" ht="14.25" x14ac:dyDescent="0.2">
      <c r="A85" s="7">
        <v>41091</v>
      </c>
      <c r="B85" s="14">
        <v>2468</v>
      </c>
      <c r="C85" s="14">
        <v>1015</v>
      </c>
      <c r="D85" s="14">
        <v>519.29999999999995</v>
      </c>
      <c r="E85" s="14">
        <v>333.1</v>
      </c>
      <c r="F85" s="14">
        <v>180</v>
      </c>
      <c r="G85" s="14">
        <v>102.36295179890769</v>
      </c>
      <c r="H85" s="14">
        <v>780</v>
      </c>
      <c r="I85" s="14">
        <v>655.95699999999999</v>
      </c>
      <c r="J85" s="14">
        <v>533.87369184363627</v>
      </c>
      <c r="K85" s="14">
        <v>1.2286745161290324</v>
      </c>
      <c r="L85" s="14">
        <v>2.2799999999999998</v>
      </c>
      <c r="M85" s="14">
        <v>1.53</v>
      </c>
      <c r="N85" s="14">
        <v>1.24</v>
      </c>
      <c r="O85" s="14">
        <v>0.79</v>
      </c>
      <c r="P85" s="14">
        <v>1.4079999999999999</v>
      </c>
      <c r="Q85" s="14">
        <v>-0.4</v>
      </c>
      <c r="R85" s="14">
        <v>1.712</v>
      </c>
      <c r="S85" s="14">
        <v>1.9370000000000001</v>
      </c>
      <c r="T85" s="14">
        <v>2.4180000000000001</v>
      </c>
    </row>
    <row r="86" spans="1:20" s="1" customFormat="1" ht="14.25" x14ac:dyDescent="0.2">
      <c r="A86" s="7">
        <v>41122</v>
      </c>
      <c r="B86" s="14">
        <v>2553</v>
      </c>
      <c r="C86" s="14">
        <v>997</v>
      </c>
      <c r="D86" s="14">
        <v>509</v>
      </c>
      <c r="E86" s="14">
        <v>332</v>
      </c>
      <c r="F86" s="14">
        <v>185</v>
      </c>
      <c r="G86" s="14">
        <v>112.45572321282599</v>
      </c>
      <c r="H86" s="14">
        <v>778</v>
      </c>
      <c r="I86" s="14">
        <v>655.95699999999999</v>
      </c>
      <c r="J86" s="14">
        <v>529.16249653247803</v>
      </c>
      <c r="K86" s="14">
        <v>1.2396135483870969</v>
      </c>
      <c r="L86" s="14">
        <v>2.12</v>
      </c>
      <c r="M86" s="14">
        <v>1.68</v>
      </c>
      <c r="N86" s="14">
        <v>1.34</v>
      </c>
      <c r="O86" s="14">
        <v>0.8</v>
      </c>
      <c r="P86" s="14">
        <v>1.7</v>
      </c>
      <c r="Q86" s="14">
        <v>-0.5</v>
      </c>
      <c r="R86" s="14">
        <v>2.1</v>
      </c>
      <c r="S86" s="14">
        <v>2.1</v>
      </c>
      <c r="T86" s="14">
        <v>2.6</v>
      </c>
    </row>
    <row r="87" spans="1:20" s="1" customFormat="1" ht="14.25" x14ac:dyDescent="0.2">
      <c r="A87" s="7">
        <v>41153</v>
      </c>
      <c r="B87" s="14">
        <v>2408</v>
      </c>
      <c r="C87" s="14">
        <v>967</v>
      </c>
      <c r="D87" s="14">
        <v>512</v>
      </c>
      <c r="E87" s="14">
        <v>320.8</v>
      </c>
      <c r="F87" s="14">
        <v>185</v>
      </c>
      <c r="G87" s="14">
        <v>113.15645114029805</v>
      </c>
      <c r="H87" s="14">
        <v>766</v>
      </c>
      <c r="I87" s="14">
        <v>655.95699999999999</v>
      </c>
      <c r="J87" s="14">
        <v>509.66589831913188</v>
      </c>
      <c r="K87" s="14">
        <v>1.2870333333333333</v>
      </c>
      <c r="L87" s="14">
        <v>2.2400000000000002</v>
      </c>
      <c r="M87" s="14">
        <v>1.72</v>
      </c>
      <c r="N87" s="14">
        <v>1.49</v>
      </c>
      <c r="O87" s="14">
        <v>0.77</v>
      </c>
      <c r="P87" s="14">
        <v>2</v>
      </c>
      <c r="Q87" s="14">
        <v>-0.3</v>
      </c>
      <c r="R87" s="14">
        <v>2</v>
      </c>
      <c r="S87" s="14">
        <v>1.9</v>
      </c>
      <c r="T87" s="14">
        <v>2.61</v>
      </c>
    </row>
    <row r="88" spans="1:20" s="1" customFormat="1" ht="14.25" x14ac:dyDescent="0.2">
      <c r="A88" s="7">
        <v>41183</v>
      </c>
      <c r="B88" s="14">
        <v>2375</v>
      </c>
      <c r="C88" s="14">
        <v>839</v>
      </c>
      <c r="D88" s="14">
        <v>520.29999999999995</v>
      </c>
      <c r="E88" s="14">
        <v>321.2</v>
      </c>
      <c r="F88" s="14">
        <v>185</v>
      </c>
      <c r="G88" s="14">
        <v>111.49263438655034</v>
      </c>
      <c r="H88" s="14">
        <v>763</v>
      </c>
      <c r="I88" s="14">
        <v>655.95699999999999</v>
      </c>
      <c r="J88" s="14">
        <v>505.64504056913671</v>
      </c>
      <c r="K88" s="14">
        <v>1.2972677419354837</v>
      </c>
      <c r="L88" s="14">
        <v>2.19</v>
      </c>
      <c r="M88" s="14">
        <v>1.75</v>
      </c>
      <c r="N88" s="14">
        <v>1.47</v>
      </c>
      <c r="O88" s="14">
        <v>0.77</v>
      </c>
      <c r="P88" s="14">
        <v>2.2000000000000002</v>
      </c>
      <c r="Q88" s="14">
        <v>-0.7</v>
      </c>
      <c r="R88" s="14">
        <v>2</v>
      </c>
      <c r="S88" s="14">
        <v>1.9</v>
      </c>
      <c r="T88" s="14">
        <v>2.4929999999999999</v>
      </c>
    </row>
    <row r="89" spans="1:20" s="1" customFormat="1" ht="14.25" x14ac:dyDescent="0.2">
      <c r="A89" s="7">
        <v>41214</v>
      </c>
      <c r="B89" s="14">
        <v>2303</v>
      </c>
      <c r="C89" s="14">
        <v>813</v>
      </c>
      <c r="D89" s="14">
        <v>523</v>
      </c>
      <c r="E89" s="14">
        <v>321.60000000000002</v>
      </c>
      <c r="F89" s="14">
        <v>185</v>
      </c>
      <c r="G89" s="14">
        <v>108.97539326438611</v>
      </c>
      <c r="H89" s="14">
        <v>767</v>
      </c>
      <c r="I89" s="14">
        <v>655.95699999999999</v>
      </c>
      <c r="J89" s="14">
        <v>511.28074088604416</v>
      </c>
      <c r="K89" s="14">
        <v>1.2829683333333335</v>
      </c>
      <c r="L89" s="14">
        <v>2.14</v>
      </c>
      <c r="M89" s="14">
        <v>1.65</v>
      </c>
      <c r="N89" s="14">
        <v>1.34</v>
      </c>
      <c r="O89" s="14">
        <v>0.71</v>
      </c>
      <c r="P89" s="14">
        <v>1.8</v>
      </c>
      <c r="Q89" s="14">
        <v>-0.2</v>
      </c>
      <c r="R89" s="14">
        <v>1.9</v>
      </c>
      <c r="S89" s="14">
        <v>1.4</v>
      </c>
      <c r="T89" s="14">
        <v>2.2000000000000002</v>
      </c>
    </row>
    <row r="90" spans="1:20" s="1" customFormat="1" ht="14.25" x14ac:dyDescent="0.2">
      <c r="A90" s="7">
        <v>41244</v>
      </c>
      <c r="B90" s="14">
        <v>2216</v>
      </c>
      <c r="C90" s="14">
        <v>776</v>
      </c>
      <c r="D90" s="14">
        <v>520.4</v>
      </c>
      <c r="E90" s="14">
        <v>308.60000000000002</v>
      </c>
      <c r="F90" s="14">
        <v>185</v>
      </c>
      <c r="G90" s="14">
        <v>109.16030173461787</v>
      </c>
      <c r="H90" s="14">
        <v>760</v>
      </c>
      <c r="I90" s="14">
        <v>655.95699999999999</v>
      </c>
      <c r="J90" s="14">
        <v>500.16779939044198</v>
      </c>
      <c r="K90" s="14">
        <v>1.311473870967742</v>
      </c>
      <c r="L90" s="14">
        <v>2.0099999999999998</v>
      </c>
      <c r="M90" s="14">
        <v>1.72</v>
      </c>
      <c r="N90" s="14">
        <v>1.3</v>
      </c>
      <c r="O90" s="14">
        <v>0.8</v>
      </c>
      <c r="P90" s="14">
        <v>1.7</v>
      </c>
      <c r="Q90" s="14">
        <v>-0.1</v>
      </c>
      <c r="R90" s="14">
        <v>2</v>
      </c>
      <c r="S90" s="14">
        <v>1.3</v>
      </c>
      <c r="T90" s="14">
        <v>2.2200000000000002</v>
      </c>
    </row>
    <row r="91" spans="1:20" s="1" customFormat="1" ht="14.25" x14ac:dyDescent="0.2">
      <c r="A91" s="7">
        <v>41275</v>
      </c>
      <c r="B91" s="14">
        <v>2100</v>
      </c>
      <c r="C91" s="14">
        <v>841</v>
      </c>
      <c r="D91" s="14">
        <v>530</v>
      </c>
      <c r="E91" s="14">
        <v>303.10000000000002</v>
      </c>
      <c r="F91" s="14">
        <v>179</v>
      </c>
      <c r="G91" s="14">
        <v>111.85118859247815</v>
      </c>
      <c r="H91" s="14">
        <v>755.5</v>
      </c>
      <c r="I91" s="14">
        <v>655.95699999999999</v>
      </c>
      <c r="J91" s="14">
        <v>493.37486306712657</v>
      </c>
      <c r="K91" s="14">
        <v>1.3294999999999999</v>
      </c>
      <c r="L91" s="14">
        <v>2.17</v>
      </c>
      <c r="M91" s="14">
        <v>1.91</v>
      </c>
      <c r="N91" s="14">
        <v>1.51</v>
      </c>
      <c r="O91" s="14">
        <v>0.75</v>
      </c>
      <c r="P91" s="14">
        <v>1.6</v>
      </c>
      <c r="Q91" s="14">
        <v>-0.1</v>
      </c>
      <c r="R91" s="14">
        <v>1.7</v>
      </c>
      <c r="S91" s="14">
        <v>1.2</v>
      </c>
      <c r="T91" s="14">
        <v>1.97</v>
      </c>
    </row>
    <row r="92" spans="1:20" s="1" customFormat="1" ht="14.25" x14ac:dyDescent="0.2">
      <c r="A92" s="7">
        <v>41306</v>
      </c>
      <c r="B92" s="14">
        <v>1982</v>
      </c>
      <c r="C92" s="14">
        <v>863</v>
      </c>
      <c r="D92" s="14">
        <v>535</v>
      </c>
      <c r="E92" s="14">
        <v>302.7</v>
      </c>
      <c r="F92" s="14">
        <v>170</v>
      </c>
      <c r="G92" s="14">
        <v>116.22810125494242</v>
      </c>
      <c r="H92" s="14">
        <v>753.7</v>
      </c>
      <c r="I92" s="14">
        <v>655.95699999999999</v>
      </c>
      <c r="J92" s="14">
        <v>491.13637013915456</v>
      </c>
      <c r="K92" s="14">
        <v>1.3355903571428573</v>
      </c>
      <c r="L92" s="14">
        <v>2.25</v>
      </c>
      <c r="M92" s="14">
        <v>1.98</v>
      </c>
      <c r="N92" s="14">
        <v>1.54</v>
      </c>
      <c r="O92" s="14">
        <v>0.66</v>
      </c>
      <c r="P92" s="14">
        <v>2</v>
      </c>
      <c r="Q92" s="14">
        <v>-0.6</v>
      </c>
      <c r="R92" s="14">
        <v>1.5</v>
      </c>
      <c r="S92" s="14">
        <v>1</v>
      </c>
      <c r="T92" s="14">
        <v>1.84</v>
      </c>
    </row>
    <row r="93" spans="1:20" s="1" customFormat="1" ht="14.25" x14ac:dyDescent="0.2">
      <c r="A93" s="7">
        <v>41334</v>
      </c>
      <c r="B93" s="14">
        <v>1924</v>
      </c>
      <c r="C93" s="14">
        <v>854</v>
      </c>
      <c r="D93" s="14">
        <v>532.5</v>
      </c>
      <c r="E93" s="14">
        <v>309</v>
      </c>
      <c r="F93" s="14">
        <v>170</v>
      </c>
      <c r="G93" s="14">
        <v>109.3479917535775</v>
      </c>
      <c r="H93" s="14">
        <v>763.5</v>
      </c>
      <c r="I93" s="14">
        <v>655.95699999999999</v>
      </c>
      <c r="J93" s="14">
        <v>506.75818650915596</v>
      </c>
      <c r="K93" s="14">
        <v>1.2944181612903225</v>
      </c>
      <c r="L93" s="14">
        <v>2.0699999999999998</v>
      </c>
      <c r="M93" s="14">
        <v>1.96</v>
      </c>
      <c r="N93" s="14">
        <v>1.35</v>
      </c>
      <c r="O93" s="14">
        <v>0.56000000000000005</v>
      </c>
      <c r="P93" s="14">
        <v>1.5</v>
      </c>
      <c r="Q93" s="14">
        <v>-0.89700000000000002</v>
      </c>
      <c r="R93" s="14">
        <v>1.4</v>
      </c>
      <c r="S93" s="14">
        <v>1</v>
      </c>
      <c r="T93" s="14">
        <v>1.7</v>
      </c>
    </row>
    <row r="94" spans="1:20" s="1" customFormat="1" ht="14.25" x14ac:dyDescent="0.2">
      <c r="A94" s="7">
        <v>41365</v>
      </c>
      <c r="B94" s="14">
        <v>1899</v>
      </c>
      <c r="C94" s="14">
        <v>842</v>
      </c>
      <c r="D94" s="14">
        <v>531.29999999999995</v>
      </c>
      <c r="E94" s="14">
        <v>279.89999999999998</v>
      </c>
      <c r="F94" s="14">
        <v>167.5</v>
      </c>
      <c r="G94" s="14">
        <v>102.91</v>
      </c>
      <c r="H94" s="14">
        <v>762.1</v>
      </c>
      <c r="I94" s="14">
        <v>655.95699999999999</v>
      </c>
      <c r="J94" s="14">
        <v>503.43383312479216</v>
      </c>
      <c r="K94" s="14">
        <v>1.3029656666666662</v>
      </c>
      <c r="L94" s="14">
        <v>1.8</v>
      </c>
      <c r="M94" s="14">
        <v>1.76</v>
      </c>
      <c r="N94" s="14">
        <v>1.2</v>
      </c>
      <c r="O94" s="14">
        <v>0.61</v>
      </c>
      <c r="P94" s="14">
        <v>1.0629999999999999</v>
      </c>
      <c r="Q94" s="14">
        <v>-0.7</v>
      </c>
      <c r="R94" s="14">
        <v>1.155</v>
      </c>
      <c r="S94" s="14">
        <v>0.68799999999999994</v>
      </c>
      <c r="T94" s="14">
        <v>1.1719999999999999</v>
      </c>
    </row>
    <row r="95" spans="1:20" s="1" customFormat="1" ht="14.25" x14ac:dyDescent="0.2">
      <c r="A95" s="7">
        <v>41395</v>
      </c>
      <c r="B95" s="14">
        <v>1867</v>
      </c>
      <c r="C95" s="14">
        <v>849</v>
      </c>
      <c r="D95" s="14">
        <v>510.8</v>
      </c>
      <c r="E95" s="14">
        <v>295.5</v>
      </c>
      <c r="F95" s="14">
        <v>165</v>
      </c>
      <c r="G95" s="14">
        <v>102.95567550303419</v>
      </c>
      <c r="H95" s="14">
        <v>762.8</v>
      </c>
      <c r="I95" s="14">
        <v>655.95699999999999</v>
      </c>
      <c r="J95" s="14">
        <v>505.57916427775467</v>
      </c>
      <c r="K95" s="14">
        <v>1.2974367741935482</v>
      </c>
      <c r="L95" s="14">
        <v>1.87</v>
      </c>
      <c r="M95" s="14">
        <v>1.93</v>
      </c>
      <c r="N95" s="14">
        <v>1.29</v>
      </c>
      <c r="O95" s="14">
        <v>0.87</v>
      </c>
      <c r="P95" s="14">
        <v>1.36</v>
      </c>
      <c r="Q95" s="14">
        <v>-0.7</v>
      </c>
      <c r="R95" s="14">
        <v>1.54</v>
      </c>
      <c r="S95" s="14">
        <v>0.8</v>
      </c>
      <c r="T95" s="14">
        <v>1.42</v>
      </c>
    </row>
    <row r="96" spans="1:20" s="1" customFormat="1" ht="14.25" x14ac:dyDescent="0.2">
      <c r="A96" s="7">
        <v>41426</v>
      </c>
      <c r="B96" s="14">
        <v>1813</v>
      </c>
      <c r="C96" s="14">
        <v>861</v>
      </c>
      <c r="D96" s="14">
        <v>492</v>
      </c>
      <c r="E96" s="14">
        <v>298.39999999999998</v>
      </c>
      <c r="F96" s="14">
        <v>165</v>
      </c>
      <c r="G96" s="14">
        <v>103.20966666666669</v>
      </c>
      <c r="H96" s="14">
        <v>757.8</v>
      </c>
      <c r="I96" s="14">
        <v>655.95699999999999</v>
      </c>
      <c r="J96" s="14">
        <v>497.80035227754803</v>
      </c>
      <c r="K96" s="14">
        <v>1.3177109999999999</v>
      </c>
      <c r="L96" s="14">
        <v>2.21</v>
      </c>
      <c r="M96" s="14">
        <v>2.2999999999999998</v>
      </c>
      <c r="N96" s="14">
        <v>1.53</v>
      </c>
      <c r="O96" s="14">
        <v>0.85</v>
      </c>
      <c r="P96" s="14">
        <v>1.754</v>
      </c>
      <c r="Q96" s="14">
        <v>0.20100000000000001</v>
      </c>
      <c r="R96" s="14">
        <v>1.8320000000000001</v>
      </c>
      <c r="S96" s="14">
        <v>0.92600000000000005</v>
      </c>
      <c r="T96" s="14">
        <v>1.6060000000000001</v>
      </c>
    </row>
    <row r="97" spans="1:20" s="1" customFormat="1" ht="14.25" x14ac:dyDescent="0.2">
      <c r="A97" s="7">
        <v>41456</v>
      </c>
      <c r="B97" s="14">
        <v>1758</v>
      </c>
      <c r="C97" s="14">
        <v>833</v>
      </c>
      <c r="D97" s="14">
        <v>464.8</v>
      </c>
      <c r="E97" s="14">
        <v>279.5</v>
      </c>
      <c r="F97" s="14">
        <v>157</v>
      </c>
      <c r="G97" s="14">
        <v>107.27129032258064</v>
      </c>
      <c r="H97" s="14">
        <v>760.5</v>
      </c>
      <c r="I97" s="14">
        <v>655.95699999999999</v>
      </c>
      <c r="J97" s="14">
        <v>500.91111397952864</v>
      </c>
      <c r="K97" s="14">
        <v>1.309527741935484</v>
      </c>
      <c r="L97" s="14">
        <v>2.25</v>
      </c>
      <c r="M97" s="14">
        <v>2.58</v>
      </c>
      <c r="N97" s="14">
        <v>1.56</v>
      </c>
      <c r="O97" s="14">
        <v>0.79</v>
      </c>
      <c r="P97" s="14">
        <v>1.9610000000000001</v>
      </c>
      <c r="Q97" s="14">
        <v>-0.3</v>
      </c>
      <c r="R97" s="14">
        <v>1.921</v>
      </c>
      <c r="S97" s="14">
        <v>1.073</v>
      </c>
      <c r="T97" s="14">
        <v>1.597</v>
      </c>
    </row>
    <row r="98" spans="1:20" s="1" customFormat="1" ht="14.25" x14ac:dyDescent="0.2">
      <c r="A98" s="7">
        <v>41487</v>
      </c>
      <c r="B98" s="14">
        <v>1685</v>
      </c>
      <c r="C98" s="14">
        <v>828</v>
      </c>
      <c r="D98" s="14">
        <v>428.3</v>
      </c>
      <c r="E98" s="14">
        <v>238.7</v>
      </c>
      <c r="F98" s="14">
        <v>145</v>
      </c>
      <c r="G98" s="14">
        <v>110.10232617046459</v>
      </c>
      <c r="H98" s="14">
        <v>747.3</v>
      </c>
      <c r="I98" s="14">
        <v>655.95699999999999</v>
      </c>
      <c r="J98" s="14">
        <v>492.45579752385248</v>
      </c>
      <c r="K98" s="14">
        <v>1.3320119354838709</v>
      </c>
      <c r="L98" s="14">
        <v>2.36</v>
      </c>
      <c r="M98" s="14">
        <v>2.74</v>
      </c>
      <c r="N98" s="14">
        <v>1.73</v>
      </c>
      <c r="O98" s="14">
        <v>0.72</v>
      </c>
      <c r="P98" s="14">
        <v>1.6</v>
      </c>
      <c r="Q98" s="14">
        <v>-0.1</v>
      </c>
      <c r="R98" s="14">
        <v>1.6</v>
      </c>
      <c r="S98" s="14">
        <v>0.9</v>
      </c>
      <c r="T98" s="14">
        <v>1.34</v>
      </c>
    </row>
    <row r="99" spans="1:20" s="1" customFormat="1" ht="14.25" x14ac:dyDescent="0.2">
      <c r="A99" s="7">
        <v>41518</v>
      </c>
      <c r="B99" s="14">
        <v>1638</v>
      </c>
      <c r="C99" s="14">
        <v>820</v>
      </c>
      <c r="D99" s="14">
        <v>431.5</v>
      </c>
      <c r="E99" s="14">
        <v>207.4</v>
      </c>
      <c r="F99" s="14">
        <v>127.5</v>
      </c>
      <c r="G99" s="14">
        <v>111.26586094316805</v>
      </c>
      <c r="H99" s="14">
        <v>754</v>
      </c>
      <c r="I99" s="14">
        <v>655.95699999999999</v>
      </c>
      <c r="J99" s="14">
        <v>490.93617037200585</v>
      </c>
      <c r="K99" s="14">
        <v>1.3361349999999999</v>
      </c>
      <c r="L99" s="14">
        <v>2.4900000000000002</v>
      </c>
      <c r="M99" s="14">
        <v>2.81</v>
      </c>
      <c r="N99" s="14">
        <v>1.89</v>
      </c>
      <c r="O99" s="14">
        <v>0.68</v>
      </c>
      <c r="P99" s="14">
        <v>1.1819999999999999</v>
      </c>
      <c r="Q99" s="14">
        <v>1.004</v>
      </c>
      <c r="R99" s="14">
        <v>1.4339999999999999</v>
      </c>
      <c r="S99" s="14">
        <v>0.88700000000000001</v>
      </c>
      <c r="T99" s="14">
        <v>1.099</v>
      </c>
    </row>
    <row r="100" spans="1:20" s="1" customFormat="1" ht="14.25" x14ac:dyDescent="0.2">
      <c r="A100" s="7">
        <v>41548</v>
      </c>
      <c r="B100" s="14">
        <v>1575</v>
      </c>
      <c r="C100" s="14">
        <v>859</v>
      </c>
      <c r="D100" s="14">
        <v>420.4</v>
      </c>
      <c r="E100" s="14">
        <v>201.7</v>
      </c>
      <c r="F100" s="14">
        <v>120.6</v>
      </c>
      <c r="G100" s="14">
        <v>109.1840314270006</v>
      </c>
      <c r="H100" s="14">
        <v>747.2</v>
      </c>
      <c r="I100" s="14">
        <v>655.95699999999999</v>
      </c>
      <c r="J100" s="14">
        <v>481.00620055176472</v>
      </c>
      <c r="K100" s="14">
        <v>1.363718387096774</v>
      </c>
      <c r="L100" s="14">
        <v>2.39</v>
      </c>
      <c r="M100" s="14">
        <v>2.62</v>
      </c>
      <c r="N100" s="14">
        <v>1.76</v>
      </c>
      <c r="O100" s="14">
        <v>0.59</v>
      </c>
      <c r="P100" s="14">
        <v>0.96399999999999997</v>
      </c>
      <c r="Q100" s="14">
        <v>1.1040000000000001</v>
      </c>
      <c r="R100" s="14">
        <v>1.2430000000000001</v>
      </c>
      <c r="S100" s="14">
        <v>0.56100000000000005</v>
      </c>
      <c r="T100" s="14">
        <v>0.73599999999999999</v>
      </c>
    </row>
    <row r="101" spans="1:20" s="1" customFormat="1" ht="14.25" x14ac:dyDescent="0.2">
      <c r="A101" s="7">
        <v>41579</v>
      </c>
      <c r="B101" s="14">
        <v>1543</v>
      </c>
      <c r="C101" s="14">
        <v>921</v>
      </c>
      <c r="D101" s="14">
        <v>414.3</v>
      </c>
      <c r="E101" s="14">
        <v>199.1</v>
      </c>
      <c r="F101" s="14">
        <v>108.5</v>
      </c>
      <c r="G101" s="14">
        <v>107.80480725145959</v>
      </c>
      <c r="H101" s="14">
        <v>750.5</v>
      </c>
      <c r="I101" s="14">
        <v>655.95699999999999</v>
      </c>
      <c r="J101" s="14">
        <v>486.23143464972003</v>
      </c>
      <c r="K101" s="14">
        <v>1.3490633333333331</v>
      </c>
      <c r="L101" s="14">
        <v>2.2599999999999998</v>
      </c>
      <c r="M101" s="14">
        <v>2.72</v>
      </c>
      <c r="N101" s="14">
        <v>1.68</v>
      </c>
      <c r="O101" s="14">
        <v>0.6</v>
      </c>
      <c r="P101" s="14">
        <v>1.2370000000000001</v>
      </c>
      <c r="Q101" s="14">
        <v>1.613</v>
      </c>
      <c r="R101" s="14">
        <v>1.337</v>
      </c>
      <c r="S101" s="14">
        <v>0.68100000000000005</v>
      </c>
      <c r="T101" s="14">
        <v>0.85</v>
      </c>
    </row>
    <row r="102" spans="1:20" s="1" customFormat="1" ht="14.25" x14ac:dyDescent="0.2">
      <c r="A102" s="7">
        <v>41609</v>
      </c>
      <c r="B102" s="14">
        <v>1493</v>
      </c>
      <c r="C102" s="14">
        <v>912</v>
      </c>
      <c r="D102" s="14">
        <v>400.8</v>
      </c>
      <c r="E102" s="14">
        <v>197.4</v>
      </c>
      <c r="F102" s="14">
        <v>101</v>
      </c>
      <c r="G102" s="14">
        <v>110.6004777460188</v>
      </c>
      <c r="H102" s="14">
        <v>751.5</v>
      </c>
      <c r="I102" s="14">
        <v>655.95699999999999</v>
      </c>
      <c r="J102" s="14">
        <v>478.75902028784878</v>
      </c>
      <c r="K102" s="14">
        <v>1.3701193548387094</v>
      </c>
      <c r="L102" s="14">
        <v>2.33</v>
      </c>
      <c r="M102" s="14">
        <v>2.9</v>
      </c>
      <c r="N102" s="14">
        <v>1.8</v>
      </c>
      <c r="O102" s="14">
        <v>0.74</v>
      </c>
      <c r="P102" s="14">
        <v>1.502</v>
      </c>
      <c r="Q102" s="14">
        <v>1.611</v>
      </c>
      <c r="R102" s="14">
        <v>1.429</v>
      </c>
      <c r="S102" s="14">
        <v>0.69399999999999995</v>
      </c>
      <c r="T102" s="14">
        <v>0.85499999999999998</v>
      </c>
    </row>
    <row r="103" spans="1:20" s="1" customFormat="1" ht="14.25" x14ac:dyDescent="0.2">
      <c r="A103" s="7">
        <v>41640</v>
      </c>
      <c r="B103" s="14">
        <v>1410</v>
      </c>
      <c r="C103" s="14">
        <v>865</v>
      </c>
      <c r="D103" s="14">
        <v>405</v>
      </c>
      <c r="E103" s="14">
        <v>198.1</v>
      </c>
      <c r="F103" s="14">
        <v>102.2</v>
      </c>
      <c r="G103" s="14">
        <v>107.22820047457192</v>
      </c>
      <c r="H103" s="14">
        <v>739.7</v>
      </c>
      <c r="I103" s="14">
        <v>655.95699999999999</v>
      </c>
      <c r="J103" s="14">
        <v>481.67912278245717</v>
      </c>
      <c r="K103" s="14">
        <v>1.3618132258064519</v>
      </c>
      <c r="L103" s="14">
        <v>2.38</v>
      </c>
      <c r="M103" s="14">
        <v>2.86</v>
      </c>
      <c r="N103" s="14">
        <v>1.76</v>
      </c>
      <c r="O103" s="14">
        <v>0.62</v>
      </c>
      <c r="P103" s="14">
        <v>1.579</v>
      </c>
      <c r="Q103" s="14">
        <v>1.41</v>
      </c>
      <c r="R103" s="14">
        <v>1.34</v>
      </c>
      <c r="S103" s="14">
        <v>0.65</v>
      </c>
      <c r="T103" s="14">
        <v>0.77100000000000002</v>
      </c>
    </row>
    <row r="104" spans="1:20" s="1" customFormat="1" ht="14.25" x14ac:dyDescent="0.2">
      <c r="A104" s="7">
        <v>41671</v>
      </c>
      <c r="B104" s="14">
        <v>1303</v>
      </c>
      <c r="C104" s="14">
        <v>908</v>
      </c>
      <c r="D104" s="14">
        <v>449.9</v>
      </c>
      <c r="E104" s="14">
        <v>209.3</v>
      </c>
      <c r="F104" s="14">
        <v>103</v>
      </c>
      <c r="G104" s="14">
        <v>108.59642857142858</v>
      </c>
      <c r="H104" s="14">
        <v>738.7</v>
      </c>
      <c r="I104" s="14">
        <v>655.95699999999999</v>
      </c>
      <c r="J104" s="14">
        <v>480.26405795343061</v>
      </c>
      <c r="K104" s="14">
        <v>1.3658257142857142</v>
      </c>
      <c r="L104" s="14">
        <v>2.25</v>
      </c>
      <c r="M104" s="14">
        <v>2.71</v>
      </c>
      <c r="N104" s="14">
        <v>1.56</v>
      </c>
      <c r="O104" s="14">
        <v>0.57999999999999996</v>
      </c>
      <c r="P104" s="14">
        <v>1.1259999999999999</v>
      </c>
      <c r="Q104" s="14">
        <v>1.512</v>
      </c>
      <c r="R104" s="14">
        <v>1.2370000000000001</v>
      </c>
      <c r="S104" s="14">
        <v>0.91700000000000004</v>
      </c>
      <c r="T104" s="14">
        <v>0.70799999999999996</v>
      </c>
    </row>
    <row r="105" spans="1:20" s="1" customFormat="1" ht="14.25" x14ac:dyDescent="0.2">
      <c r="A105" s="7">
        <v>41699</v>
      </c>
      <c r="B105" s="14">
        <v>1924</v>
      </c>
      <c r="C105" s="14">
        <v>854</v>
      </c>
      <c r="D105" s="14">
        <v>426.4</v>
      </c>
      <c r="E105" s="14">
        <v>222.3</v>
      </c>
      <c r="F105" s="14">
        <v>108</v>
      </c>
      <c r="G105" s="14">
        <v>107.85353130642721</v>
      </c>
      <c r="H105" s="14">
        <v>734.9</v>
      </c>
      <c r="I105" s="14">
        <v>655.95699999999999</v>
      </c>
      <c r="J105" s="14">
        <v>474.52165520344198</v>
      </c>
      <c r="K105" s="14">
        <v>1.3823541935483874</v>
      </c>
      <c r="L105" s="14">
        <v>2.15</v>
      </c>
      <c r="M105" s="14">
        <v>2.72</v>
      </c>
      <c r="N105" s="14">
        <v>1.51</v>
      </c>
      <c r="O105" s="14">
        <v>0.64</v>
      </c>
      <c r="P105" s="14">
        <v>1.512</v>
      </c>
      <c r="Q105" s="14">
        <v>1.61</v>
      </c>
      <c r="R105" s="14">
        <v>1.7310000000000001</v>
      </c>
      <c r="S105" s="14">
        <v>1.042</v>
      </c>
      <c r="T105" s="14">
        <v>0.46899999999999997</v>
      </c>
    </row>
    <row r="106" spans="1:20" s="1" customFormat="1" ht="14.25" x14ac:dyDescent="0.2">
      <c r="A106" s="7">
        <v>41730</v>
      </c>
      <c r="B106" s="14">
        <v>1174</v>
      </c>
      <c r="C106" s="14">
        <v>911</v>
      </c>
      <c r="D106" s="14">
        <v>399.3</v>
      </c>
      <c r="E106" s="14">
        <v>222.4</v>
      </c>
      <c r="F106" s="14">
        <v>108</v>
      </c>
      <c r="G106" s="14">
        <v>108.14433333333334</v>
      </c>
      <c r="H106" s="14">
        <v>735</v>
      </c>
      <c r="I106" s="14">
        <v>655.95699999999999</v>
      </c>
      <c r="J106" s="14">
        <v>475.05427392198686</v>
      </c>
      <c r="K106" s="14">
        <v>1.3808043333333337</v>
      </c>
      <c r="L106" s="14">
        <v>2.0299999999999998</v>
      </c>
      <c r="M106" s="14">
        <v>2.71</v>
      </c>
      <c r="N106" s="14">
        <v>1.46</v>
      </c>
      <c r="O106" s="14">
        <v>0.62</v>
      </c>
      <c r="P106" s="14">
        <v>1.9530000000000001</v>
      </c>
      <c r="Q106" s="14">
        <v>3.41</v>
      </c>
      <c r="R106" s="14">
        <v>1.3320000000000001</v>
      </c>
      <c r="S106" s="14">
        <v>0.71499999999999997</v>
      </c>
      <c r="T106" s="14">
        <v>0.70799999999999996</v>
      </c>
    </row>
    <row r="107" spans="1:20" s="1" customFormat="1" ht="14.25" x14ac:dyDescent="0.2">
      <c r="A107" s="7">
        <v>41760</v>
      </c>
      <c r="B107" s="14">
        <v>1200</v>
      </c>
      <c r="C107" s="14">
        <v>893</v>
      </c>
      <c r="D107" s="14">
        <v>391.6</v>
      </c>
      <c r="E107" s="14">
        <v>217.3</v>
      </c>
      <c r="F107" s="14">
        <v>112</v>
      </c>
      <c r="G107" s="14">
        <v>109.10684396458025</v>
      </c>
      <c r="H107" s="14">
        <v>736.9</v>
      </c>
      <c r="I107" s="14">
        <v>655.95699999999999</v>
      </c>
      <c r="J107" s="14">
        <v>477.69697658788397</v>
      </c>
      <c r="K107" s="14">
        <v>1.3731654838709677</v>
      </c>
      <c r="L107" s="14">
        <v>1.84</v>
      </c>
      <c r="M107" s="14">
        <v>2.56</v>
      </c>
      <c r="N107" s="14">
        <v>1.33</v>
      </c>
      <c r="O107" s="14">
        <v>0.56999999999999995</v>
      </c>
      <c r="P107" s="14">
        <v>2.1269999999999998</v>
      </c>
      <c r="Q107" s="14">
        <v>3.7069999999999999</v>
      </c>
      <c r="R107" s="14">
        <v>0.85299999999999998</v>
      </c>
      <c r="S107" s="14">
        <v>0.69099999999999995</v>
      </c>
      <c r="T107" s="14">
        <v>0.495</v>
      </c>
    </row>
    <row r="108" spans="1:20" s="1" customFormat="1" ht="14.25" x14ac:dyDescent="0.2">
      <c r="A108" s="7">
        <v>41791</v>
      </c>
      <c r="B108" s="14">
        <v>1310</v>
      </c>
      <c r="C108" s="14">
        <v>857</v>
      </c>
      <c r="D108" s="14">
        <v>402.6</v>
      </c>
      <c r="E108" s="14">
        <v>202.4</v>
      </c>
      <c r="F108" s="14">
        <v>110</v>
      </c>
      <c r="G108" s="14">
        <v>111.88020846337126</v>
      </c>
      <c r="H108" s="14">
        <v>740.3</v>
      </c>
      <c r="I108" s="14">
        <v>655.95699999999999</v>
      </c>
      <c r="J108" s="14">
        <v>482.26328645253727</v>
      </c>
      <c r="K108" s="14">
        <v>1.3601636666666665</v>
      </c>
      <c r="L108" s="14">
        <v>1.71</v>
      </c>
      <c r="M108" s="14">
        <v>2.6</v>
      </c>
      <c r="N108" s="14">
        <v>1.26</v>
      </c>
      <c r="O108" s="14">
        <v>0.56000000000000005</v>
      </c>
      <c r="P108" s="14">
        <v>2.0720000000000001</v>
      </c>
      <c r="Q108" s="14">
        <v>3.6070000000000002</v>
      </c>
      <c r="R108" s="14">
        <v>1.042</v>
      </c>
      <c r="S108" s="14">
        <v>0.48599999999999999</v>
      </c>
      <c r="T108" s="14">
        <v>0.49399999999999999</v>
      </c>
    </row>
    <row r="109" spans="1:20" s="1" customFormat="1" ht="14.25" x14ac:dyDescent="0.2">
      <c r="A109" s="7">
        <v>41821</v>
      </c>
      <c r="B109" s="14">
        <v>1325</v>
      </c>
      <c r="C109" s="14">
        <v>841</v>
      </c>
      <c r="D109" s="14">
        <v>435.6</v>
      </c>
      <c r="E109" s="14">
        <v>182.7</v>
      </c>
      <c r="F109" s="14">
        <v>110</v>
      </c>
      <c r="G109" s="14">
        <v>108.2901564827209</v>
      </c>
      <c r="H109" s="14">
        <v>741.6</v>
      </c>
      <c r="I109" s="14">
        <v>655.95699999999999</v>
      </c>
      <c r="J109" s="14">
        <v>484.58655880000708</v>
      </c>
      <c r="K109" s="14">
        <v>1.3536425806451617</v>
      </c>
      <c r="L109" s="14">
        <v>1.56</v>
      </c>
      <c r="M109" s="14">
        <v>2.54</v>
      </c>
      <c r="N109" s="14">
        <v>1.1100000000000001</v>
      </c>
      <c r="O109" s="14" t="s">
        <v>19</v>
      </c>
      <c r="P109" s="14">
        <v>1.992</v>
      </c>
      <c r="Q109" s="14">
        <v>3.4</v>
      </c>
      <c r="R109" s="14">
        <v>0.84799999999999998</v>
      </c>
      <c r="S109" s="14">
        <v>0.46400000000000002</v>
      </c>
      <c r="T109" s="14">
        <v>0.376</v>
      </c>
    </row>
    <row r="110" spans="1:20" s="1" customFormat="1" ht="14.25" x14ac:dyDescent="0.2">
      <c r="A110" s="7">
        <v>41852</v>
      </c>
      <c r="B110" s="14">
        <v>1350</v>
      </c>
      <c r="C110" s="14">
        <v>766</v>
      </c>
      <c r="D110" s="14">
        <v>460.6</v>
      </c>
      <c r="E110" s="14">
        <v>176.4</v>
      </c>
      <c r="F110" s="14">
        <v>110</v>
      </c>
      <c r="G110" s="14">
        <v>103.59884579431589</v>
      </c>
      <c r="H110" s="14">
        <v>746.9</v>
      </c>
      <c r="I110" s="14">
        <v>655.95699999999999</v>
      </c>
      <c r="J110" s="14">
        <v>492.71031212201103</v>
      </c>
      <c r="K110" s="14">
        <v>1.3313238709677417</v>
      </c>
      <c r="L110" s="14">
        <v>1.41</v>
      </c>
      <c r="M110" s="14">
        <v>2.42</v>
      </c>
      <c r="N110" s="14">
        <v>0.95</v>
      </c>
      <c r="O110" s="14" t="s">
        <v>19</v>
      </c>
      <c r="P110" s="14">
        <v>1.7</v>
      </c>
      <c r="Q110" s="14">
        <v>3.29</v>
      </c>
      <c r="R110" s="14">
        <v>0.84799999999999998</v>
      </c>
      <c r="S110" s="14">
        <v>0.438</v>
      </c>
      <c r="T110" s="14">
        <v>0.36699999999999999</v>
      </c>
    </row>
    <row r="111" spans="1:20" s="1" customFormat="1" ht="14.25" x14ac:dyDescent="0.2">
      <c r="A111" s="7">
        <v>41883</v>
      </c>
      <c r="B111" s="14">
        <v>1360</v>
      </c>
      <c r="C111" s="14">
        <v>709</v>
      </c>
      <c r="D111" s="14">
        <v>449.9</v>
      </c>
      <c r="E111" s="14">
        <v>163.1</v>
      </c>
      <c r="F111" s="14">
        <v>115</v>
      </c>
      <c r="G111" s="14">
        <v>98.476750992992166</v>
      </c>
      <c r="H111" s="14">
        <v>757.1</v>
      </c>
      <c r="I111" s="14">
        <v>655.95699999999999</v>
      </c>
      <c r="J111" s="14">
        <v>509.28602114917788</v>
      </c>
      <c r="K111" s="14">
        <v>1.2879933333333331</v>
      </c>
      <c r="L111" s="14">
        <v>1.35</v>
      </c>
      <c r="M111" s="14">
        <v>2.5299999999999998</v>
      </c>
      <c r="N111" s="14">
        <v>0.92</v>
      </c>
      <c r="O111" s="14" t="s">
        <v>19</v>
      </c>
      <c r="P111" s="14">
        <v>1.7</v>
      </c>
      <c r="Q111" s="14">
        <v>3.2</v>
      </c>
      <c r="R111" s="14">
        <v>0.84799999999999998</v>
      </c>
      <c r="S111" s="14">
        <v>0.28999999999999998</v>
      </c>
      <c r="T111" s="14">
        <v>0.314</v>
      </c>
    </row>
    <row r="112" spans="1:20" s="1" customFormat="1" ht="14.25" x14ac:dyDescent="0.2">
      <c r="A112" s="7">
        <v>41913</v>
      </c>
      <c r="B112" s="14">
        <v>1365</v>
      </c>
      <c r="C112" s="14">
        <v>722</v>
      </c>
      <c r="D112" s="14">
        <v>437.57</v>
      </c>
      <c r="E112" s="14">
        <v>163.12</v>
      </c>
      <c r="F112" s="14">
        <v>115</v>
      </c>
      <c r="G112" s="14">
        <v>88.105483870967745</v>
      </c>
      <c r="H112" s="14">
        <v>763</v>
      </c>
      <c r="I112" s="14">
        <v>655.95699999999999</v>
      </c>
      <c r="J112" s="14">
        <v>517.79876790649269</v>
      </c>
      <c r="K112" s="14">
        <v>1.2668183870967742</v>
      </c>
      <c r="L112" s="14">
        <v>1.26</v>
      </c>
      <c r="M112" s="14">
        <v>2.2999999999999998</v>
      </c>
      <c r="N112" s="14">
        <v>0.79</v>
      </c>
      <c r="O112" s="14" t="s">
        <v>19</v>
      </c>
      <c r="P112" s="14">
        <v>1.6639999999999999</v>
      </c>
      <c r="Q112" s="14">
        <v>2.88</v>
      </c>
      <c r="R112" s="14">
        <v>0.755</v>
      </c>
      <c r="S112" s="14">
        <v>0.45600000000000002</v>
      </c>
      <c r="T112" s="14">
        <v>0.38200000000000001</v>
      </c>
    </row>
    <row r="113" spans="1:20" s="1" customFormat="1" ht="14.25" x14ac:dyDescent="0.2">
      <c r="A113" s="7">
        <v>41944</v>
      </c>
      <c r="B113" s="14">
        <v>1368</v>
      </c>
      <c r="C113" s="14">
        <v>731</v>
      </c>
      <c r="D113" s="14">
        <v>423.8</v>
      </c>
      <c r="E113" s="14">
        <v>178.74</v>
      </c>
      <c r="F113" s="14">
        <v>115</v>
      </c>
      <c r="G113" s="14">
        <v>80.171333333333365</v>
      </c>
      <c r="H113" s="14">
        <v>767.9</v>
      </c>
      <c r="I113" s="14">
        <v>655.95699999999999</v>
      </c>
      <c r="J113" s="14">
        <v>526.04156642351677</v>
      </c>
      <c r="K113" s="14">
        <v>1.2469680000000003</v>
      </c>
      <c r="L113" s="14">
        <v>1.1399999999999999</v>
      </c>
      <c r="M113" s="14">
        <v>2.33</v>
      </c>
      <c r="N113" s="14">
        <v>0.72</v>
      </c>
      <c r="O113" s="14">
        <v>0.42</v>
      </c>
      <c r="P113" s="14">
        <v>1.3220000000000001</v>
      </c>
      <c r="Q113" s="14">
        <v>2.3809999999999998</v>
      </c>
      <c r="R113" s="14">
        <v>0.56599999999999995</v>
      </c>
      <c r="S113" s="14">
        <v>0.32200000000000001</v>
      </c>
      <c r="T113" s="14">
        <v>0.3</v>
      </c>
    </row>
    <row r="114" spans="1:20" s="1" customFormat="1" ht="14.25" x14ac:dyDescent="0.2">
      <c r="A114" s="7">
        <v>41974</v>
      </c>
      <c r="B114" s="14">
        <v>1370</v>
      </c>
      <c r="C114" s="14">
        <v>693</v>
      </c>
      <c r="D114" s="14">
        <v>421.18</v>
      </c>
      <c r="E114" s="14">
        <v>178.73</v>
      </c>
      <c r="F114" s="14">
        <v>115</v>
      </c>
      <c r="G114" s="14">
        <v>63.047149394058067</v>
      </c>
      <c r="H114" s="14">
        <v>771.8</v>
      </c>
      <c r="I114" s="14">
        <v>655.95699999999999</v>
      </c>
      <c r="J114" s="14">
        <v>533.35894162646855</v>
      </c>
      <c r="K114" s="14">
        <v>1.229860322580645</v>
      </c>
      <c r="L114" s="14">
        <v>0.92</v>
      </c>
      <c r="M114" s="14">
        <v>2.21</v>
      </c>
      <c r="N114" s="14">
        <v>0.59</v>
      </c>
      <c r="O114" s="14">
        <v>0.32</v>
      </c>
      <c r="P114" s="14">
        <v>0.75600000000000001</v>
      </c>
      <c r="Q114" s="14">
        <v>2.379</v>
      </c>
      <c r="R114" s="14">
        <v>0.188</v>
      </c>
      <c r="S114" s="14">
        <v>7.0999999999999994E-2</v>
      </c>
      <c r="T114" s="14">
        <v>-0.16900000000000001</v>
      </c>
    </row>
    <row r="115" spans="1:20" s="1" customFormat="1" ht="14.25" x14ac:dyDescent="0.2">
      <c r="A115" s="7">
        <v>42005</v>
      </c>
      <c r="B115" s="14">
        <v>1391</v>
      </c>
      <c r="C115" s="14">
        <v>688</v>
      </c>
      <c r="D115" s="14">
        <v>418.55</v>
      </c>
      <c r="E115" s="14">
        <v>174.70731040000001</v>
      </c>
      <c r="F115" s="14">
        <v>115</v>
      </c>
      <c r="G115" s="14">
        <v>50.181290322580637</v>
      </c>
      <c r="H115" s="14">
        <v>789.7</v>
      </c>
      <c r="I115" s="14">
        <v>655.95699999999999</v>
      </c>
      <c r="J115" s="14">
        <v>564.56753862568644</v>
      </c>
      <c r="K115" s="14">
        <v>1.1618751612903229</v>
      </c>
      <c r="L115" s="14">
        <v>0.67</v>
      </c>
      <c r="M115" s="14">
        <v>1.88</v>
      </c>
      <c r="N115" s="14">
        <v>0.39</v>
      </c>
      <c r="O115" s="14">
        <v>0.28000000000000003</v>
      </c>
      <c r="P115" s="14">
        <v>-8.8999999999999996E-2</v>
      </c>
      <c r="Q115" s="14">
        <v>2.383</v>
      </c>
      <c r="R115" s="14">
        <v>-0.28299999999999997</v>
      </c>
      <c r="S115" s="14">
        <v>-0.378</v>
      </c>
      <c r="T115" s="14">
        <v>-0.6</v>
      </c>
    </row>
    <row r="116" spans="1:20" s="1" customFormat="1" ht="14.25" x14ac:dyDescent="0.2">
      <c r="A116" s="7">
        <v>42036</v>
      </c>
      <c r="B116" s="14">
        <v>1366</v>
      </c>
      <c r="C116" s="14">
        <v>689</v>
      </c>
      <c r="D116" s="14">
        <v>417</v>
      </c>
      <c r="E116" s="14">
        <v>173.6955528</v>
      </c>
      <c r="F116" s="14">
        <v>115</v>
      </c>
      <c r="G116" s="14">
        <v>58.747963298972067</v>
      </c>
      <c r="H116" s="14">
        <v>797.6</v>
      </c>
      <c r="I116" s="14">
        <v>655.95699999999999</v>
      </c>
      <c r="J116" s="14">
        <v>578.3090907029964</v>
      </c>
      <c r="K116" s="14">
        <v>1.1342671428571429</v>
      </c>
      <c r="L116" s="14">
        <v>0.6</v>
      </c>
      <c r="M116" s="14">
        <v>1.98</v>
      </c>
      <c r="N116" s="14">
        <v>0.3</v>
      </c>
      <c r="O116" s="14">
        <v>0.34</v>
      </c>
      <c r="P116" s="14">
        <v>-2.5000000000000001E-2</v>
      </c>
      <c r="Q116" s="14">
        <v>2.1850000000000001</v>
      </c>
      <c r="R116" s="14">
        <v>9.4E-2</v>
      </c>
      <c r="S116" s="14">
        <v>-0.27400000000000002</v>
      </c>
      <c r="T116" s="14">
        <v>-0.27300000000000002</v>
      </c>
    </row>
    <row r="117" spans="1:20" s="1" customFormat="1" ht="14.25" x14ac:dyDescent="0.2">
      <c r="A117" s="7">
        <v>42064</v>
      </c>
      <c r="B117" s="14">
        <v>1356</v>
      </c>
      <c r="C117" s="14">
        <v>672</v>
      </c>
      <c r="D117" s="14">
        <v>411</v>
      </c>
      <c r="E117" s="14">
        <v>174.22702079999999</v>
      </c>
      <c r="F117" s="14">
        <v>115</v>
      </c>
      <c r="G117" s="14">
        <v>57.173452543301792</v>
      </c>
      <c r="H117" s="14">
        <v>812.1</v>
      </c>
      <c r="I117" s="14">
        <v>655.95699999999999</v>
      </c>
      <c r="J117" s="14">
        <v>606.24563978968422</v>
      </c>
      <c r="K117" s="14">
        <v>1.0819987096774195</v>
      </c>
      <c r="L117" s="14">
        <v>0.51</v>
      </c>
      <c r="M117" s="14">
        <v>2.04</v>
      </c>
      <c r="N117" s="14">
        <v>0.23</v>
      </c>
      <c r="O117" s="14">
        <v>0.4</v>
      </c>
      <c r="P117" s="14">
        <v>-7.3999999999999996E-2</v>
      </c>
      <c r="Q117" s="14">
        <v>2.2770000000000001</v>
      </c>
      <c r="R117" s="14">
        <v>0.28100000000000003</v>
      </c>
      <c r="S117" s="14">
        <v>-6.2E-2</v>
      </c>
      <c r="T117" s="14">
        <v>-8.5000000000000006E-2</v>
      </c>
    </row>
    <row r="118" spans="1:20" s="1" customFormat="1" ht="14.25" x14ac:dyDescent="0.2">
      <c r="A118" s="7">
        <v>42095</v>
      </c>
      <c r="B118" s="14">
        <v>1348</v>
      </c>
      <c r="C118" s="14">
        <v>662</v>
      </c>
      <c r="D118" s="14">
        <v>400.26</v>
      </c>
      <c r="E118" s="14">
        <v>172.0539072</v>
      </c>
      <c r="F118" s="14">
        <v>115</v>
      </c>
      <c r="G118" s="14">
        <v>60.76100000000001</v>
      </c>
      <c r="H118" s="14">
        <v>813.6</v>
      </c>
      <c r="I118" s="14">
        <v>655.95699999999999</v>
      </c>
      <c r="J118" s="14">
        <v>606.48220344990182</v>
      </c>
      <c r="K118" s="14">
        <v>1.0815766666666666</v>
      </c>
      <c r="L118" s="14">
        <v>0.44</v>
      </c>
      <c r="M118" s="14">
        <v>1.94</v>
      </c>
      <c r="N118" s="14">
        <v>0.12</v>
      </c>
      <c r="O118" s="14">
        <v>0.33</v>
      </c>
      <c r="P118" s="14">
        <v>-0.2</v>
      </c>
      <c r="Q118" s="14">
        <v>0.58199999999999996</v>
      </c>
      <c r="R118" s="14">
        <v>0.46899999999999997</v>
      </c>
      <c r="S118" s="14">
        <v>9.4E-2</v>
      </c>
      <c r="T118" s="14">
        <v>8.0000000000000002E-3</v>
      </c>
    </row>
    <row r="119" spans="1:20" s="1" customFormat="1" ht="14.25" x14ac:dyDescent="0.2">
      <c r="A119" s="7">
        <v>42125</v>
      </c>
      <c r="B119" s="14">
        <v>1345</v>
      </c>
      <c r="C119" s="14">
        <v>659</v>
      </c>
      <c r="D119" s="14">
        <v>386.53</v>
      </c>
      <c r="E119" s="14">
        <v>166.2943688</v>
      </c>
      <c r="F119" s="14">
        <v>115</v>
      </c>
      <c r="G119" s="14">
        <v>65.541612903225783</v>
      </c>
      <c r="H119" s="14">
        <v>803.2</v>
      </c>
      <c r="I119" s="14">
        <v>655.95699999999999</v>
      </c>
      <c r="J119" s="14">
        <v>587.68845499131521</v>
      </c>
      <c r="K119" s="14">
        <v>1.1161645161290323</v>
      </c>
      <c r="L119" s="14">
        <v>0.89</v>
      </c>
      <c r="M119" s="14">
        <v>2.2000000000000002</v>
      </c>
      <c r="N119" s="14">
        <v>0.56000000000000005</v>
      </c>
      <c r="O119" s="14">
        <v>0.39</v>
      </c>
      <c r="P119" s="14">
        <v>-0.04</v>
      </c>
      <c r="Q119" s="14">
        <v>0.5</v>
      </c>
      <c r="R119" s="14">
        <v>0.65800000000000003</v>
      </c>
      <c r="S119" s="14">
        <v>0.29599999999999999</v>
      </c>
      <c r="T119" s="14">
        <v>0.34</v>
      </c>
    </row>
    <row r="120" spans="1:20" s="1" customFormat="1" ht="14.25" x14ac:dyDescent="0.2">
      <c r="A120" s="7">
        <v>42156</v>
      </c>
      <c r="B120" s="14">
        <v>1345</v>
      </c>
      <c r="C120" s="14">
        <v>671</v>
      </c>
      <c r="D120" s="14">
        <v>375.95</v>
      </c>
      <c r="E120" s="14">
        <v>166.7195432</v>
      </c>
      <c r="F120" s="14">
        <v>115</v>
      </c>
      <c r="G120" s="14">
        <v>63.48163774171605</v>
      </c>
      <c r="H120" s="14">
        <v>801.4</v>
      </c>
      <c r="I120" s="14">
        <v>655.95699999999999</v>
      </c>
      <c r="J120" s="14">
        <v>583.99343557845236</v>
      </c>
      <c r="K120" s="14">
        <v>1.123226666666667</v>
      </c>
      <c r="L120" s="14">
        <v>1.2</v>
      </c>
      <c r="M120" s="14">
        <v>2.36</v>
      </c>
      <c r="N120" s="14">
        <v>0.79</v>
      </c>
      <c r="O120" s="14">
        <v>0.45</v>
      </c>
      <c r="P120" s="14">
        <v>0.12</v>
      </c>
      <c r="Q120" s="14">
        <v>0.4</v>
      </c>
      <c r="R120" s="14">
        <v>0.28100000000000003</v>
      </c>
      <c r="S120" s="14">
        <v>0.25800000000000001</v>
      </c>
      <c r="T120" s="14">
        <v>0.22</v>
      </c>
    </row>
    <row r="121" spans="1:20" s="1" customFormat="1" ht="14.25" x14ac:dyDescent="0.2">
      <c r="A121" s="7">
        <v>42186</v>
      </c>
      <c r="B121" s="14">
        <v>1345</v>
      </c>
      <c r="C121" s="14">
        <v>636</v>
      </c>
      <c r="D121" s="14">
        <v>389.86</v>
      </c>
      <c r="E121" s="14">
        <v>179.59681599999999</v>
      </c>
      <c r="F121" s="14">
        <v>115</v>
      </c>
      <c r="G121" s="14">
        <v>55.87</v>
      </c>
      <c r="H121" s="14">
        <v>807</v>
      </c>
      <c r="I121" s="14">
        <v>655.95699999999999</v>
      </c>
      <c r="J121" s="14">
        <v>596.48958209781347</v>
      </c>
      <c r="K121" s="14">
        <v>1.0996956521739132</v>
      </c>
      <c r="L121" s="14">
        <v>1.26</v>
      </c>
      <c r="M121" s="14">
        <v>2.3199999999999998</v>
      </c>
      <c r="N121" s="14">
        <v>0.71</v>
      </c>
      <c r="O121" s="14">
        <v>0.41</v>
      </c>
      <c r="P121" s="14">
        <v>0.17</v>
      </c>
      <c r="Q121" s="14">
        <v>0.2</v>
      </c>
      <c r="R121" s="14">
        <v>0.19</v>
      </c>
      <c r="S121" s="14">
        <v>0.16</v>
      </c>
      <c r="T121" s="14">
        <v>0.23</v>
      </c>
    </row>
    <row r="122" spans="1:20" s="1" customFormat="1" ht="14.25" x14ac:dyDescent="0.2">
      <c r="A122" s="7">
        <v>42217</v>
      </c>
      <c r="B122" s="14">
        <v>1331</v>
      </c>
      <c r="C122" s="14">
        <v>549</v>
      </c>
      <c r="D122" s="14">
        <v>377.5</v>
      </c>
      <c r="E122" s="14">
        <v>162.5937768</v>
      </c>
      <c r="F122" s="14">
        <v>115</v>
      </c>
      <c r="G122" s="14">
        <v>46.99</v>
      </c>
      <c r="H122" s="14">
        <v>803.6</v>
      </c>
      <c r="I122" s="14">
        <v>655.95699999999999</v>
      </c>
      <c r="J122" s="14">
        <v>588.88</v>
      </c>
      <c r="K122" s="14">
        <v>1.1144095238095237</v>
      </c>
      <c r="L122" s="14">
        <v>1.1499999999999999</v>
      </c>
      <c r="M122" s="14">
        <v>2.17</v>
      </c>
      <c r="N122" s="14">
        <v>0.61</v>
      </c>
      <c r="O122" s="14">
        <v>0.375</v>
      </c>
      <c r="P122" s="14">
        <v>0.19500000000000001</v>
      </c>
      <c r="Q122" s="14">
        <v>0.2</v>
      </c>
      <c r="R122" s="14">
        <v>0.187</v>
      </c>
      <c r="S122" s="14">
        <v>4.7E-2</v>
      </c>
      <c r="T122" s="14">
        <v>0.127</v>
      </c>
    </row>
    <row r="123" spans="1:20" s="1" customFormat="1" ht="14.25" x14ac:dyDescent="0.2">
      <c r="A123" s="7">
        <v>42248</v>
      </c>
      <c r="B123" s="14">
        <v>1321</v>
      </c>
      <c r="C123" s="14">
        <v>538</v>
      </c>
      <c r="D123" s="14">
        <v>360</v>
      </c>
      <c r="E123" s="14">
        <v>165.62117599999999</v>
      </c>
      <c r="F123" s="14">
        <v>121</v>
      </c>
      <c r="G123" s="14">
        <v>47.24</v>
      </c>
      <c r="H123" s="14">
        <v>801.2</v>
      </c>
      <c r="I123" s="14">
        <v>655.95699999999999</v>
      </c>
      <c r="J123" s="14">
        <v>583.76160965664542</v>
      </c>
      <c r="K123" s="14">
        <v>1.1236727272727272</v>
      </c>
      <c r="L123" s="14">
        <v>1.2170000000000001</v>
      </c>
      <c r="M123" s="14">
        <v>2.17</v>
      </c>
      <c r="N123" s="14">
        <v>0.65</v>
      </c>
      <c r="O123" s="14">
        <v>0.34499999999999997</v>
      </c>
      <c r="P123" s="14">
        <v>-3.5999999999999997E-2</v>
      </c>
      <c r="Q123" s="14">
        <v>0</v>
      </c>
      <c r="R123" s="14">
        <v>0</v>
      </c>
      <c r="S123" s="14">
        <v>3.1E-2</v>
      </c>
      <c r="T123" s="14">
        <v>-0.1</v>
      </c>
    </row>
    <row r="124" spans="1:20" s="1" customFormat="1" ht="14.25" x14ac:dyDescent="0.2">
      <c r="A124" s="7">
        <v>42278</v>
      </c>
      <c r="B124" s="14">
        <v>1314</v>
      </c>
      <c r="C124" s="14">
        <v>583</v>
      </c>
      <c r="D124" s="14">
        <v>369.27</v>
      </c>
      <c r="E124" s="14">
        <v>171.388588</v>
      </c>
      <c r="F124" s="14">
        <v>123</v>
      </c>
      <c r="G124" s="14">
        <v>48.12</v>
      </c>
      <c r="H124" s="14">
        <v>800.9</v>
      </c>
      <c r="I124" s="14">
        <v>655.95699999999999</v>
      </c>
      <c r="J124" s="14">
        <v>584.71718448647516</v>
      </c>
      <c r="K124" s="14">
        <v>1.1218363636363635</v>
      </c>
      <c r="L124" s="14">
        <v>0.90300000000000002</v>
      </c>
      <c r="M124" s="14">
        <v>2.0699999999999998</v>
      </c>
      <c r="N124" s="14">
        <v>0.52</v>
      </c>
      <c r="O124" s="14">
        <v>0.29499999999999998</v>
      </c>
      <c r="P124" s="14">
        <v>0.17100000000000001</v>
      </c>
      <c r="Q124" s="14">
        <v>0.3</v>
      </c>
      <c r="R124" s="14">
        <v>0.28100000000000003</v>
      </c>
      <c r="S124" s="14">
        <v>5.5E-2</v>
      </c>
      <c r="T124" s="14">
        <v>0.1</v>
      </c>
    </row>
    <row r="125" spans="1:20" s="1" customFormat="1" ht="14.25" x14ac:dyDescent="0.2">
      <c r="A125" s="7">
        <v>42309</v>
      </c>
      <c r="B125" s="14">
        <v>1298</v>
      </c>
      <c r="C125" s="14">
        <v>558</v>
      </c>
      <c r="D125" s="14">
        <v>366.24</v>
      </c>
      <c r="E125" s="14">
        <v>166.1565808</v>
      </c>
      <c r="F125" s="14">
        <v>123</v>
      </c>
      <c r="G125" s="14">
        <v>44.42</v>
      </c>
      <c r="H125" s="14">
        <v>815</v>
      </c>
      <c r="I125" s="14">
        <v>655.95699999999999</v>
      </c>
      <c r="J125" s="14">
        <v>611.34348163763445</v>
      </c>
      <c r="K125" s="14">
        <v>1.0718113612004287</v>
      </c>
      <c r="L125" s="14">
        <v>0.89300000000000002</v>
      </c>
      <c r="M125" s="14">
        <v>2.2599999999999998</v>
      </c>
      <c r="N125" s="14">
        <v>0.52</v>
      </c>
      <c r="O125" s="14">
        <v>0.3</v>
      </c>
      <c r="P125" s="14">
        <v>0.5</v>
      </c>
      <c r="Q125" s="14">
        <v>0.3</v>
      </c>
      <c r="R125" s="14">
        <v>0.37</v>
      </c>
      <c r="S125" s="14">
        <v>0.04</v>
      </c>
      <c r="T125" s="14">
        <v>0.1</v>
      </c>
    </row>
    <row r="126" spans="1:20" s="1" customFormat="1" ht="14.25" x14ac:dyDescent="0.2">
      <c r="A126" s="7">
        <v>42339</v>
      </c>
      <c r="B126" s="14">
        <v>1283</v>
      </c>
      <c r="C126" s="14">
        <v>568</v>
      </c>
      <c r="D126" s="14">
        <v>360.24</v>
      </c>
      <c r="E126" s="14">
        <v>163.948036</v>
      </c>
      <c r="F126" s="14">
        <v>122.5</v>
      </c>
      <c r="G126" s="14">
        <v>37.72</v>
      </c>
      <c r="H126" s="14">
        <v>847.95399999999995</v>
      </c>
      <c r="I126" s="14">
        <v>655.95699999999999</v>
      </c>
      <c r="J126" s="14">
        <v>601.90105164049533</v>
      </c>
      <c r="K126" s="14">
        <v>1.0893246187363834</v>
      </c>
      <c r="L126" s="14">
        <v>0.94299999999999995</v>
      </c>
      <c r="M126" s="14">
        <v>2.2400000000000002</v>
      </c>
      <c r="N126" s="14">
        <v>0.55000000000000004</v>
      </c>
      <c r="O126" s="14">
        <v>0.26500000000000001</v>
      </c>
      <c r="P126" s="14">
        <v>0.73</v>
      </c>
      <c r="Q126" s="14">
        <v>0.2</v>
      </c>
      <c r="R126" s="14">
        <v>0.28000000000000003</v>
      </c>
      <c r="S126" s="14">
        <v>0.17</v>
      </c>
      <c r="T126" s="14">
        <v>0.2</v>
      </c>
    </row>
    <row r="127" spans="1:20" s="1" customFormat="1" ht="14.25" x14ac:dyDescent="0.2">
      <c r="A127" s="7">
        <v>42370</v>
      </c>
      <c r="B127" s="14">
        <v>1274</v>
      </c>
      <c r="C127" s="14">
        <v>566</v>
      </c>
      <c r="D127" s="14">
        <v>366.19</v>
      </c>
      <c r="E127" s="14">
        <v>161.0269304</v>
      </c>
      <c r="F127" s="14">
        <v>118</v>
      </c>
      <c r="G127" s="14">
        <v>30.8</v>
      </c>
      <c r="H127" s="14">
        <v>712.37</v>
      </c>
      <c r="I127" s="14">
        <v>655.95699999999999</v>
      </c>
      <c r="J127" s="14">
        <v>603.66786449888252</v>
      </c>
      <c r="K127" s="14">
        <v>1.0866190476190476</v>
      </c>
      <c r="L127" s="14">
        <v>0.85299999999999998</v>
      </c>
      <c r="M127" s="14">
        <v>2.09</v>
      </c>
      <c r="N127" s="14">
        <v>0.43</v>
      </c>
      <c r="O127" s="14">
        <v>0.1</v>
      </c>
      <c r="P127" s="14">
        <v>1.37</v>
      </c>
      <c r="Q127" s="14">
        <v>0</v>
      </c>
      <c r="R127" s="14">
        <v>0.47</v>
      </c>
      <c r="S127" s="14">
        <v>0.22</v>
      </c>
      <c r="T127" s="14">
        <v>0.3</v>
      </c>
    </row>
    <row r="128" spans="1:20" s="1" customFormat="1" ht="14.25" x14ac:dyDescent="0.2">
      <c r="A128" s="7">
        <v>42401</v>
      </c>
      <c r="B128" s="14">
        <v>1271</v>
      </c>
      <c r="C128" s="14">
        <v>640</v>
      </c>
      <c r="D128" s="14">
        <v>377.38</v>
      </c>
      <c r="E128" s="14">
        <v>159.67660799999999</v>
      </c>
      <c r="F128" s="14">
        <v>115</v>
      </c>
      <c r="G128" s="14">
        <v>33.200000000000003</v>
      </c>
      <c r="H128" s="14">
        <v>727.65</v>
      </c>
      <c r="I128" s="14">
        <v>655.95699999999999</v>
      </c>
      <c r="J128" s="14">
        <v>590.74950681876669</v>
      </c>
      <c r="K128" s="14">
        <v>1.1103809523809522</v>
      </c>
      <c r="L128" s="14">
        <v>0.59199999999999997</v>
      </c>
      <c r="M128" s="14">
        <v>1.78</v>
      </c>
      <c r="N128" s="14">
        <v>0.17</v>
      </c>
      <c r="O128" s="14">
        <v>-6.5000000000000002E-2</v>
      </c>
      <c r="P128" s="14">
        <v>1.02</v>
      </c>
      <c r="Q128" s="14">
        <v>0.3</v>
      </c>
      <c r="R128" s="14">
        <v>0</v>
      </c>
      <c r="S128" s="14">
        <v>-0.19</v>
      </c>
      <c r="T128" s="14">
        <v>-0.2</v>
      </c>
    </row>
    <row r="129" spans="1:20" s="1" customFormat="1" ht="14.25" x14ac:dyDescent="0.2">
      <c r="A129" s="7">
        <v>42430</v>
      </c>
      <c r="B129" s="14">
        <v>1286</v>
      </c>
      <c r="C129" s="14">
        <v>686</v>
      </c>
      <c r="D129" s="14">
        <v>374.9</v>
      </c>
      <c r="E129" s="14">
        <v>159.13726639999999</v>
      </c>
      <c r="F129" s="14">
        <v>115</v>
      </c>
      <c r="G129" s="14">
        <v>39.07</v>
      </c>
      <c r="H129" s="14">
        <v>824.47</v>
      </c>
      <c r="I129" s="14">
        <v>655.95699999999999</v>
      </c>
      <c r="J129" s="14">
        <v>588.81885061957269</v>
      </c>
      <c r="K129" s="14">
        <v>1.1140217391304346</v>
      </c>
      <c r="L129" s="14">
        <v>0.50900000000000001</v>
      </c>
      <c r="M129" s="14" t="s">
        <v>20</v>
      </c>
      <c r="N129" s="14">
        <v>0.17</v>
      </c>
      <c r="O129" s="14">
        <v>-0.05</v>
      </c>
      <c r="P129" s="14">
        <v>0.85</v>
      </c>
      <c r="Q129" s="14">
        <v>-0.1</v>
      </c>
      <c r="R129" s="14">
        <v>0.28000000000000003</v>
      </c>
      <c r="S129" s="14">
        <v>-0.15</v>
      </c>
      <c r="T129" s="14">
        <v>0</v>
      </c>
    </row>
    <row r="130" spans="1:20" s="1" customFormat="1" ht="14.25" x14ac:dyDescent="0.2">
      <c r="A130" s="7">
        <v>42461</v>
      </c>
      <c r="B130" s="14">
        <v>1350</v>
      </c>
      <c r="C130" s="14">
        <v>723</v>
      </c>
      <c r="D130" s="14">
        <v>383.53</v>
      </c>
      <c r="E130" s="14">
        <v>164.4125784</v>
      </c>
      <c r="F130" s="14">
        <v>115</v>
      </c>
      <c r="G130" s="14">
        <v>42.25</v>
      </c>
      <c r="H130" s="14">
        <v>814.98</v>
      </c>
      <c r="I130" s="14">
        <v>655.95699999999999</v>
      </c>
      <c r="J130" s="14">
        <v>578.5060579971863</v>
      </c>
      <c r="K130" s="14">
        <v>1.1338809523809523</v>
      </c>
      <c r="L130" s="14">
        <v>0.51400000000000001</v>
      </c>
      <c r="M130" s="14">
        <v>1.81</v>
      </c>
      <c r="N130" s="14">
        <v>0.13</v>
      </c>
      <c r="O130" s="14">
        <v>-8.5000000000000006E-2</v>
      </c>
      <c r="P130" s="14">
        <v>1.125</v>
      </c>
      <c r="Q130" s="14">
        <v>-0.3</v>
      </c>
      <c r="R130" s="14">
        <v>-0.09</v>
      </c>
      <c r="S130" s="14">
        <v>-0.19</v>
      </c>
      <c r="T130" s="14">
        <v>-0.2</v>
      </c>
    </row>
    <row r="131" spans="1:20" s="1" customFormat="1" ht="14.25" x14ac:dyDescent="0.2">
      <c r="A131" s="7">
        <v>42491</v>
      </c>
      <c r="B131" s="14">
        <v>1600</v>
      </c>
      <c r="C131" s="14">
        <v>706.25</v>
      </c>
      <c r="D131" s="14">
        <v>414.38</v>
      </c>
      <c r="E131" s="14">
        <v>168.96</v>
      </c>
      <c r="F131" s="14">
        <v>115</v>
      </c>
      <c r="G131" s="14">
        <v>47.13</v>
      </c>
      <c r="H131" s="14">
        <v>818.25</v>
      </c>
      <c r="I131" s="14">
        <v>655.95699999999999</v>
      </c>
      <c r="J131" s="14">
        <v>579.92999999999995</v>
      </c>
      <c r="K131" s="14">
        <v>1.1297454545454546</v>
      </c>
      <c r="L131" s="14">
        <v>0.50900000000000001</v>
      </c>
      <c r="M131" s="14">
        <v>1.81</v>
      </c>
      <c r="N131" s="14">
        <v>0.13</v>
      </c>
      <c r="O131" s="14">
        <v>-0.12</v>
      </c>
      <c r="P131" s="14">
        <v>1.022</v>
      </c>
      <c r="Q131" s="14">
        <v>-0.4</v>
      </c>
      <c r="R131" s="14">
        <v>9.2999999999999999E-2</v>
      </c>
      <c r="S131" s="14">
        <v>-0.02</v>
      </c>
      <c r="T131" s="14">
        <v>-0.1</v>
      </c>
    </row>
    <row r="132" spans="1:20" s="1" customFormat="1" ht="14.25" x14ac:dyDescent="0.2">
      <c r="A132" s="7">
        <v>42522</v>
      </c>
      <c r="B132" s="14">
        <v>1700</v>
      </c>
      <c r="C132" s="14">
        <v>683</v>
      </c>
      <c r="D132" s="14">
        <v>426.83</v>
      </c>
      <c r="E132" s="14">
        <v>179.87239199999999</v>
      </c>
      <c r="F132" s="14">
        <v>115</v>
      </c>
      <c r="G132" s="14">
        <v>48.48</v>
      </c>
      <c r="H132" s="14">
        <v>822.38</v>
      </c>
      <c r="I132" s="14">
        <v>655.95699999999999</v>
      </c>
      <c r="J132" s="14">
        <v>583.98605391699994</v>
      </c>
      <c r="K132" s="14">
        <v>1.1232408644012397</v>
      </c>
      <c r="L132" s="14">
        <v>0.39</v>
      </c>
      <c r="M132" s="14">
        <v>1.64</v>
      </c>
      <c r="N132" s="14">
        <v>-0.02</v>
      </c>
      <c r="O132" s="14">
        <v>-0.23499999999999999</v>
      </c>
      <c r="P132" s="14">
        <v>1.006</v>
      </c>
      <c r="Q132" s="14">
        <v>-0.4</v>
      </c>
      <c r="R132" s="14">
        <v>0.28000000000000003</v>
      </c>
      <c r="S132" s="14">
        <v>0.189</v>
      </c>
      <c r="T132" s="14">
        <v>0.1</v>
      </c>
    </row>
    <row r="133" spans="1:20" s="1" customFormat="1" ht="14.25" x14ac:dyDescent="0.2">
      <c r="A133" s="7">
        <v>42552</v>
      </c>
      <c r="B133" s="14">
        <v>1673</v>
      </c>
      <c r="C133" s="14">
        <v>651</v>
      </c>
      <c r="D133" s="14">
        <v>417.89</v>
      </c>
      <c r="E133" s="14">
        <v>161.75917519999999</v>
      </c>
      <c r="F133" s="14">
        <v>115</v>
      </c>
      <c r="G133" s="14">
        <v>45.07</v>
      </c>
      <c r="H133" s="14">
        <v>824.15</v>
      </c>
      <c r="I133" s="14">
        <v>655.95699999999999</v>
      </c>
      <c r="J133" s="14">
        <v>592.61</v>
      </c>
      <c r="K133" s="14">
        <v>1.1063476190476191</v>
      </c>
      <c r="L133" s="14">
        <v>0.17499999999999999</v>
      </c>
      <c r="M133" s="14">
        <v>1.5</v>
      </c>
      <c r="N133" s="14">
        <v>-0.15</v>
      </c>
      <c r="O133" s="14">
        <v>-0.18</v>
      </c>
      <c r="P133" s="14">
        <v>0.84</v>
      </c>
      <c r="Q133" s="14">
        <v>-0.4</v>
      </c>
      <c r="R133" s="14">
        <v>0.37</v>
      </c>
      <c r="S133" s="14">
        <v>0.22</v>
      </c>
      <c r="T133" s="14">
        <v>0.2</v>
      </c>
    </row>
    <row r="134" spans="1:20" s="1" customFormat="1" ht="14.25" x14ac:dyDescent="0.2">
      <c r="A134" s="7">
        <v>42583</v>
      </c>
      <c r="B134" s="14">
        <v>1650</v>
      </c>
      <c r="C134" s="14">
        <v>736.25</v>
      </c>
      <c r="D134" s="14">
        <v>397.84</v>
      </c>
      <c r="E134" s="14">
        <v>150.55504239999999</v>
      </c>
      <c r="F134" s="14">
        <v>111</v>
      </c>
      <c r="G134" s="14">
        <v>46.14</v>
      </c>
      <c r="H134" s="14">
        <v>818.68</v>
      </c>
      <c r="I134" s="14">
        <v>655.95699999999999</v>
      </c>
      <c r="J134" s="14">
        <v>585.43726353776594</v>
      </c>
      <c r="K134" s="14">
        <v>1.1204565217391307</v>
      </c>
      <c r="L134" s="14">
        <v>0.152</v>
      </c>
      <c r="M134" s="14">
        <v>1.56</v>
      </c>
      <c r="N134" s="14">
        <v>-0.13</v>
      </c>
      <c r="O134" s="14">
        <v>-7.0000000000000007E-2</v>
      </c>
      <c r="P134" s="14">
        <v>1.06</v>
      </c>
      <c r="Q134" s="14">
        <v>-0.5</v>
      </c>
      <c r="R134" s="14">
        <v>0.37</v>
      </c>
      <c r="S134" s="14">
        <v>0.23</v>
      </c>
      <c r="T134" s="14">
        <v>0.2</v>
      </c>
    </row>
    <row r="135" spans="1:20" s="1" customFormat="1" ht="14.25" x14ac:dyDescent="0.2">
      <c r="A135" s="7">
        <v>42614</v>
      </c>
      <c r="B135" s="14">
        <v>1620</v>
      </c>
      <c r="C135" s="14">
        <v>756</v>
      </c>
      <c r="D135" s="14">
        <v>365.57</v>
      </c>
      <c r="E135" s="14">
        <v>148.42523360000001</v>
      </c>
      <c r="F135" s="14">
        <v>110</v>
      </c>
      <c r="G135" s="14">
        <v>46.19</v>
      </c>
      <c r="H135" s="14">
        <v>818.31</v>
      </c>
      <c r="I135" s="14">
        <v>655.95699999999999</v>
      </c>
      <c r="J135" s="14">
        <v>584.98027913236308</v>
      </c>
      <c r="K135" s="14">
        <v>1.1213318181818179</v>
      </c>
      <c r="L135" s="14">
        <v>0.184</v>
      </c>
      <c r="M135" s="14">
        <v>1.63</v>
      </c>
      <c r="N135" s="14">
        <v>-0.09</v>
      </c>
      <c r="O135" s="14">
        <v>-8.5000000000000006E-2</v>
      </c>
      <c r="P135" s="14">
        <v>1.46</v>
      </c>
      <c r="Q135" s="14">
        <v>-0.5</v>
      </c>
      <c r="R135" s="14">
        <v>0.65</v>
      </c>
      <c r="S135" s="14">
        <v>0.39</v>
      </c>
      <c r="T135" s="14">
        <v>0.4</v>
      </c>
    </row>
    <row r="136" spans="1:20" s="1" customFormat="1" ht="14.25" x14ac:dyDescent="0.2">
      <c r="A136" s="7">
        <v>42644</v>
      </c>
      <c r="B136" s="14">
        <v>1575</v>
      </c>
      <c r="C136" s="14">
        <v>716</v>
      </c>
      <c r="D136" s="14">
        <v>350.3</v>
      </c>
      <c r="E136" s="14">
        <v>152.25967679999999</v>
      </c>
      <c r="F136" s="14">
        <v>110</v>
      </c>
      <c r="G136" s="14">
        <v>49.73</v>
      </c>
      <c r="H136" s="14">
        <v>821.59</v>
      </c>
      <c r="I136" s="14">
        <v>655.95699999999999</v>
      </c>
      <c r="J136" s="14">
        <v>595.05458048407513</v>
      </c>
      <c r="K136" s="14">
        <v>1.1023476190476191</v>
      </c>
      <c r="L136" s="14">
        <v>0.33100000000000002</v>
      </c>
      <c r="M136" s="14">
        <v>1.76</v>
      </c>
      <c r="N136" s="14">
        <v>0</v>
      </c>
      <c r="O136" s="14">
        <v>-5.5E-2</v>
      </c>
      <c r="P136" s="14">
        <v>1.6359999999999999</v>
      </c>
      <c r="Q136" s="14">
        <v>0.1</v>
      </c>
      <c r="R136" s="14">
        <v>0.84099999999999997</v>
      </c>
      <c r="S136" s="14">
        <v>0.36</v>
      </c>
      <c r="T136" s="14">
        <v>0.5</v>
      </c>
    </row>
    <row r="137" spans="1:20" s="1" customFormat="1" ht="14.25" x14ac:dyDescent="0.2">
      <c r="A137" s="7">
        <v>42675</v>
      </c>
      <c r="B137" s="14">
        <v>1525</v>
      </c>
      <c r="C137" s="14">
        <v>755</v>
      </c>
      <c r="D137" s="14">
        <v>339.59</v>
      </c>
      <c r="E137" s="14">
        <v>151.80300800000001</v>
      </c>
      <c r="F137" s="14">
        <v>104</v>
      </c>
      <c r="G137" s="14">
        <v>46.44</v>
      </c>
      <c r="H137" s="14">
        <v>828.9</v>
      </c>
      <c r="I137" s="14">
        <v>655.95699999999999</v>
      </c>
      <c r="J137" s="14">
        <v>608.51195816849997</v>
      </c>
      <c r="K137" s="14">
        <v>1.0779689555720486</v>
      </c>
      <c r="L137" s="14">
        <v>0.66700000000000004</v>
      </c>
      <c r="M137" s="14">
        <v>2.14</v>
      </c>
      <c r="N137" s="14">
        <v>0.19</v>
      </c>
      <c r="O137" s="14">
        <v>1.4999999999999999E-2</v>
      </c>
      <c r="P137" s="14">
        <v>1.6930000000000001</v>
      </c>
      <c r="Q137" s="14">
        <v>0.5</v>
      </c>
      <c r="R137" s="14">
        <v>0.84</v>
      </c>
      <c r="S137" s="14">
        <v>0.53100000000000003</v>
      </c>
      <c r="T137" s="14">
        <v>0.6</v>
      </c>
    </row>
    <row r="138" spans="1:20" s="1" customFormat="1" ht="14.25" x14ac:dyDescent="0.2">
      <c r="A138" s="7">
        <v>42705</v>
      </c>
      <c r="B138" s="14">
        <v>1507.5</v>
      </c>
      <c r="C138" s="14">
        <v>751</v>
      </c>
      <c r="D138" s="14">
        <v>354.42</v>
      </c>
      <c r="E138" s="14">
        <v>152.44864319999999</v>
      </c>
      <c r="F138" s="14">
        <v>103</v>
      </c>
      <c r="G138" s="14">
        <v>54.07</v>
      </c>
      <c r="H138" s="14">
        <v>837.82394751009429</v>
      </c>
      <c r="I138" s="14">
        <v>655.95699999999999</v>
      </c>
      <c r="J138" s="14">
        <v>622.50319300000001</v>
      </c>
      <c r="K138" s="14">
        <v>1.053740779768177</v>
      </c>
      <c r="L138" s="14">
        <v>0.75900000000000001</v>
      </c>
      <c r="M138" s="14">
        <v>2.4900000000000002</v>
      </c>
      <c r="N138" s="14">
        <v>0.25</v>
      </c>
      <c r="O138" s="14">
        <v>0.04</v>
      </c>
      <c r="P138" s="14">
        <v>2.0746000000000002</v>
      </c>
      <c r="Q138" s="14">
        <v>0.3</v>
      </c>
      <c r="R138" s="14">
        <v>1.6821999999999999</v>
      </c>
      <c r="S138" s="14">
        <v>0.60980000000000001</v>
      </c>
      <c r="T138" s="14">
        <v>1.1000000000000001</v>
      </c>
    </row>
    <row r="139" spans="1:20" s="1" customFormat="1" ht="14.25" x14ac:dyDescent="0.2">
      <c r="A139" s="7">
        <v>42736</v>
      </c>
      <c r="B139" s="14">
        <v>1520</v>
      </c>
      <c r="C139" s="14">
        <v>805.75</v>
      </c>
      <c r="D139" s="14">
        <v>355.9</v>
      </c>
      <c r="E139" s="14">
        <v>159.98761519999999</v>
      </c>
      <c r="F139" s="14">
        <v>99</v>
      </c>
      <c r="G139" s="14">
        <v>54.89</v>
      </c>
      <c r="H139" s="14">
        <v>834.64</v>
      </c>
      <c r="I139" s="14">
        <v>655.95699999999999</v>
      </c>
      <c r="J139" s="14">
        <v>617.08977666609985</v>
      </c>
      <c r="K139" s="14">
        <v>1.0629847143861058</v>
      </c>
      <c r="L139" s="14">
        <v>0.86309999999999998</v>
      </c>
      <c r="M139" s="14">
        <v>2.4300000000000002</v>
      </c>
      <c r="N139" s="14">
        <v>0.25</v>
      </c>
      <c r="O139" s="14">
        <v>0.08</v>
      </c>
      <c r="P139" s="14">
        <v>2.5</v>
      </c>
      <c r="Q139" s="14">
        <v>0.4</v>
      </c>
      <c r="R139" s="14">
        <v>1.885</v>
      </c>
      <c r="S139" s="14">
        <v>1.3424</v>
      </c>
      <c r="T139" s="14">
        <v>1.8</v>
      </c>
    </row>
    <row r="140" spans="1:20" s="1" customFormat="1" ht="14.25" x14ac:dyDescent="0.2">
      <c r="A140" s="7">
        <v>42767</v>
      </c>
      <c r="B140" s="14">
        <v>1545</v>
      </c>
      <c r="C140" s="14">
        <v>778.75</v>
      </c>
      <c r="D140" s="14">
        <v>348.75</v>
      </c>
      <c r="E140" s="14">
        <v>162.8575424</v>
      </c>
      <c r="F140" s="14">
        <v>98</v>
      </c>
      <c r="G140" s="14">
        <v>55.49</v>
      </c>
      <c r="H140" s="14">
        <v>835.26</v>
      </c>
      <c r="I140" s="14">
        <v>655.95699999999999</v>
      </c>
      <c r="J140" s="14">
        <v>616.18239134800001</v>
      </c>
      <c r="K140" s="14">
        <v>1.0645500572727931</v>
      </c>
      <c r="L140" s="14">
        <v>1.038</v>
      </c>
      <c r="M140" s="14">
        <v>2.42</v>
      </c>
      <c r="N140" s="14">
        <v>0.26</v>
      </c>
      <c r="O140" s="14">
        <v>0.05</v>
      </c>
      <c r="P140" s="14">
        <v>2.738</v>
      </c>
      <c r="Q140" s="14">
        <v>0.3</v>
      </c>
      <c r="R140" s="14">
        <v>2.16</v>
      </c>
      <c r="S140" s="14">
        <v>1.208</v>
      </c>
      <c r="T140" s="14">
        <v>2</v>
      </c>
    </row>
    <row r="141" spans="1:20" s="1" customFormat="1" ht="14.25" x14ac:dyDescent="0.2">
      <c r="A141" s="7">
        <v>42795</v>
      </c>
      <c r="B141" s="14">
        <v>1578</v>
      </c>
      <c r="C141" s="14">
        <v>736</v>
      </c>
      <c r="D141" s="14">
        <v>358.43</v>
      </c>
      <c r="E141" s="14">
        <v>158.96404720000001</v>
      </c>
      <c r="F141" s="14">
        <v>98</v>
      </c>
      <c r="G141" s="14">
        <v>51.97</v>
      </c>
      <c r="H141" s="14">
        <v>831.79</v>
      </c>
      <c r="I141" s="14">
        <v>655.95699999999999</v>
      </c>
      <c r="J141" s="14">
        <v>613.80463394291894</v>
      </c>
      <c r="K141" s="14">
        <v>1.0686739130434799</v>
      </c>
      <c r="L141" s="14">
        <v>1.024</v>
      </c>
      <c r="M141" s="14">
        <v>2.48</v>
      </c>
      <c r="N141" s="14">
        <v>0.35</v>
      </c>
      <c r="O141" s="14">
        <v>6.5000000000000002E-2</v>
      </c>
      <c r="P141" s="14">
        <v>2.3809999999999998</v>
      </c>
      <c r="Q141" s="14">
        <v>0.2</v>
      </c>
      <c r="R141" s="14">
        <v>1.5840000000000001</v>
      </c>
      <c r="S141" s="14">
        <v>1.1499999999999999</v>
      </c>
      <c r="T141" s="14">
        <v>1.5</v>
      </c>
    </row>
    <row r="142" spans="1:20" s="1" customFormat="1" ht="14.25" x14ac:dyDescent="0.2">
      <c r="A142" s="7">
        <v>42826</v>
      </c>
      <c r="B142" s="14">
        <v>1558</v>
      </c>
      <c r="C142" s="14">
        <v>685</v>
      </c>
      <c r="D142" s="14">
        <v>358.53</v>
      </c>
      <c r="E142" s="14">
        <v>156.44055839999999</v>
      </c>
      <c r="F142" s="14">
        <v>96</v>
      </c>
      <c r="G142" s="14">
        <v>52.98</v>
      </c>
      <c r="H142" s="14">
        <v>832.89</v>
      </c>
      <c r="I142" s="14">
        <v>655.95699999999999</v>
      </c>
      <c r="J142" s="14">
        <v>612.007881</v>
      </c>
      <c r="K142" s="14">
        <v>1.0718113612004287</v>
      </c>
      <c r="L142" s="14">
        <v>0.89</v>
      </c>
      <c r="M142" s="14">
        <v>2.2999999999999998</v>
      </c>
      <c r="N142" s="14">
        <v>0.22</v>
      </c>
      <c r="O142" s="14">
        <v>0.01</v>
      </c>
      <c r="P142" s="14">
        <v>2.2000000000000002</v>
      </c>
      <c r="Q142" s="14">
        <v>0.4</v>
      </c>
      <c r="R142" s="14">
        <v>1.964</v>
      </c>
      <c r="S142" s="14">
        <v>1.169</v>
      </c>
      <c r="T142" s="14">
        <v>1.9</v>
      </c>
    </row>
    <row r="143" spans="1:20" s="1" customFormat="1" ht="14.25" x14ac:dyDescent="0.2">
      <c r="A143" s="7">
        <v>42856</v>
      </c>
      <c r="B143" s="14">
        <v>1550</v>
      </c>
      <c r="C143" s="14">
        <v>723.75</v>
      </c>
      <c r="D143" s="14">
        <v>394.95</v>
      </c>
      <c r="E143" s="14">
        <v>158.5900512</v>
      </c>
      <c r="F143" s="14">
        <v>93</v>
      </c>
      <c r="G143" s="14">
        <v>50.87</v>
      </c>
      <c r="H143" s="14">
        <v>816.17</v>
      </c>
      <c r="I143" s="14">
        <v>655.95699999999999</v>
      </c>
      <c r="J143" s="14">
        <v>593.29942191985526</v>
      </c>
      <c r="K143" s="14">
        <v>1.1056086956521738</v>
      </c>
      <c r="L143" s="14">
        <v>0.81</v>
      </c>
      <c r="M143" s="14">
        <v>2.2999999999999998</v>
      </c>
      <c r="N143" s="14">
        <v>0.34</v>
      </c>
      <c r="O143" s="14">
        <v>0.04</v>
      </c>
      <c r="P143" s="14">
        <v>1.8749</v>
      </c>
      <c r="Q143" s="14">
        <v>0.4</v>
      </c>
      <c r="R143" s="14">
        <v>1.4924999999999999</v>
      </c>
      <c r="S143" s="14">
        <v>0.80600000000000005</v>
      </c>
      <c r="T143" s="14">
        <v>1.4</v>
      </c>
    </row>
    <row r="144" spans="1:20" s="1" customFormat="1" ht="14.25" x14ac:dyDescent="0.2">
      <c r="A144" s="7">
        <v>42887</v>
      </c>
      <c r="B144" s="14">
        <v>1518</v>
      </c>
      <c r="C144" s="14">
        <v>677</v>
      </c>
      <c r="D144" s="14">
        <v>440.86</v>
      </c>
      <c r="E144" s="14">
        <v>157.93260559999999</v>
      </c>
      <c r="F144" s="14">
        <v>93</v>
      </c>
      <c r="G144" s="14">
        <v>46.89</v>
      </c>
      <c r="H144" s="14">
        <v>808.22</v>
      </c>
      <c r="I144" s="14">
        <v>655.95699999999999</v>
      </c>
      <c r="J144" s="14">
        <v>584.1633270994746</v>
      </c>
      <c r="K144" s="14">
        <v>1.1229</v>
      </c>
      <c r="L144" s="14">
        <v>0.66</v>
      </c>
      <c r="M144" s="14">
        <v>2.19</v>
      </c>
      <c r="N144" s="14">
        <v>0.25</v>
      </c>
      <c r="O144" s="14">
        <v>8.5000000000000006E-2</v>
      </c>
      <c r="P144" s="14">
        <v>1.633</v>
      </c>
      <c r="Q144" s="14">
        <v>0.4</v>
      </c>
      <c r="R144" s="14">
        <v>1.5840000000000001</v>
      </c>
      <c r="S144" s="14">
        <v>0.68600000000000005</v>
      </c>
      <c r="T144" s="14">
        <v>1.3</v>
      </c>
    </row>
    <row r="145" spans="1:20" s="1" customFormat="1" ht="14.25" x14ac:dyDescent="0.2">
      <c r="A145" s="7">
        <v>42917</v>
      </c>
      <c r="B145" s="14">
        <v>1498</v>
      </c>
      <c r="C145" s="14">
        <v>663</v>
      </c>
      <c r="D145" s="14">
        <v>397.43</v>
      </c>
      <c r="E145" s="14">
        <v>157.511368</v>
      </c>
      <c r="F145" s="14">
        <v>88</v>
      </c>
      <c r="G145" s="14">
        <v>48.69</v>
      </c>
      <c r="H145" s="14">
        <v>795.48</v>
      </c>
      <c r="I145" s="14">
        <v>655.95699999999999</v>
      </c>
      <c r="J145" s="14">
        <v>569.85231517678744</v>
      </c>
      <c r="K145" s="14">
        <v>1.1511</v>
      </c>
      <c r="L145" s="14">
        <v>0.83599999999999997</v>
      </c>
      <c r="M145" s="14">
        <v>2.3199999999999998</v>
      </c>
      <c r="N145" s="14">
        <v>0.46</v>
      </c>
      <c r="O145" s="14">
        <v>7.4999999999999997E-2</v>
      </c>
      <c r="P145" s="14">
        <v>1.728</v>
      </c>
      <c r="Q145" s="14">
        <v>0.4</v>
      </c>
      <c r="R145" s="14">
        <v>1.673</v>
      </c>
      <c r="S145" s="14">
        <v>0.71799999999999997</v>
      </c>
      <c r="T145" s="14">
        <v>1.3</v>
      </c>
    </row>
    <row r="146" spans="1:20" s="1" customFormat="1" ht="14.25" x14ac:dyDescent="0.2">
      <c r="A146" s="7">
        <v>42948</v>
      </c>
      <c r="B146" s="14">
        <v>1478</v>
      </c>
      <c r="C146" s="14">
        <v>674</v>
      </c>
      <c r="D146" s="14">
        <v>376.14</v>
      </c>
      <c r="E146" s="14">
        <v>148.49609599999999</v>
      </c>
      <c r="F146" s="14">
        <v>86</v>
      </c>
      <c r="G146" s="14">
        <v>51.37</v>
      </c>
      <c r="H146" s="14">
        <v>784.04</v>
      </c>
      <c r="I146" s="14">
        <v>655.95699999999999</v>
      </c>
      <c r="J146" s="14">
        <v>555.56618954857288</v>
      </c>
      <c r="K146" s="14">
        <v>1.1807000000000001</v>
      </c>
      <c r="L146" s="14">
        <v>0.71499999999999997</v>
      </c>
      <c r="M146" s="14">
        <v>2.21</v>
      </c>
      <c r="N146" s="14">
        <v>0.35</v>
      </c>
      <c r="O146" s="14">
        <v>0</v>
      </c>
      <c r="P146" s="14">
        <v>1.9390000000000001</v>
      </c>
      <c r="Q146" s="14">
        <v>0.7</v>
      </c>
      <c r="R146" s="14">
        <v>1.766</v>
      </c>
      <c r="S146" s="14">
        <v>0.90500000000000003</v>
      </c>
      <c r="T146" s="14">
        <v>1.5</v>
      </c>
    </row>
    <row r="147" spans="1:20" s="1" customFormat="1" ht="14.25" x14ac:dyDescent="0.2">
      <c r="A147" s="7">
        <v>42979</v>
      </c>
      <c r="B147" s="14">
        <v>1433</v>
      </c>
      <c r="C147" s="14">
        <v>724</v>
      </c>
      <c r="D147" s="14">
        <v>384.81</v>
      </c>
      <c r="E147" s="14">
        <v>147.2914352</v>
      </c>
      <c r="F147" s="14">
        <v>85</v>
      </c>
      <c r="G147" s="14">
        <v>55.16</v>
      </c>
      <c r="H147" s="14">
        <v>781.95</v>
      </c>
      <c r="I147" s="14">
        <v>655.95699999999999</v>
      </c>
      <c r="J147" s="14">
        <v>550.53042383550144</v>
      </c>
      <c r="K147" s="14">
        <v>1.1915</v>
      </c>
      <c r="L147" s="14">
        <v>0.7</v>
      </c>
      <c r="M147" s="14">
        <v>2.2000000000000002</v>
      </c>
      <c r="N147" s="14">
        <v>0.35</v>
      </c>
      <c r="O147" s="14">
        <v>0.06</v>
      </c>
      <c r="P147" s="14">
        <v>2.2330000000000001</v>
      </c>
      <c r="Q147" s="14">
        <v>0.7</v>
      </c>
      <c r="R147" s="14">
        <v>1.7642</v>
      </c>
      <c r="S147" s="14">
        <v>0.98660000000000003</v>
      </c>
      <c r="T147" s="14">
        <v>1.5</v>
      </c>
    </row>
    <row r="148" spans="1:20" s="1" customFormat="1" ht="14.25" x14ac:dyDescent="0.2">
      <c r="A148" s="7">
        <v>43009</v>
      </c>
      <c r="B148" s="14">
        <v>1410</v>
      </c>
      <c r="C148" s="14">
        <v>718</v>
      </c>
      <c r="D148" s="14">
        <v>375.68</v>
      </c>
      <c r="E148" s="14">
        <v>148.62207359999999</v>
      </c>
      <c r="F148" s="14">
        <v>80</v>
      </c>
      <c r="G148" s="14">
        <v>57.62</v>
      </c>
      <c r="H148" s="14">
        <v>786.31</v>
      </c>
      <c r="I148" s="14">
        <v>655.95699999999999</v>
      </c>
      <c r="J148" s="14">
        <v>557.97635250085057</v>
      </c>
      <c r="K148" s="14">
        <v>1.1756</v>
      </c>
      <c r="L148" s="14">
        <v>0.81</v>
      </c>
      <c r="M148" s="14">
        <v>2.36</v>
      </c>
      <c r="N148" s="14">
        <v>0.37</v>
      </c>
      <c r="O148" s="14">
        <v>7.0000000000000007E-2</v>
      </c>
      <c r="P148" s="14">
        <v>2.0411290000000002</v>
      </c>
      <c r="Q148" s="14">
        <v>0.2</v>
      </c>
      <c r="R148" s="14">
        <v>1.2845850000000001</v>
      </c>
      <c r="S148" s="14">
        <v>1.0560929999999999</v>
      </c>
      <c r="T148" s="14">
        <v>1.4</v>
      </c>
    </row>
    <row r="149" spans="1:20" s="1" customFormat="1" ht="14.25" x14ac:dyDescent="0.2">
      <c r="A149" s="7">
        <v>43040</v>
      </c>
      <c r="B149" s="14">
        <v>1368</v>
      </c>
      <c r="C149" s="14">
        <v>716</v>
      </c>
      <c r="D149" s="14">
        <v>378.82</v>
      </c>
      <c r="E149" s="14">
        <v>148.7047464</v>
      </c>
      <c r="F149" s="14">
        <v>80</v>
      </c>
      <c r="G149" s="14">
        <v>62.57</v>
      </c>
      <c r="H149" s="14">
        <v>787.87</v>
      </c>
      <c r="I149" s="14">
        <v>655.95699999999999</v>
      </c>
      <c r="J149" s="14">
        <v>558.83199863690572</v>
      </c>
      <c r="K149" s="14">
        <v>1.1738</v>
      </c>
      <c r="L149" s="14">
        <v>0.72</v>
      </c>
      <c r="M149" s="14">
        <v>2.35</v>
      </c>
      <c r="N149" s="14">
        <v>0.31</v>
      </c>
      <c r="O149" s="14">
        <v>0.03</v>
      </c>
      <c r="P149" s="14">
        <v>2.2025830000000002</v>
      </c>
      <c r="Q149" s="14">
        <v>0.6</v>
      </c>
      <c r="R149" s="14">
        <v>1.5920399999999999</v>
      </c>
      <c r="S149" s="14">
        <v>1.1758839999999999</v>
      </c>
      <c r="T149" s="14">
        <v>1.5</v>
      </c>
    </row>
    <row r="150" spans="1:20" s="1" customFormat="1" ht="14.25" x14ac:dyDescent="0.2">
      <c r="A150" s="7">
        <v>43070</v>
      </c>
      <c r="B150" s="14">
        <v>1360</v>
      </c>
      <c r="C150" s="14">
        <v>665.33333333333303</v>
      </c>
      <c r="D150" s="14">
        <v>388.5</v>
      </c>
      <c r="E150" s="14">
        <v>148.97638559999999</v>
      </c>
      <c r="F150" s="14">
        <v>80</v>
      </c>
      <c r="G150" s="14">
        <v>64.209999999999994</v>
      </c>
      <c r="H150" s="14">
        <v>783.56600000000003</v>
      </c>
      <c r="I150" s="14">
        <v>655.95699999999999</v>
      </c>
      <c r="J150" s="14">
        <v>554.20496789455899</v>
      </c>
      <c r="K150" s="14">
        <v>1.1836</v>
      </c>
      <c r="L150" s="14">
        <v>0.67</v>
      </c>
      <c r="M150" s="14">
        <v>2.4</v>
      </c>
      <c r="N150" s="14">
        <v>0.3</v>
      </c>
      <c r="O150" s="14">
        <v>4.4999999999999998E-2</v>
      </c>
      <c r="P150" s="14">
        <v>2.1090819999999999</v>
      </c>
      <c r="Q150" s="14">
        <v>1</v>
      </c>
      <c r="R150" s="14">
        <v>1.383399</v>
      </c>
      <c r="S150" s="14">
        <v>1.19225</v>
      </c>
      <c r="T150" s="14">
        <v>1.3</v>
      </c>
    </row>
    <row r="151" spans="1:20" s="1" customFormat="1" ht="14.25" x14ac:dyDescent="0.2">
      <c r="A151" s="7">
        <v>43101</v>
      </c>
      <c r="B151" s="14">
        <v>1335</v>
      </c>
      <c r="C151" s="14">
        <v>679.25</v>
      </c>
      <c r="D151" s="14">
        <v>410.83</v>
      </c>
      <c r="E151" s="14">
        <v>155.83822799999999</v>
      </c>
      <c r="F151" s="14">
        <v>81</v>
      </c>
      <c r="G151" s="14">
        <v>68.989999999999995</v>
      </c>
      <c r="H151" s="14">
        <v>773.71500000000003</v>
      </c>
      <c r="I151" s="14">
        <v>655.95699999999999</v>
      </c>
      <c r="J151" s="14">
        <v>537.69170867658511</v>
      </c>
      <c r="K151" s="14">
        <v>1.2199500000000001</v>
      </c>
      <c r="L151" s="14">
        <v>0.86</v>
      </c>
      <c r="M151" s="14">
        <v>2.56</v>
      </c>
      <c r="N151" s="14">
        <v>0.47</v>
      </c>
      <c r="O151" s="14">
        <v>0.08</v>
      </c>
      <c r="P151" s="14">
        <v>2.0705079999999998</v>
      </c>
      <c r="Q151" s="14">
        <v>1.4</v>
      </c>
      <c r="R151" s="14">
        <v>1.3916500000000001</v>
      </c>
      <c r="S151" s="14">
        <v>1.3345279999999999</v>
      </c>
      <c r="T151" s="14">
        <v>1.3</v>
      </c>
    </row>
    <row r="152" spans="1:20" s="1" customFormat="1" ht="14.25" x14ac:dyDescent="0.2">
      <c r="A152" s="7">
        <v>43132</v>
      </c>
      <c r="B152" s="14">
        <v>1325</v>
      </c>
      <c r="C152" s="14">
        <v>663</v>
      </c>
      <c r="D152" s="14">
        <v>407.8</v>
      </c>
      <c r="E152" s="14">
        <v>163.357516</v>
      </c>
      <c r="F152" s="14">
        <v>86</v>
      </c>
      <c r="G152" s="14">
        <v>65.42</v>
      </c>
      <c r="H152" s="14">
        <v>771.21199999999999</v>
      </c>
      <c r="I152" s="14">
        <v>655.95699999999999</v>
      </c>
      <c r="J152" s="14">
        <v>531.23390401529014</v>
      </c>
      <c r="K152" s="14">
        <v>1.23478</v>
      </c>
      <c r="L152" s="14">
        <v>0.98</v>
      </c>
      <c r="M152" s="14">
        <v>2.86</v>
      </c>
      <c r="N152" s="14">
        <v>0.66</v>
      </c>
      <c r="O152" s="14">
        <v>4.4999999999999998E-2</v>
      </c>
      <c r="P152" s="14">
        <v>2.211795</v>
      </c>
      <c r="Q152" s="14">
        <v>1.5</v>
      </c>
      <c r="R152" s="14">
        <v>1.086957</v>
      </c>
      <c r="S152" s="14">
        <v>1.1837260000000001</v>
      </c>
      <c r="T152" s="14">
        <v>1.1000000000000001</v>
      </c>
    </row>
    <row r="153" spans="1:20" s="1" customFormat="1" ht="14.25" x14ac:dyDescent="0.2">
      <c r="A153" s="7">
        <v>43160</v>
      </c>
      <c r="B153" s="14">
        <v>1325</v>
      </c>
      <c r="C153" s="14">
        <v>681</v>
      </c>
      <c r="D153" s="14">
        <v>403.5</v>
      </c>
      <c r="E153" s="14">
        <v>171.99879200000001</v>
      </c>
      <c r="F153" s="14">
        <v>86</v>
      </c>
      <c r="G153" s="14">
        <v>66.45</v>
      </c>
      <c r="H153" s="14">
        <v>772.50300000000004</v>
      </c>
      <c r="I153" s="14">
        <v>655.95699999999999</v>
      </c>
      <c r="J153" s="14">
        <v>531.7338659667206</v>
      </c>
      <c r="K153" s="14">
        <v>1.233619</v>
      </c>
      <c r="L153" s="14">
        <v>0.84</v>
      </c>
      <c r="M153" s="14">
        <v>2.84</v>
      </c>
      <c r="N153" s="14">
        <v>0.53</v>
      </c>
      <c r="O153" s="14">
        <v>4.4999999999999998E-2</v>
      </c>
      <c r="P153" s="14">
        <v>2.3597109999999999</v>
      </c>
      <c r="Q153" s="14">
        <v>1.1000000000000001</v>
      </c>
      <c r="R153" s="14">
        <v>1.47929</v>
      </c>
      <c r="S153" s="14">
        <v>1.561728</v>
      </c>
      <c r="T153" s="14">
        <v>1.4</v>
      </c>
    </row>
    <row r="154" spans="1:20" s="1" customFormat="1" ht="14.25" x14ac:dyDescent="0.2">
      <c r="A154" s="7">
        <v>43191</v>
      </c>
      <c r="B154" s="14">
        <v>1330</v>
      </c>
      <c r="C154" s="14">
        <v>666</v>
      </c>
      <c r="D154" s="14">
        <v>430.24</v>
      </c>
      <c r="E154" s="14">
        <v>175.6049008</v>
      </c>
      <c r="F154" s="14">
        <v>86</v>
      </c>
      <c r="G154" s="14">
        <v>71.63</v>
      </c>
      <c r="H154" s="14">
        <v>774.96799999999996</v>
      </c>
      <c r="I154" s="14">
        <v>655.95699999999999</v>
      </c>
      <c r="J154" s="14">
        <v>534.32793268330033</v>
      </c>
      <c r="K154" s="14">
        <v>1.22763</v>
      </c>
      <c r="L154" s="14">
        <v>0.78</v>
      </c>
      <c r="M154" s="14">
        <v>2.87</v>
      </c>
      <c r="N154" s="14">
        <v>0.48</v>
      </c>
      <c r="O154" s="14">
        <v>0.05</v>
      </c>
      <c r="P154" s="14">
        <v>2.4627439999999998</v>
      </c>
      <c r="Q154" s="14">
        <v>0.6</v>
      </c>
      <c r="R154" s="14">
        <v>1.2770140000000001</v>
      </c>
      <c r="S154" s="14">
        <v>1.6393439999999999</v>
      </c>
      <c r="T154" s="14">
        <v>1.2</v>
      </c>
    </row>
    <row r="155" spans="1:20" s="1" customFormat="1" ht="14.25" x14ac:dyDescent="0.2">
      <c r="A155" s="7">
        <v>43221</v>
      </c>
      <c r="B155" s="14">
        <v>1316</v>
      </c>
      <c r="C155" s="14">
        <v>660</v>
      </c>
      <c r="D155" s="14">
        <v>431.76</v>
      </c>
      <c r="E155" s="14">
        <v>179.08503200000001</v>
      </c>
      <c r="F155" s="14">
        <v>86</v>
      </c>
      <c r="G155" s="14">
        <v>76.650000000000006</v>
      </c>
      <c r="H155" s="14">
        <v>790.27700000000004</v>
      </c>
      <c r="I155" s="14">
        <v>655.95699999999999</v>
      </c>
      <c r="J155" s="14">
        <v>555.46739378953521</v>
      </c>
      <c r="K155" s="14">
        <v>1.1809099999999999</v>
      </c>
      <c r="L155" s="14">
        <v>0.78</v>
      </c>
      <c r="M155" s="14">
        <v>2.98</v>
      </c>
      <c r="N155" s="14">
        <v>0.45</v>
      </c>
      <c r="O155" s="14">
        <v>0.03</v>
      </c>
      <c r="P155" s="14">
        <v>2.8010120000000001</v>
      </c>
      <c r="Q155" s="14">
        <v>0.7</v>
      </c>
      <c r="R155" s="14">
        <v>2.0628679999999999</v>
      </c>
      <c r="S155" s="14">
        <v>2.0234920000000001</v>
      </c>
      <c r="T155" s="14">
        <v>2</v>
      </c>
    </row>
    <row r="156" spans="1:20" s="1" customFormat="1" ht="14.25" x14ac:dyDescent="0.2">
      <c r="A156" s="7">
        <v>43252</v>
      </c>
      <c r="B156" s="14">
        <v>1661.6785600000001</v>
      </c>
      <c r="C156" s="14">
        <v>579.67677800000001</v>
      </c>
      <c r="D156" s="14">
        <v>408.6</v>
      </c>
      <c r="E156" s="14">
        <v>165.07002399999999</v>
      </c>
      <c r="F156" s="14">
        <v>86.8</v>
      </c>
      <c r="G156" s="14">
        <v>75.19</v>
      </c>
      <c r="H156" s="14">
        <v>794.25900000000001</v>
      </c>
      <c r="I156" s="14">
        <v>655.95699999999999</v>
      </c>
      <c r="J156" s="14">
        <v>561.68925416306672</v>
      </c>
      <c r="K156" s="14">
        <v>1.167829</v>
      </c>
      <c r="L156" s="14">
        <v>0.75</v>
      </c>
      <c r="M156" s="14">
        <v>2.91</v>
      </c>
      <c r="N156" s="14">
        <v>0.33</v>
      </c>
      <c r="O156" s="14">
        <v>0.03</v>
      </c>
      <c r="P156" s="14">
        <v>2.8715480000000002</v>
      </c>
      <c r="Q156" s="14">
        <v>0.7</v>
      </c>
      <c r="R156" s="14">
        <v>1.860921</v>
      </c>
      <c r="S156" s="14">
        <v>2.0232929999999998</v>
      </c>
      <c r="T156" s="14">
        <v>2</v>
      </c>
    </row>
    <row r="157" spans="1:20" s="1" customFormat="1" ht="14.25" x14ac:dyDescent="0.2">
      <c r="A157" s="7">
        <v>43282</v>
      </c>
      <c r="B157" s="14">
        <v>1667.5211549999999</v>
      </c>
      <c r="C157" s="14">
        <v>544.53620000000001</v>
      </c>
      <c r="D157" s="14">
        <v>382.73</v>
      </c>
      <c r="E157" s="14">
        <v>156.4602424</v>
      </c>
      <c r="F157" s="14">
        <v>86.88</v>
      </c>
      <c r="G157" s="14">
        <v>74.44</v>
      </c>
      <c r="H157" s="14">
        <v>789.45100000000002</v>
      </c>
      <c r="I157" s="14">
        <v>655.95699999999999</v>
      </c>
      <c r="J157" s="14">
        <v>561.31867191511208</v>
      </c>
      <c r="K157" s="14">
        <v>1.1686000000000001</v>
      </c>
      <c r="L157" s="14">
        <v>0.67</v>
      </c>
      <c r="M157" s="14">
        <v>2.89</v>
      </c>
      <c r="N157" s="14">
        <v>0.28000000000000003</v>
      </c>
      <c r="O157" s="14">
        <v>0.06</v>
      </c>
      <c r="P157" s="14">
        <v>2.9495149999999999</v>
      </c>
      <c r="Q157" s="14">
        <v>0.9</v>
      </c>
      <c r="R157" s="14">
        <v>1.8536589999999999</v>
      </c>
      <c r="S157" s="14">
        <v>2.2878080000000001</v>
      </c>
      <c r="T157" s="14">
        <v>2.2000000000000002</v>
      </c>
    </row>
    <row r="158" spans="1:20" s="1" customFormat="1" ht="14.25" x14ac:dyDescent="0.2">
      <c r="A158" s="7">
        <v>43313</v>
      </c>
      <c r="B158" s="14">
        <v>1643.041984</v>
      </c>
      <c r="C158" s="14">
        <v>533.93475100000001</v>
      </c>
      <c r="D158" s="14">
        <v>393.5</v>
      </c>
      <c r="E158" s="14">
        <v>162.37331599999999</v>
      </c>
      <c r="F158" s="14">
        <v>87.5</v>
      </c>
      <c r="G158" s="14">
        <v>73.13</v>
      </c>
      <c r="H158" s="14">
        <v>792.15803912575279</v>
      </c>
      <c r="I158" s="14">
        <v>655.95699999999999</v>
      </c>
      <c r="J158" s="14">
        <v>567.97731405316472</v>
      </c>
      <c r="K158" s="14">
        <v>1.1549</v>
      </c>
      <c r="L158" s="14">
        <v>0.7</v>
      </c>
      <c r="M158" s="14">
        <v>2.89</v>
      </c>
      <c r="N158" s="14">
        <v>0.28999999999999998</v>
      </c>
      <c r="O158" s="14">
        <v>0.11</v>
      </c>
      <c r="P158" s="14">
        <v>2.6991800000000001</v>
      </c>
      <c r="Q158" s="14">
        <v>1.3</v>
      </c>
      <c r="R158" s="14">
        <v>1.8518520000000001</v>
      </c>
      <c r="S158" s="14">
        <v>2.2563800000000001</v>
      </c>
      <c r="T158" s="14">
        <v>2.1</v>
      </c>
    </row>
    <row r="159" spans="1:20" s="1" customFormat="1" ht="14.25" x14ac:dyDescent="0.2">
      <c r="A159" s="7">
        <v>43344</v>
      </c>
      <c r="B159" s="14">
        <v>1646.6355470000001</v>
      </c>
      <c r="C159" s="14">
        <v>523.617885</v>
      </c>
      <c r="D159" s="14">
        <v>395.35</v>
      </c>
      <c r="E159" s="14">
        <v>154.8028496</v>
      </c>
      <c r="F159" s="14">
        <v>87.5</v>
      </c>
      <c r="G159" s="14">
        <v>78.86</v>
      </c>
      <c r="H159" s="14">
        <v>787.33214145658258</v>
      </c>
      <c r="I159" s="14">
        <v>655.95699999999999</v>
      </c>
      <c r="J159" s="14">
        <v>562.61857792263493</v>
      </c>
      <c r="K159" s="14">
        <v>1.1658999999999999</v>
      </c>
      <c r="L159" s="14">
        <v>0.77</v>
      </c>
      <c r="M159" s="14">
        <v>3</v>
      </c>
      <c r="N159" s="14">
        <v>0.37</v>
      </c>
      <c r="O159" s="14">
        <v>0.125</v>
      </c>
      <c r="P159" s="14">
        <v>2.2769720000000002</v>
      </c>
      <c r="Q159" s="14">
        <v>1.2</v>
      </c>
      <c r="R159" s="14">
        <v>1.9474199999999999</v>
      </c>
      <c r="S159" s="14">
        <v>2.2007300000000001</v>
      </c>
      <c r="T159" s="14">
        <v>2.1</v>
      </c>
    </row>
    <row r="160" spans="1:20" s="1" customFormat="1" ht="14.25" x14ac:dyDescent="0.2">
      <c r="A160" s="7">
        <v>43374</v>
      </c>
      <c r="B160" s="14">
        <v>1594.671288</v>
      </c>
      <c r="C160" s="14">
        <v>499.15213599999998</v>
      </c>
      <c r="D160" s="14">
        <v>390.39</v>
      </c>
      <c r="E160" s="14">
        <v>160.25531760000001</v>
      </c>
      <c r="F160" s="14">
        <v>91.25</v>
      </c>
      <c r="G160" s="14">
        <v>80.47</v>
      </c>
      <c r="H160" s="14">
        <v>794.42572092804699</v>
      </c>
      <c r="I160" s="14">
        <v>655.95699999999999</v>
      </c>
      <c r="J160" s="14">
        <v>571.19209334726577</v>
      </c>
      <c r="K160" s="14">
        <v>1.1484000000000001</v>
      </c>
      <c r="L160" s="14">
        <v>0.82</v>
      </c>
      <c r="M160" s="14">
        <v>3.15</v>
      </c>
      <c r="N160" s="14">
        <v>0.4</v>
      </c>
      <c r="O160" s="14">
        <v>0.13</v>
      </c>
      <c r="P160" s="14">
        <v>2.5224700000000002</v>
      </c>
      <c r="Q160" s="14">
        <v>1.4</v>
      </c>
      <c r="R160" s="14">
        <v>2.3414630000000001</v>
      </c>
      <c r="S160" s="14">
        <v>2.2084199999999998</v>
      </c>
      <c r="T160" s="14">
        <v>2.2999999999999998</v>
      </c>
    </row>
    <row r="161" spans="1:22" s="1" customFormat="1" ht="14.25" x14ac:dyDescent="0.2">
      <c r="A161" s="7">
        <v>43405</v>
      </c>
      <c r="B161" s="14">
        <v>1440.46</v>
      </c>
      <c r="C161" s="14">
        <v>539.78</v>
      </c>
      <c r="D161" s="14">
        <v>378.81</v>
      </c>
      <c r="E161" s="14">
        <v>160.6883656</v>
      </c>
      <c r="F161" s="14">
        <v>92.5</v>
      </c>
      <c r="G161" s="14">
        <v>65.17</v>
      </c>
      <c r="H161" s="14">
        <v>799.06799999999998</v>
      </c>
      <c r="I161" s="14">
        <v>655.95699999999999</v>
      </c>
      <c r="J161" s="14">
        <v>577.07134688132317</v>
      </c>
      <c r="K161" s="14">
        <v>1.1367</v>
      </c>
      <c r="L161" s="14">
        <v>0.76</v>
      </c>
      <c r="M161" s="14">
        <v>3.12</v>
      </c>
      <c r="N161" s="14">
        <v>0.31</v>
      </c>
      <c r="O161" s="14">
        <v>8.5000000000000006E-2</v>
      </c>
      <c r="P161" s="14">
        <v>2.1766009999999998</v>
      </c>
      <c r="Q161" s="14">
        <v>0.8</v>
      </c>
      <c r="R161" s="14">
        <v>2.0568070000000001</v>
      </c>
      <c r="S161" s="14">
        <v>1.8910670000000001</v>
      </c>
      <c r="T161" s="14">
        <v>1.9</v>
      </c>
    </row>
    <row r="162" spans="1:22" s="1" customFormat="1" ht="14.25" x14ac:dyDescent="0.2">
      <c r="A162" s="7">
        <v>43435</v>
      </c>
      <c r="B162" s="14">
        <v>1434.58</v>
      </c>
      <c r="C162" s="14">
        <v>535.02</v>
      </c>
      <c r="D162" s="14">
        <v>379.33</v>
      </c>
      <c r="E162" s="14">
        <v>119.41691666666701</v>
      </c>
      <c r="F162" s="14">
        <v>99.17</v>
      </c>
      <c r="G162" s="14">
        <v>56.46</v>
      </c>
      <c r="H162" s="14">
        <v>798.351</v>
      </c>
      <c r="I162" s="14">
        <v>655.95699999999999</v>
      </c>
      <c r="J162" s="14">
        <v>576.20959241040043</v>
      </c>
      <c r="K162" s="14">
        <v>1.1384000000000001</v>
      </c>
      <c r="L162" s="14">
        <v>0.7</v>
      </c>
      <c r="M162" s="14">
        <v>2.83</v>
      </c>
      <c r="N162" s="14">
        <v>0.19</v>
      </c>
      <c r="O162" s="14">
        <v>-0.01</v>
      </c>
      <c r="P162" s="14">
        <v>1.9101589999999999</v>
      </c>
      <c r="Q162" s="14">
        <v>0.3</v>
      </c>
      <c r="R162" s="14">
        <v>1.5594539999999999</v>
      </c>
      <c r="S162" s="14">
        <v>1.5905739999999999</v>
      </c>
      <c r="T162" s="14">
        <v>1.5</v>
      </c>
    </row>
    <row r="163" spans="1:22" s="1" customFormat="1" ht="14.25" x14ac:dyDescent="0.2">
      <c r="A163" s="7">
        <v>43466</v>
      </c>
      <c r="B163" s="14">
        <v>1379.77</v>
      </c>
      <c r="C163" s="14">
        <v>584.58000000000004</v>
      </c>
      <c r="D163" s="14">
        <v>387.35</v>
      </c>
      <c r="E163" s="14">
        <v>166.74316400000001</v>
      </c>
      <c r="F163" s="14">
        <v>102.5</v>
      </c>
      <c r="G163" s="14">
        <v>59.27</v>
      </c>
      <c r="H163" s="14">
        <v>740.35799999999995</v>
      </c>
      <c r="I163" s="14">
        <v>655.95699999999999</v>
      </c>
      <c r="J163" s="14">
        <v>574.59442887175896</v>
      </c>
      <c r="K163" s="14">
        <v>1.1415999999999999</v>
      </c>
      <c r="L163" s="14">
        <v>0.65</v>
      </c>
      <c r="M163" s="14">
        <v>2.71</v>
      </c>
      <c r="N163" s="14">
        <v>0.13</v>
      </c>
      <c r="O163" s="14">
        <v>0</v>
      </c>
      <c r="P163" s="14">
        <v>1.5512349999999999</v>
      </c>
      <c r="Q163" s="14">
        <v>0.2</v>
      </c>
      <c r="R163" s="14">
        <v>1.372549</v>
      </c>
      <c r="S163" s="14">
        <v>1.238329</v>
      </c>
      <c r="T163" s="14">
        <v>1.4</v>
      </c>
    </row>
    <row r="164" spans="1:22" s="1" customFormat="1" ht="14.25" x14ac:dyDescent="0.2">
      <c r="A164" s="7">
        <v>43497</v>
      </c>
      <c r="B164" s="14">
        <v>1370.06</v>
      </c>
      <c r="C164" s="14">
        <v>602.97</v>
      </c>
      <c r="D164" s="14">
        <v>386.25</v>
      </c>
      <c r="E164" s="14">
        <v>169.52254479999999</v>
      </c>
      <c r="F164" s="14">
        <v>102.5</v>
      </c>
      <c r="G164" s="14">
        <v>64.13</v>
      </c>
      <c r="H164" s="233">
        <v>804.31799999999998</v>
      </c>
      <c r="I164" s="233">
        <v>655.95699999999999</v>
      </c>
      <c r="J164" s="233">
        <v>577.88476786186243</v>
      </c>
      <c r="K164" s="233">
        <v>1.1351</v>
      </c>
      <c r="L164" s="233">
        <v>0.55000000000000004</v>
      </c>
      <c r="M164" s="233">
        <v>2.68</v>
      </c>
      <c r="N164" s="233">
        <v>0.06</v>
      </c>
      <c r="O164" s="233">
        <v>-1.4999999999999999E-2</v>
      </c>
      <c r="P164" s="14">
        <v>1.520135</v>
      </c>
      <c r="Q164" s="14">
        <v>0.2</v>
      </c>
      <c r="R164" s="14">
        <v>1.4662759999999999</v>
      </c>
      <c r="S164" s="14">
        <v>1.317342</v>
      </c>
      <c r="T164" s="14">
        <v>1.5</v>
      </c>
    </row>
    <row r="165" spans="1:22" s="1" customFormat="1" ht="14.25" x14ac:dyDescent="0.2">
      <c r="A165" s="7">
        <v>43525</v>
      </c>
      <c r="B165" s="14">
        <v>1370.38</v>
      </c>
      <c r="C165" s="14">
        <v>573.02</v>
      </c>
      <c r="D165" s="14">
        <v>382.43</v>
      </c>
      <c r="E165" s="14">
        <v>169.31481600000001</v>
      </c>
      <c r="F165" s="14">
        <v>98.5</v>
      </c>
      <c r="G165" s="14">
        <v>66.41</v>
      </c>
      <c r="H165" s="233">
        <v>807.52800000000002</v>
      </c>
      <c r="I165" s="233">
        <v>655.95699999999999</v>
      </c>
      <c r="J165" s="233">
        <v>580.39019642541132</v>
      </c>
      <c r="K165" s="233">
        <v>1.1302000000000001</v>
      </c>
      <c r="L165" s="233">
        <v>0.44</v>
      </c>
      <c r="M165" s="233">
        <v>2.57</v>
      </c>
      <c r="N165" s="233">
        <v>0.01</v>
      </c>
      <c r="O165" s="233">
        <v>-9.5000000000000001E-2</v>
      </c>
      <c r="P165" s="233">
        <v>1.8625229999999999</v>
      </c>
      <c r="Q165" s="233">
        <v>0.5</v>
      </c>
      <c r="R165" s="233">
        <v>1.263363</v>
      </c>
      <c r="S165" s="233">
        <v>1.1094889999999999</v>
      </c>
      <c r="T165" s="233">
        <v>1.4</v>
      </c>
    </row>
    <row r="166" spans="1:22" x14ac:dyDescent="0.25">
      <c r="A166" s="7">
        <v>43556</v>
      </c>
      <c r="B166" s="233">
        <v>1377.61</v>
      </c>
      <c r="C166" s="233">
        <v>588.45000000000005</v>
      </c>
      <c r="D166" s="233">
        <v>391.3</v>
      </c>
      <c r="E166" s="233">
        <v>161.48753600000001</v>
      </c>
      <c r="F166" s="233">
        <v>97.5</v>
      </c>
      <c r="G166" s="233">
        <v>71.2</v>
      </c>
      <c r="H166" s="233">
        <v>809.74300000000005</v>
      </c>
      <c r="I166" s="233">
        <v>655.95699999999999</v>
      </c>
      <c r="J166" s="233">
        <v>583.69549741946969</v>
      </c>
      <c r="K166" s="233">
        <v>1.1237999999999999</v>
      </c>
      <c r="L166" s="233">
        <v>0.37</v>
      </c>
      <c r="M166" s="233">
        <v>2.5299999999999998</v>
      </c>
      <c r="N166" s="233">
        <v>-0.04</v>
      </c>
      <c r="O166" s="233">
        <v>-4.4999999999999998E-2</v>
      </c>
      <c r="P166" s="233">
        <v>1.99644</v>
      </c>
      <c r="Q166" s="233">
        <v>0.9</v>
      </c>
      <c r="R166" s="233">
        <v>2.0368569999999999</v>
      </c>
      <c r="S166" s="233">
        <v>1.263117</v>
      </c>
      <c r="T166" s="233">
        <v>1.7</v>
      </c>
    </row>
    <row r="167" spans="1:22" x14ac:dyDescent="0.25">
      <c r="A167" s="7">
        <v>43586</v>
      </c>
      <c r="B167" s="233">
        <v>1392.89</v>
      </c>
      <c r="C167" s="233">
        <v>563.20000000000005</v>
      </c>
      <c r="D167" s="233">
        <v>386.76</v>
      </c>
      <c r="E167" s="233">
        <v>171.08151760000001</v>
      </c>
      <c r="F167" s="233">
        <v>97.5</v>
      </c>
      <c r="G167" s="233">
        <v>70.53</v>
      </c>
      <c r="H167" s="233">
        <v>810.19</v>
      </c>
      <c r="I167" s="233">
        <v>655.95699999999999</v>
      </c>
      <c r="J167" s="233">
        <v>584.1633270994746</v>
      </c>
      <c r="K167" s="233">
        <v>1.1229</v>
      </c>
      <c r="L167" s="233">
        <v>0.3</v>
      </c>
      <c r="M167" s="233">
        <v>2.4</v>
      </c>
      <c r="N167" s="233">
        <v>-0.13</v>
      </c>
      <c r="O167" s="233">
        <v>-9.5000000000000001E-2</v>
      </c>
      <c r="P167" s="233">
        <v>1.7902279999999999</v>
      </c>
      <c r="Q167" s="233">
        <v>0.7</v>
      </c>
      <c r="R167" s="233">
        <v>1.4436960000000001</v>
      </c>
      <c r="S167" s="233">
        <v>0.93846750000000001</v>
      </c>
      <c r="T167" s="233">
        <v>1.2</v>
      </c>
    </row>
    <row r="168" spans="1:22" x14ac:dyDescent="0.25">
      <c r="A168" s="7">
        <v>43617</v>
      </c>
      <c r="B168" s="233">
        <v>1391.97</v>
      </c>
      <c r="C168" s="233">
        <v>552.19000000000005</v>
      </c>
      <c r="D168" s="233">
        <v>394.2</v>
      </c>
      <c r="E168" s="233">
        <v>195.08025040000001</v>
      </c>
      <c r="F168" s="233">
        <v>105</v>
      </c>
      <c r="G168" s="233">
        <v>63.3</v>
      </c>
      <c r="H168" s="233">
        <v>804.39</v>
      </c>
      <c r="I168" s="233">
        <v>655.95699999999999</v>
      </c>
      <c r="J168" s="233">
        <v>580.85274063579209</v>
      </c>
      <c r="K168" s="233">
        <v>1.1293</v>
      </c>
      <c r="L168" s="233">
        <v>0.08</v>
      </c>
      <c r="M168" s="233">
        <v>2.0699999999999998</v>
      </c>
      <c r="N168" s="233">
        <v>-0.31</v>
      </c>
      <c r="O168" s="233">
        <v>-0.16500000000000001</v>
      </c>
      <c r="P168" s="233">
        <v>1.6</v>
      </c>
      <c r="Q168" s="233">
        <v>0.7</v>
      </c>
      <c r="R168" s="233">
        <v>1.6</v>
      </c>
      <c r="S168" s="233">
        <v>1.2</v>
      </c>
      <c r="T168" s="233">
        <v>1.3</v>
      </c>
    </row>
    <row r="169" spans="1:22" x14ac:dyDescent="0.25">
      <c r="A169" s="7">
        <v>43647</v>
      </c>
      <c r="B169" s="233">
        <v>1437.71</v>
      </c>
      <c r="C169" s="233">
        <v>543.88</v>
      </c>
      <c r="D169" s="233">
        <v>391.7</v>
      </c>
      <c r="E169" s="233">
        <v>189.41913199999999</v>
      </c>
      <c r="F169" s="233">
        <v>85</v>
      </c>
      <c r="G169" s="233">
        <v>64</v>
      </c>
      <c r="H169" s="233">
        <v>807.9</v>
      </c>
      <c r="I169" s="233">
        <v>655.95699999999999</v>
      </c>
      <c r="J169" s="233">
        <v>584.7361383490819</v>
      </c>
      <c r="K169" s="233">
        <v>1.1217999999999999</v>
      </c>
      <c r="L169" s="233">
        <v>-7.0000000000000007E-2</v>
      </c>
      <c r="M169" s="233">
        <v>2.06</v>
      </c>
      <c r="N169" s="233">
        <v>-0.39</v>
      </c>
      <c r="O169" s="233">
        <v>-0.16</v>
      </c>
      <c r="P169" s="233">
        <v>1.8</v>
      </c>
      <c r="Q169" s="233">
        <v>0.5</v>
      </c>
      <c r="R169" s="233">
        <v>1.7</v>
      </c>
      <c r="S169" s="233">
        <v>1.1000000000000001</v>
      </c>
      <c r="T169" s="233">
        <v>1</v>
      </c>
      <c r="U169" s="233"/>
      <c r="V169" s="233"/>
    </row>
    <row r="170" spans="1:22" x14ac:dyDescent="0.25">
      <c r="A170" s="7">
        <v>43678</v>
      </c>
      <c r="B170" s="233">
        <v>1457.89</v>
      </c>
      <c r="C170" s="233">
        <v>586.12</v>
      </c>
      <c r="D170" s="233">
        <v>407.52</v>
      </c>
      <c r="E170" s="233">
        <v>163.5858504</v>
      </c>
      <c r="F170" s="233">
        <v>78</v>
      </c>
      <c r="G170" s="233">
        <v>59.25</v>
      </c>
      <c r="H170" s="233">
        <v>809.30899999999997</v>
      </c>
      <c r="I170" s="233">
        <v>655.95699999999999</v>
      </c>
      <c r="J170" s="233">
        <v>589.57127449218046</v>
      </c>
      <c r="K170" s="233">
        <v>1.1126</v>
      </c>
      <c r="L170" s="233">
        <v>-0.34</v>
      </c>
      <c r="M170" s="233">
        <v>1.63</v>
      </c>
      <c r="N170" s="233">
        <v>-0.65</v>
      </c>
      <c r="O170" s="233">
        <v>-0.28000000000000003</v>
      </c>
      <c r="P170" s="233">
        <v>1.7</v>
      </c>
      <c r="Q170" s="233">
        <v>0.3</v>
      </c>
      <c r="R170" s="233">
        <v>1.4</v>
      </c>
      <c r="S170" s="233">
        <v>1</v>
      </c>
      <c r="T170" s="233">
        <v>1</v>
      </c>
    </row>
    <row r="171" spans="1:22" x14ac:dyDescent="0.25">
      <c r="A171" s="7">
        <v>43709</v>
      </c>
      <c r="B171" s="233">
        <v>1458.25</v>
      </c>
      <c r="C171" s="233">
        <v>580.29999999999995</v>
      </c>
      <c r="D171" s="233">
        <v>401.71</v>
      </c>
      <c r="E171" s="233">
        <v>157.25941280000001</v>
      </c>
      <c r="F171" s="233">
        <v>77.5</v>
      </c>
      <c r="G171" s="233">
        <v>62.33</v>
      </c>
      <c r="H171" s="286">
        <v>815.55399999999997</v>
      </c>
      <c r="I171" s="233">
        <v>655.95699999999999</v>
      </c>
      <c r="J171" s="233">
        <v>589.57127449218001</v>
      </c>
      <c r="K171" s="233">
        <v>1.1004</v>
      </c>
      <c r="L171" s="233">
        <v>-0.28000000000000003</v>
      </c>
      <c r="M171" s="233">
        <v>1.7</v>
      </c>
      <c r="N171" s="233">
        <v>-0.59</v>
      </c>
      <c r="O171" s="233">
        <v>-0.215</v>
      </c>
      <c r="P171" s="233">
        <v>1.7</v>
      </c>
      <c r="Q171" s="233">
        <v>0.2</v>
      </c>
      <c r="R171" s="233">
        <v>1.2</v>
      </c>
      <c r="S171" s="233">
        <v>0.9</v>
      </c>
      <c r="T171" s="233">
        <v>0.8</v>
      </c>
    </row>
    <row r="172" spans="1:22" x14ac:dyDescent="0.25">
      <c r="A172" s="7">
        <v>43739</v>
      </c>
      <c r="B172" s="233">
        <v>1458.53</v>
      </c>
      <c r="C172" s="233">
        <v>591.35</v>
      </c>
      <c r="D172" s="233">
        <v>397.04</v>
      </c>
      <c r="E172" s="233">
        <v>167.1486544</v>
      </c>
      <c r="F172" s="233">
        <v>77.5</v>
      </c>
      <c r="G172" s="233">
        <v>59.37</v>
      </c>
      <c r="H172" s="286">
        <v>814.20399999999995</v>
      </c>
      <c r="I172" s="233">
        <v>655.95699999999999</v>
      </c>
      <c r="J172" s="233">
        <v>593.46512259115173</v>
      </c>
      <c r="K172" s="233">
        <v>1.1052999999999999</v>
      </c>
      <c r="L172" s="233">
        <v>-0.16</v>
      </c>
      <c r="M172" s="233">
        <v>1.71</v>
      </c>
      <c r="N172" s="233">
        <v>-0.47</v>
      </c>
      <c r="O172" s="233">
        <v>-0.15</v>
      </c>
      <c r="P172" s="233">
        <v>1.764043</v>
      </c>
      <c r="Q172" s="233">
        <v>0.2</v>
      </c>
      <c r="R172" s="233">
        <v>1.143947</v>
      </c>
      <c r="S172" s="233">
        <v>0.76203339999999997</v>
      </c>
      <c r="T172" s="233">
        <v>0.7</v>
      </c>
    </row>
    <row r="173" spans="1:22" x14ac:dyDescent="0.25">
      <c r="A173" s="7">
        <v>43770</v>
      </c>
      <c r="B173" s="233">
        <v>1388.47</v>
      </c>
      <c r="C173" s="233">
        <v>683.38</v>
      </c>
      <c r="D173" s="233">
        <v>394.76</v>
      </c>
      <c r="E173" s="233">
        <v>166.3337368</v>
      </c>
      <c r="F173" s="233">
        <v>74</v>
      </c>
      <c r="G173" s="233">
        <v>62.74</v>
      </c>
      <c r="H173" s="286">
        <v>815.81799999999998</v>
      </c>
      <c r="I173" s="233">
        <v>655.95699999999999</v>
      </c>
      <c r="J173" s="233">
        <v>593.57252737308841</v>
      </c>
      <c r="K173" s="233">
        <v>1.1051</v>
      </c>
      <c r="L173" s="233">
        <v>-0.02</v>
      </c>
      <c r="M173" s="233">
        <v>1.86</v>
      </c>
      <c r="N173" s="233">
        <v>-0.35</v>
      </c>
      <c r="O173" s="233">
        <v>-0.08</v>
      </c>
      <c r="P173" s="233">
        <v>2.0512779999999999</v>
      </c>
      <c r="Q173" s="233">
        <v>0.5</v>
      </c>
      <c r="R173" s="233">
        <v>1.0556620000000001</v>
      </c>
      <c r="S173" s="233">
        <v>1.034316</v>
      </c>
      <c r="T173" s="233">
        <v>1</v>
      </c>
    </row>
    <row r="174" spans="1:22" x14ac:dyDescent="0.25">
      <c r="A174" s="7">
        <v>43800</v>
      </c>
      <c r="B174" s="233">
        <v>1457.8934999999999</v>
      </c>
      <c r="C174" s="233">
        <v>769.93475699558201</v>
      </c>
      <c r="D174" s="233">
        <v>400.9</v>
      </c>
      <c r="E174" s="233">
        <v>166.95575120000001</v>
      </c>
      <c r="F174" s="233">
        <v>72.5</v>
      </c>
      <c r="G174" s="233">
        <v>65.849999999999994</v>
      </c>
      <c r="H174" s="286">
        <v>814.27099999999996</v>
      </c>
      <c r="I174" s="233">
        <v>655.95699999999999</v>
      </c>
      <c r="J174" s="233">
        <v>590.26095563754166</v>
      </c>
      <c r="K174" s="233">
        <v>1.1113</v>
      </c>
      <c r="L174" s="233">
        <v>0.04</v>
      </c>
      <c r="M174" s="233">
        <v>1.86</v>
      </c>
      <c r="N174" s="233">
        <v>-0.3</v>
      </c>
      <c r="O174" s="233">
        <v>-2.5000000000000001E-2</v>
      </c>
      <c r="P174" s="233">
        <v>2.2999999999999998</v>
      </c>
      <c r="Q174" s="233">
        <v>0.8</v>
      </c>
      <c r="R174" s="233">
        <v>1.5</v>
      </c>
      <c r="S174" s="233">
        <v>1.5</v>
      </c>
      <c r="T174" s="233">
        <v>1.3</v>
      </c>
    </row>
    <row r="175" spans="1:22" x14ac:dyDescent="0.25">
      <c r="A175" s="7">
        <v>43831</v>
      </c>
      <c r="B175" s="233">
        <v>1492.61</v>
      </c>
      <c r="C175" s="233">
        <v>834.85</v>
      </c>
      <c r="D175" s="233">
        <v>426</v>
      </c>
      <c r="E175" s="233">
        <v>171.79</v>
      </c>
      <c r="F175" s="233">
        <v>72.5</v>
      </c>
      <c r="G175" s="233">
        <v>63.6</v>
      </c>
      <c r="H175" s="286">
        <v>815.29600000000005</v>
      </c>
      <c r="I175" s="233">
        <v>655.95699999999999</v>
      </c>
      <c r="J175" s="233">
        <v>590.95225225225215</v>
      </c>
      <c r="K175" s="233">
        <v>1.1100000000000001</v>
      </c>
      <c r="L175" s="233">
        <v>0</v>
      </c>
      <c r="M175" s="233">
        <v>1.76</v>
      </c>
      <c r="N175" s="233">
        <v>-0.31</v>
      </c>
      <c r="O175" s="233">
        <v>-6.5000000000000002E-2</v>
      </c>
      <c r="P175" s="233">
        <v>2.4865719999999998</v>
      </c>
      <c r="Q175" s="233">
        <v>0.7</v>
      </c>
      <c r="R175" s="233">
        <v>1.7</v>
      </c>
      <c r="S175" s="233">
        <v>1.5</v>
      </c>
      <c r="T175" s="233">
        <v>1.4</v>
      </c>
    </row>
    <row r="176" spans="1:22" x14ac:dyDescent="0.25">
      <c r="A176" s="7">
        <v>43862</v>
      </c>
      <c r="B176" s="233">
        <v>1393.46</v>
      </c>
      <c r="C176" s="233">
        <v>728.81</v>
      </c>
      <c r="D176" s="233">
        <v>426.45</v>
      </c>
      <c r="E176" s="233">
        <v>168.71156400000001</v>
      </c>
      <c r="F176" s="233">
        <v>72.5</v>
      </c>
      <c r="G176" s="233">
        <v>55</v>
      </c>
      <c r="H176" s="286">
        <v>823.34</v>
      </c>
      <c r="I176" s="233">
        <v>655.95699999999999</v>
      </c>
      <c r="J176" s="233">
        <v>601.51948647409404</v>
      </c>
      <c r="K176" s="233">
        <v>1.0905</v>
      </c>
      <c r="L176" s="233">
        <v>-0.18</v>
      </c>
      <c r="M176" s="233">
        <v>1.5</v>
      </c>
      <c r="N176" s="233">
        <v>-0.47</v>
      </c>
      <c r="O176" s="233">
        <v>-0.155</v>
      </c>
      <c r="P176" s="233">
        <v>2.3348740000000001</v>
      </c>
      <c r="Q176" s="233">
        <v>0.4</v>
      </c>
      <c r="R176" s="233">
        <v>1.7341040000000001</v>
      </c>
      <c r="S176" s="233">
        <v>1.4263539999999999</v>
      </c>
      <c r="T176" s="233">
        <v>1.2</v>
      </c>
    </row>
    <row r="177" spans="1:20" x14ac:dyDescent="0.25">
      <c r="A177" s="7">
        <v>43891</v>
      </c>
      <c r="B177" s="233">
        <v>1410.6</v>
      </c>
      <c r="C177" s="233">
        <v>635.19000000000005</v>
      </c>
      <c r="D177" s="233">
        <v>467.43</v>
      </c>
      <c r="E177" s="233">
        <v>162.4205576</v>
      </c>
      <c r="F177" s="233">
        <v>71.88</v>
      </c>
      <c r="G177" s="233">
        <v>32.979999999999997</v>
      </c>
      <c r="H177" s="286">
        <v>813.68399999999997</v>
      </c>
      <c r="I177" s="233">
        <v>655.95699999999999</v>
      </c>
      <c r="J177" s="233">
        <v>592.92868118955073</v>
      </c>
      <c r="K177" s="233">
        <v>1.1063000000000001</v>
      </c>
      <c r="L177" s="233">
        <v>0.06</v>
      </c>
      <c r="M177" s="233">
        <v>0.87</v>
      </c>
      <c r="N177" s="233">
        <v>0.54</v>
      </c>
      <c r="O177" s="233">
        <v>5.0000000000000001E-3</v>
      </c>
      <c r="P177" s="233">
        <v>1.5393269999999999</v>
      </c>
      <c r="Q177" s="233">
        <v>0.4</v>
      </c>
      <c r="R177" s="233">
        <v>1.4395389999999999</v>
      </c>
      <c r="S177" s="233">
        <v>0.67378959999999999</v>
      </c>
      <c r="T177" s="233">
        <v>0.7</v>
      </c>
    </row>
    <row r="178" spans="1:20" x14ac:dyDescent="0.25">
      <c r="A178" s="7">
        <v>43922</v>
      </c>
      <c r="B178" s="233">
        <v>1527.27</v>
      </c>
      <c r="C178" s="233">
        <v>608.88</v>
      </c>
      <c r="D178" s="233">
        <v>543.70000000000005</v>
      </c>
      <c r="E178" s="233">
        <v>146.90956560000001</v>
      </c>
      <c r="F178" s="233">
        <v>70.75</v>
      </c>
      <c r="G178" s="233">
        <v>23.34</v>
      </c>
      <c r="H178" s="286">
        <v>823.28399999999999</v>
      </c>
      <c r="I178" s="233">
        <v>655.95699999999999</v>
      </c>
      <c r="J178" s="233">
        <v>603.90075492542803</v>
      </c>
      <c r="K178" s="233">
        <v>1.0862000000000001</v>
      </c>
      <c r="L178" s="233">
        <v>0.06</v>
      </c>
      <c r="M178" s="233">
        <v>0.66</v>
      </c>
      <c r="N178" s="233">
        <v>-0.45</v>
      </c>
      <c r="O178" s="233">
        <v>-0.04</v>
      </c>
      <c r="P178" s="233">
        <v>0.32909670000000002</v>
      </c>
      <c r="Q178" s="233">
        <v>0.1</v>
      </c>
      <c r="R178" s="233">
        <v>0.85551330000000003</v>
      </c>
      <c r="S178" s="233">
        <v>0.326233</v>
      </c>
      <c r="T178" s="233">
        <v>0.3</v>
      </c>
    </row>
    <row r="179" spans="1:20" x14ac:dyDescent="0.25">
      <c r="A179" s="7">
        <v>43952</v>
      </c>
      <c r="B179" s="233">
        <v>1583.71</v>
      </c>
      <c r="C179" s="233">
        <v>573.88</v>
      </c>
      <c r="D179" s="233">
        <v>492.89</v>
      </c>
      <c r="E179" s="233">
        <v>143.90578719999999</v>
      </c>
      <c r="F179" s="233">
        <v>72.900000000000006</v>
      </c>
      <c r="G179" s="233">
        <v>31.02</v>
      </c>
      <c r="H179" s="286">
        <v>820.51499999999999</v>
      </c>
      <c r="I179" s="233">
        <v>655.95699999999999</v>
      </c>
      <c r="J179" s="233">
        <v>601.68501192441749</v>
      </c>
      <c r="K179" s="233">
        <v>1.0902000000000001</v>
      </c>
      <c r="L179" s="233">
        <v>-0.03</v>
      </c>
      <c r="M179" s="233">
        <v>0.67</v>
      </c>
      <c r="N179" s="233">
        <v>-0.52</v>
      </c>
      <c r="O179" s="233">
        <v>0</v>
      </c>
      <c r="P179" s="233">
        <v>0.1179264</v>
      </c>
      <c r="Q179" s="233">
        <v>0.1</v>
      </c>
      <c r="R179" s="233">
        <v>0.56925990000000004</v>
      </c>
      <c r="S179" s="233">
        <v>0.36422890000000002</v>
      </c>
      <c r="T179" s="233">
        <v>0.1</v>
      </c>
    </row>
    <row r="180" spans="1:20" x14ac:dyDescent="0.25">
      <c r="A180" s="7">
        <v>43983</v>
      </c>
      <c r="B180" s="233">
        <v>1700.34</v>
      </c>
      <c r="C180" s="233">
        <v>651.58000000000004</v>
      </c>
      <c r="D180" s="233">
        <v>494.05</v>
      </c>
      <c r="E180" s="233">
        <v>147.98824880000001</v>
      </c>
      <c r="F180" s="233">
        <v>75</v>
      </c>
      <c r="G180" s="233">
        <v>39.93</v>
      </c>
      <c r="H180" s="286">
        <v>804.31399999999996</v>
      </c>
      <c r="I180" s="233">
        <v>655.95699999999999</v>
      </c>
      <c r="J180" s="233">
        <v>582.81386050644164</v>
      </c>
      <c r="K180" s="233">
        <v>1.1254999999999999</v>
      </c>
      <c r="L180" s="233">
        <v>0.04</v>
      </c>
      <c r="M180" s="233">
        <v>0.73</v>
      </c>
      <c r="N180" s="233">
        <v>0.43</v>
      </c>
      <c r="O180" s="233">
        <v>0.03</v>
      </c>
      <c r="P180" s="233">
        <v>0.64573309999999995</v>
      </c>
      <c r="Q180" s="233">
        <v>0.1</v>
      </c>
      <c r="R180" s="233">
        <v>0.85146639999999996</v>
      </c>
      <c r="S180" s="233">
        <v>0.20080319999999999</v>
      </c>
      <c r="T180" s="233">
        <v>0.3</v>
      </c>
    </row>
    <row r="181" spans="1:20" x14ac:dyDescent="0.25">
      <c r="A181" s="7">
        <v>44013</v>
      </c>
      <c r="B181" s="233">
        <v>1876.87</v>
      </c>
      <c r="C181" s="233">
        <v>694.16</v>
      </c>
      <c r="D181" s="233">
        <v>459.7</v>
      </c>
      <c r="E181" s="233">
        <v>152.55493680000001</v>
      </c>
      <c r="F181" s="233">
        <v>75</v>
      </c>
      <c r="G181" s="233">
        <v>42.81</v>
      </c>
      <c r="H181" s="286">
        <v>795.50400000000002</v>
      </c>
      <c r="I181" s="233">
        <v>655.95699999999999</v>
      </c>
      <c r="J181" s="233">
        <v>572.23850649917119</v>
      </c>
      <c r="K181" s="233">
        <v>1.1463000000000001</v>
      </c>
      <c r="L181" s="233">
        <v>-0.15</v>
      </c>
      <c r="M181" s="233">
        <v>0.62</v>
      </c>
      <c r="N181" s="233">
        <v>0.52</v>
      </c>
      <c r="O181" s="233">
        <v>0.01</v>
      </c>
      <c r="P181" s="233">
        <v>0.98608180000000001</v>
      </c>
      <c r="Q181" s="233">
        <v>0.3</v>
      </c>
      <c r="R181" s="233">
        <v>-9.4161960000000003E-2</v>
      </c>
      <c r="S181" s="233">
        <v>0.7760108</v>
      </c>
      <c r="T181" s="233">
        <v>0.4</v>
      </c>
    </row>
    <row r="182" spans="1:20" x14ac:dyDescent="0.25">
      <c r="A182" s="7">
        <v>44044</v>
      </c>
      <c r="B182" s="233">
        <v>1876.96</v>
      </c>
      <c r="C182" s="233">
        <v>760.3</v>
      </c>
      <c r="D182" s="233">
        <v>480.85</v>
      </c>
      <c r="E182" s="233">
        <v>143.712884</v>
      </c>
      <c r="F182" s="233">
        <v>76.88</v>
      </c>
      <c r="G182" s="233">
        <v>44.26</v>
      </c>
      <c r="H182" s="286">
        <v>783.13699999999994</v>
      </c>
      <c r="I182" s="233">
        <v>655.95699999999999</v>
      </c>
      <c r="J182" s="233">
        <v>554.5798106188704</v>
      </c>
      <c r="K182" s="233">
        <v>1.1828000000000001</v>
      </c>
      <c r="L182" s="233">
        <v>-0.17100000000000001</v>
      </c>
      <c r="M182" s="233">
        <v>0.65</v>
      </c>
      <c r="N182" s="233">
        <v>-0.52300000000000002</v>
      </c>
      <c r="O182" s="233">
        <v>4.4999999999999998E-2</v>
      </c>
      <c r="P182" s="233">
        <v>1.3096449999999999</v>
      </c>
      <c r="Q182" s="233">
        <v>0.2</v>
      </c>
      <c r="R182" s="233">
        <v>0</v>
      </c>
      <c r="S182" s="233">
        <v>0.21934010000000001</v>
      </c>
      <c r="T182" s="233">
        <v>-0.2</v>
      </c>
    </row>
    <row r="183" spans="1:20" x14ac:dyDescent="0.25">
      <c r="A183" s="7">
        <v>44075</v>
      </c>
      <c r="B183" s="233">
        <v>1880.59</v>
      </c>
      <c r="C183" s="233">
        <v>798.12</v>
      </c>
      <c r="D183" s="233">
        <v>483</v>
      </c>
      <c r="E183" s="233">
        <v>166.14083360000001</v>
      </c>
      <c r="F183" s="233">
        <v>79.38</v>
      </c>
      <c r="G183" s="233">
        <v>41.09</v>
      </c>
      <c r="H183" s="286">
        <v>785.75</v>
      </c>
      <c r="I183" s="233">
        <v>655.95699999999999</v>
      </c>
      <c r="J183" s="233">
        <v>556.27289687924019</v>
      </c>
      <c r="K183" s="233">
        <v>1.1792</v>
      </c>
      <c r="L183" s="233">
        <v>-0.20699999999999999</v>
      </c>
      <c r="M183" s="233">
        <v>0.68</v>
      </c>
      <c r="N183" s="233">
        <v>-0.52500000000000002</v>
      </c>
      <c r="O183" s="233">
        <v>1.4999999999999999E-2</v>
      </c>
      <c r="P183" s="233">
        <v>1.3713249999999999</v>
      </c>
      <c r="Q183" s="233">
        <v>0</v>
      </c>
      <c r="R183" s="233">
        <v>-0.18867919999999999</v>
      </c>
      <c r="S183" s="233">
        <v>4.7846890000000003E-2</v>
      </c>
      <c r="T183" s="233">
        <v>-0.3</v>
      </c>
    </row>
    <row r="184" spans="1:20" x14ac:dyDescent="0.25">
      <c r="A184" s="7">
        <v>44105</v>
      </c>
      <c r="B184" s="233">
        <v>1877.59</v>
      </c>
      <c r="C184" s="233">
        <v>819.27</v>
      </c>
      <c r="D184" s="233">
        <v>454.5</v>
      </c>
      <c r="E184" s="233">
        <v>186.74604479999999</v>
      </c>
      <c r="F184" s="233">
        <v>80</v>
      </c>
      <c r="G184" s="233">
        <v>40.47</v>
      </c>
      <c r="H184" s="286">
        <v>787.74</v>
      </c>
      <c r="I184" s="233">
        <v>655.95699999999999</v>
      </c>
      <c r="J184" s="233">
        <v>557.07600849256903</v>
      </c>
      <c r="K184" s="233">
        <v>1.1775</v>
      </c>
      <c r="L184" s="233">
        <v>-0.29699999999999999</v>
      </c>
      <c r="M184" s="233">
        <v>0.79</v>
      </c>
      <c r="N184" s="233">
        <v>-0.60699999999999998</v>
      </c>
      <c r="O184" s="233">
        <v>0.04</v>
      </c>
      <c r="P184" s="233">
        <v>1.1820660000000001</v>
      </c>
      <c r="Q184" s="233">
        <v>-0.4</v>
      </c>
      <c r="R184" s="233">
        <v>-0.18850140000000001</v>
      </c>
      <c r="S184" s="233">
        <v>4.7865209999999998E-2</v>
      </c>
      <c r="T184" s="233">
        <v>-0.3</v>
      </c>
    </row>
    <row r="185" spans="1:20" x14ac:dyDescent="0.25">
      <c r="A185" s="7">
        <v>44136</v>
      </c>
      <c r="B185" s="233">
        <v>1878.61</v>
      </c>
      <c r="C185" s="233">
        <v>917.81</v>
      </c>
      <c r="D185" s="233">
        <v>467.65</v>
      </c>
      <c r="E185" s="233">
        <v>190.37577440000001</v>
      </c>
      <c r="F185" s="233">
        <v>82.5</v>
      </c>
      <c r="G185" s="233">
        <v>43.23</v>
      </c>
      <c r="H185" s="286">
        <v>788.27</v>
      </c>
      <c r="I185" s="233">
        <v>655.95699999999999</v>
      </c>
      <c r="J185" s="233">
        <v>554.11133637438763</v>
      </c>
      <c r="K185" s="233">
        <v>1.1838</v>
      </c>
      <c r="L185" s="233">
        <v>-0.32600000000000001</v>
      </c>
      <c r="M185" s="233">
        <v>0.87</v>
      </c>
      <c r="N185" s="233">
        <v>-0.62</v>
      </c>
      <c r="O185" s="233">
        <v>0.03</v>
      </c>
      <c r="P185" s="233">
        <v>1.174536</v>
      </c>
      <c r="Q185" s="233">
        <v>-0.9</v>
      </c>
      <c r="R185" s="233">
        <v>-0.2849003</v>
      </c>
      <c r="S185" s="233">
        <v>0.2009185</v>
      </c>
      <c r="T185" s="233">
        <v>-0.3</v>
      </c>
    </row>
    <row r="186" spans="1:20" x14ac:dyDescent="0.25">
      <c r="A186" s="7">
        <v>44166</v>
      </c>
      <c r="B186" s="233">
        <v>1977.1738914549701</v>
      </c>
      <c r="C186" s="233">
        <v>978.57340261739796</v>
      </c>
      <c r="D186" s="233">
        <v>496.55</v>
      </c>
      <c r="E186" s="233">
        <v>198.76903200000001</v>
      </c>
      <c r="F186" s="233">
        <v>83.33</v>
      </c>
      <c r="G186" s="233">
        <v>49.87</v>
      </c>
      <c r="H186" s="286">
        <v>776.28</v>
      </c>
      <c r="I186" s="233">
        <v>655.95699999999999</v>
      </c>
      <c r="J186" s="233">
        <v>538.99506984387835</v>
      </c>
      <c r="K186" s="233">
        <v>1.2170000000000001</v>
      </c>
      <c r="L186" s="233">
        <v>-0.33500000000000002</v>
      </c>
      <c r="M186" s="233">
        <v>0.93</v>
      </c>
      <c r="N186" s="233">
        <v>-0.61899999999999999</v>
      </c>
      <c r="O186" s="233">
        <v>0.02</v>
      </c>
      <c r="P186" s="233">
        <v>1.3620049999999999</v>
      </c>
      <c r="Q186" s="233">
        <v>-1.2</v>
      </c>
      <c r="R186" s="233">
        <v>-0.28355390000000003</v>
      </c>
      <c r="S186" s="233">
        <v>-1.9051249999999999E-2</v>
      </c>
      <c r="T186" s="233">
        <v>-0.3</v>
      </c>
    </row>
    <row r="187" spans="1:20" x14ac:dyDescent="0.25">
      <c r="A187" s="7">
        <v>44197</v>
      </c>
      <c r="B187" s="233">
        <v>1988.94048883757</v>
      </c>
      <c r="C187" s="233">
        <v>990.34</v>
      </c>
      <c r="D187" s="233">
        <v>517.75</v>
      </c>
      <c r="E187" s="233">
        <v>234.46795014720001</v>
      </c>
      <c r="F187" s="233">
        <v>85</v>
      </c>
      <c r="G187" s="233">
        <v>54.55</v>
      </c>
      <c r="H187" s="286">
        <v>777.28</v>
      </c>
      <c r="I187" s="233">
        <v>655.95699999999999</v>
      </c>
      <c r="J187" s="233">
        <v>538.95078465204176</v>
      </c>
      <c r="K187" s="233">
        <v>1.2171000000000001</v>
      </c>
      <c r="L187" s="233">
        <v>-0.30499999999999999</v>
      </c>
      <c r="M187" s="233">
        <v>1.08</v>
      </c>
      <c r="N187" s="233">
        <v>-0.58399999999999996</v>
      </c>
      <c r="O187" s="233">
        <v>5.5E-2</v>
      </c>
      <c r="P187" s="233">
        <v>1.39977</v>
      </c>
      <c r="Q187" s="233">
        <v>-0.6</v>
      </c>
      <c r="R187" s="233">
        <v>1.0456270000000001</v>
      </c>
      <c r="S187" s="233">
        <v>0.55481150000000001</v>
      </c>
      <c r="T187" s="233">
        <v>0.9</v>
      </c>
    </row>
    <row r="188" spans="1:20" x14ac:dyDescent="0.25">
      <c r="A188" s="7">
        <v>44228</v>
      </c>
      <c r="B188" s="233">
        <v>1993.2059724793701</v>
      </c>
      <c r="C188" s="233">
        <v>1017.33</v>
      </c>
      <c r="D188" s="233">
        <v>531</v>
      </c>
      <c r="E188" s="233">
        <v>245.23508240000001</v>
      </c>
      <c r="F188" s="233">
        <v>88.13</v>
      </c>
      <c r="G188" s="233">
        <v>61.96</v>
      </c>
      <c r="H188" s="286">
        <v>780.89</v>
      </c>
      <c r="I188" s="233">
        <v>655.95699999999999</v>
      </c>
      <c r="J188" s="233">
        <v>542.20284344519757</v>
      </c>
      <c r="K188" s="233">
        <v>1.2098</v>
      </c>
      <c r="L188" s="233">
        <v>-0.15</v>
      </c>
      <c r="M188" s="233">
        <v>1.26</v>
      </c>
      <c r="N188" s="233">
        <v>-0.44600000000000001</v>
      </c>
      <c r="O188" s="233">
        <v>0.15</v>
      </c>
      <c r="P188" s="233">
        <v>1.676215</v>
      </c>
      <c r="Q188" s="233">
        <v>-0.4</v>
      </c>
      <c r="R188" s="233">
        <v>1.325758</v>
      </c>
      <c r="S188" s="233">
        <v>0.56443129999999997</v>
      </c>
      <c r="T188" s="233">
        <v>0.9</v>
      </c>
    </row>
    <row r="189" spans="1:20" x14ac:dyDescent="0.25">
      <c r="A189" s="7">
        <v>44256</v>
      </c>
      <c r="B189" s="233">
        <v>2006.0389818224601</v>
      </c>
      <c r="C189" s="233">
        <v>1031.1300000000001</v>
      </c>
      <c r="D189" s="233">
        <v>504.13</v>
      </c>
      <c r="E189" s="233">
        <v>245.17209360000001</v>
      </c>
      <c r="F189" s="233">
        <v>96.25</v>
      </c>
      <c r="G189" s="233">
        <v>65.19</v>
      </c>
      <c r="H189" s="286">
        <v>786.93</v>
      </c>
      <c r="I189" s="233">
        <v>655.95699999999999</v>
      </c>
      <c r="J189" s="233">
        <v>551.270695016388</v>
      </c>
      <c r="K189" s="233">
        <v>1.1899</v>
      </c>
      <c r="L189" s="233">
        <v>-7.0000000000000007E-2</v>
      </c>
      <c r="M189" s="233">
        <v>1.61</v>
      </c>
      <c r="N189" s="233">
        <v>-0.36499999999999999</v>
      </c>
      <c r="O189" s="233">
        <v>0.12</v>
      </c>
      <c r="P189" s="233">
        <v>2.6197620000000001</v>
      </c>
      <c r="Q189" s="233">
        <v>-0.2</v>
      </c>
      <c r="R189" s="233">
        <v>1.702933</v>
      </c>
      <c r="S189" s="233">
        <v>1.1090930000000001</v>
      </c>
      <c r="T189" s="233">
        <v>1.3</v>
      </c>
    </row>
    <row r="190" spans="1:20" x14ac:dyDescent="0.25">
      <c r="A190" s="7">
        <v>44287</v>
      </c>
      <c r="B190" s="233">
        <v>2020.63680170152</v>
      </c>
      <c r="C190" s="233">
        <v>1074.5999999999999</v>
      </c>
      <c r="D190" s="233">
        <v>477.38</v>
      </c>
      <c r="E190" s="233">
        <v>268.23386799999997</v>
      </c>
      <c r="F190" s="233">
        <v>95</v>
      </c>
      <c r="G190" s="233">
        <v>64.77</v>
      </c>
      <c r="H190" s="286">
        <v>783.81</v>
      </c>
      <c r="I190" s="233">
        <v>655.95699999999999</v>
      </c>
      <c r="J190" s="233">
        <v>547.5891142833292</v>
      </c>
      <c r="K190" s="233">
        <v>1.1979</v>
      </c>
      <c r="L190" s="233">
        <v>-6.0000000000000001E-3</v>
      </c>
      <c r="M190" s="233">
        <v>1.64</v>
      </c>
      <c r="N190" s="233">
        <v>-0.33</v>
      </c>
      <c r="O190" s="233">
        <v>0.09</v>
      </c>
      <c r="P190" s="233">
        <v>4.1596950000000001</v>
      </c>
      <c r="Q190" s="233">
        <v>-0.4</v>
      </c>
      <c r="R190" s="233">
        <v>1.9792650000000001</v>
      </c>
      <c r="S190" s="233">
        <v>1.2433050000000001</v>
      </c>
      <c r="T190" s="233">
        <v>1.6</v>
      </c>
    </row>
    <row r="191" spans="1:20" x14ac:dyDescent="0.25">
      <c r="A191" s="7">
        <v>44317</v>
      </c>
      <c r="B191" s="233">
        <v>2072.0399166727998</v>
      </c>
      <c r="C191" s="233">
        <v>1163.17</v>
      </c>
      <c r="D191" s="233">
        <v>462.75</v>
      </c>
      <c r="E191" s="233">
        <v>305.31065039999999</v>
      </c>
      <c r="F191" s="233">
        <v>102.5</v>
      </c>
      <c r="G191" s="233">
        <v>68.040000000000006</v>
      </c>
      <c r="H191" s="286">
        <v>778.13</v>
      </c>
      <c r="I191" s="233">
        <v>655.95699999999999</v>
      </c>
      <c r="J191" s="233">
        <v>540.06010209122348</v>
      </c>
      <c r="K191" s="233">
        <v>1.2145999999999999</v>
      </c>
      <c r="L191" s="233">
        <v>0.20699999999999999</v>
      </c>
      <c r="M191" s="233">
        <v>1.62</v>
      </c>
      <c r="N191" s="233">
        <v>-0.22</v>
      </c>
      <c r="O191" s="233">
        <v>0.08</v>
      </c>
      <c r="P191" s="233">
        <v>4.9927070000000002</v>
      </c>
      <c r="Q191" s="233">
        <v>-0.1</v>
      </c>
      <c r="R191" s="233">
        <v>2.5471699999999999</v>
      </c>
      <c r="S191" s="233">
        <v>1.4229780000000001</v>
      </c>
      <c r="T191" s="233">
        <v>2</v>
      </c>
    </row>
    <row r="192" spans="1:20" x14ac:dyDescent="0.25">
      <c r="A192" s="7">
        <v>44348</v>
      </c>
      <c r="B192" s="233">
        <v>2078.8257589914201</v>
      </c>
      <c r="C192" s="233">
        <v>1017.47</v>
      </c>
      <c r="D192" s="233">
        <v>439.71</v>
      </c>
      <c r="E192" s="233">
        <v>291.90190960000001</v>
      </c>
      <c r="F192" s="233">
        <v>125</v>
      </c>
      <c r="G192" s="233">
        <v>73.069999999999993</v>
      </c>
      <c r="H192" s="286">
        <v>781.28</v>
      </c>
      <c r="I192" s="233">
        <v>655.95699999999999</v>
      </c>
      <c r="J192" s="233">
        <v>544.49821532331691</v>
      </c>
      <c r="K192" s="233">
        <v>1.2047000000000001</v>
      </c>
      <c r="L192" s="233">
        <v>0.153</v>
      </c>
      <c r="M192" s="233">
        <v>1.52</v>
      </c>
      <c r="N192" s="233">
        <v>-0.28199999999999997</v>
      </c>
      <c r="O192" s="233">
        <v>0.05</v>
      </c>
      <c r="P192" s="233">
        <v>5.391451</v>
      </c>
      <c r="Q192" s="233">
        <v>0.2</v>
      </c>
      <c r="R192" s="233">
        <v>2.3452160000000002</v>
      </c>
      <c r="S192" s="233">
        <v>1.479149</v>
      </c>
      <c r="T192" s="233">
        <v>1.9</v>
      </c>
    </row>
    <row r="193" spans="1:20" x14ac:dyDescent="0.25">
      <c r="A193" s="7">
        <v>44378</v>
      </c>
      <c r="B193" s="233">
        <v>2092.1928941281099</v>
      </c>
      <c r="C193" s="233">
        <v>1057.44</v>
      </c>
      <c r="D193" s="233">
        <v>397</v>
      </c>
      <c r="E193" s="233">
        <v>276.53264239999999</v>
      </c>
      <c r="F193" s="233">
        <v>125</v>
      </c>
      <c r="G193" s="233">
        <v>74.39</v>
      </c>
      <c r="H193" s="286">
        <v>789.75</v>
      </c>
      <c r="I193" s="233">
        <v>655.95699999999999</v>
      </c>
      <c r="J193" s="233">
        <v>554.86127558788701</v>
      </c>
      <c r="K193" s="233">
        <v>1.1821999999999999</v>
      </c>
      <c r="L193" s="233">
        <v>-6.0000000000000001E-3</v>
      </c>
      <c r="M193" s="233">
        <v>1.32</v>
      </c>
      <c r="N193" s="233">
        <v>-0.45100000000000001</v>
      </c>
      <c r="O193" s="233">
        <v>1.4999999999999999E-2</v>
      </c>
      <c r="P193" s="233">
        <v>5.365475</v>
      </c>
      <c r="Q193" s="233">
        <v>-0.3</v>
      </c>
      <c r="R193" s="233">
        <v>3.7700279999999999</v>
      </c>
      <c r="S193" s="233">
        <v>1.150299</v>
      </c>
      <c r="T193" s="233">
        <v>2.2000000000000002</v>
      </c>
    </row>
    <row r="194" spans="1:20" x14ac:dyDescent="0.25">
      <c r="A194" s="7">
        <v>44409</v>
      </c>
      <c r="B194" s="233">
        <v>2102.2883548599998</v>
      </c>
      <c r="C194" s="233">
        <v>1135.77</v>
      </c>
      <c r="D194" s="233">
        <v>381</v>
      </c>
      <c r="E194" s="233">
        <v>256.61243439999998</v>
      </c>
      <c r="F194" s="233">
        <v>136.88</v>
      </c>
      <c r="G194" s="233">
        <v>70.02</v>
      </c>
      <c r="H194" s="286">
        <v>792.25</v>
      </c>
      <c r="I194" s="233">
        <v>655.95699999999999</v>
      </c>
      <c r="J194" s="233">
        <v>557.21797485558955</v>
      </c>
      <c r="K194" s="233">
        <v>1.1772</v>
      </c>
      <c r="L194" s="233">
        <v>-0.114</v>
      </c>
      <c r="M194" s="233">
        <v>1.28</v>
      </c>
      <c r="N194" s="233">
        <v>-0.53900000000000003</v>
      </c>
      <c r="O194" s="233">
        <v>0.02</v>
      </c>
      <c r="P194" s="233">
        <v>5.2512720000000002</v>
      </c>
      <c r="Q194" s="233">
        <v>-0.4</v>
      </c>
      <c r="R194" s="233">
        <v>3.8679239999999999</v>
      </c>
      <c r="S194" s="233">
        <v>1.8650679999999999</v>
      </c>
      <c r="T194" s="233">
        <v>3</v>
      </c>
    </row>
    <row r="195" spans="1:20" x14ac:dyDescent="0.25">
      <c r="A195" s="7">
        <v>44440</v>
      </c>
      <c r="B195" s="233">
        <v>2109.0202199738901</v>
      </c>
      <c r="C195" s="233">
        <v>1181.3800000000001</v>
      </c>
      <c r="D195" s="233">
        <v>381.27</v>
      </c>
      <c r="E195" s="233">
        <v>235.61748</v>
      </c>
      <c r="F195" s="233">
        <v>147.5</v>
      </c>
      <c r="G195" s="233">
        <v>74.599999999999994</v>
      </c>
      <c r="H195" s="286">
        <v>792.71</v>
      </c>
      <c r="I195" s="233">
        <v>655.95699999999999</v>
      </c>
      <c r="J195" s="233">
        <v>557.31265930331347</v>
      </c>
      <c r="K195" s="233">
        <v>1.177</v>
      </c>
      <c r="L195" s="233">
        <v>0.04</v>
      </c>
      <c r="M195" s="233">
        <v>1.37</v>
      </c>
      <c r="N195" s="233">
        <v>-0.36299999999999999</v>
      </c>
      <c r="O195" s="233">
        <v>6.5000000000000002E-2</v>
      </c>
      <c r="P195" s="233">
        <v>5.4</v>
      </c>
      <c r="Q195" s="233">
        <v>0.2</v>
      </c>
      <c r="R195" s="233">
        <v>2.2000000000000002</v>
      </c>
      <c r="S195" s="233">
        <v>4.0999999999999996</v>
      </c>
      <c r="T195" s="233">
        <v>3.4</v>
      </c>
    </row>
    <row r="196" spans="1:20" x14ac:dyDescent="0.25">
      <c r="A196" s="7">
        <v>44470</v>
      </c>
      <c r="B196" s="233">
        <v>2133.66533688546</v>
      </c>
      <c r="C196" s="233">
        <v>1306.9000000000001</v>
      </c>
      <c r="D196" s="233">
        <v>382.85</v>
      </c>
      <c r="E196" s="233">
        <v>239.64876319999999</v>
      </c>
      <c r="F196" s="233">
        <v>147.5</v>
      </c>
      <c r="G196" s="233">
        <v>83.65</v>
      </c>
      <c r="H196" s="286">
        <v>798.63</v>
      </c>
      <c r="I196" s="233">
        <v>655.95699999999999</v>
      </c>
      <c r="J196" s="233">
        <v>565.43142832514445</v>
      </c>
      <c r="K196" s="233">
        <v>1.1600999999999999</v>
      </c>
      <c r="L196" s="233">
        <v>0.2</v>
      </c>
      <c r="M196" s="233">
        <v>1.58</v>
      </c>
      <c r="N196" s="233">
        <v>-0.20399999999999999</v>
      </c>
      <c r="O196" s="233">
        <v>9.5000000000000001E-2</v>
      </c>
      <c r="P196" s="233">
        <v>6.2218689999999999</v>
      </c>
      <c r="Q196" s="233">
        <v>0.1</v>
      </c>
      <c r="R196" s="233">
        <v>4.532578</v>
      </c>
      <c r="S196" s="233">
        <v>2.621759</v>
      </c>
      <c r="T196" s="233">
        <v>4.0999999999999996</v>
      </c>
    </row>
    <row r="197" spans="1:20" x14ac:dyDescent="0.25">
      <c r="A197" s="7">
        <v>44501</v>
      </c>
      <c r="B197" s="233">
        <v>2150.2094498390102</v>
      </c>
      <c r="C197" s="233">
        <v>1348.07</v>
      </c>
      <c r="D197" s="233">
        <v>378.55</v>
      </c>
      <c r="E197" s="233">
        <v>248.71915039999999</v>
      </c>
      <c r="F197" s="233">
        <v>153.13</v>
      </c>
      <c r="G197" s="233">
        <v>80.77</v>
      </c>
      <c r="H197" s="286">
        <v>805.89</v>
      </c>
      <c r="I197" s="233">
        <v>655.95699999999999</v>
      </c>
      <c r="J197" s="233">
        <v>574.6951112668653</v>
      </c>
      <c r="K197" s="233">
        <v>1.1414</v>
      </c>
      <c r="L197" s="233">
        <v>0.1</v>
      </c>
      <c r="M197" s="233">
        <v>1.56</v>
      </c>
      <c r="N197" s="233">
        <v>-0.314</v>
      </c>
      <c r="O197" s="233">
        <v>0.05</v>
      </c>
      <c r="P197" s="233">
        <v>6.8</v>
      </c>
      <c r="Q197" s="233">
        <v>0.6</v>
      </c>
      <c r="R197" s="233">
        <v>5.2</v>
      </c>
      <c r="S197" s="233">
        <v>2.8</v>
      </c>
      <c r="T197" s="233">
        <v>4.9000000000000004</v>
      </c>
    </row>
    <row r="198" spans="1:20" x14ac:dyDescent="0.25">
      <c r="A198" s="7">
        <v>44531</v>
      </c>
      <c r="B198" s="233">
        <v>2154.0602220204401</v>
      </c>
      <c r="C198" s="233">
        <v>1270.29</v>
      </c>
      <c r="D198" s="233">
        <v>380.95</v>
      </c>
      <c r="E198" s="233">
        <v>264.53721280000002</v>
      </c>
      <c r="F198" s="233">
        <v>176.67</v>
      </c>
      <c r="G198" s="233">
        <v>74.31</v>
      </c>
      <c r="H198" s="286">
        <v>811.55</v>
      </c>
      <c r="I198" s="233">
        <v>655.95699999999999</v>
      </c>
      <c r="J198" s="233">
        <v>580.28750884642602</v>
      </c>
      <c r="K198" s="233">
        <v>1.1304000000000001</v>
      </c>
      <c r="L198" s="233">
        <v>0.05</v>
      </c>
      <c r="M198" s="233">
        <v>1.47</v>
      </c>
      <c r="N198" s="233">
        <v>-0.38400000000000001</v>
      </c>
      <c r="O198" s="233">
        <v>7.0000000000000007E-2</v>
      </c>
      <c r="P198" s="233">
        <v>7.036403</v>
      </c>
      <c r="Q198" s="233">
        <v>0.8</v>
      </c>
      <c r="R198" s="233">
        <v>5.3080569999999998</v>
      </c>
      <c r="S198" s="233">
        <v>2.7534299999999998</v>
      </c>
      <c r="T198" s="233">
        <v>5</v>
      </c>
    </row>
    <row r="199" spans="1:20" x14ac:dyDescent="0.25">
      <c r="A199" s="7">
        <v>44562</v>
      </c>
      <c r="B199" s="233">
        <v>2489.88</v>
      </c>
      <c r="C199" s="233">
        <v>1344.79</v>
      </c>
      <c r="D199" s="233">
        <v>403.15</v>
      </c>
      <c r="E199" s="233">
        <v>276.62318879999998</v>
      </c>
      <c r="F199" s="233">
        <v>173.13</v>
      </c>
      <c r="G199" s="233">
        <v>85.53</v>
      </c>
      <c r="H199" s="286">
        <v>811.85</v>
      </c>
      <c r="I199" s="233">
        <v>655.95699999999999</v>
      </c>
      <c r="J199" s="233">
        <v>579.77461552059401</v>
      </c>
      <c r="K199" s="233">
        <v>1.1314</v>
      </c>
      <c r="L199" s="233">
        <v>0.31</v>
      </c>
      <c r="M199" s="233">
        <v>1.76</v>
      </c>
      <c r="N199" s="233">
        <v>-0.115</v>
      </c>
      <c r="O199" s="233">
        <v>0.17</v>
      </c>
      <c r="P199" s="233">
        <v>7.4798730000000004</v>
      </c>
      <c r="Q199" s="233">
        <v>0.5</v>
      </c>
      <c r="R199" s="233">
        <v>4.8918160000000004</v>
      </c>
      <c r="S199" s="233">
        <v>2.8538809999999999</v>
      </c>
      <c r="T199" s="233">
        <v>5.0999999999999996</v>
      </c>
    </row>
    <row r="200" spans="1:20" x14ac:dyDescent="0.25">
      <c r="A200" s="7">
        <v>44593</v>
      </c>
      <c r="B200" s="233">
        <v>2473.1</v>
      </c>
      <c r="C200" s="233">
        <v>1522.36</v>
      </c>
      <c r="D200" s="233">
        <v>405.95</v>
      </c>
      <c r="E200" s="233">
        <v>292.622344</v>
      </c>
      <c r="F200" s="233">
        <v>172.5</v>
      </c>
      <c r="G200" s="233">
        <v>95.76</v>
      </c>
      <c r="H200" s="286">
        <v>810.31</v>
      </c>
      <c r="I200" s="233">
        <v>655.95699999999999</v>
      </c>
      <c r="J200" s="233">
        <v>578.34332569211767</v>
      </c>
      <c r="K200" s="233">
        <v>1.1342000000000001</v>
      </c>
      <c r="L200" s="233">
        <v>0.68</v>
      </c>
      <c r="M200" s="233">
        <v>1.93</v>
      </c>
      <c r="N200" s="233">
        <v>0.15</v>
      </c>
      <c r="O200" s="233">
        <v>0.18</v>
      </c>
      <c r="P200" s="233">
        <v>7.8710639999999996</v>
      </c>
      <c r="Q200" s="233">
        <v>0.9</v>
      </c>
      <c r="R200" s="233">
        <v>5.1401870000000001</v>
      </c>
      <c r="S200" s="233">
        <v>3.6339419999999998</v>
      </c>
      <c r="T200" s="233">
        <v>5.9</v>
      </c>
    </row>
    <row r="201" spans="1:20" x14ac:dyDescent="0.25">
      <c r="A201" s="7">
        <v>44621</v>
      </c>
      <c r="B201" s="233">
        <v>2153.15</v>
      </c>
      <c r="C201" s="233">
        <v>1776.96</v>
      </c>
      <c r="D201" s="233">
        <v>407.13</v>
      </c>
      <c r="E201" s="233">
        <v>335.52952720000002</v>
      </c>
      <c r="F201" s="233">
        <v>178.75</v>
      </c>
      <c r="G201" s="233">
        <v>115.59</v>
      </c>
      <c r="H201" s="286">
        <v>822.92</v>
      </c>
      <c r="I201" s="233">
        <v>655.95699999999999</v>
      </c>
      <c r="J201" s="233">
        <v>595.29630637988919</v>
      </c>
      <c r="K201" s="233">
        <v>1.1019000000000001</v>
      </c>
      <c r="L201" s="233">
        <v>0.79</v>
      </c>
      <c r="M201" s="233">
        <v>2.13</v>
      </c>
      <c r="N201" s="233">
        <v>0.28000000000000003</v>
      </c>
      <c r="O201" s="233">
        <v>0.21</v>
      </c>
      <c r="P201" s="233">
        <v>8.5424559999999996</v>
      </c>
      <c r="Q201" s="233">
        <v>1.2</v>
      </c>
      <c r="R201" s="233">
        <v>7.255814</v>
      </c>
      <c r="S201" s="233">
        <v>4.4822689999999996</v>
      </c>
      <c r="T201" s="233">
        <v>7.4</v>
      </c>
    </row>
    <row r="202" spans="1:20" x14ac:dyDescent="0.25">
      <c r="A202" s="7">
        <v>44652</v>
      </c>
      <c r="B202" s="233">
        <v>2145.25</v>
      </c>
      <c r="C202" s="233">
        <v>1682.74</v>
      </c>
      <c r="D202" s="233">
        <v>409.06</v>
      </c>
      <c r="E202" s="233">
        <v>348.16665519999998</v>
      </c>
      <c r="F202" s="233">
        <v>249.5</v>
      </c>
      <c r="G202" s="233">
        <v>105.78</v>
      </c>
      <c r="H202" s="286">
        <v>827.31</v>
      </c>
      <c r="I202" s="233">
        <v>655.95699999999999</v>
      </c>
      <c r="J202" s="233">
        <v>606.30095202883808</v>
      </c>
      <c r="K202" s="233">
        <v>1.0819000000000001</v>
      </c>
      <c r="L202" s="233">
        <v>1.28</v>
      </c>
      <c r="M202" s="233">
        <v>2.75</v>
      </c>
      <c r="N202" s="233">
        <v>0.746</v>
      </c>
      <c r="O202" s="233">
        <v>0.215</v>
      </c>
      <c r="P202" s="233">
        <v>8.2586300000000001</v>
      </c>
      <c r="Q202" s="233">
        <v>2.5</v>
      </c>
      <c r="R202" s="233">
        <v>7.3937150000000003</v>
      </c>
      <c r="S202" s="233">
        <v>4.8271300000000004</v>
      </c>
      <c r="T202" s="233">
        <v>7.4</v>
      </c>
    </row>
    <row r="203" spans="1:20" x14ac:dyDescent="0.25">
      <c r="A203" s="7">
        <v>44682</v>
      </c>
      <c r="B203" s="233">
        <v>2146.29</v>
      </c>
      <c r="C203" s="233">
        <v>1716.92</v>
      </c>
      <c r="D203" s="233">
        <v>442.86</v>
      </c>
      <c r="E203" s="233">
        <v>344.84005919999998</v>
      </c>
      <c r="F203" s="233">
        <v>255</v>
      </c>
      <c r="G203" s="233">
        <v>112.37</v>
      </c>
      <c r="H203" s="286">
        <v>832.85</v>
      </c>
      <c r="I203" s="233">
        <v>655.95699999999999</v>
      </c>
      <c r="J203" s="233">
        <v>620.0557708668116</v>
      </c>
      <c r="K203" s="233">
        <v>1.0579000000000001</v>
      </c>
      <c r="L203" s="233">
        <v>1.51</v>
      </c>
      <c r="M203" s="233">
        <v>2.9</v>
      </c>
      <c r="N203" s="233">
        <v>0.95299999999999996</v>
      </c>
      <c r="O203" s="233">
        <v>0.23499999999999999</v>
      </c>
      <c r="P203" s="233">
        <v>8.5815110000000008</v>
      </c>
      <c r="Q203" s="233">
        <v>2.5</v>
      </c>
      <c r="R203" s="233">
        <v>7.9116840000000002</v>
      </c>
      <c r="S203" s="233">
        <v>5.1977399999999996</v>
      </c>
      <c r="T203" s="233">
        <v>8.1</v>
      </c>
    </row>
    <row r="204" spans="1:20" x14ac:dyDescent="0.25">
      <c r="A204" s="7">
        <v>44713</v>
      </c>
      <c r="B204" s="233">
        <v>2146.19</v>
      </c>
      <c r="C204" s="233">
        <v>1501.1</v>
      </c>
      <c r="D204" s="233">
        <v>427.55</v>
      </c>
      <c r="E204" s="233">
        <v>335.71455680000003</v>
      </c>
      <c r="F204" s="233">
        <v>287.5</v>
      </c>
      <c r="G204" s="233">
        <v>120.08</v>
      </c>
      <c r="H204" s="286">
        <v>832.85</v>
      </c>
      <c r="I204" s="233">
        <v>655.95699999999999</v>
      </c>
      <c r="J204" s="233">
        <v>620.81866363808444</v>
      </c>
      <c r="K204" s="233">
        <v>1.0566</v>
      </c>
      <c r="L204" s="233">
        <v>2.11</v>
      </c>
      <c r="M204" s="233">
        <v>3.14</v>
      </c>
      <c r="N204" s="233">
        <v>1.4450000000000001</v>
      </c>
      <c r="O204" s="233">
        <v>0.22500000000000001</v>
      </c>
      <c r="P204" s="233">
        <v>9.1</v>
      </c>
      <c r="Q204" s="233">
        <v>2.4</v>
      </c>
      <c r="R204" s="233">
        <v>7.6076990000000002</v>
      </c>
      <c r="S204" s="233">
        <v>5.8397589999999999</v>
      </c>
      <c r="T204" s="233">
        <v>8.6</v>
      </c>
    </row>
    <row r="205" spans="1:20" x14ac:dyDescent="0.25">
      <c r="A205" s="7">
        <v>44743</v>
      </c>
      <c r="B205" s="233">
        <v>2146.19</v>
      </c>
      <c r="C205" s="233">
        <v>1056.6400000000001</v>
      </c>
      <c r="D205" s="233">
        <v>405.67</v>
      </c>
      <c r="E205" s="233">
        <v>322.96719839999997</v>
      </c>
      <c r="F205" s="233">
        <v>320</v>
      </c>
      <c r="G205" s="233">
        <v>108.92</v>
      </c>
      <c r="H205" s="286">
        <v>830.72</v>
      </c>
      <c r="I205" s="233">
        <v>655.95699999999999</v>
      </c>
      <c r="J205" s="233">
        <v>644.42184890460749</v>
      </c>
      <c r="K205" s="233">
        <v>1.0179</v>
      </c>
      <c r="L205" s="233">
        <v>1.72</v>
      </c>
      <c r="M205" s="233">
        <v>2.9</v>
      </c>
      <c r="N205" s="233">
        <v>1.08</v>
      </c>
      <c r="O205" s="286">
        <v>0.18</v>
      </c>
      <c r="P205" s="233">
        <v>8.5248150000000003</v>
      </c>
      <c r="Q205" s="233">
        <v>2.6</v>
      </c>
      <c r="R205" s="233">
        <v>7.5386009999999999</v>
      </c>
      <c r="S205" s="233">
        <v>6.0808270000000002</v>
      </c>
      <c r="T205" s="233">
        <v>8.9</v>
      </c>
    </row>
    <row r="206" spans="1:20" x14ac:dyDescent="0.25">
      <c r="A206" s="7">
        <v>44774</v>
      </c>
      <c r="B206" s="233">
        <v>2146.11</v>
      </c>
      <c r="C206" s="233">
        <v>1025.95</v>
      </c>
      <c r="D206" s="233">
        <v>412.55</v>
      </c>
      <c r="E206" s="233">
        <v>289.83999999999997</v>
      </c>
      <c r="F206" s="233">
        <v>320</v>
      </c>
      <c r="G206" s="233">
        <v>98.6</v>
      </c>
      <c r="H206" s="286">
        <v>849.5</v>
      </c>
      <c r="I206" s="233">
        <v>655.95699999999999</v>
      </c>
      <c r="J206" s="233">
        <v>647.66686413902062</v>
      </c>
      <c r="K206" s="233">
        <v>1.0127999999999999</v>
      </c>
      <c r="L206" s="233">
        <v>1.69</v>
      </c>
      <c r="M206" s="233">
        <v>2.9</v>
      </c>
      <c r="N206" s="233">
        <v>1.034</v>
      </c>
      <c r="O206" s="286">
        <v>0.22</v>
      </c>
      <c r="P206" s="233">
        <v>8.3000000000000007</v>
      </c>
      <c r="Q206" s="233">
        <v>3</v>
      </c>
      <c r="R206" s="233">
        <v>7.9</v>
      </c>
      <c r="S206" s="233">
        <v>5.9</v>
      </c>
      <c r="T206" s="233">
        <v>9.1</v>
      </c>
    </row>
    <row r="207" spans="1:20" x14ac:dyDescent="0.25">
      <c r="A207" s="7">
        <v>44805</v>
      </c>
      <c r="B207" s="233">
        <v>2146.13</v>
      </c>
      <c r="C207" s="233">
        <v>909.32</v>
      </c>
      <c r="D207" s="233">
        <v>423.62</v>
      </c>
      <c r="E207" s="233">
        <v>312.48743680000001</v>
      </c>
      <c r="F207" s="233">
        <v>320</v>
      </c>
      <c r="G207" s="233">
        <v>90.16</v>
      </c>
      <c r="H207" s="286">
        <v>851.46</v>
      </c>
      <c r="I207" s="233">
        <v>655.95699999999999</v>
      </c>
      <c r="J207" s="233">
        <v>662.31522617124403</v>
      </c>
      <c r="K207" s="233">
        <v>0.99039999999999995</v>
      </c>
      <c r="L207" s="233">
        <v>2.41</v>
      </c>
      <c r="M207" s="233">
        <v>3.52</v>
      </c>
      <c r="N207" s="233">
        <v>1.8</v>
      </c>
      <c r="O207" s="286">
        <v>0.24</v>
      </c>
      <c r="P207" s="233">
        <v>8.1999999999999993</v>
      </c>
      <c r="Q207" s="233">
        <v>3</v>
      </c>
      <c r="R207" s="233">
        <v>10</v>
      </c>
      <c r="S207" s="233">
        <v>5.6</v>
      </c>
      <c r="T207" s="233">
        <v>9.9</v>
      </c>
    </row>
    <row r="208" spans="1:20" x14ac:dyDescent="0.25">
      <c r="A208" s="7">
        <v>44835</v>
      </c>
      <c r="B208" s="233">
        <v>2146.1</v>
      </c>
      <c r="C208" s="233">
        <v>888.99</v>
      </c>
      <c r="D208" s="233">
        <v>411.62</v>
      </c>
      <c r="E208" s="233">
        <v>343.56</v>
      </c>
      <c r="F208" s="233">
        <v>317.5</v>
      </c>
      <c r="G208" s="233">
        <v>93.13</v>
      </c>
      <c r="H208" s="286">
        <v>854.89</v>
      </c>
      <c r="I208" s="233">
        <v>655.95699999999999</v>
      </c>
      <c r="J208" s="233">
        <v>667.57276613067381</v>
      </c>
      <c r="K208" s="233">
        <v>0.98260000000000003</v>
      </c>
      <c r="L208" s="233">
        <v>2.77</v>
      </c>
      <c r="M208" s="233">
        <v>3.98</v>
      </c>
      <c r="N208" s="233">
        <v>2.1869999999999998</v>
      </c>
      <c r="O208" s="286">
        <v>0.245</v>
      </c>
      <c r="P208" s="233">
        <v>7.7</v>
      </c>
      <c r="Q208" s="233">
        <v>3.7</v>
      </c>
      <c r="R208" s="233">
        <v>10.4</v>
      </c>
      <c r="S208" s="233">
        <v>6.2</v>
      </c>
      <c r="T208" s="233">
        <v>10.6</v>
      </c>
    </row>
    <row r="209" spans="1:20" x14ac:dyDescent="0.25">
      <c r="A209" s="7">
        <v>44866</v>
      </c>
      <c r="B209" s="233">
        <v>2146.14</v>
      </c>
      <c r="C209" s="233">
        <v>945.74</v>
      </c>
      <c r="D209" s="233">
        <v>417.5</v>
      </c>
      <c r="E209" s="233">
        <v>320.92006240000001</v>
      </c>
      <c r="F209" s="233">
        <v>300</v>
      </c>
      <c r="G209" s="233">
        <v>91.07</v>
      </c>
      <c r="H209" s="286">
        <v>854.68</v>
      </c>
      <c r="I209" s="233">
        <v>655.95699999999999</v>
      </c>
      <c r="J209" s="233">
        <v>643.03205568081557</v>
      </c>
      <c r="K209" s="233">
        <v>1.0201</v>
      </c>
      <c r="L209" s="233">
        <v>2.59</v>
      </c>
      <c r="M209" s="233">
        <v>3.89</v>
      </c>
      <c r="N209" s="233">
        <v>2.0659999999999998</v>
      </c>
      <c r="O209" s="286">
        <v>0.25</v>
      </c>
      <c r="P209" s="233">
        <v>7.1103230000000002</v>
      </c>
      <c r="Q209" s="233">
        <v>3.8</v>
      </c>
      <c r="R209" s="233">
        <v>10.045249999999999</v>
      </c>
      <c r="S209" s="233">
        <v>6.1501299999999999</v>
      </c>
      <c r="T209" s="233">
        <v>10.1</v>
      </c>
    </row>
    <row r="210" spans="1:20" x14ac:dyDescent="0.25">
      <c r="A210" s="7">
        <v>44896</v>
      </c>
      <c r="B210" s="233">
        <v>2146.1</v>
      </c>
      <c r="C210" s="233">
        <v>940.39</v>
      </c>
      <c r="D210" s="233">
        <v>446.39</v>
      </c>
      <c r="E210" s="233">
        <v>302.24781999999999</v>
      </c>
      <c r="F210" s="233">
        <v>300</v>
      </c>
      <c r="G210" s="233">
        <v>80.900000000000006</v>
      </c>
      <c r="H210" s="286">
        <v>824.21</v>
      </c>
      <c r="I210" s="233">
        <v>655.95699999999999</v>
      </c>
      <c r="J210" s="233">
        <v>619.47020492964396</v>
      </c>
      <c r="K210" s="233">
        <v>1.0589</v>
      </c>
      <c r="L210" s="233">
        <v>2.62</v>
      </c>
      <c r="M210" s="233">
        <v>3.62</v>
      </c>
      <c r="N210" s="233">
        <v>2.085</v>
      </c>
      <c r="O210" s="286">
        <v>0.41</v>
      </c>
      <c r="P210" s="233">
        <v>6.5</v>
      </c>
      <c r="Q210" s="233">
        <v>4</v>
      </c>
      <c r="R210" s="233">
        <v>8.6</v>
      </c>
      <c r="S210" s="233">
        <v>5.9</v>
      </c>
      <c r="T210" s="233">
        <v>9.1999999999999993</v>
      </c>
    </row>
    <row r="211" spans="1:20" x14ac:dyDescent="0.25">
      <c r="A211" s="7">
        <v>44927</v>
      </c>
      <c r="B211" s="233">
        <v>1970.67</v>
      </c>
      <c r="C211" s="233">
        <v>941.97</v>
      </c>
      <c r="D211" s="233">
        <v>484.64</v>
      </c>
      <c r="E211" s="233">
        <v>302.77535119999999</v>
      </c>
      <c r="F211" s="233">
        <v>300</v>
      </c>
      <c r="G211" s="233">
        <v>83.09</v>
      </c>
      <c r="H211" s="286">
        <v>818.77</v>
      </c>
      <c r="I211" s="233">
        <v>655.95699999999999</v>
      </c>
      <c r="J211" s="233">
        <v>609.11598105673693</v>
      </c>
      <c r="K211" s="233">
        <v>1.0769</v>
      </c>
      <c r="L211" s="233">
        <v>2.69</v>
      </c>
      <c r="M211" s="233">
        <v>3.53</v>
      </c>
      <c r="N211" s="286">
        <v>2.1930000000000001</v>
      </c>
      <c r="O211" s="233">
        <v>0.49</v>
      </c>
      <c r="P211" s="233">
        <v>6.4101470000000003</v>
      </c>
      <c r="Q211" s="233">
        <v>4.3</v>
      </c>
      <c r="R211" s="233">
        <v>8.6501900000000003</v>
      </c>
      <c r="S211" s="233">
        <v>5.993341</v>
      </c>
      <c r="T211" s="233">
        <v>8.6999999999999993</v>
      </c>
    </row>
    <row r="212" spans="1:20" x14ac:dyDescent="0.25">
      <c r="A212" s="7">
        <v>44958</v>
      </c>
      <c r="B212" s="233">
        <v>2042.62</v>
      </c>
      <c r="C212" s="233">
        <v>949.98</v>
      </c>
      <c r="D212" s="233">
        <v>468.95</v>
      </c>
      <c r="E212" s="233">
        <v>298.1771688</v>
      </c>
      <c r="F212" s="233">
        <v>322.5</v>
      </c>
      <c r="G212" s="233">
        <v>82.71</v>
      </c>
      <c r="H212" s="286">
        <v>819.28</v>
      </c>
      <c r="I212" s="233">
        <v>655.95699999999999</v>
      </c>
      <c r="J212" s="233">
        <v>612.18572095193667</v>
      </c>
      <c r="K212" s="233">
        <v>1.0714999999999999</v>
      </c>
      <c r="L212" s="233">
        <v>2.86</v>
      </c>
      <c r="M212" s="233">
        <v>3.75</v>
      </c>
      <c r="N212" s="286">
        <v>2.371</v>
      </c>
      <c r="O212" s="233">
        <v>0.5</v>
      </c>
      <c r="P212" s="233">
        <v>6.0356129999999997</v>
      </c>
      <c r="Q212" s="233">
        <v>3.3</v>
      </c>
      <c r="R212" s="233">
        <v>8.6792449999999999</v>
      </c>
      <c r="S212" s="233">
        <v>6.2786860000000004</v>
      </c>
      <c r="T212" s="233">
        <v>8.5</v>
      </c>
    </row>
    <row r="213" spans="1:20" x14ac:dyDescent="0.25">
      <c r="A213" s="7">
        <v>44986</v>
      </c>
      <c r="B213" s="233">
        <v>2100.41</v>
      </c>
      <c r="C213" s="233">
        <v>972.06</v>
      </c>
      <c r="D213" s="233">
        <v>460.91</v>
      </c>
      <c r="E213" s="233">
        <v>282.48902079999999</v>
      </c>
      <c r="F213" s="233">
        <v>345</v>
      </c>
      <c r="G213" s="233">
        <v>78.53</v>
      </c>
      <c r="H213" s="286">
        <v>818.89</v>
      </c>
      <c r="I213" s="233">
        <v>655.95699999999999</v>
      </c>
      <c r="J213" s="233">
        <v>598.0643690736689</v>
      </c>
      <c r="K213" s="233">
        <v>1.0968</v>
      </c>
      <c r="L213" s="233">
        <v>2.92</v>
      </c>
      <c r="M213" s="233">
        <v>3.66</v>
      </c>
      <c r="N213" s="286">
        <v>2.383</v>
      </c>
      <c r="O213" s="233">
        <v>0.32</v>
      </c>
      <c r="P213" s="233">
        <v>4.9849740000000002</v>
      </c>
      <c r="Q213" s="233">
        <v>3.2</v>
      </c>
      <c r="R213" s="233">
        <v>7.4005549999999998</v>
      </c>
      <c r="S213" s="233">
        <v>5.701873</v>
      </c>
      <c r="T213" s="233">
        <v>6.9</v>
      </c>
    </row>
    <row r="214" spans="1:20" x14ac:dyDescent="0.25">
      <c r="A214" s="7">
        <v>45017</v>
      </c>
      <c r="B214" s="233">
        <v>2088.2600000000002</v>
      </c>
      <c r="C214" s="233">
        <v>1005.24</v>
      </c>
      <c r="D214" s="233">
        <v>482.88</v>
      </c>
      <c r="E214" s="233">
        <v>291.11454959999998</v>
      </c>
      <c r="F214" s="233">
        <v>345</v>
      </c>
      <c r="G214" s="233">
        <v>84.11</v>
      </c>
      <c r="H214" s="286">
        <v>806.86</v>
      </c>
      <c r="I214" s="233">
        <v>655.95699999999999</v>
      </c>
      <c r="J214" s="233">
        <v>598.0643690736689</v>
      </c>
      <c r="K214" s="233">
        <v>1.0968</v>
      </c>
      <c r="L214" s="233">
        <v>2.92</v>
      </c>
      <c r="M214" s="233">
        <v>3.46</v>
      </c>
      <c r="N214" s="286">
        <v>2.359</v>
      </c>
      <c r="O214" s="233">
        <v>0.38500000000000001</v>
      </c>
      <c r="P214" s="233">
        <v>4.9000000000000004</v>
      </c>
      <c r="Q214" s="233">
        <v>3.5</v>
      </c>
      <c r="R214" s="233">
        <v>7.2</v>
      </c>
      <c r="S214" s="233">
        <v>5.9</v>
      </c>
      <c r="T214" s="233">
        <v>7</v>
      </c>
    </row>
    <row r="215" spans="1:20" x14ac:dyDescent="0.25">
      <c r="A215" s="7">
        <v>45047</v>
      </c>
      <c r="B215" s="233">
        <v>2016.88</v>
      </c>
      <c r="C215" s="233">
        <v>934.06</v>
      </c>
      <c r="D215" s="233">
        <v>492.68</v>
      </c>
      <c r="E215" s="233">
        <v>268.135448</v>
      </c>
      <c r="F215" s="233">
        <v>345</v>
      </c>
      <c r="G215" s="233">
        <v>75.7</v>
      </c>
      <c r="H215" s="286">
        <v>808.88</v>
      </c>
      <c r="I215" s="233">
        <v>655.95699999999999</v>
      </c>
      <c r="J215" s="233">
        <v>603.56735369893261</v>
      </c>
      <c r="K215" s="233">
        <v>1.0868</v>
      </c>
      <c r="L215" s="233">
        <v>2.94</v>
      </c>
      <c r="M215" s="233">
        <v>3.57</v>
      </c>
      <c r="N215" s="286">
        <v>2.3420000000000001</v>
      </c>
      <c r="O215" s="233">
        <v>0.43</v>
      </c>
      <c r="P215" s="233">
        <v>4.0476089999999996</v>
      </c>
      <c r="Q215" s="233">
        <v>3.2</v>
      </c>
      <c r="R215" s="233">
        <v>6.102004</v>
      </c>
      <c r="S215" s="233">
        <v>5.1199430000000001</v>
      </c>
      <c r="T215" s="233">
        <v>6.1</v>
      </c>
    </row>
    <row r="216" spans="1:20" x14ac:dyDescent="0.25">
      <c r="A216" s="7">
        <v>45078</v>
      </c>
      <c r="B216" s="233">
        <v>1971.27</v>
      </c>
      <c r="C216" s="233">
        <v>816.97</v>
      </c>
      <c r="D216" s="233">
        <v>495.75</v>
      </c>
      <c r="E216" s="233">
        <v>266.86779840000003</v>
      </c>
      <c r="F216" s="233">
        <v>344.5</v>
      </c>
      <c r="G216" s="233">
        <v>74.89</v>
      </c>
      <c r="H216" s="286">
        <v>807.42</v>
      </c>
      <c r="I216" s="233">
        <v>655.95699999999999</v>
      </c>
      <c r="J216" s="233">
        <v>605.12638376383757</v>
      </c>
      <c r="K216" s="233">
        <v>1.0840000000000001</v>
      </c>
      <c r="L216" s="233">
        <v>2.93</v>
      </c>
      <c r="M216" s="233">
        <v>3.75</v>
      </c>
      <c r="N216" s="286">
        <v>2.3759999999999999</v>
      </c>
      <c r="O216" s="233">
        <v>0.39500000000000002</v>
      </c>
      <c r="P216" s="233">
        <v>2.9691779999999999</v>
      </c>
      <c r="Q216" s="233">
        <v>3.3</v>
      </c>
      <c r="R216" s="233">
        <v>6.3752269999999998</v>
      </c>
      <c r="S216" s="233">
        <v>4.53132</v>
      </c>
      <c r="T216" s="233">
        <v>5.5</v>
      </c>
    </row>
    <row r="217" spans="1:20" x14ac:dyDescent="0.25">
      <c r="A217" s="7">
        <v>45108</v>
      </c>
      <c r="B217" s="233">
        <v>2159.21</v>
      </c>
      <c r="C217" s="233">
        <v>878.5</v>
      </c>
      <c r="D217" s="233">
        <v>533.45000000000005</v>
      </c>
      <c r="E217" s="233">
        <v>242.38483919999999</v>
      </c>
      <c r="F217" s="233">
        <v>342.5</v>
      </c>
      <c r="G217" s="233">
        <v>80.099999999999994</v>
      </c>
      <c r="H217" s="286">
        <v>796.71</v>
      </c>
      <c r="I217" s="233">
        <v>655.95699999999999</v>
      </c>
      <c r="J217" s="233">
        <v>593.1967806113222</v>
      </c>
      <c r="K217" s="233">
        <v>1.1057999999999999</v>
      </c>
      <c r="L217" s="233">
        <v>3.04</v>
      </c>
      <c r="M217" s="233">
        <v>3.9</v>
      </c>
      <c r="N217" s="286">
        <v>2.4569999999999999</v>
      </c>
      <c r="O217" s="233">
        <v>0.59499999999999997</v>
      </c>
      <c r="P217" s="233">
        <v>3.1777799999999998</v>
      </c>
      <c r="Q217" s="233">
        <v>3.3</v>
      </c>
      <c r="R217" s="233">
        <v>6.1650049999999998</v>
      </c>
      <c r="S217" s="233">
        <v>4.288119</v>
      </c>
      <c r="T217" s="233">
        <v>5.3</v>
      </c>
    </row>
    <row r="218" spans="1:20" x14ac:dyDescent="0.25">
      <c r="A218" s="7">
        <v>45139</v>
      </c>
      <c r="B218" s="233">
        <v>2173.94</v>
      </c>
      <c r="C218" s="233">
        <v>860.82</v>
      </c>
      <c r="D218" s="233">
        <v>626</v>
      </c>
      <c r="E218" s="233">
        <v>207.607148</v>
      </c>
      <c r="F218" s="233">
        <v>346.25</v>
      </c>
      <c r="G218" s="233">
        <v>86.162999999999997</v>
      </c>
      <c r="H218" s="286">
        <v>801.51</v>
      </c>
      <c r="I218" s="233">
        <v>655.95699999999999</v>
      </c>
      <c r="J218" s="233">
        <v>601.29892749106239</v>
      </c>
      <c r="K218" s="233">
        <v>1.0909</v>
      </c>
      <c r="L218" s="233">
        <v>3.12</v>
      </c>
      <c r="M218" s="233">
        <v>4.17</v>
      </c>
      <c r="N218" s="286">
        <v>2.5459999999999998</v>
      </c>
      <c r="O218" s="233">
        <v>0.64</v>
      </c>
      <c r="P218" s="233">
        <v>3.6651120000000001</v>
      </c>
      <c r="Q218" s="233">
        <v>3.2</v>
      </c>
      <c r="R218" s="233">
        <v>6.142728</v>
      </c>
      <c r="S218" s="233">
        <v>4.8597640000000002</v>
      </c>
      <c r="T218" s="233">
        <v>5.2</v>
      </c>
    </row>
    <row r="219" spans="1:20" x14ac:dyDescent="0.25">
      <c r="A219" s="7">
        <v>45170</v>
      </c>
      <c r="B219" s="233">
        <v>2106.2199999999998</v>
      </c>
      <c r="C219" s="233">
        <v>829.6</v>
      </c>
      <c r="D219" s="233">
        <v>609.9</v>
      </c>
      <c r="E219" s="233">
        <v>223.80708000000001</v>
      </c>
      <c r="F219" s="233">
        <v>347.5</v>
      </c>
      <c r="G219" s="233">
        <v>94</v>
      </c>
      <c r="H219" s="286">
        <v>810.32</v>
      </c>
      <c r="I219" s="233">
        <v>655.95699999999999</v>
      </c>
      <c r="J219" s="233">
        <v>613.96199925121675</v>
      </c>
      <c r="K219" s="233">
        <v>1.0684</v>
      </c>
      <c r="L219" s="233">
        <v>3.23</v>
      </c>
      <c r="M219" s="233">
        <v>4.38</v>
      </c>
      <c r="N219" s="286">
        <v>2.66</v>
      </c>
      <c r="O219" s="233">
        <v>0.76500000000000001</v>
      </c>
      <c r="P219" s="233">
        <v>3.6996980000000002</v>
      </c>
      <c r="Q219" s="233">
        <v>3</v>
      </c>
      <c r="R219" s="233">
        <v>4.5252889999999999</v>
      </c>
      <c r="S219" s="233">
        <v>4.8962209999999997</v>
      </c>
      <c r="T219" s="233">
        <v>4.3</v>
      </c>
    </row>
    <row r="220" spans="1:20" x14ac:dyDescent="0.25">
      <c r="A220" s="7">
        <v>45200</v>
      </c>
      <c r="B220" s="233">
        <v>1954.4</v>
      </c>
      <c r="C220" s="233">
        <v>804.26</v>
      </c>
      <c r="D220" s="233">
        <v>574.71</v>
      </c>
      <c r="E220" s="233">
        <v>230.69648000000001</v>
      </c>
      <c r="F220" s="233">
        <v>347.5</v>
      </c>
      <c r="G220" s="233">
        <v>91.061000000000007</v>
      </c>
      <c r="H220" s="286">
        <v>814.18</v>
      </c>
      <c r="I220" s="233">
        <v>655.95699999999999</v>
      </c>
      <c r="J220" s="233">
        <v>620.99498248603618</v>
      </c>
      <c r="K220" s="233">
        <v>1.0563</v>
      </c>
      <c r="L220" s="233">
        <v>3.45</v>
      </c>
      <c r="M220" s="233">
        <v>4.8</v>
      </c>
      <c r="N220" s="286">
        <v>2.823</v>
      </c>
      <c r="O220" s="233">
        <v>0.95</v>
      </c>
      <c r="P220" s="233">
        <v>3.2411449999999999</v>
      </c>
      <c r="Q220" s="233">
        <v>3.3</v>
      </c>
      <c r="R220" s="233">
        <v>3.7885460000000002</v>
      </c>
      <c r="S220" s="233">
        <v>3.9771730000000001</v>
      </c>
      <c r="T220" s="233">
        <v>2.9</v>
      </c>
    </row>
    <row r="221" spans="1:20" x14ac:dyDescent="0.25">
      <c r="A221" s="7">
        <v>45231</v>
      </c>
      <c r="B221" s="233">
        <v>1891.89</v>
      </c>
      <c r="C221" s="233">
        <v>830.47</v>
      </c>
      <c r="D221" s="233">
        <v>574.59</v>
      </c>
      <c r="E221" s="233">
        <v>211.26</v>
      </c>
      <c r="F221" s="233">
        <v>347.5</v>
      </c>
      <c r="G221" s="233">
        <v>83.18</v>
      </c>
      <c r="H221" s="286">
        <v>803.98</v>
      </c>
      <c r="I221" s="233">
        <v>655.95699999999999</v>
      </c>
      <c r="J221" s="233">
        <v>606.91802368615845</v>
      </c>
      <c r="K221" s="233">
        <v>1.0808</v>
      </c>
      <c r="L221" s="233">
        <v>3.19</v>
      </c>
      <c r="M221" s="233">
        <v>4.5</v>
      </c>
      <c r="N221" s="286">
        <v>2.601</v>
      </c>
      <c r="O221" s="233">
        <v>0.66</v>
      </c>
      <c r="P221" s="233">
        <v>3.1372710000000001</v>
      </c>
      <c r="Q221" s="233">
        <v>2.8</v>
      </c>
      <c r="R221" s="233">
        <v>3.1662270000000001</v>
      </c>
      <c r="S221" s="233">
        <v>3.474532</v>
      </c>
      <c r="T221" s="233">
        <v>2.4</v>
      </c>
    </row>
    <row r="222" spans="1:20" x14ac:dyDescent="0.25">
      <c r="A222" s="7">
        <v>45261</v>
      </c>
      <c r="B222" s="233">
        <v>1940.09</v>
      </c>
      <c r="C222" s="233">
        <v>813.51</v>
      </c>
      <c r="D222" s="233">
        <v>629.59</v>
      </c>
      <c r="E222" s="233">
        <v>206.54803944445001</v>
      </c>
      <c r="F222" s="233">
        <v>152.5</v>
      </c>
      <c r="G222" s="233">
        <v>77.858000000000004</v>
      </c>
      <c r="H222" s="286">
        <v>804.38</v>
      </c>
      <c r="I222" s="233">
        <v>655.95699999999999</v>
      </c>
      <c r="J222" s="233">
        <v>601.62982665321465</v>
      </c>
      <c r="K222" s="233">
        <v>1.0903</v>
      </c>
      <c r="L222" s="233">
        <v>2.65</v>
      </c>
      <c r="M222" s="233">
        <v>4.0199999999999996</v>
      </c>
      <c r="N222" s="286">
        <v>2.1019999999999999</v>
      </c>
      <c r="O222" s="233">
        <v>0.58499999999999996</v>
      </c>
      <c r="P222" s="233">
        <v>3.3521230000000002</v>
      </c>
      <c r="Q222" s="233">
        <v>2.6</v>
      </c>
      <c r="R222" s="233">
        <v>3.7102469999999999</v>
      </c>
      <c r="S222" s="233">
        <v>3.7053259999999999</v>
      </c>
      <c r="T222" s="233">
        <v>2.9</v>
      </c>
    </row>
    <row r="223" spans="1:20" x14ac:dyDescent="0.25">
      <c r="A223" s="7">
        <v>45292</v>
      </c>
      <c r="B223" s="233">
        <v>1896.09</v>
      </c>
      <c r="C223" s="233">
        <v>844.9</v>
      </c>
      <c r="D223" s="233">
        <v>648.86</v>
      </c>
      <c r="E223" s="233">
        <v>198.62480884614999</v>
      </c>
      <c r="F223" s="233">
        <v>152.5</v>
      </c>
      <c r="G223" s="233">
        <v>80.227000000000004</v>
      </c>
      <c r="H223" s="286">
        <v>802.24</v>
      </c>
      <c r="I223" s="233">
        <v>655.95699999999999</v>
      </c>
      <c r="J223" s="233">
        <v>601.51948647409438</v>
      </c>
      <c r="K223" s="233">
        <v>1.0905</v>
      </c>
      <c r="L223" s="233">
        <v>2.74</v>
      </c>
      <c r="M223" s="233">
        <v>4.0599999999999996</v>
      </c>
      <c r="N223" s="286">
        <v>2.1749999999999998</v>
      </c>
      <c r="O223" s="233">
        <v>0.73</v>
      </c>
      <c r="P223" s="233">
        <v>3.0908850000000001</v>
      </c>
      <c r="Q223" s="233">
        <v>2.2000000000000002</v>
      </c>
      <c r="R223" s="233">
        <v>2.8871389999999999</v>
      </c>
      <c r="S223" s="233">
        <v>3.1326350000000001</v>
      </c>
      <c r="T223" s="233">
        <v>2.8</v>
      </c>
    </row>
    <row r="224" spans="1:20" x14ac:dyDescent="0.25">
      <c r="A224" s="7">
        <v>45323</v>
      </c>
      <c r="B224" s="233">
        <v>1809.43</v>
      </c>
      <c r="C224" s="233">
        <v>856.93</v>
      </c>
      <c r="D224" s="233">
        <v>619.9</v>
      </c>
      <c r="E224" s="233">
        <v>189.128793</v>
      </c>
      <c r="F224" s="233">
        <v>152.5</v>
      </c>
      <c r="G224" s="233">
        <v>83.763999999999996</v>
      </c>
      <c r="H224" s="286">
        <v>805.87</v>
      </c>
      <c r="I224" s="233">
        <v>655.95699999999999</v>
      </c>
      <c r="J224" s="233">
        <v>607.64891153311726</v>
      </c>
      <c r="K224" s="233">
        <v>1.0794999999999999</v>
      </c>
      <c r="L224" s="233">
        <v>2.85</v>
      </c>
      <c r="M224" s="233">
        <v>4.21</v>
      </c>
      <c r="N224" s="286">
        <v>2.33</v>
      </c>
      <c r="O224" s="233">
        <v>0.71</v>
      </c>
      <c r="P224" s="233">
        <v>3.1531709999999999</v>
      </c>
      <c r="Q224" s="233">
        <v>2.8</v>
      </c>
      <c r="R224" s="233">
        <v>2.5173610000000002</v>
      </c>
      <c r="S224" s="233">
        <v>2.9625149999999998</v>
      </c>
      <c r="T224" s="233">
        <v>2.6</v>
      </c>
    </row>
    <row r="225" spans="1:20" x14ac:dyDescent="0.25">
      <c r="A225" s="7">
        <v>45352</v>
      </c>
      <c r="B225" s="233">
        <v>1821.63</v>
      </c>
      <c r="C225" s="233">
        <v>942.92</v>
      </c>
      <c r="D225" s="233">
        <v>607.72</v>
      </c>
      <c r="E225" s="233">
        <v>190.56700445999999</v>
      </c>
      <c r="F225" s="233">
        <v>152.5</v>
      </c>
      <c r="G225" s="233">
        <v>85.447000000000003</v>
      </c>
      <c r="H225" s="286">
        <v>802.23</v>
      </c>
      <c r="I225" s="233">
        <v>655.95699999999999</v>
      </c>
      <c r="J225" s="233">
        <v>603.34529065489335</v>
      </c>
      <c r="K225" s="233">
        <v>1.0871999999999999</v>
      </c>
      <c r="L225" s="233">
        <v>2.82</v>
      </c>
      <c r="M225" s="233">
        <v>4.21</v>
      </c>
      <c r="N225" s="286">
        <v>2.35</v>
      </c>
      <c r="O225" s="233">
        <v>0.73</v>
      </c>
      <c r="P225" s="233">
        <v>3.48</v>
      </c>
      <c r="Q225" s="233">
        <v>2.66</v>
      </c>
      <c r="R225" s="233">
        <v>2.15</v>
      </c>
      <c r="S225" s="233">
        <v>2.29</v>
      </c>
      <c r="T225" s="233">
        <v>2.4</v>
      </c>
    </row>
    <row r="226" spans="1:20" x14ac:dyDescent="0.25">
      <c r="A226" s="7">
        <v>45383</v>
      </c>
      <c r="B226" s="233">
        <v>1820.32</v>
      </c>
      <c r="C226" s="233">
        <v>935.69</v>
      </c>
      <c r="D226" s="233">
        <v>577.95000000000005</v>
      </c>
      <c r="E226" s="233">
        <v>191.65107888889</v>
      </c>
      <c r="F226" s="233">
        <v>152.5</v>
      </c>
      <c r="G226" s="233">
        <v>90.054000000000002</v>
      </c>
      <c r="H226" s="286">
        <v>806.79</v>
      </c>
      <c r="I226" s="233">
        <v>655.95699999999999</v>
      </c>
      <c r="J226" s="233">
        <v>611.44388516032814</v>
      </c>
      <c r="K226" s="233">
        <v>1.0728</v>
      </c>
      <c r="L226" s="233">
        <v>2.97</v>
      </c>
      <c r="M226" s="233">
        <v>4.54</v>
      </c>
      <c r="N226" s="286">
        <v>2.44</v>
      </c>
      <c r="O226" s="233">
        <v>0.87</v>
      </c>
      <c r="P226" s="233">
        <v>3.36</v>
      </c>
      <c r="Q226" s="233">
        <v>2.48</v>
      </c>
      <c r="R226" s="233">
        <v>2.23</v>
      </c>
      <c r="S226" s="233">
        <v>2.19</v>
      </c>
      <c r="T226" s="233">
        <v>2.4</v>
      </c>
    </row>
    <row r="227" spans="1:20" x14ac:dyDescent="0.25">
      <c r="A227" s="7">
        <v>45413</v>
      </c>
      <c r="B227" s="233">
        <v>1837.96</v>
      </c>
      <c r="C227" s="233">
        <v>859.15</v>
      </c>
      <c r="D227" s="233">
        <v>606.47</v>
      </c>
      <c r="E227" s="233">
        <v>197.79344374999999</v>
      </c>
      <c r="F227" s="233">
        <v>152.5</v>
      </c>
      <c r="G227" s="233">
        <v>81.995000000000005</v>
      </c>
      <c r="H227" s="286">
        <v>802.5</v>
      </c>
      <c r="I227" s="233">
        <v>655.95699999999999</v>
      </c>
      <c r="J227" s="233">
        <v>606.69348871624129</v>
      </c>
      <c r="K227" s="233">
        <v>1.0811999999999999</v>
      </c>
      <c r="L227" s="233">
        <v>3.03</v>
      </c>
      <c r="M227" s="233">
        <v>4.4800000000000004</v>
      </c>
      <c r="N227" s="286">
        <v>2.5099999999999998</v>
      </c>
      <c r="O227" s="233">
        <v>1.07</v>
      </c>
      <c r="P227" s="233">
        <v>3.2690290000000002</v>
      </c>
      <c r="Q227" s="233">
        <v>2.79</v>
      </c>
      <c r="R227" s="233">
        <v>2.4034339999999998</v>
      </c>
      <c r="S227" s="233">
        <v>2.273501</v>
      </c>
      <c r="T227" s="233">
        <v>2.6</v>
      </c>
    </row>
    <row r="228" spans="1:20" x14ac:dyDescent="0.25">
      <c r="A228" s="7">
        <v>45444</v>
      </c>
      <c r="B228" s="233">
        <v>1809.62</v>
      </c>
      <c r="C228" s="233">
        <v>873.67</v>
      </c>
      <c r="D228" s="233">
        <v>613.29999999999995</v>
      </c>
      <c r="E228" s="233">
        <v>192.506708</v>
      </c>
      <c r="F228" s="233">
        <v>152.5</v>
      </c>
      <c r="G228" s="233">
        <v>82.555000000000007</v>
      </c>
      <c r="H228" s="286">
        <v>804.48</v>
      </c>
      <c r="I228" s="233">
        <v>655.95699999999999</v>
      </c>
      <c r="J228" s="233">
        <v>609.68212659169058</v>
      </c>
      <c r="K228" s="233">
        <v>1.0759000000000001</v>
      </c>
      <c r="L228" s="233">
        <v>3.14</v>
      </c>
      <c r="M228" s="233">
        <v>4.3099999999999996</v>
      </c>
      <c r="N228" s="286">
        <v>2.48</v>
      </c>
      <c r="O228" s="233">
        <v>1.05</v>
      </c>
      <c r="P228" s="233">
        <v>2.9713970000000001</v>
      </c>
      <c r="Q228" s="233">
        <v>2.8424740000000002</v>
      </c>
      <c r="R228" s="233">
        <v>2.2260270000000002</v>
      </c>
      <c r="S228" s="233">
        <v>2.167446</v>
      </c>
      <c r="T228" s="233">
        <v>2.5</v>
      </c>
    </row>
    <row r="229" spans="1:20" x14ac:dyDescent="0.25">
      <c r="A229" s="7">
        <v>45474</v>
      </c>
      <c r="B229" s="233">
        <v>1850.74</v>
      </c>
      <c r="C229" s="233">
        <v>896.09</v>
      </c>
      <c r="D229" s="233">
        <v>570.87</v>
      </c>
      <c r="E229" s="233">
        <v>177.42921392</v>
      </c>
      <c r="F229" s="233">
        <v>152.5</v>
      </c>
      <c r="G229" s="233">
        <v>85.296000000000006</v>
      </c>
      <c r="H229" s="286">
        <v>800.76</v>
      </c>
      <c r="I229" s="233">
        <v>655.95699999999999</v>
      </c>
      <c r="J229" s="233">
        <v>604.90317226115826</v>
      </c>
      <c r="K229" s="233">
        <v>1.0844</v>
      </c>
      <c r="L229" s="233">
        <v>3.15</v>
      </c>
      <c r="M229" s="233">
        <v>4.25</v>
      </c>
      <c r="N229" s="286">
        <v>2.46</v>
      </c>
      <c r="O229" s="233">
        <v>1.05</v>
      </c>
      <c r="P229" s="233">
        <v>2.8947530000000001</v>
      </c>
      <c r="Q229" s="233">
        <v>2.7429549999999998</v>
      </c>
      <c r="R229" s="233">
        <v>2.3057219999999998</v>
      </c>
      <c r="S229" s="233">
        <v>2.3022680000000002</v>
      </c>
      <c r="T229" s="233">
        <v>2.6</v>
      </c>
    </row>
    <row r="230" spans="1:20" x14ac:dyDescent="0.25">
      <c r="A230" s="7">
        <v>45505</v>
      </c>
      <c r="B230" s="233">
        <v>1757.94</v>
      </c>
      <c r="C230" s="233">
        <v>932.63</v>
      </c>
      <c r="D230" s="233">
        <v>566.70000000000005</v>
      </c>
      <c r="E230" s="233">
        <v>170.32475727273001</v>
      </c>
      <c r="F230" s="233">
        <v>152.5</v>
      </c>
      <c r="G230" s="233">
        <v>80.863</v>
      </c>
      <c r="H230" s="286">
        <v>798.24</v>
      </c>
      <c r="I230" s="233">
        <v>655.95699999999999</v>
      </c>
      <c r="J230" s="233">
        <v>595.67471848892126</v>
      </c>
      <c r="K230" s="233">
        <v>1.1012</v>
      </c>
      <c r="L230" s="233">
        <v>2.94</v>
      </c>
      <c r="M230" s="233">
        <v>3.87</v>
      </c>
      <c r="N230" s="286">
        <v>2.21</v>
      </c>
      <c r="O230" s="233">
        <v>0.89</v>
      </c>
      <c r="P230" s="233">
        <v>2.5307300000000001</v>
      </c>
      <c r="Q230" s="233">
        <v>3.02</v>
      </c>
      <c r="R230" s="233">
        <v>1.8723399999999999</v>
      </c>
      <c r="S230" s="233">
        <v>1.8252170000000001</v>
      </c>
      <c r="T230" s="233">
        <v>2.2000000000000002</v>
      </c>
    </row>
    <row r="231" spans="1:20" x14ac:dyDescent="0.25">
      <c r="A231" s="7">
        <v>45536</v>
      </c>
      <c r="B231" s="233">
        <v>1770.68</v>
      </c>
      <c r="C231" s="233">
        <v>982.83</v>
      </c>
      <c r="D231" s="233">
        <v>564.25</v>
      </c>
      <c r="E231" s="233">
        <v>184.96715420690001</v>
      </c>
      <c r="F231" s="233">
        <v>152.5</v>
      </c>
      <c r="G231" s="233">
        <v>74.293000000000006</v>
      </c>
      <c r="H231" s="286">
        <v>797.06899999999996</v>
      </c>
      <c r="I231" s="233">
        <v>655.95699999999999</v>
      </c>
      <c r="J231" s="233">
        <v>590.6329911759409</v>
      </c>
      <c r="K231" s="233">
        <v>1.1106</v>
      </c>
      <c r="L231" s="233">
        <v>2.9</v>
      </c>
      <c r="M231" s="233">
        <v>3.72</v>
      </c>
      <c r="N231" s="286">
        <v>2.1680000000000001</v>
      </c>
      <c r="O231" s="233">
        <v>0.85499999999999998</v>
      </c>
      <c r="P231" s="233">
        <v>2.4406330000000001</v>
      </c>
      <c r="Q231" s="233">
        <v>2.4900000000000002</v>
      </c>
      <c r="R231" s="233">
        <v>1.612903</v>
      </c>
      <c r="S231" s="233">
        <v>1.0992729999999999</v>
      </c>
      <c r="T231" s="233">
        <v>1.7</v>
      </c>
    </row>
    <row r="232" spans="1:20" x14ac:dyDescent="0.25">
      <c r="A232" s="7">
        <v>45566</v>
      </c>
      <c r="B232" s="233">
        <v>1750.37</v>
      </c>
      <c r="C232" s="233">
        <v>1077.25</v>
      </c>
      <c r="D232" s="233">
        <v>504.81</v>
      </c>
      <c r="E232" s="233">
        <v>190.33572173913001</v>
      </c>
      <c r="F232" s="233">
        <v>152.5</v>
      </c>
      <c r="G232" s="233">
        <v>75.662000000000006</v>
      </c>
      <c r="H232" s="286">
        <v>803.78200000000004</v>
      </c>
      <c r="I232" s="233">
        <v>655.95699999999999</v>
      </c>
      <c r="J232" s="233">
        <v>601.57465150403516</v>
      </c>
      <c r="K232" s="233">
        <v>1.0904</v>
      </c>
      <c r="L232" s="233">
        <v>2.99</v>
      </c>
      <c r="M232" s="233">
        <v>4.0999999999999996</v>
      </c>
      <c r="N232" s="286">
        <v>2.2200000000000002</v>
      </c>
      <c r="O232" s="233">
        <v>0.94</v>
      </c>
      <c r="P232" s="233">
        <v>2.5979049999999999</v>
      </c>
      <c r="Q232" s="233">
        <v>2.2999999999999998</v>
      </c>
      <c r="R232" s="233">
        <v>2.0373510000000001</v>
      </c>
      <c r="S232" s="233">
        <v>1.232796</v>
      </c>
      <c r="T232" s="233">
        <v>2</v>
      </c>
    </row>
    <row r="233" spans="1:20" x14ac:dyDescent="0.25">
      <c r="A233" s="7">
        <v>45597</v>
      </c>
      <c r="B233" s="233">
        <v>1733.86</v>
      </c>
      <c r="C233" s="233">
        <v>1168.58790523691</v>
      </c>
      <c r="D233" s="233">
        <v>489.6</v>
      </c>
      <c r="E233" s="233">
        <v>201.33106000000001</v>
      </c>
      <c r="F233" s="233">
        <v>152.5</v>
      </c>
      <c r="G233" s="233">
        <v>74.400000000000006</v>
      </c>
      <c r="H233" s="286">
        <v>813.12</v>
      </c>
      <c r="I233" s="233">
        <v>655.95699999999999</v>
      </c>
      <c r="J233" s="233">
        <v>617.08090310442151</v>
      </c>
      <c r="K233" s="233">
        <v>1.0629999999999999</v>
      </c>
      <c r="L233" s="233">
        <v>3.09</v>
      </c>
      <c r="M233" s="233">
        <v>4.3600000000000003</v>
      </c>
      <c r="N233" s="286">
        <v>2.31</v>
      </c>
      <c r="O233" s="233">
        <v>1.05</v>
      </c>
      <c r="P233" s="233">
        <v>2.7493799999999999</v>
      </c>
      <c r="Q233" s="233">
        <v>2.95</v>
      </c>
      <c r="R233" s="233">
        <v>2.216539</v>
      </c>
      <c r="S233" s="233">
        <v>1.2602549999999999</v>
      </c>
      <c r="T233" s="233">
        <v>2.2000000000000002</v>
      </c>
    </row>
    <row r="234" spans="1:20" x14ac:dyDescent="0.25">
      <c r="A234" s="7">
        <v>45627</v>
      </c>
      <c r="B234" s="233">
        <v>1687.54438377867</v>
      </c>
      <c r="C234" s="233">
        <v>1189.73208472222</v>
      </c>
      <c r="D234" s="233">
        <v>501.94</v>
      </c>
      <c r="E234" s="233">
        <v>202.59756999999999</v>
      </c>
      <c r="F234" s="233">
        <v>152.5</v>
      </c>
      <c r="G234" s="233">
        <v>73.832999999999998</v>
      </c>
      <c r="H234" s="286">
        <v>819.87</v>
      </c>
      <c r="I234" s="233">
        <v>655.95699999999999</v>
      </c>
      <c r="J234" s="233">
        <v>625.97289817730689</v>
      </c>
      <c r="K234" s="233">
        <v>1.0479000000000001</v>
      </c>
      <c r="L234" s="233">
        <v>3.01</v>
      </c>
      <c r="M234" s="233">
        <v>4.3899999999999997</v>
      </c>
      <c r="N234" s="286">
        <v>2.1800000000000002</v>
      </c>
      <c r="O234" s="233">
        <v>1.0900000000000001</v>
      </c>
      <c r="P234" s="233">
        <v>2.8880569999999999</v>
      </c>
      <c r="Q234" s="233">
        <v>3.61</v>
      </c>
      <c r="R234" s="233">
        <v>2.6405449999999999</v>
      </c>
      <c r="S234" s="233">
        <v>1.317679</v>
      </c>
      <c r="T234" s="233">
        <v>2.4</v>
      </c>
    </row>
    <row r="235" spans="1:20" x14ac:dyDescent="0.25">
      <c r="A235" s="7">
        <v>45658</v>
      </c>
      <c r="B235" s="233">
        <v>1660.81</v>
      </c>
      <c r="C235" s="233">
        <v>1070.31216833333</v>
      </c>
      <c r="D235" s="233">
        <v>464.17</v>
      </c>
      <c r="E235" s="233">
        <v>214.43704863636</v>
      </c>
      <c r="F235" s="233">
        <v>152.5</v>
      </c>
      <c r="G235" s="361">
        <v>79.206000000000003</v>
      </c>
      <c r="H235" s="364">
        <v>824.32</v>
      </c>
      <c r="I235" s="361">
        <v>655.95699999999999</v>
      </c>
      <c r="J235" s="361">
        <v>633.53003670079192</v>
      </c>
      <c r="K235" s="361">
        <v>1.0354000000000001</v>
      </c>
      <c r="L235" s="233">
        <v>3.32</v>
      </c>
      <c r="M235" s="233">
        <v>4.63</v>
      </c>
      <c r="N235" s="286">
        <v>2.4900000000000002</v>
      </c>
      <c r="O235" s="233">
        <v>1.25</v>
      </c>
      <c r="P235" s="233">
        <v>3.000483</v>
      </c>
      <c r="Q235" s="233">
        <v>4.03</v>
      </c>
      <c r="R235" s="233">
        <v>2.2959179999999999</v>
      </c>
      <c r="S235" s="233">
        <v>1.649886</v>
      </c>
      <c r="T235" s="233">
        <v>2.5</v>
      </c>
    </row>
    <row r="236" spans="1:20" x14ac:dyDescent="0.25">
      <c r="A236" s="7">
        <v>45689</v>
      </c>
      <c r="B236" s="233">
        <v>1664.06</v>
      </c>
      <c r="C236" s="233">
        <v>1067.27</v>
      </c>
      <c r="D236" s="233">
        <v>419.06</v>
      </c>
      <c r="E236" s="233">
        <v>220.87520000000001</v>
      </c>
      <c r="F236" s="233">
        <v>152.5</v>
      </c>
      <c r="G236" s="361">
        <v>75.156999999999996</v>
      </c>
      <c r="H236" s="364">
        <v>824.21</v>
      </c>
      <c r="I236" s="361">
        <v>655.95699999999999</v>
      </c>
      <c r="J236" s="361">
        <v>629.9404590415827</v>
      </c>
      <c r="K236" s="361">
        <v>1.0412999999999999</v>
      </c>
      <c r="L236" s="233">
        <v>3.15</v>
      </c>
      <c r="M236" s="233">
        <v>4.45</v>
      </c>
      <c r="N236" s="286">
        <v>2.41</v>
      </c>
      <c r="O236" s="233">
        <v>1.37</v>
      </c>
      <c r="P236" s="233">
        <v>2.82</v>
      </c>
      <c r="Q236" s="233">
        <v>3.66</v>
      </c>
      <c r="R236" s="233">
        <v>2.29</v>
      </c>
      <c r="S236" s="233">
        <v>0.8</v>
      </c>
      <c r="T236" s="233">
        <v>2.2999999999999998</v>
      </c>
    </row>
    <row r="237" spans="1:20" x14ac:dyDescent="0.25">
      <c r="A237" s="7">
        <v>45717</v>
      </c>
      <c r="B237" s="233">
        <v>1672.96694662086</v>
      </c>
      <c r="C237" s="233">
        <v>1069.0047017004799</v>
      </c>
      <c r="D237" s="233">
        <v>404.11</v>
      </c>
      <c r="E237" s="233">
        <v>207.41311999999999</v>
      </c>
      <c r="F237" s="233">
        <v>152.5</v>
      </c>
      <c r="G237" s="361">
        <v>72.573999999999998</v>
      </c>
      <c r="H237" s="364">
        <v>806.33</v>
      </c>
      <c r="I237" s="361">
        <v>655.95699999999999</v>
      </c>
      <c r="J237" s="361">
        <v>606.97418339964838</v>
      </c>
      <c r="K237" s="361">
        <v>1.0807</v>
      </c>
      <c r="L237" s="233">
        <v>3.43</v>
      </c>
      <c r="M237" s="233">
        <v>4.28</v>
      </c>
      <c r="N237" s="286">
        <v>2.74</v>
      </c>
      <c r="O237" s="233">
        <v>1.49</v>
      </c>
      <c r="P237" s="233">
        <v>2.3907250000000002</v>
      </c>
      <c r="Q237" s="233">
        <v>3.640266</v>
      </c>
      <c r="R237" s="233">
        <v>2.1922429999999999</v>
      </c>
      <c r="S237" s="233">
        <v>0.76169750000000003</v>
      </c>
      <c r="T237" s="233">
        <v>2.2000000000000002</v>
      </c>
    </row>
    <row r="238" spans="1:20" x14ac:dyDescent="0.25">
      <c r="A238" s="7">
        <v>45748</v>
      </c>
      <c r="B238" s="233">
        <v>1679.03</v>
      </c>
      <c r="C238" s="233">
        <v>994.37</v>
      </c>
      <c r="D238" s="233">
        <v>396.89</v>
      </c>
      <c r="E238" s="233">
        <v>215.00062956522001</v>
      </c>
      <c r="F238" s="233">
        <v>152.5</v>
      </c>
      <c r="G238" s="361">
        <v>67.745000000000005</v>
      </c>
      <c r="H238" s="364">
        <v>788.1</v>
      </c>
      <c r="I238" s="361">
        <v>655.95699999999999</v>
      </c>
      <c r="J238" s="361">
        <v>584.94471196718393</v>
      </c>
      <c r="K238" s="361">
        <v>1.1214</v>
      </c>
      <c r="L238" s="233">
        <v>3.26</v>
      </c>
      <c r="M238" s="233">
        <v>4.28</v>
      </c>
      <c r="N238" s="286">
        <v>2.5099999999999998</v>
      </c>
      <c r="O238" s="233">
        <v>1.31</v>
      </c>
      <c r="P238" s="233">
        <v>2.3112889999999999</v>
      </c>
      <c r="Q238" s="233">
        <v>3.6</v>
      </c>
      <c r="R238" s="233">
        <v>2.0973160000000002</v>
      </c>
      <c r="S238" s="233">
        <v>0.824519</v>
      </c>
      <c r="T238" s="233">
        <v>2.2000000000000002</v>
      </c>
    </row>
    <row r="239" spans="1:20" x14ac:dyDescent="0.25">
      <c r="A239" s="7">
        <v>45778</v>
      </c>
      <c r="B239" s="233">
        <v>1680.3</v>
      </c>
      <c r="C239" s="233">
        <v>907.58</v>
      </c>
      <c r="D239" s="233">
        <v>405.45</v>
      </c>
      <c r="E239" s="233">
        <v>203.87293109647001</v>
      </c>
      <c r="F239" s="233">
        <v>152.5</v>
      </c>
      <c r="G239" s="361">
        <v>64.206000000000003</v>
      </c>
      <c r="H239" s="364">
        <v>787.34</v>
      </c>
      <c r="I239" s="361">
        <v>655.95699999999999</v>
      </c>
      <c r="J239" s="361">
        <v>570.09994785329388</v>
      </c>
      <c r="K239" s="361">
        <v>1.1506000000000001</v>
      </c>
      <c r="L239" s="233">
        <v>3.26</v>
      </c>
      <c r="M239" s="233">
        <v>4.42</v>
      </c>
      <c r="N239" s="286">
        <v>2.56</v>
      </c>
      <c r="O239" s="233">
        <v>1.5</v>
      </c>
      <c r="P239" s="233">
        <v>2.3548969999999998</v>
      </c>
      <c r="Q239" s="233">
        <v>3.5</v>
      </c>
      <c r="R239" s="233">
        <v>2.0955569999999999</v>
      </c>
      <c r="S239" s="233">
        <v>0.65773040000000005</v>
      </c>
      <c r="T239" s="233">
        <v>1.9</v>
      </c>
    </row>
    <row r="240" spans="1:20" x14ac:dyDescent="0.25">
      <c r="A240" s="7">
        <v>45809</v>
      </c>
      <c r="B240" s="233">
        <v>1694.32086874283</v>
      </c>
      <c r="C240" s="233">
        <v>935.38894111861998</v>
      </c>
      <c r="D240" s="233">
        <v>393.35</v>
      </c>
      <c r="E240" s="233">
        <v>196.07200262857</v>
      </c>
      <c r="F240" s="233">
        <v>152.5</v>
      </c>
      <c r="G240" s="361">
        <v>71.45</v>
      </c>
      <c r="H240" s="364">
        <v>776.89</v>
      </c>
      <c r="I240" s="361">
        <v>655.95699999999999</v>
      </c>
      <c r="J240" s="361">
        <v>569.60489753386594</v>
      </c>
      <c r="K240" s="361">
        <v>1.1516</v>
      </c>
      <c r="L240" s="233">
        <v>3.24</v>
      </c>
      <c r="M240" s="233">
        <v>4.3600000000000003</v>
      </c>
      <c r="N240" s="286">
        <v>2.52</v>
      </c>
      <c r="O240" s="233">
        <v>1.42</v>
      </c>
      <c r="P240" s="233">
        <v>2.6692130000000001</v>
      </c>
      <c r="Q240" s="233">
        <v>3.3</v>
      </c>
      <c r="R240" s="233">
        <v>2.0100500000000001</v>
      </c>
      <c r="S240" s="233">
        <v>0.96505819999999998</v>
      </c>
      <c r="T240" s="233">
        <v>2</v>
      </c>
    </row>
    <row r="241" spans="1:20" x14ac:dyDescent="0.25">
      <c r="A241" s="7">
        <v>45839</v>
      </c>
      <c r="B241" s="233">
        <v>1727.31</v>
      </c>
      <c r="C241" s="233">
        <v>974.97</v>
      </c>
      <c r="D241" s="233">
        <v>376.05</v>
      </c>
      <c r="E241" s="233">
        <v>191.99433954509999</v>
      </c>
      <c r="F241" s="233">
        <v>152.5</v>
      </c>
      <c r="G241" s="361">
        <v>70.950999999999993</v>
      </c>
      <c r="H241" s="364">
        <v>769.12</v>
      </c>
      <c r="I241" s="361">
        <v>655.95699999999999</v>
      </c>
      <c r="J241" s="361">
        <v>561.75130598612657</v>
      </c>
      <c r="K241" s="361">
        <v>1.1677</v>
      </c>
      <c r="L241" s="233">
        <v>3.36</v>
      </c>
      <c r="M241" s="233">
        <v>4.3899999999999997</v>
      </c>
      <c r="N241" s="286">
        <v>2.63</v>
      </c>
      <c r="O241" s="233">
        <v>1.55</v>
      </c>
      <c r="P241" s="233">
        <v>2.7049020000000001</v>
      </c>
      <c r="Q241" s="233">
        <v>3.1</v>
      </c>
      <c r="R241" s="233">
        <v>2.003339</v>
      </c>
      <c r="S241" s="233">
        <v>0.99651219999999996</v>
      </c>
      <c r="T241" s="233">
        <v>2</v>
      </c>
    </row>
    <row r="242" spans="1:20" x14ac:dyDescent="0.25">
      <c r="A242" s="7">
        <v>45870</v>
      </c>
      <c r="B242" s="233">
        <v>1664.67</v>
      </c>
      <c r="C242" s="233">
        <v>1025.98599265341</v>
      </c>
      <c r="D242" s="233">
        <v>357.85</v>
      </c>
      <c r="E242" s="233">
        <v>185.48677677418999</v>
      </c>
      <c r="F242" s="233">
        <v>152.5</v>
      </c>
      <c r="G242" s="361">
        <v>68.203000000000003</v>
      </c>
      <c r="H242" s="364" t="s">
        <v>471</v>
      </c>
      <c r="I242" s="361">
        <v>655.95699999999999</v>
      </c>
      <c r="J242" s="361">
        <v>563.97300318115379</v>
      </c>
      <c r="K242" s="361">
        <v>1.1631</v>
      </c>
      <c r="L242" s="233">
        <v>3.42</v>
      </c>
      <c r="M242" s="233">
        <v>4.26</v>
      </c>
      <c r="N242" s="286">
        <v>2.67</v>
      </c>
      <c r="O242" s="233">
        <v>1.6</v>
      </c>
      <c r="P242" s="233">
        <v>2.9161739999999998</v>
      </c>
      <c r="Q242" s="233">
        <v>2.73</v>
      </c>
      <c r="R242" s="233">
        <v>2.1720969999999999</v>
      </c>
      <c r="S242" s="233">
        <v>0.88385919999999996</v>
      </c>
      <c r="T242" s="233">
        <v>2</v>
      </c>
    </row>
    <row r="243" spans="1:20" x14ac:dyDescent="0.25">
      <c r="A243" s="7">
        <v>45901</v>
      </c>
      <c r="B243" s="233">
        <v>1612.66982907237</v>
      </c>
      <c r="C243" s="233">
        <v>1038.3562871143499</v>
      </c>
      <c r="D243" s="233">
        <v>355.19</v>
      </c>
      <c r="E243" s="233">
        <v>197.37534231110999</v>
      </c>
      <c r="F243" s="233">
        <v>152.5</v>
      </c>
      <c r="G243" s="361">
        <v>67.950999999999993</v>
      </c>
      <c r="H243" s="364" t="s">
        <v>471</v>
      </c>
      <c r="I243" s="361">
        <v>655.95699999999999</v>
      </c>
      <c r="J243" s="361">
        <v>762.94358669999997</v>
      </c>
      <c r="K243" s="361">
        <v>1.1732</v>
      </c>
      <c r="L243" s="233">
        <v>3.51</v>
      </c>
      <c r="M243" s="233">
        <v>4.12</v>
      </c>
      <c r="N243" s="286">
        <v>2.69</v>
      </c>
      <c r="O243" s="233">
        <v>1.65</v>
      </c>
      <c r="P243" s="233">
        <v>3.012677</v>
      </c>
      <c r="Q243" s="233">
        <v>2.93</v>
      </c>
      <c r="R243" s="233">
        <v>2.4227240000000001</v>
      </c>
      <c r="S243" s="233">
        <v>1.162596</v>
      </c>
      <c r="T243" s="233">
        <v>2.2000000000000002</v>
      </c>
    </row>
    <row r="244" spans="1:20" x14ac:dyDescent="0.25">
      <c r="A244" s="7">
        <v>45931</v>
      </c>
      <c r="B244" s="233">
        <v>1628.32125872644</v>
      </c>
      <c r="C244" s="233">
        <v>1038.0938956366499</v>
      </c>
      <c r="D244" s="233">
        <v>335.91</v>
      </c>
      <c r="E244" s="233">
        <v>198.13039555556</v>
      </c>
      <c r="F244" s="233">
        <v>152.5</v>
      </c>
      <c r="G244" s="361">
        <v>64.650999999999996</v>
      </c>
      <c r="H244" s="364">
        <v>769.33</v>
      </c>
      <c r="I244" s="361">
        <v>655.95699999999999</v>
      </c>
      <c r="J244" s="361">
        <v>564.02149613069639</v>
      </c>
      <c r="K244" s="361">
        <v>1.163</v>
      </c>
      <c r="L244" s="233">
        <v>3.44</v>
      </c>
      <c r="M244" s="233">
        <v>4.0599999999999996</v>
      </c>
      <c r="N244" s="286">
        <v>2.62</v>
      </c>
      <c r="O244" s="233">
        <v>1.66</v>
      </c>
      <c r="P244" s="286" t="s">
        <v>471</v>
      </c>
      <c r="Q244" s="233">
        <v>2.984054</v>
      </c>
      <c r="R244" s="233">
        <v>2.3294510000000002</v>
      </c>
      <c r="S244" s="233">
        <v>0.9425306</v>
      </c>
      <c r="T244" s="233">
        <v>2.1</v>
      </c>
    </row>
    <row r="245" spans="1:20" x14ac:dyDescent="0.25">
      <c r="A245" s="7">
        <v>45962</v>
      </c>
      <c r="B245" s="233">
        <v>1693.31543447486</v>
      </c>
      <c r="C245" s="233">
        <v>970.36208302699004</v>
      </c>
      <c r="D245" s="233">
        <v>338.5</v>
      </c>
      <c r="E245" s="233">
        <v>202.01642333333001</v>
      </c>
      <c r="F245" s="233">
        <v>152.5</v>
      </c>
      <c r="G245" s="361">
        <v>63.609000000000002</v>
      </c>
      <c r="H245" s="364">
        <v>770.32</v>
      </c>
      <c r="I245" s="361">
        <v>655.95699999999999</v>
      </c>
      <c r="J245" s="361">
        <v>567.43685121107274</v>
      </c>
      <c r="K245" s="361">
        <v>1.1559999999999999</v>
      </c>
      <c r="L245" s="233">
        <v>3.44</v>
      </c>
      <c r="M245" s="233">
        <v>4.09</v>
      </c>
      <c r="N245" s="286">
        <v>2.66</v>
      </c>
      <c r="O245" s="233">
        <v>1.81</v>
      </c>
      <c r="P245" s="233">
        <v>2.7350850000000002</v>
      </c>
      <c r="Q245" s="233">
        <v>2.9</v>
      </c>
      <c r="R245" s="233">
        <v>2.3352789999999999</v>
      </c>
      <c r="S245" s="233">
        <v>0.90210489999999999</v>
      </c>
      <c r="T245" s="233">
        <v>2.1</v>
      </c>
    </row>
    <row r="246" spans="1:20" x14ac:dyDescent="0.25">
      <c r="A246" s="7">
        <v>45992</v>
      </c>
      <c r="B246" s="233">
        <v>1621</v>
      </c>
      <c r="C246" s="233">
        <v>980.51</v>
      </c>
      <c r="D246" s="233">
        <v>389.44</v>
      </c>
      <c r="E246" s="233">
        <v>205.69623777778</v>
      </c>
      <c r="F246" s="233">
        <v>152.5</v>
      </c>
      <c r="G246" s="361">
        <v>62.72</v>
      </c>
      <c r="H246" s="364" t="s">
        <v>471</v>
      </c>
      <c r="I246" s="361">
        <v>655.95699999999999</v>
      </c>
      <c r="J246" s="361">
        <v>560.21607310615764</v>
      </c>
      <c r="K246" s="361">
        <v>1.1709000000000001</v>
      </c>
      <c r="L246" s="233">
        <v>3.55</v>
      </c>
      <c r="M246" s="233">
        <v>4.1399999999999997</v>
      </c>
      <c r="N246" s="286">
        <v>2.81</v>
      </c>
      <c r="O246" s="233">
        <v>2.06</v>
      </c>
      <c r="P246" s="233">
        <v>2.68</v>
      </c>
      <c r="Q246" s="233">
        <v>2.1</v>
      </c>
      <c r="R246" s="233">
        <v>2.1717879999999998</v>
      </c>
      <c r="S246" s="233">
        <v>0.9437702</v>
      </c>
      <c r="T246" s="233">
        <v>2.1</v>
      </c>
    </row>
    <row r="247" spans="1:20" x14ac:dyDescent="0.25">
      <c r="A247" s="7">
        <v>46023</v>
      </c>
      <c r="B247" s="233">
        <v>1722.6</v>
      </c>
      <c r="C247" s="233">
        <v>1004.66</v>
      </c>
      <c r="D247" s="233">
        <v>382.86</v>
      </c>
      <c r="E247" s="233">
        <v>204.48832755556001</v>
      </c>
      <c r="F247" s="233">
        <v>152.5</v>
      </c>
      <c r="G247" s="361">
        <v>66.766000000000005</v>
      </c>
      <c r="H247" s="364">
        <v>765.4</v>
      </c>
      <c r="I247" s="361">
        <v>655.95699999999999</v>
      </c>
      <c r="J247" s="361">
        <v>558.83199863690572</v>
      </c>
      <c r="K247" s="361">
        <v>1.1738</v>
      </c>
      <c r="L247" s="233" t="s">
        <v>475</v>
      </c>
      <c r="M247" s="233" t="s">
        <v>476</v>
      </c>
      <c r="N247" s="286" t="s">
        <v>477</v>
      </c>
      <c r="O247" s="233" t="s">
        <v>478</v>
      </c>
      <c r="P247" s="233">
        <v>2.39</v>
      </c>
      <c r="Q247" s="233"/>
      <c r="R247" s="233">
        <v>2.08</v>
      </c>
      <c r="S247" s="233" t="s">
        <v>471</v>
      </c>
      <c r="T247" s="233" t="s">
        <v>471</v>
      </c>
    </row>
    <row r="248" spans="1:20" x14ac:dyDescent="0.25">
      <c r="G248" s="184"/>
      <c r="K248" s="184"/>
    </row>
  </sheetData>
  <mergeCells count="6">
    <mergeCell ref="P4:T4"/>
    <mergeCell ref="A1:J1"/>
    <mergeCell ref="H4:J4"/>
    <mergeCell ref="K4:K5"/>
    <mergeCell ref="L4:O4"/>
    <mergeCell ref="B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51"/>
  <sheetViews>
    <sheetView workbookViewId="0">
      <pane xSplit="1" ySplit="6" topLeftCell="D220" activePane="bottomRight" state="frozen"/>
      <selection activeCell="G142" sqref="G142"/>
      <selection pane="topRight" activeCell="G142" sqref="G142"/>
      <selection pane="bottomLeft" activeCell="G142" sqref="G142"/>
      <selection pane="bottomRight" activeCell="J247" sqref="J247"/>
    </sheetView>
  </sheetViews>
  <sheetFormatPr defaultColWidth="11.42578125" defaultRowHeight="15" x14ac:dyDescent="0.25"/>
  <cols>
    <col min="2" max="2" width="11.140625" customWidth="1"/>
    <col min="3" max="5" width="12.85546875" bestFit="1" customWidth="1"/>
    <col min="6" max="6" width="11.85546875" bestFit="1" customWidth="1"/>
    <col min="8" max="8" width="16.85546875" style="1" bestFit="1" customWidth="1"/>
    <col min="9" max="9" width="11.42578125" style="187"/>
    <col min="10" max="10" width="11.42578125" style="186"/>
    <col min="11" max="12" width="11.42578125" style="187"/>
    <col min="46" max="49" width="11.42578125" hidden="1" customWidth="1"/>
  </cols>
  <sheetData>
    <row r="1" spans="1:48" ht="23.25" x14ac:dyDescent="0.35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2"/>
      <c r="K1" s="2"/>
      <c r="L1" s="2"/>
      <c r="M1" s="2"/>
    </row>
    <row r="2" spans="1:48" hidden="1" x14ac:dyDescent="0.25">
      <c r="B2" s="192">
        <f>B247/B246-1</f>
        <v>-0.1427537099222288</v>
      </c>
      <c r="C2" s="192">
        <f t="shared" ref="C2:E2" si="0">C247/C246-1</f>
        <v>0.10355541965893078</v>
      </c>
      <c r="D2" s="192">
        <f t="shared" si="0"/>
        <v>0.34326579261025025</v>
      </c>
      <c r="E2" s="192">
        <f t="shared" si="0"/>
        <v>7.594030575736177E-2</v>
      </c>
      <c r="I2" s="1"/>
      <c r="J2" s="1"/>
      <c r="K2" s="1"/>
      <c r="L2" s="1"/>
    </row>
    <row r="3" spans="1:48" s="9" customFormat="1" ht="12.75" x14ac:dyDescent="0.25">
      <c r="B3" s="388" t="s">
        <v>413</v>
      </c>
      <c r="C3" s="388"/>
      <c r="D3" s="388"/>
      <c r="E3" s="388"/>
      <c r="H3" s="390" t="s">
        <v>460</v>
      </c>
      <c r="I3" s="390"/>
      <c r="J3" s="390"/>
      <c r="K3" s="178"/>
      <c r="L3" s="178"/>
    </row>
    <row r="4" spans="1:48" s="9" customFormat="1" ht="12.75" x14ac:dyDescent="0.25">
      <c r="A4" s="10"/>
      <c r="B4" s="387" t="s">
        <v>417</v>
      </c>
      <c r="C4" s="386" t="s">
        <v>411</v>
      </c>
      <c r="D4" s="386"/>
      <c r="E4" s="386"/>
      <c r="H4" s="178"/>
      <c r="I4" s="389" t="s">
        <v>349</v>
      </c>
      <c r="J4" s="179" t="s">
        <v>411</v>
      </c>
      <c r="K4" s="179"/>
      <c r="L4" s="179"/>
    </row>
    <row r="5" spans="1:48" s="9" customFormat="1" ht="24.6" customHeight="1" x14ac:dyDescent="0.25">
      <c r="A5" s="10"/>
      <c r="B5" s="387"/>
      <c r="C5" s="242"/>
      <c r="D5" s="10" t="s">
        <v>26</v>
      </c>
      <c r="E5" s="10" t="s">
        <v>350</v>
      </c>
      <c r="H5" s="178"/>
      <c r="I5" s="389"/>
      <c r="J5" s="180"/>
      <c r="K5" s="10" t="s">
        <v>350</v>
      </c>
      <c r="L5" s="10" t="s">
        <v>26</v>
      </c>
    </row>
    <row r="6" spans="1:48" s="9" customFormat="1" ht="12.75" x14ac:dyDescent="0.25">
      <c r="A6" s="10"/>
      <c r="B6" s="10" t="s">
        <v>27</v>
      </c>
      <c r="C6" s="242" t="s">
        <v>27</v>
      </c>
      <c r="D6" s="10" t="s">
        <v>27</v>
      </c>
      <c r="E6" s="10" t="s">
        <v>27</v>
      </c>
      <c r="H6" s="178"/>
      <c r="I6" s="10"/>
      <c r="J6" s="180"/>
      <c r="K6" s="10"/>
      <c r="L6" s="10"/>
    </row>
    <row r="7" spans="1:48" s="9" customFormat="1" x14ac:dyDescent="0.25">
      <c r="A7" s="11">
        <v>38718</v>
      </c>
      <c r="B7" s="275">
        <v>940.98800000000006</v>
      </c>
      <c r="C7" s="242">
        <f t="shared" ref="C7:C70" si="1">SUM(D7:E7)</f>
        <v>33253</v>
      </c>
      <c r="D7" s="183">
        <v>4588</v>
      </c>
      <c r="E7" s="183">
        <v>28665</v>
      </c>
      <c r="H7" s="181"/>
      <c r="I7" s="274"/>
      <c r="J7" s="277"/>
      <c r="K7" s="276"/>
      <c r="L7" s="276"/>
      <c r="AT7" s="177">
        <v>4.2363309619791796</v>
      </c>
      <c r="AU7" s="177">
        <v>1.7375219810398499</v>
      </c>
      <c r="AV7" s="177">
        <f>AU7+AT7</f>
        <v>5.973852943019029</v>
      </c>
    </row>
    <row r="8" spans="1:48" s="9" customFormat="1" ht="12.75" x14ac:dyDescent="0.2">
      <c r="A8" s="11">
        <v>38749</v>
      </c>
      <c r="B8" s="275">
        <v>1341.8319999999999</v>
      </c>
      <c r="C8" s="242">
        <f t="shared" si="1"/>
        <v>35111</v>
      </c>
      <c r="D8" s="183">
        <v>3984</v>
      </c>
      <c r="E8" s="183">
        <v>31127</v>
      </c>
      <c r="H8" s="181"/>
      <c r="I8" s="274"/>
      <c r="J8" s="277"/>
      <c r="K8" s="276"/>
      <c r="L8" s="276"/>
    </row>
    <row r="9" spans="1:48" s="9" customFormat="1" ht="12.75" x14ac:dyDescent="0.2">
      <c r="A9" s="11">
        <v>38777</v>
      </c>
      <c r="B9" s="275">
        <v>1567.5</v>
      </c>
      <c r="C9" s="242">
        <f t="shared" si="1"/>
        <v>33232</v>
      </c>
      <c r="D9" s="183">
        <v>5082</v>
      </c>
      <c r="E9" s="183">
        <v>28150</v>
      </c>
      <c r="H9" s="181"/>
      <c r="I9" s="274"/>
      <c r="J9" s="277"/>
      <c r="K9" s="276"/>
      <c r="L9" s="276"/>
    </row>
    <row r="10" spans="1:48" s="9" customFormat="1" ht="12.75" x14ac:dyDescent="0.2">
      <c r="A10" s="11">
        <v>38808</v>
      </c>
      <c r="B10" s="275">
        <v>1539.8880000000004</v>
      </c>
      <c r="C10" s="242">
        <f t="shared" si="1"/>
        <v>36126</v>
      </c>
      <c r="D10" s="183">
        <v>6457</v>
      </c>
      <c r="E10" s="183">
        <v>29669</v>
      </c>
      <c r="H10" s="181"/>
      <c r="I10" s="274"/>
      <c r="J10" s="277"/>
      <c r="K10" s="276"/>
      <c r="L10" s="276"/>
    </row>
    <row r="11" spans="1:48" s="9" customFormat="1" ht="12.75" x14ac:dyDescent="0.2">
      <c r="A11" s="11">
        <v>38838</v>
      </c>
      <c r="B11" s="275">
        <v>1495.521</v>
      </c>
      <c r="C11" s="242">
        <f t="shared" si="1"/>
        <v>42645</v>
      </c>
      <c r="D11" s="183">
        <v>5456</v>
      </c>
      <c r="E11" s="183">
        <v>37189</v>
      </c>
      <c r="H11" s="181"/>
      <c r="I11" s="274"/>
      <c r="J11" s="277"/>
      <c r="K11" s="276"/>
      <c r="L11" s="276"/>
    </row>
    <row r="12" spans="1:48" s="9" customFormat="1" ht="12.75" x14ac:dyDescent="0.2">
      <c r="A12" s="11">
        <v>38869</v>
      </c>
      <c r="B12" s="275">
        <v>1534.6480000000001</v>
      </c>
      <c r="C12" s="242">
        <f t="shared" si="1"/>
        <v>42039</v>
      </c>
      <c r="D12" s="183">
        <v>4763</v>
      </c>
      <c r="E12" s="183">
        <v>37276</v>
      </c>
      <c r="H12" s="181"/>
      <c r="I12" s="274"/>
      <c r="J12" s="277"/>
      <c r="K12" s="276"/>
      <c r="L12" s="276"/>
    </row>
    <row r="13" spans="1:48" s="9" customFormat="1" ht="12.75" x14ac:dyDescent="0.2">
      <c r="A13" s="11">
        <v>38899</v>
      </c>
      <c r="B13" s="275">
        <v>1582.8789999999999</v>
      </c>
      <c r="C13" s="242">
        <f t="shared" si="1"/>
        <v>32359</v>
      </c>
      <c r="D13" s="183">
        <v>5183</v>
      </c>
      <c r="E13" s="183">
        <v>27176</v>
      </c>
      <c r="H13" s="181"/>
      <c r="I13" s="274"/>
      <c r="J13" s="277"/>
      <c r="K13" s="276"/>
      <c r="L13" s="276"/>
    </row>
    <row r="14" spans="1:48" s="9" customFormat="1" ht="12.75" x14ac:dyDescent="0.2">
      <c r="A14" s="11">
        <v>38930</v>
      </c>
      <c r="B14" s="275">
        <v>1588.5519999999999</v>
      </c>
      <c r="C14" s="242">
        <f t="shared" si="1"/>
        <v>29389</v>
      </c>
      <c r="D14" s="183">
        <v>5890</v>
      </c>
      <c r="E14" s="183">
        <v>23499</v>
      </c>
      <c r="H14" s="181"/>
      <c r="I14" s="274"/>
      <c r="J14" s="277"/>
      <c r="K14" s="276"/>
      <c r="L14" s="276"/>
    </row>
    <row r="15" spans="1:48" s="9" customFormat="1" ht="12.75" x14ac:dyDescent="0.2">
      <c r="A15" s="11">
        <v>38961</v>
      </c>
      <c r="B15" s="275">
        <v>1626.6230000000003</v>
      </c>
      <c r="C15" s="242">
        <f t="shared" si="1"/>
        <v>24505</v>
      </c>
      <c r="D15" s="183">
        <v>5152</v>
      </c>
      <c r="E15" s="183">
        <v>19353</v>
      </c>
      <c r="H15" s="181"/>
      <c r="I15" s="274"/>
      <c r="J15" s="277"/>
      <c r="K15" s="276"/>
      <c r="L15" s="276"/>
    </row>
    <row r="16" spans="1:48" s="9" customFormat="1" ht="12.75" x14ac:dyDescent="0.2">
      <c r="A16" s="11">
        <v>38991</v>
      </c>
      <c r="B16" s="275">
        <v>1616.261</v>
      </c>
      <c r="C16" s="242">
        <f t="shared" si="1"/>
        <v>20708</v>
      </c>
      <c r="D16" s="183">
        <v>2839</v>
      </c>
      <c r="E16" s="183">
        <v>17869</v>
      </c>
      <c r="H16" s="181"/>
      <c r="I16" s="274"/>
      <c r="J16" s="277"/>
      <c r="K16" s="276"/>
      <c r="L16" s="276"/>
    </row>
    <row r="17" spans="1:12" s="9" customFormat="1" ht="12.75" x14ac:dyDescent="0.2">
      <c r="A17" s="11">
        <v>39022</v>
      </c>
      <c r="B17" s="275">
        <v>1650.7160000000001</v>
      </c>
      <c r="C17" s="242">
        <f t="shared" si="1"/>
        <v>29200</v>
      </c>
      <c r="D17" s="183">
        <v>5107</v>
      </c>
      <c r="E17" s="183">
        <v>24093</v>
      </c>
      <c r="H17" s="181"/>
      <c r="I17" s="274"/>
      <c r="J17" s="277"/>
      <c r="K17" s="276"/>
      <c r="L17" s="276"/>
    </row>
    <row r="18" spans="1:12" s="9" customFormat="1" ht="12.75" x14ac:dyDescent="0.2">
      <c r="A18" s="11">
        <v>39052</v>
      </c>
      <c r="B18" s="275">
        <v>1658.4690000000001</v>
      </c>
      <c r="C18" s="242">
        <f t="shared" si="1"/>
        <v>35333</v>
      </c>
      <c r="D18" s="183">
        <v>5137</v>
      </c>
      <c r="E18" s="183">
        <v>30196</v>
      </c>
      <c r="H18" s="181"/>
      <c r="I18" s="274"/>
      <c r="J18" s="277"/>
      <c r="K18" s="276"/>
      <c r="L18" s="276"/>
    </row>
    <row r="19" spans="1:12" s="9" customFormat="1" ht="12.75" x14ac:dyDescent="0.2">
      <c r="A19" s="11">
        <v>39083</v>
      </c>
      <c r="B19" s="275">
        <v>1223.8529999999998</v>
      </c>
      <c r="C19" s="242">
        <f t="shared" si="1"/>
        <v>33198.06</v>
      </c>
      <c r="D19" s="183">
        <v>5348</v>
      </c>
      <c r="E19" s="183">
        <v>27850.059999999998</v>
      </c>
      <c r="H19" s="181"/>
      <c r="I19" s="274"/>
      <c r="J19" s="277"/>
      <c r="K19" s="266"/>
      <c r="L19" s="266"/>
    </row>
    <row r="20" spans="1:12" s="9" customFormat="1" ht="12.75" x14ac:dyDescent="0.2">
      <c r="A20" s="11">
        <v>39114</v>
      </c>
      <c r="B20" s="275">
        <v>1526.7740000000001</v>
      </c>
      <c r="C20" s="242">
        <f t="shared" si="1"/>
        <v>35203.460000000006</v>
      </c>
      <c r="D20" s="183">
        <v>4388</v>
      </c>
      <c r="E20" s="183">
        <v>30815.460000000003</v>
      </c>
      <c r="H20" s="181"/>
      <c r="I20" s="274"/>
      <c r="J20" s="277"/>
      <c r="K20" s="266"/>
      <c r="L20" s="266"/>
    </row>
    <row r="21" spans="1:12" s="9" customFormat="1" ht="12.75" x14ac:dyDescent="0.2">
      <c r="A21" s="11">
        <v>39142</v>
      </c>
      <c r="B21" s="275">
        <v>1824.5170000000001</v>
      </c>
      <c r="C21" s="242">
        <f t="shared" si="1"/>
        <v>35478</v>
      </c>
      <c r="D21" s="183">
        <v>5539</v>
      </c>
      <c r="E21" s="183">
        <v>29939</v>
      </c>
      <c r="H21" s="181"/>
      <c r="I21" s="274"/>
      <c r="J21" s="277"/>
      <c r="K21" s="266"/>
      <c r="L21" s="266"/>
    </row>
    <row r="22" spans="1:12" s="9" customFormat="1" ht="12.75" x14ac:dyDescent="0.2">
      <c r="A22" s="11">
        <v>39173</v>
      </c>
      <c r="B22" s="275">
        <v>1608.193</v>
      </c>
      <c r="C22" s="242">
        <f t="shared" si="1"/>
        <v>39791</v>
      </c>
      <c r="D22" s="183">
        <v>6602</v>
      </c>
      <c r="E22" s="183">
        <v>33189</v>
      </c>
      <c r="H22" s="181"/>
      <c r="I22" s="274"/>
      <c r="J22" s="277"/>
      <c r="K22" s="266"/>
      <c r="L22" s="266"/>
    </row>
    <row r="23" spans="1:12" s="9" customFormat="1" ht="12.75" x14ac:dyDescent="0.2">
      <c r="A23" s="11">
        <v>39203</v>
      </c>
      <c r="B23" s="275">
        <v>1853</v>
      </c>
      <c r="C23" s="242">
        <f t="shared" si="1"/>
        <v>40327</v>
      </c>
      <c r="D23" s="183">
        <v>5706</v>
      </c>
      <c r="E23" s="183">
        <v>34621</v>
      </c>
      <c r="H23" s="181"/>
      <c r="I23" s="274"/>
      <c r="J23" s="277"/>
      <c r="K23" s="266"/>
      <c r="L23" s="266"/>
    </row>
    <row r="24" spans="1:12" s="9" customFormat="1" ht="12.75" x14ac:dyDescent="0.2">
      <c r="A24" s="11">
        <v>39234</v>
      </c>
      <c r="B24" s="275">
        <v>1770.277</v>
      </c>
      <c r="C24" s="242">
        <f t="shared" si="1"/>
        <v>47911</v>
      </c>
      <c r="D24" s="183">
        <v>7567</v>
      </c>
      <c r="E24" s="183">
        <v>40344</v>
      </c>
      <c r="H24" s="181"/>
      <c r="I24" s="274"/>
      <c r="J24" s="277"/>
      <c r="K24" s="266"/>
      <c r="L24" s="266"/>
    </row>
    <row r="25" spans="1:12" s="9" customFormat="1" ht="12.75" x14ac:dyDescent="0.2">
      <c r="A25" s="11">
        <v>39264</v>
      </c>
      <c r="B25" s="275">
        <v>1556.4650000000001</v>
      </c>
      <c r="C25" s="242">
        <f t="shared" si="1"/>
        <v>38599</v>
      </c>
      <c r="D25" s="183">
        <v>7040</v>
      </c>
      <c r="E25" s="183">
        <v>31559</v>
      </c>
      <c r="H25" s="181"/>
      <c r="I25" s="274"/>
      <c r="J25" s="277"/>
      <c r="K25" s="266"/>
      <c r="L25" s="266"/>
    </row>
    <row r="26" spans="1:12" s="9" customFormat="1" ht="12.75" x14ac:dyDescent="0.2">
      <c r="A26" s="11">
        <v>39295</v>
      </c>
      <c r="B26" s="275">
        <v>1698.8</v>
      </c>
      <c r="C26" s="242">
        <f t="shared" si="1"/>
        <v>35636</v>
      </c>
      <c r="D26" s="183">
        <v>6935</v>
      </c>
      <c r="E26" s="183">
        <v>28701</v>
      </c>
      <c r="H26" s="181"/>
      <c r="I26" s="274"/>
      <c r="J26" s="277"/>
      <c r="K26" s="266"/>
      <c r="L26" s="266"/>
    </row>
    <row r="27" spans="1:12" s="9" customFormat="1" ht="12.75" x14ac:dyDescent="0.2">
      <c r="A27" s="11">
        <v>39326</v>
      </c>
      <c r="B27" s="275">
        <v>1650.9509999999998</v>
      </c>
      <c r="C27" s="242">
        <f t="shared" si="1"/>
        <v>30590</v>
      </c>
      <c r="D27" s="183">
        <v>4778</v>
      </c>
      <c r="E27" s="183">
        <v>25812</v>
      </c>
      <c r="H27" s="181"/>
      <c r="I27" s="274"/>
      <c r="J27" s="277"/>
      <c r="K27" s="266"/>
      <c r="L27" s="266"/>
    </row>
    <row r="28" spans="1:12" s="9" customFormat="1" ht="12.75" x14ac:dyDescent="0.2">
      <c r="A28" s="11">
        <v>39356</v>
      </c>
      <c r="B28" s="275">
        <v>1945.6709999999998</v>
      </c>
      <c r="C28" s="242">
        <f t="shared" si="1"/>
        <v>23534</v>
      </c>
      <c r="D28" s="183">
        <v>2533</v>
      </c>
      <c r="E28" s="183">
        <v>21001</v>
      </c>
      <c r="H28" s="181"/>
      <c r="I28" s="274"/>
      <c r="J28" s="277"/>
      <c r="K28" s="266"/>
      <c r="L28" s="266"/>
    </row>
    <row r="29" spans="1:12" s="9" customFormat="1" ht="12.75" x14ac:dyDescent="0.2">
      <c r="A29" s="11">
        <v>39387</v>
      </c>
      <c r="B29" s="275">
        <v>1880.299</v>
      </c>
      <c r="C29" s="242">
        <f t="shared" si="1"/>
        <v>31404</v>
      </c>
      <c r="D29" s="183">
        <v>3637</v>
      </c>
      <c r="E29" s="183">
        <v>27767</v>
      </c>
      <c r="H29" s="181"/>
      <c r="I29" s="274"/>
      <c r="J29" s="277"/>
      <c r="K29" s="266"/>
      <c r="L29" s="266"/>
    </row>
    <row r="30" spans="1:12" s="9" customFormat="1" ht="12.75" x14ac:dyDescent="0.2">
      <c r="A30" s="11">
        <v>39417</v>
      </c>
      <c r="B30" s="275">
        <v>1460.3630000000003</v>
      </c>
      <c r="C30" s="242">
        <f t="shared" si="1"/>
        <v>41702</v>
      </c>
      <c r="D30" s="183">
        <v>5102</v>
      </c>
      <c r="E30" s="183">
        <v>36600</v>
      </c>
      <c r="H30" s="181"/>
      <c r="I30" s="274"/>
      <c r="J30" s="277"/>
      <c r="K30" s="266"/>
      <c r="L30" s="266"/>
    </row>
    <row r="31" spans="1:12" s="9" customFormat="1" ht="12.75" x14ac:dyDescent="0.2">
      <c r="A31" s="11">
        <v>39448</v>
      </c>
      <c r="B31" s="275">
        <v>1669.164</v>
      </c>
      <c r="C31" s="242">
        <f t="shared" si="1"/>
        <v>32391.823999999997</v>
      </c>
      <c r="D31" s="183">
        <v>4904</v>
      </c>
      <c r="E31" s="183">
        <v>27487.823999999997</v>
      </c>
      <c r="H31" s="181"/>
      <c r="I31" s="274"/>
      <c r="J31" s="277"/>
      <c r="K31" s="266"/>
      <c r="L31" s="266"/>
    </row>
    <row r="32" spans="1:12" s="9" customFormat="1" ht="12.75" x14ac:dyDescent="0.2">
      <c r="A32" s="11">
        <v>39479</v>
      </c>
      <c r="B32" s="275">
        <v>1685.9460000000001</v>
      </c>
      <c r="C32" s="242">
        <f t="shared" si="1"/>
        <v>42380.727999999996</v>
      </c>
      <c r="D32" s="183">
        <v>3807</v>
      </c>
      <c r="E32" s="183">
        <v>38573.727999999996</v>
      </c>
      <c r="H32" s="181"/>
      <c r="I32" s="274"/>
      <c r="J32" s="277"/>
      <c r="K32" s="266"/>
      <c r="L32" s="266"/>
    </row>
    <row r="33" spans="1:12" s="9" customFormat="1" ht="12.75" x14ac:dyDescent="0.2">
      <c r="A33" s="11">
        <v>39508</v>
      </c>
      <c r="B33" s="275">
        <v>1930.807</v>
      </c>
      <c r="C33" s="242">
        <f t="shared" si="1"/>
        <v>38075.548000000003</v>
      </c>
      <c r="D33" s="183">
        <v>4070</v>
      </c>
      <c r="E33" s="183">
        <v>34005.548000000003</v>
      </c>
      <c r="H33" s="181"/>
      <c r="I33" s="274"/>
      <c r="J33" s="277"/>
      <c r="K33" s="266"/>
      <c r="L33" s="266"/>
    </row>
    <row r="34" spans="1:12" s="9" customFormat="1" ht="12.75" x14ac:dyDescent="0.2">
      <c r="A34" s="11">
        <v>39539</v>
      </c>
      <c r="B34" s="275">
        <v>1870.3040000000003</v>
      </c>
      <c r="C34" s="242">
        <f t="shared" si="1"/>
        <v>42630</v>
      </c>
      <c r="D34" s="183">
        <v>4385</v>
      </c>
      <c r="E34" s="183">
        <v>38245</v>
      </c>
      <c r="H34" s="181"/>
      <c r="I34" s="274"/>
      <c r="J34" s="277"/>
      <c r="K34" s="266"/>
      <c r="L34" s="266"/>
    </row>
    <row r="35" spans="1:12" s="9" customFormat="1" ht="12.75" x14ac:dyDescent="0.2">
      <c r="A35" s="11">
        <v>39569</v>
      </c>
      <c r="B35" s="275">
        <v>1851.6799999999998</v>
      </c>
      <c r="C35" s="242">
        <f t="shared" si="1"/>
        <v>48366.26</v>
      </c>
      <c r="D35" s="183">
        <v>4678</v>
      </c>
      <c r="E35" s="183">
        <v>43688.26</v>
      </c>
      <c r="H35" s="181"/>
      <c r="I35" s="274"/>
      <c r="J35" s="277"/>
      <c r="K35" s="266"/>
      <c r="L35" s="266"/>
    </row>
    <row r="36" spans="1:12" s="9" customFormat="1" ht="12.75" x14ac:dyDescent="0.2">
      <c r="A36" s="11">
        <v>39600</v>
      </c>
      <c r="B36" s="275">
        <v>1665.9940000000001</v>
      </c>
      <c r="C36" s="242">
        <f t="shared" si="1"/>
        <v>42016.310000000005</v>
      </c>
      <c r="D36" s="183">
        <v>4653</v>
      </c>
      <c r="E36" s="183">
        <v>37363.310000000005</v>
      </c>
      <c r="H36" s="181"/>
      <c r="I36" s="274"/>
      <c r="J36" s="277"/>
      <c r="K36" s="266"/>
      <c r="L36" s="266"/>
    </row>
    <row r="37" spans="1:12" s="9" customFormat="1" ht="12.75" x14ac:dyDescent="0.2">
      <c r="A37" s="11">
        <v>39630</v>
      </c>
      <c r="B37" s="275">
        <v>1781.662</v>
      </c>
      <c r="C37" s="242">
        <f t="shared" si="1"/>
        <v>32758</v>
      </c>
      <c r="D37" s="183">
        <v>4547</v>
      </c>
      <c r="E37" s="183">
        <v>28211</v>
      </c>
      <c r="H37" s="181"/>
      <c r="I37" s="274"/>
      <c r="J37" s="277"/>
      <c r="K37" s="266"/>
      <c r="L37" s="266"/>
    </row>
    <row r="38" spans="1:12" s="9" customFormat="1" ht="12.75" x14ac:dyDescent="0.2">
      <c r="A38" s="11">
        <v>39661</v>
      </c>
      <c r="B38" s="275">
        <v>1813.0730000000001</v>
      </c>
      <c r="C38" s="242">
        <f t="shared" si="1"/>
        <v>31408.281999999999</v>
      </c>
      <c r="D38" s="183">
        <v>5033</v>
      </c>
      <c r="E38" s="183">
        <v>26375.281999999999</v>
      </c>
      <c r="H38" s="181"/>
      <c r="I38" s="274"/>
      <c r="J38" s="277"/>
      <c r="K38" s="266"/>
      <c r="L38" s="266"/>
    </row>
    <row r="39" spans="1:12" s="9" customFormat="1" ht="12.75" x14ac:dyDescent="0.2">
      <c r="A39" s="11">
        <v>39692</v>
      </c>
      <c r="B39" s="275">
        <v>1684.9359999999999</v>
      </c>
      <c r="C39" s="242">
        <f t="shared" si="1"/>
        <v>29155.309999999998</v>
      </c>
      <c r="D39" s="183">
        <v>4763</v>
      </c>
      <c r="E39" s="183">
        <v>24392.309999999998</v>
      </c>
      <c r="H39" s="181"/>
      <c r="I39" s="274"/>
      <c r="J39" s="277"/>
      <c r="K39" s="266"/>
      <c r="L39" s="266"/>
    </row>
    <row r="40" spans="1:12" s="9" customFormat="1" ht="12.75" x14ac:dyDescent="0.2">
      <c r="A40" s="11">
        <v>39722</v>
      </c>
      <c r="B40" s="275">
        <v>1739.2560000000003</v>
      </c>
      <c r="C40" s="242">
        <f t="shared" si="1"/>
        <v>26644</v>
      </c>
      <c r="D40" s="183">
        <v>1718</v>
      </c>
      <c r="E40" s="183">
        <v>24926</v>
      </c>
      <c r="H40" s="181"/>
      <c r="I40" s="274"/>
      <c r="J40" s="277"/>
      <c r="K40" s="266"/>
      <c r="L40" s="266"/>
    </row>
    <row r="41" spans="1:12" s="9" customFormat="1" ht="12.75" x14ac:dyDescent="0.2">
      <c r="A41" s="11">
        <v>39753</v>
      </c>
      <c r="B41" s="275">
        <v>1647.5070000000001</v>
      </c>
      <c r="C41" s="242">
        <f t="shared" si="1"/>
        <v>37255</v>
      </c>
      <c r="D41" s="183">
        <v>2807</v>
      </c>
      <c r="E41" s="183">
        <v>34448</v>
      </c>
      <c r="H41" s="181"/>
      <c r="I41" s="274"/>
      <c r="J41" s="277"/>
      <c r="K41" s="266"/>
      <c r="L41" s="266"/>
    </row>
    <row r="42" spans="1:12" s="9" customFormat="1" ht="12.75" x14ac:dyDescent="0.2">
      <c r="A42" s="11">
        <v>39783</v>
      </c>
      <c r="B42" s="275">
        <v>1270.3440000000003</v>
      </c>
      <c r="C42" s="242">
        <f t="shared" si="1"/>
        <v>33084</v>
      </c>
      <c r="D42" s="183">
        <v>5560</v>
      </c>
      <c r="E42" s="183">
        <v>27524</v>
      </c>
      <c r="H42" s="181"/>
      <c r="I42" s="274"/>
      <c r="J42" s="277"/>
      <c r="K42" s="266"/>
      <c r="L42" s="266"/>
    </row>
    <row r="43" spans="1:12" s="9" customFormat="1" ht="12.75" x14ac:dyDescent="0.2">
      <c r="A43" s="11">
        <v>39814</v>
      </c>
      <c r="B43" s="275">
        <v>1756.4019999999998</v>
      </c>
      <c r="C43" s="242">
        <f t="shared" si="1"/>
        <v>32787.4</v>
      </c>
      <c r="D43" s="183">
        <v>5160</v>
      </c>
      <c r="E43" s="183">
        <v>27627.4</v>
      </c>
      <c r="H43" s="181"/>
      <c r="I43" s="274"/>
      <c r="J43" s="277"/>
      <c r="K43" s="266"/>
      <c r="L43" s="266"/>
    </row>
    <row r="44" spans="1:12" s="9" customFormat="1" ht="12.75" x14ac:dyDescent="0.2">
      <c r="A44" s="11">
        <v>39845</v>
      </c>
      <c r="B44" s="275">
        <v>1638.5749999999998</v>
      </c>
      <c r="C44" s="242">
        <f t="shared" si="1"/>
        <v>32575.35</v>
      </c>
      <c r="D44" s="183">
        <v>5329</v>
      </c>
      <c r="E44" s="183">
        <v>27246.35</v>
      </c>
      <c r="H44" s="181"/>
      <c r="I44" s="274"/>
      <c r="J44" s="277"/>
      <c r="K44" s="266"/>
      <c r="L44" s="266"/>
    </row>
    <row r="45" spans="1:12" s="9" customFormat="1" ht="12.75" x14ac:dyDescent="0.2">
      <c r="A45" s="11">
        <v>39873</v>
      </c>
      <c r="B45" s="275">
        <v>1748.1239999999998</v>
      </c>
      <c r="C45" s="242">
        <f t="shared" si="1"/>
        <v>33887.199999999997</v>
      </c>
      <c r="D45" s="183">
        <v>6206</v>
      </c>
      <c r="E45" s="183">
        <v>27681.199999999997</v>
      </c>
      <c r="H45" s="181"/>
      <c r="I45" s="274"/>
      <c r="J45" s="277"/>
      <c r="K45" s="266"/>
      <c r="L45" s="266"/>
    </row>
    <row r="46" spans="1:12" s="9" customFormat="1" ht="12.75" x14ac:dyDescent="0.2">
      <c r="A46" s="11">
        <v>39904</v>
      </c>
      <c r="B46" s="275">
        <v>1735.09</v>
      </c>
      <c r="C46" s="242">
        <f t="shared" si="1"/>
        <v>44766.460000000006</v>
      </c>
      <c r="D46" s="183">
        <v>5213</v>
      </c>
      <c r="E46" s="183">
        <v>39553.460000000006</v>
      </c>
      <c r="H46" s="181"/>
      <c r="I46" s="274"/>
      <c r="J46" s="277"/>
      <c r="K46" s="266"/>
      <c r="L46" s="266"/>
    </row>
    <row r="47" spans="1:12" s="9" customFormat="1" ht="12.75" x14ac:dyDescent="0.2">
      <c r="A47" s="11">
        <v>39934</v>
      </c>
      <c r="B47" s="275">
        <v>1673.7809999999999</v>
      </c>
      <c r="C47" s="242">
        <f t="shared" si="1"/>
        <v>53085.703000000001</v>
      </c>
      <c r="D47" s="183">
        <v>5775</v>
      </c>
      <c r="E47" s="183">
        <v>47310.703000000001</v>
      </c>
      <c r="H47" s="181"/>
      <c r="I47" s="274"/>
      <c r="J47" s="277"/>
      <c r="K47" s="266"/>
      <c r="L47" s="266"/>
    </row>
    <row r="48" spans="1:12" s="9" customFormat="1" ht="12.75" x14ac:dyDescent="0.2">
      <c r="A48" s="11">
        <v>39965</v>
      </c>
      <c r="B48" s="275">
        <v>1535.4500000000003</v>
      </c>
      <c r="C48" s="242">
        <f t="shared" si="1"/>
        <v>45569.21</v>
      </c>
      <c r="D48" s="183">
        <v>4937</v>
      </c>
      <c r="E48" s="183">
        <v>40632.21</v>
      </c>
      <c r="H48" s="181"/>
      <c r="I48" s="274"/>
      <c r="J48" s="277"/>
      <c r="K48" s="266"/>
      <c r="L48" s="266"/>
    </row>
    <row r="49" spans="1:12" s="9" customFormat="1" ht="12.75" x14ac:dyDescent="0.2">
      <c r="A49" s="11">
        <v>39995</v>
      </c>
      <c r="B49" s="275">
        <v>1627.837</v>
      </c>
      <c r="C49" s="242">
        <f t="shared" si="1"/>
        <v>38000.959999999992</v>
      </c>
      <c r="D49" s="183">
        <v>4586</v>
      </c>
      <c r="E49" s="183">
        <v>33414.959999999992</v>
      </c>
      <c r="H49" s="181"/>
      <c r="I49" s="274"/>
      <c r="J49" s="277"/>
      <c r="K49" s="266"/>
      <c r="L49" s="266"/>
    </row>
    <row r="50" spans="1:12" s="9" customFormat="1" ht="12.75" x14ac:dyDescent="0.2">
      <c r="A50" s="11">
        <v>40026</v>
      </c>
      <c r="B50" s="275">
        <v>1593.0139999999999</v>
      </c>
      <c r="C50" s="242">
        <f t="shared" si="1"/>
        <v>34270.364000000001</v>
      </c>
      <c r="D50" s="183">
        <v>4716</v>
      </c>
      <c r="E50" s="183">
        <v>29554.364000000001</v>
      </c>
      <c r="H50" s="181"/>
      <c r="I50" s="274"/>
      <c r="J50" s="277"/>
      <c r="K50" s="266"/>
      <c r="L50" s="266"/>
    </row>
    <row r="51" spans="1:12" s="9" customFormat="1" ht="12.75" x14ac:dyDescent="0.2">
      <c r="A51" s="11">
        <v>40057</v>
      </c>
      <c r="B51" s="275">
        <v>1668.2140000000002</v>
      </c>
      <c r="C51" s="242">
        <f t="shared" si="1"/>
        <v>35932.548999999999</v>
      </c>
      <c r="D51" s="183">
        <v>4294</v>
      </c>
      <c r="E51" s="183">
        <v>31638.548999999999</v>
      </c>
      <c r="H51" s="181"/>
      <c r="I51" s="274"/>
      <c r="J51" s="277"/>
      <c r="K51" s="266"/>
      <c r="L51" s="266"/>
    </row>
    <row r="52" spans="1:12" s="9" customFormat="1" ht="12.75" x14ac:dyDescent="0.2">
      <c r="A52" s="11">
        <v>40087</v>
      </c>
      <c r="B52" s="275">
        <v>1858.2140000000002</v>
      </c>
      <c r="C52" s="242">
        <f t="shared" si="1"/>
        <v>30047.035</v>
      </c>
      <c r="D52" s="183">
        <v>1947</v>
      </c>
      <c r="E52" s="183">
        <v>28100.035</v>
      </c>
      <c r="H52" s="181"/>
      <c r="I52" s="274"/>
      <c r="J52" s="277"/>
      <c r="K52" s="266"/>
      <c r="L52" s="266"/>
    </row>
    <row r="53" spans="1:12" s="9" customFormat="1" ht="12.75" x14ac:dyDescent="0.2">
      <c r="A53" s="11">
        <v>40118</v>
      </c>
      <c r="B53" s="275">
        <v>1466.8899999999996</v>
      </c>
      <c r="C53" s="242">
        <f t="shared" si="1"/>
        <v>36800</v>
      </c>
      <c r="D53" s="183">
        <v>3849</v>
      </c>
      <c r="E53" s="183">
        <v>32951</v>
      </c>
      <c r="H53" s="181"/>
      <c r="I53" s="274"/>
      <c r="J53" s="277"/>
      <c r="K53" s="266"/>
      <c r="L53" s="266"/>
    </row>
    <row r="54" spans="1:12" s="9" customFormat="1" ht="12.75" x14ac:dyDescent="0.2">
      <c r="A54" s="11">
        <v>40148</v>
      </c>
      <c r="B54" s="275">
        <v>1509.1</v>
      </c>
      <c r="C54" s="242">
        <f t="shared" si="1"/>
        <v>40502.427999999993</v>
      </c>
      <c r="D54" s="183">
        <v>4372</v>
      </c>
      <c r="E54" s="183">
        <v>36130.427999999993</v>
      </c>
      <c r="H54" s="181"/>
      <c r="I54" s="274"/>
      <c r="J54" s="277"/>
      <c r="K54" s="266"/>
      <c r="L54" s="266"/>
    </row>
    <row r="55" spans="1:12" s="9" customFormat="1" ht="12.75" x14ac:dyDescent="0.2">
      <c r="A55" s="11">
        <v>40179</v>
      </c>
      <c r="B55" s="275">
        <v>1653.1660000000002</v>
      </c>
      <c r="C55" s="242">
        <f t="shared" si="1"/>
        <v>44529.26</v>
      </c>
      <c r="D55" s="183">
        <v>3183</v>
      </c>
      <c r="E55" s="183">
        <v>41346.26</v>
      </c>
      <c r="H55" s="181"/>
      <c r="I55" s="274"/>
      <c r="J55" s="277"/>
      <c r="K55" s="266"/>
      <c r="L55" s="266"/>
    </row>
    <row r="56" spans="1:12" s="9" customFormat="1" ht="12.75" x14ac:dyDescent="0.2">
      <c r="A56" s="11">
        <v>40210</v>
      </c>
      <c r="B56" s="275">
        <v>1582.7144999999998</v>
      </c>
      <c r="C56" s="242">
        <f t="shared" si="1"/>
        <v>43641.2</v>
      </c>
      <c r="D56" s="183">
        <v>3535</v>
      </c>
      <c r="E56" s="183">
        <v>40106.199999999997</v>
      </c>
      <c r="H56" s="181"/>
      <c r="I56" s="274"/>
      <c r="J56" s="277"/>
      <c r="K56" s="266"/>
      <c r="L56" s="266"/>
    </row>
    <row r="57" spans="1:12" s="9" customFormat="1" ht="12.75" x14ac:dyDescent="0.2">
      <c r="A57" s="11">
        <v>40238</v>
      </c>
      <c r="B57" s="275">
        <v>1723.2510000000002</v>
      </c>
      <c r="C57" s="242">
        <f t="shared" si="1"/>
        <v>44935.899999999994</v>
      </c>
      <c r="D57" s="183">
        <v>6196</v>
      </c>
      <c r="E57" s="183">
        <v>38739.899999999994</v>
      </c>
      <c r="H57" s="181"/>
      <c r="I57" s="274"/>
      <c r="J57" s="277"/>
      <c r="K57" s="266"/>
      <c r="L57" s="266"/>
    </row>
    <row r="58" spans="1:12" s="9" customFormat="1" ht="12.75" x14ac:dyDescent="0.2">
      <c r="A58" s="11">
        <v>40269</v>
      </c>
      <c r="B58" s="275">
        <v>1761.0520000000004</v>
      </c>
      <c r="C58" s="242">
        <f t="shared" si="1"/>
        <v>40544.060000000005</v>
      </c>
      <c r="D58" s="183">
        <v>5938</v>
      </c>
      <c r="E58" s="183">
        <v>34606.060000000005</v>
      </c>
      <c r="H58" s="181"/>
      <c r="I58" s="274"/>
      <c r="J58" s="277"/>
      <c r="K58" s="266"/>
      <c r="L58" s="266"/>
    </row>
    <row r="59" spans="1:12" s="9" customFormat="1" ht="12.75" x14ac:dyDescent="0.2">
      <c r="A59" s="11">
        <v>40299</v>
      </c>
      <c r="B59" s="275">
        <v>1610.1475</v>
      </c>
      <c r="C59" s="242">
        <f t="shared" si="1"/>
        <v>48602.39</v>
      </c>
      <c r="D59" s="183">
        <v>6056</v>
      </c>
      <c r="E59" s="183">
        <v>42546.39</v>
      </c>
      <c r="H59" s="181"/>
      <c r="I59" s="274"/>
      <c r="J59" s="277"/>
      <c r="K59" s="266"/>
      <c r="L59" s="266"/>
    </row>
    <row r="60" spans="1:12" s="9" customFormat="1" ht="12.75" x14ac:dyDescent="0.2">
      <c r="A60" s="11">
        <v>40330</v>
      </c>
      <c r="B60" s="275">
        <v>1603.377</v>
      </c>
      <c r="C60" s="242">
        <f t="shared" si="1"/>
        <v>35183.550000000003</v>
      </c>
      <c r="D60" s="183">
        <v>3928</v>
      </c>
      <c r="E60" s="183">
        <v>31255.550000000003</v>
      </c>
      <c r="H60" s="181"/>
      <c r="I60" s="274"/>
      <c r="J60" s="277"/>
      <c r="K60" s="266"/>
      <c r="L60" s="266"/>
    </row>
    <row r="61" spans="1:12" s="9" customFormat="1" ht="12.75" x14ac:dyDescent="0.2">
      <c r="A61" s="11">
        <v>40360</v>
      </c>
      <c r="B61" s="275">
        <v>1741.8940000000002</v>
      </c>
      <c r="C61" s="242">
        <f t="shared" si="1"/>
        <v>26677.550000000007</v>
      </c>
      <c r="D61" s="183">
        <v>4741</v>
      </c>
      <c r="E61" s="183">
        <v>21936.550000000007</v>
      </c>
      <c r="H61" s="181"/>
      <c r="I61" s="274"/>
      <c r="J61" s="277"/>
      <c r="K61" s="266"/>
      <c r="L61" s="266"/>
    </row>
    <row r="62" spans="1:12" s="9" customFormat="1" ht="12.75" x14ac:dyDescent="0.2">
      <c r="A62" s="11">
        <v>40391</v>
      </c>
      <c r="B62" s="275">
        <v>1726.8389999999997</v>
      </c>
      <c r="C62" s="242">
        <f t="shared" si="1"/>
        <v>34135.78</v>
      </c>
      <c r="D62" s="183">
        <v>4397</v>
      </c>
      <c r="E62" s="183">
        <v>29738.780000000002</v>
      </c>
      <c r="H62" s="181"/>
      <c r="I62" s="274"/>
      <c r="J62" s="277"/>
      <c r="K62" s="266"/>
      <c r="L62" s="266"/>
    </row>
    <row r="63" spans="1:12" s="9" customFormat="1" ht="12.75" x14ac:dyDescent="0.2">
      <c r="A63" s="11">
        <v>40422</v>
      </c>
      <c r="B63" s="275">
        <v>1819.0200000000002</v>
      </c>
      <c r="C63" s="242">
        <f t="shared" si="1"/>
        <v>26457.64</v>
      </c>
      <c r="D63" s="183">
        <v>4831</v>
      </c>
      <c r="E63" s="183">
        <v>21626.639999999999</v>
      </c>
      <c r="H63" s="181"/>
      <c r="I63" s="274"/>
      <c r="J63" s="277"/>
      <c r="K63" s="266"/>
      <c r="L63" s="266"/>
    </row>
    <row r="64" spans="1:12" s="9" customFormat="1" ht="12.75" x14ac:dyDescent="0.2">
      <c r="A64" s="11">
        <v>40452</v>
      </c>
      <c r="B64" s="275">
        <v>1949.2245</v>
      </c>
      <c r="C64" s="242">
        <f t="shared" si="1"/>
        <v>25382.180000000004</v>
      </c>
      <c r="D64" s="183">
        <v>2311</v>
      </c>
      <c r="E64" s="183">
        <v>23071.180000000004</v>
      </c>
      <c r="H64" s="181"/>
      <c r="I64" s="274"/>
      <c r="J64" s="277"/>
      <c r="K64" s="266"/>
      <c r="L64" s="266"/>
    </row>
    <row r="65" spans="1:12" s="9" customFormat="1" ht="12.75" x14ac:dyDescent="0.2">
      <c r="A65" s="11">
        <v>40483</v>
      </c>
      <c r="B65" s="275">
        <v>1274.0664999999997</v>
      </c>
      <c r="C65" s="242">
        <f t="shared" si="1"/>
        <v>27438.65</v>
      </c>
      <c r="D65" s="183">
        <v>4428</v>
      </c>
      <c r="E65" s="183">
        <v>23010.65</v>
      </c>
      <c r="H65" s="181"/>
      <c r="I65" s="274"/>
      <c r="J65" s="277"/>
      <c r="K65" s="266"/>
      <c r="L65" s="266"/>
    </row>
    <row r="66" spans="1:12" s="9" customFormat="1" ht="12.75" x14ac:dyDescent="0.2">
      <c r="A66" s="11">
        <v>40513</v>
      </c>
      <c r="B66" s="275">
        <v>1904.9454999999998</v>
      </c>
      <c r="C66" s="242">
        <f t="shared" si="1"/>
        <v>28340.270000000004</v>
      </c>
      <c r="D66" s="183">
        <v>5875</v>
      </c>
      <c r="E66" s="183">
        <v>22465.270000000004</v>
      </c>
      <c r="H66" s="181"/>
      <c r="I66" s="274"/>
      <c r="J66" s="277"/>
      <c r="K66" s="266"/>
      <c r="L66" s="266"/>
    </row>
    <row r="67" spans="1:12" s="9" customFormat="1" ht="12.75" x14ac:dyDescent="0.2">
      <c r="A67" s="11">
        <v>40544</v>
      </c>
      <c r="B67" s="275">
        <v>1809.7255</v>
      </c>
      <c r="C67" s="242">
        <f t="shared" si="1"/>
        <v>37673.404999999999</v>
      </c>
      <c r="D67" s="183">
        <v>5476</v>
      </c>
      <c r="E67" s="183">
        <v>32197.405000000002</v>
      </c>
      <c r="H67" s="181"/>
      <c r="I67" s="274"/>
      <c r="J67" s="277"/>
      <c r="K67" s="266"/>
      <c r="L67" s="266"/>
    </row>
    <row r="68" spans="1:12" s="9" customFormat="1" ht="12.75" x14ac:dyDescent="0.2">
      <c r="A68" s="11">
        <v>40575</v>
      </c>
      <c r="B68" s="275">
        <v>1817.0785000000001</v>
      </c>
      <c r="C68" s="242">
        <f t="shared" si="1"/>
        <v>40220.242000000006</v>
      </c>
      <c r="D68" s="183">
        <v>5235</v>
      </c>
      <c r="E68" s="183">
        <v>34985.242000000006</v>
      </c>
      <c r="H68" s="181"/>
      <c r="I68" s="274"/>
      <c r="J68" s="277"/>
      <c r="K68" s="266"/>
      <c r="L68" s="266"/>
    </row>
    <row r="69" spans="1:12" s="9" customFormat="1" ht="12.75" x14ac:dyDescent="0.2">
      <c r="A69" s="11">
        <v>40603</v>
      </c>
      <c r="B69" s="275">
        <v>1923.2775000000001</v>
      </c>
      <c r="C69" s="242">
        <f t="shared" si="1"/>
        <v>39704.42</v>
      </c>
      <c r="D69" s="183">
        <v>5622</v>
      </c>
      <c r="E69" s="183">
        <v>34082.42</v>
      </c>
      <c r="H69" s="181"/>
      <c r="I69" s="274"/>
      <c r="J69" s="277"/>
      <c r="K69" s="266"/>
      <c r="L69" s="266"/>
    </row>
    <row r="70" spans="1:12" s="9" customFormat="1" ht="12.75" x14ac:dyDescent="0.2">
      <c r="A70" s="11">
        <v>40634</v>
      </c>
      <c r="B70" s="275">
        <v>1871.9404999999997</v>
      </c>
      <c r="C70" s="242">
        <f t="shared" si="1"/>
        <v>41588.25</v>
      </c>
      <c r="D70" s="183">
        <v>6212</v>
      </c>
      <c r="E70" s="183">
        <v>35376.25</v>
      </c>
      <c r="H70" s="181"/>
      <c r="I70" s="274"/>
      <c r="J70" s="277"/>
      <c r="K70" s="266"/>
      <c r="L70" s="266"/>
    </row>
    <row r="71" spans="1:12" s="9" customFormat="1" ht="12.75" x14ac:dyDescent="0.2">
      <c r="A71" s="11">
        <v>40664</v>
      </c>
      <c r="B71" s="275">
        <v>1750.2065</v>
      </c>
      <c r="C71" s="242">
        <f t="shared" ref="C71:C134" si="2">SUM(D71:E71)</f>
        <v>43661</v>
      </c>
      <c r="D71" s="183">
        <v>7067</v>
      </c>
      <c r="E71" s="183">
        <v>36594</v>
      </c>
      <c r="H71" s="181"/>
      <c r="I71" s="274"/>
      <c r="J71" s="277"/>
      <c r="K71" s="266"/>
      <c r="L71" s="266"/>
    </row>
    <row r="72" spans="1:12" s="9" customFormat="1" ht="12.75" x14ac:dyDescent="0.2">
      <c r="A72" s="11">
        <v>40695</v>
      </c>
      <c r="B72" s="275">
        <v>1667.2634999999996</v>
      </c>
      <c r="C72" s="242">
        <f t="shared" si="2"/>
        <v>38345.839</v>
      </c>
      <c r="D72" s="183">
        <v>6160</v>
      </c>
      <c r="E72" s="183">
        <v>32185.839</v>
      </c>
      <c r="H72" s="181"/>
      <c r="I72" s="274"/>
      <c r="J72" s="277"/>
      <c r="K72" s="266"/>
      <c r="L72" s="266"/>
    </row>
    <row r="73" spans="1:12" s="9" customFormat="1" ht="12.75" x14ac:dyDescent="0.2">
      <c r="A73" s="11">
        <v>40725</v>
      </c>
      <c r="B73" s="275">
        <v>1759.5470000000003</v>
      </c>
      <c r="C73" s="242">
        <f t="shared" si="2"/>
        <v>34453.100000000006</v>
      </c>
      <c r="D73" s="183">
        <v>6941</v>
      </c>
      <c r="E73" s="183">
        <v>27512.100000000002</v>
      </c>
      <c r="H73" s="181"/>
      <c r="I73" s="274"/>
      <c r="J73" s="277"/>
      <c r="K73" s="266"/>
      <c r="L73" s="266"/>
    </row>
    <row r="74" spans="1:12" s="9" customFormat="1" ht="12.75" x14ac:dyDescent="0.2">
      <c r="A74" s="11">
        <v>40756</v>
      </c>
      <c r="B74" s="275">
        <v>1664.0040000000001</v>
      </c>
      <c r="C74" s="242">
        <f t="shared" si="2"/>
        <v>37142.684999999998</v>
      </c>
      <c r="D74" s="183">
        <v>6575</v>
      </c>
      <c r="E74" s="183">
        <v>30567.684999999998</v>
      </c>
      <c r="H74" s="181"/>
      <c r="I74" s="274"/>
      <c r="J74" s="277"/>
      <c r="K74" s="266"/>
      <c r="L74" s="266"/>
    </row>
    <row r="75" spans="1:12" s="9" customFormat="1" ht="12.75" x14ac:dyDescent="0.2">
      <c r="A75" s="11">
        <v>40787</v>
      </c>
      <c r="B75" s="275">
        <v>1603.8545000000001</v>
      </c>
      <c r="C75" s="242">
        <f t="shared" si="2"/>
        <v>29072.95</v>
      </c>
      <c r="D75" s="183">
        <v>6347</v>
      </c>
      <c r="E75" s="183">
        <v>22725.95</v>
      </c>
      <c r="H75" s="181"/>
      <c r="I75" s="274"/>
      <c r="J75" s="277"/>
      <c r="K75" s="266"/>
      <c r="L75" s="266"/>
    </row>
    <row r="76" spans="1:12" s="9" customFormat="1" ht="12.75" x14ac:dyDescent="0.2">
      <c r="A76" s="11">
        <v>40817</v>
      </c>
      <c r="B76" s="275">
        <v>1924.1064999999999</v>
      </c>
      <c r="C76" s="242">
        <f t="shared" si="2"/>
        <v>28016.3</v>
      </c>
      <c r="D76" s="183">
        <v>3515</v>
      </c>
      <c r="E76" s="183">
        <v>24501.3</v>
      </c>
      <c r="H76" s="181"/>
      <c r="I76" s="274"/>
      <c r="J76" s="277"/>
      <c r="K76" s="266"/>
      <c r="L76" s="266"/>
    </row>
    <row r="77" spans="1:12" s="9" customFormat="1" ht="12.75" x14ac:dyDescent="0.2">
      <c r="A77" s="11">
        <v>40848</v>
      </c>
      <c r="B77" s="275">
        <v>1158.394</v>
      </c>
      <c r="C77" s="242">
        <f t="shared" si="2"/>
        <v>28996.965000000004</v>
      </c>
      <c r="D77" s="183">
        <v>4873</v>
      </c>
      <c r="E77" s="183">
        <v>24123.965000000004</v>
      </c>
      <c r="H77" s="181"/>
      <c r="I77" s="274"/>
      <c r="J77" s="277"/>
      <c r="K77" s="266"/>
      <c r="L77" s="266"/>
    </row>
    <row r="78" spans="1:12" s="9" customFormat="1" ht="12.75" x14ac:dyDescent="0.2">
      <c r="A78" s="11">
        <v>40878</v>
      </c>
      <c r="B78" s="275">
        <v>1951.9059999999999</v>
      </c>
      <c r="C78" s="242">
        <f t="shared" si="2"/>
        <v>44575.575000000004</v>
      </c>
      <c r="D78" s="183">
        <v>5731</v>
      </c>
      <c r="E78" s="183">
        <v>38844.575000000004</v>
      </c>
      <c r="H78" s="181"/>
      <c r="I78" s="274"/>
      <c r="J78" s="277"/>
      <c r="K78" s="266"/>
      <c r="L78" s="266"/>
    </row>
    <row r="79" spans="1:12" s="9" customFormat="1" ht="12.75" x14ac:dyDescent="0.2">
      <c r="A79" s="11">
        <v>40909</v>
      </c>
      <c r="B79" s="275">
        <v>1793.3164999999999</v>
      </c>
      <c r="C79" s="242">
        <f t="shared" si="2"/>
        <v>47205.34</v>
      </c>
      <c r="D79" s="183">
        <v>4934</v>
      </c>
      <c r="E79" s="183">
        <v>42271.34</v>
      </c>
      <c r="H79" s="181"/>
      <c r="I79" s="274"/>
      <c r="J79" s="277"/>
      <c r="K79" s="266"/>
      <c r="L79" s="266"/>
    </row>
    <row r="80" spans="1:12" s="9" customFormat="1" ht="12.75" x14ac:dyDescent="0.2">
      <c r="A80" s="11">
        <v>40940</v>
      </c>
      <c r="B80" s="275">
        <v>1802.9504999999997</v>
      </c>
      <c r="C80" s="242">
        <f t="shared" si="2"/>
        <v>41346.645000000004</v>
      </c>
      <c r="D80" s="183">
        <v>3992</v>
      </c>
      <c r="E80" s="183">
        <v>37354.645000000004</v>
      </c>
      <c r="H80" s="181"/>
      <c r="I80" s="274"/>
      <c r="J80" s="277"/>
      <c r="K80" s="266"/>
      <c r="L80" s="266"/>
    </row>
    <row r="81" spans="1:12" s="9" customFormat="1" ht="12.75" x14ac:dyDescent="0.2">
      <c r="A81" s="11">
        <v>40969</v>
      </c>
      <c r="B81" s="275">
        <v>1777.5904999999998</v>
      </c>
      <c r="C81" s="242">
        <f t="shared" si="2"/>
        <v>41577.294000000002</v>
      </c>
      <c r="D81" s="183">
        <v>4787</v>
      </c>
      <c r="E81" s="183">
        <v>36790.294000000002</v>
      </c>
      <c r="H81" s="181"/>
      <c r="I81" s="274"/>
      <c r="J81" s="277"/>
      <c r="K81" s="266"/>
      <c r="L81" s="266"/>
    </row>
    <row r="82" spans="1:12" s="9" customFormat="1" ht="12.75" x14ac:dyDescent="0.2">
      <c r="A82" s="11">
        <v>41000</v>
      </c>
      <c r="B82" s="275">
        <v>1717.63</v>
      </c>
      <c r="C82" s="242">
        <f t="shared" si="2"/>
        <v>47156.609999999993</v>
      </c>
      <c r="D82" s="183">
        <v>5040</v>
      </c>
      <c r="E82" s="183">
        <v>42116.609999999993</v>
      </c>
      <c r="H82" s="181"/>
      <c r="I82" s="274"/>
      <c r="J82" s="277"/>
      <c r="K82" s="266"/>
      <c r="L82" s="266"/>
    </row>
    <row r="83" spans="1:12" s="9" customFormat="1" ht="12.75" x14ac:dyDescent="0.2">
      <c r="A83" s="11">
        <v>41030</v>
      </c>
      <c r="B83" s="275">
        <v>1692.9430000000002</v>
      </c>
      <c r="C83" s="242">
        <f t="shared" si="2"/>
        <v>46111.795000000006</v>
      </c>
      <c r="D83" s="183">
        <v>5570</v>
      </c>
      <c r="E83" s="183">
        <v>40541.795000000006</v>
      </c>
      <c r="H83" s="181"/>
      <c r="I83" s="274"/>
      <c r="J83" s="277"/>
      <c r="K83" s="266"/>
      <c r="L83" s="266"/>
    </row>
    <row r="84" spans="1:12" s="9" customFormat="1" ht="12.75" x14ac:dyDescent="0.2">
      <c r="A84" s="11">
        <v>41061</v>
      </c>
      <c r="B84" s="275">
        <v>1717.8474999999996</v>
      </c>
      <c r="C84" s="242">
        <f t="shared" si="2"/>
        <v>41767.110000000008</v>
      </c>
      <c r="D84" s="183">
        <v>4380</v>
      </c>
      <c r="E84" s="183">
        <v>37387.110000000008</v>
      </c>
      <c r="H84" s="181"/>
      <c r="I84" s="274"/>
      <c r="J84" s="277"/>
      <c r="K84" s="266"/>
      <c r="L84" s="266"/>
    </row>
    <row r="85" spans="1:12" s="9" customFormat="1" ht="12.75" x14ac:dyDescent="0.2">
      <c r="A85" s="11">
        <v>41091</v>
      </c>
      <c r="B85" s="275">
        <v>1583.5440000000001</v>
      </c>
      <c r="C85" s="242">
        <f t="shared" si="2"/>
        <v>37353.383999999998</v>
      </c>
      <c r="D85" s="183">
        <v>4302</v>
      </c>
      <c r="E85" s="183">
        <v>33051.383999999998</v>
      </c>
      <c r="H85" s="181"/>
      <c r="I85" s="274"/>
      <c r="J85" s="277"/>
      <c r="K85" s="266"/>
      <c r="L85" s="266"/>
    </row>
    <row r="86" spans="1:12" s="9" customFormat="1" ht="12.75" x14ac:dyDescent="0.2">
      <c r="A86" s="11">
        <v>41122</v>
      </c>
      <c r="B86" s="275">
        <v>1639.5605000000003</v>
      </c>
      <c r="C86" s="242">
        <f t="shared" si="2"/>
        <v>31419.705000000002</v>
      </c>
      <c r="D86" s="183">
        <v>4032</v>
      </c>
      <c r="E86" s="183">
        <v>27387.705000000002</v>
      </c>
      <c r="H86" s="181"/>
      <c r="I86" s="274"/>
      <c r="J86" s="277"/>
      <c r="K86" s="266"/>
      <c r="L86" s="266"/>
    </row>
    <row r="87" spans="1:12" s="9" customFormat="1" ht="12.75" x14ac:dyDescent="0.2">
      <c r="A87" s="11">
        <v>41153</v>
      </c>
      <c r="B87" s="275">
        <v>1823</v>
      </c>
      <c r="C87" s="242">
        <f t="shared" si="2"/>
        <v>32326.03</v>
      </c>
      <c r="D87" s="183">
        <v>4202</v>
      </c>
      <c r="E87" s="183">
        <v>28124.03</v>
      </c>
      <c r="H87" s="181"/>
      <c r="I87" s="274"/>
      <c r="J87" s="277"/>
      <c r="K87" s="266"/>
      <c r="L87" s="266"/>
    </row>
    <row r="88" spans="1:12" s="9" customFormat="1" ht="12.75" x14ac:dyDescent="0.2">
      <c r="A88" s="11">
        <v>41183</v>
      </c>
      <c r="B88" s="275">
        <v>1712.7329999999997</v>
      </c>
      <c r="C88" s="242">
        <f t="shared" si="2"/>
        <v>21466.92</v>
      </c>
      <c r="D88" s="183">
        <v>1702</v>
      </c>
      <c r="E88" s="183">
        <v>19764.919999999998</v>
      </c>
      <c r="H88" s="181"/>
      <c r="I88" s="274"/>
      <c r="J88" s="277"/>
      <c r="K88" s="266"/>
      <c r="L88" s="266"/>
    </row>
    <row r="89" spans="1:12" s="9" customFormat="1" ht="12.75" x14ac:dyDescent="0.2">
      <c r="A89" s="11">
        <v>41214</v>
      </c>
      <c r="B89" s="275">
        <v>1506.0049999999999</v>
      </c>
      <c r="C89" s="242">
        <f t="shared" si="2"/>
        <v>27463.376</v>
      </c>
      <c r="D89" s="183">
        <v>1391</v>
      </c>
      <c r="E89" s="183">
        <v>26072.376</v>
      </c>
      <c r="H89" s="181"/>
      <c r="I89" s="274"/>
      <c r="J89" s="277"/>
      <c r="K89" s="266"/>
      <c r="L89" s="266"/>
    </row>
    <row r="90" spans="1:12" s="9" customFormat="1" ht="12.75" x14ac:dyDescent="0.2">
      <c r="A90" s="11">
        <v>41244</v>
      </c>
      <c r="B90" s="275">
        <v>1913.7440000000001</v>
      </c>
      <c r="C90" s="242">
        <f t="shared" si="2"/>
        <v>41587.284999999996</v>
      </c>
      <c r="D90" s="183">
        <v>4171</v>
      </c>
      <c r="E90" s="183">
        <v>37416.284999999996</v>
      </c>
      <c r="H90" s="181"/>
      <c r="I90" s="274"/>
      <c r="J90" s="277"/>
      <c r="K90" s="266"/>
      <c r="L90" s="266"/>
    </row>
    <row r="91" spans="1:12" s="9" customFormat="1" ht="12.75" x14ac:dyDescent="0.2">
      <c r="A91" s="11">
        <v>41275</v>
      </c>
      <c r="B91" s="275">
        <v>1839.4614999999999</v>
      </c>
      <c r="C91" s="242">
        <f t="shared" si="2"/>
        <v>45819.349000000002</v>
      </c>
      <c r="D91" s="183">
        <v>4842</v>
      </c>
      <c r="E91" s="183">
        <v>40977.349000000002</v>
      </c>
      <c r="H91" s="181"/>
      <c r="I91" s="274"/>
      <c r="J91" s="277"/>
      <c r="K91" s="266"/>
      <c r="L91" s="266"/>
    </row>
    <row r="92" spans="1:12" s="9" customFormat="1" ht="12.75" x14ac:dyDescent="0.2">
      <c r="A92" s="11">
        <v>41306</v>
      </c>
      <c r="B92" s="275">
        <v>1710.4675000000002</v>
      </c>
      <c r="C92" s="242">
        <f t="shared" si="2"/>
        <v>42850.884999999995</v>
      </c>
      <c r="D92" s="183">
        <v>4184</v>
      </c>
      <c r="E92" s="183">
        <v>38666.884999999995</v>
      </c>
      <c r="H92" s="181"/>
      <c r="I92" s="274"/>
      <c r="J92" s="277"/>
      <c r="K92" s="266"/>
      <c r="L92" s="266"/>
    </row>
    <row r="93" spans="1:12" s="9" customFormat="1" ht="12.75" x14ac:dyDescent="0.2">
      <c r="A93" s="11">
        <v>41334</v>
      </c>
      <c r="B93" s="275">
        <v>2101.3364999999999</v>
      </c>
      <c r="C93" s="242">
        <f t="shared" si="2"/>
        <v>38525.823000000004</v>
      </c>
      <c r="D93" s="183">
        <v>5453</v>
      </c>
      <c r="E93" s="183">
        <v>33072.823000000004</v>
      </c>
      <c r="H93" s="181"/>
      <c r="I93" s="274"/>
      <c r="J93" s="277"/>
      <c r="K93" s="266"/>
      <c r="L93" s="266"/>
    </row>
    <row r="94" spans="1:12" s="9" customFormat="1" ht="12.75" x14ac:dyDescent="0.2">
      <c r="A94" s="11">
        <v>41365</v>
      </c>
      <c r="B94" s="275">
        <v>1945.8319999999997</v>
      </c>
      <c r="C94" s="242">
        <f t="shared" si="2"/>
        <v>48560.343000000008</v>
      </c>
      <c r="D94" s="183">
        <v>7799</v>
      </c>
      <c r="E94" s="183">
        <v>40761.343000000008</v>
      </c>
      <c r="H94" s="181"/>
      <c r="I94" s="274"/>
      <c r="J94" s="277"/>
      <c r="K94" s="266"/>
      <c r="L94" s="266"/>
    </row>
    <row r="95" spans="1:12" s="9" customFormat="1" ht="12.75" x14ac:dyDescent="0.2">
      <c r="A95" s="11">
        <v>41395</v>
      </c>
      <c r="B95" s="275">
        <v>1941.9845</v>
      </c>
      <c r="C95" s="242">
        <f t="shared" si="2"/>
        <v>57951.598999999995</v>
      </c>
      <c r="D95" s="183">
        <v>7288</v>
      </c>
      <c r="E95" s="183">
        <v>50663.598999999995</v>
      </c>
      <c r="H95" s="181"/>
      <c r="I95" s="274"/>
      <c r="J95" s="277"/>
      <c r="K95" s="266"/>
      <c r="L95" s="266"/>
    </row>
    <row r="96" spans="1:12" s="9" customFormat="1" ht="12.75" x14ac:dyDescent="0.2">
      <c r="A96" s="11">
        <v>41426</v>
      </c>
      <c r="B96" s="275">
        <v>1940.4080000000001</v>
      </c>
      <c r="C96" s="242">
        <f t="shared" si="2"/>
        <v>51366.337000000007</v>
      </c>
      <c r="D96" s="183">
        <v>5970</v>
      </c>
      <c r="E96" s="183">
        <v>45396.337000000007</v>
      </c>
      <c r="H96" s="181"/>
      <c r="I96" s="274"/>
      <c r="J96" s="277"/>
      <c r="K96" s="266"/>
      <c r="L96" s="266"/>
    </row>
    <row r="97" spans="1:12" s="9" customFormat="1" ht="12.75" x14ac:dyDescent="0.2">
      <c r="A97" s="11">
        <v>41456</v>
      </c>
      <c r="B97" s="275">
        <v>1864.771</v>
      </c>
      <c r="C97" s="242">
        <f t="shared" si="2"/>
        <v>38975.077000000005</v>
      </c>
      <c r="D97" s="183">
        <v>5977</v>
      </c>
      <c r="E97" s="183">
        <v>32998.077000000005</v>
      </c>
      <c r="H97" s="181"/>
      <c r="I97" s="274"/>
      <c r="J97" s="277"/>
      <c r="K97" s="266"/>
      <c r="L97" s="266"/>
    </row>
    <row r="98" spans="1:12" s="9" customFormat="1" ht="12.75" x14ac:dyDescent="0.2">
      <c r="A98" s="11">
        <v>41487</v>
      </c>
      <c r="B98" s="275">
        <v>1903.308</v>
      </c>
      <c r="C98" s="242">
        <f t="shared" si="2"/>
        <v>29458.791200000003</v>
      </c>
      <c r="D98" s="183">
        <v>6018</v>
      </c>
      <c r="E98" s="183">
        <v>23440.791200000003</v>
      </c>
      <c r="H98" s="181"/>
      <c r="I98" s="274"/>
      <c r="J98" s="277"/>
      <c r="K98" s="266"/>
      <c r="L98" s="266"/>
    </row>
    <row r="99" spans="1:12" s="9" customFormat="1" ht="12.75" x14ac:dyDescent="0.2">
      <c r="A99" s="11">
        <v>41518</v>
      </c>
      <c r="B99" s="275">
        <v>1929.2420000000002</v>
      </c>
      <c r="C99" s="242">
        <f t="shared" si="2"/>
        <v>24757.760000000002</v>
      </c>
      <c r="D99" s="183">
        <v>5606</v>
      </c>
      <c r="E99" s="183">
        <v>19151.760000000002</v>
      </c>
      <c r="H99" s="181"/>
      <c r="I99" s="274"/>
      <c r="J99" s="277"/>
      <c r="K99" s="266"/>
      <c r="L99" s="266"/>
    </row>
    <row r="100" spans="1:12" s="9" customFormat="1" ht="12.75" x14ac:dyDescent="0.2">
      <c r="A100" s="11">
        <v>41548</v>
      </c>
      <c r="B100" s="275">
        <v>1543.4189999999999</v>
      </c>
      <c r="C100" s="242">
        <f t="shared" si="2"/>
        <v>17401.706000000002</v>
      </c>
      <c r="D100" s="183">
        <v>2386</v>
      </c>
      <c r="E100" s="183">
        <v>15015.706000000002</v>
      </c>
      <c r="H100" s="181"/>
      <c r="I100" s="274"/>
      <c r="J100" s="277"/>
      <c r="K100" s="266"/>
      <c r="L100" s="266"/>
    </row>
    <row r="101" spans="1:12" s="9" customFormat="1" ht="12.75" x14ac:dyDescent="0.2">
      <c r="A101" s="11">
        <v>41579</v>
      </c>
      <c r="B101" s="275">
        <v>1745.8865000000001</v>
      </c>
      <c r="C101" s="242">
        <f t="shared" si="2"/>
        <v>22812.632999999998</v>
      </c>
      <c r="D101" s="183">
        <v>4444</v>
      </c>
      <c r="E101" s="183">
        <v>18368.632999999998</v>
      </c>
      <c r="H101" s="181"/>
      <c r="I101" s="274"/>
      <c r="J101" s="277"/>
      <c r="K101" s="266"/>
      <c r="L101" s="266"/>
    </row>
    <row r="102" spans="1:12" s="9" customFormat="1" ht="12.75" x14ac:dyDescent="0.2">
      <c r="A102" s="11">
        <v>41609</v>
      </c>
      <c r="B102" s="275">
        <v>2079.1735000000003</v>
      </c>
      <c r="C102" s="242">
        <f t="shared" si="2"/>
        <v>42434.828000000001</v>
      </c>
      <c r="D102" s="183">
        <v>5190</v>
      </c>
      <c r="E102" s="183">
        <v>37244.828000000001</v>
      </c>
      <c r="H102" s="181"/>
      <c r="I102" s="274"/>
      <c r="J102" s="277"/>
      <c r="K102" s="266"/>
      <c r="L102" s="266"/>
    </row>
    <row r="103" spans="1:12" s="9" customFormat="1" ht="12.75" x14ac:dyDescent="0.2">
      <c r="A103" s="11">
        <v>41640</v>
      </c>
      <c r="B103" s="275">
        <v>1967.7305000000001</v>
      </c>
      <c r="C103" s="242">
        <f t="shared" si="2"/>
        <v>42876.880000000005</v>
      </c>
      <c r="D103" s="183">
        <v>5456</v>
      </c>
      <c r="E103" s="183">
        <v>37420.880000000005</v>
      </c>
      <c r="H103" s="181"/>
      <c r="I103" s="274"/>
      <c r="J103" s="277"/>
      <c r="K103" s="266"/>
      <c r="L103" s="266"/>
    </row>
    <row r="104" spans="1:12" s="9" customFormat="1" ht="12.75" x14ac:dyDescent="0.2">
      <c r="A104" s="11">
        <v>41671</v>
      </c>
      <c r="B104" s="275">
        <v>1801.3670000000002</v>
      </c>
      <c r="C104" s="242">
        <f t="shared" si="2"/>
        <v>43200.3</v>
      </c>
      <c r="D104" s="183">
        <v>4983</v>
      </c>
      <c r="E104" s="183">
        <v>38217.300000000003</v>
      </c>
      <c r="H104" s="181"/>
      <c r="I104" s="274"/>
      <c r="J104" s="277"/>
      <c r="K104" s="266"/>
      <c r="L104" s="266"/>
    </row>
    <row r="105" spans="1:12" s="9" customFormat="1" ht="12.75" x14ac:dyDescent="0.2">
      <c r="A105" s="11">
        <v>41699</v>
      </c>
      <c r="B105" s="275">
        <v>1950.0710000000001</v>
      </c>
      <c r="C105" s="242">
        <f t="shared" si="2"/>
        <v>45254.759999999995</v>
      </c>
      <c r="D105" s="183">
        <v>6626</v>
      </c>
      <c r="E105" s="183">
        <v>38628.759999999995</v>
      </c>
      <c r="H105" s="181"/>
      <c r="I105" s="274"/>
      <c r="J105" s="277"/>
      <c r="K105" s="266"/>
      <c r="L105" s="266"/>
    </row>
    <row r="106" spans="1:12" s="9" customFormat="1" ht="12.75" x14ac:dyDescent="0.2">
      <c r="A106" s="11">
        <v>41730</v>
      </c>
      <c r="B106" s="275">
        <v>1880.2215000000003</v>
      </c>
      <c r="C106" s="242">
        <f t="shared" si="2"/>
        <v>47456.499999999993</v>
      </c>
      <c r="D106" s="183">
        <v>7680</v>
      </c>
      <c r="E106" s="183">
        <v>39776.499999999993</v>
      </c>
      <c r="H106" s="181"/>
      <c r="I106" s="274"/>
      <c r="J106" s="277"/>
      <c r="K106" s="266"/>
      <c r="L106" s="266"/>
    </row>
    <row r="107" spans="1:12" s="9" customFormat="1" ht="12.75" x14ac:dyDescent="0.2">
      <c r="A107" s="11">
        <v>41760</v>
      </c>
      <c r="B107" s="275">
        <v>1861.7009999999998</v>
      </c>
      <c r="C107" s="242">
        <f t="shared" si="2"/>
        <v>60190.689999999995</v>
      </c>
      <c r="D107" s="183">
        <v>7389</v>
      </c>
      <c r="E107" s="183">
        <v>52801.689999999995</v>
      </c>
      <c r="H107" s="181"/>
      <c r="I107" s="274"/>
      <c r="J107" s="277"/>
      <c r="K107" s="266"/>
      <c r="L107" s="266"/>
    </row>
    <row r="108" spans="1:12" s="9" customFormat="1" ht="12.75" x14ac:dyDescent="0.2">
      <c r="A108" s="11">
        <v>41791</v>
      </c>
      <c r="B108" s="275">
        <v>1694.9224999999999</v>
      </c>
      <c r="C108" s="242">
        <f t="shared" si="2"/>
        <v>45234.500000000007</v>
      </c>
      <c r="D108" s="183">
        <v>7265</v>
      </c>
      <c r="E108" s="183">
        <v>37969.500000000007</v>
      </c>
      <c r="H108" s="181"/>
      <c r="I108" s="274"/>
      <c r="J108" s="277"/>
      <c r="K108" s="266"/>
      <c r="L108" s="266"/>
    </row>
    <row r="109" spans="1:12" s="9" customFormat="1" ht="12.75" x14ac:dyDescent="0.2">
      <c r="A109" s="11">
        <v>41821</v>
      </c>
      <c r="B109" s="275">
        <v>1728.2474999999999</v>
      </c>
      <c r="C109" s="242">
        <f t="shared" si="2"/>
        <v>34468.5</v>
      </c>
      <c r="D109" s="183">
        <v>7407</v>
      </c>
      <c r="E109" s="183">
        <v>27061.5</v>
      </c>
      <c r="H109" s="181"/>
      <c r="I109" s="274"/>
      <c r="J109" s="277"/>
      <c r="K109" s="266"/>
      <c r="L109" s="266"/>
    </row>
    <row r="110" spans="1:12" s="9" customFormat="1" ht="12.75" x14ac:dyDescent="0.2">
      <c r="A110" s="11">
        <v>41852</v>
      </c>
      <c r="B110" s="275">
        <v>1687.998</v>
      </c>
      <c r="C110" s="242">
        <f t="shared" si="2"/>
        <v>26256.36</v>
      </c>
      <c r="D110" s="183">
        <v>7406</v>
      </c>
      <c r="E110" s="183">
        <v>18850.36</v>
      </c>
      <c r="H110" s="181"/>
      <c r="I110" s="274"/>
      <c r="J110" s="277"/>
      <c r="K110" s="266"/>
      <c r="L110" s="266"/>
    </row>
    <row r="111" spans="1:12" s="9" customFormat="1" ht="12.75" x14ac:dyDescent="0.2">
      <c r="A111" s="11">
        <v>41883</v>
      </c>
      <c r="B111" s="275">
        <v>1729.489</v>
      </c>
      <c r="C111" s="242">
        <f t="shared" si="2"/>
        <v>23434.21</v>
      </c>
      <c r="D111" s="183">
        <v>5775</v>
      </c>
      <c r="E111" s="183">
        <v>17659.21</v>
      </c>
      <c r="H111" s="181"/>
      <c r="I111" s="274"/>
      <c r="J111" s="277"/>
      <c r="K111" s="266"/>
      <c r="L111" s="266"/>
    </row>
    <row r="112" spans="1:12" s="9" customFormat="1" ht="12.75" x14ac:dyDescent="0.2">
      <c r="A112" s="11">
        <v>41913</v>
      </c>
      <c r="B112" s="275">
        <v>1316.9209999999998</v>
      </c>
      <c r="C112" s="242">
        <f t="shared" si="2"/>
        <v>20028.21</v>
      </c>
      <c r="D112" s="183">
        <v>4650</v>
      </c>
      <c r="E112" s="183">
        <v>15378.210000000001</v>
      </c>
      <c r="H112" s="181"/>
      <c r="I112" s="274"/>
      <c r="J112" s="277"/>
      <c r="K112" s="266"/>
      <c r="L112" s="266"/>
    </row>
    <row r="113" spans="1:12" s="9" customFormat="1" ht="12.75" x14ac:dyDescent="0.2">
      <c r="A113" s="11">
        <v>41944</v>
      </c>
      <c r="B113" s="275">
        <v>1711.0740000000003</v>
      </c>
      <c r="C113" s="242">
        <f t="shared" si="2"/>
        <v>24096.06</v>
      </c>
      <c r="D113" s="183">
        <v>3850</v>
      </c>
      <c r="E113" s="183">
        <v>20246.060000000001</v>
      </c>
      <c r="H113" s="181"/>
      <c r="I113" s="274"/>
      <c r="J113" s="277"/>
      <c r="K113" s="266"/>
      <c r="L113" s="266"/>
    </row>
    <row r="114" spans="1:12" s="9" customFormat="1" ht="12.75" x14ac:dyDescent="0.2">
      <c r="A114" s="11">
        <v>41974</v>
      </c>
      <c r="B114" s="275">
        <v>2147.8659999999995</v>
      </c>
      <c r="C114" s="242">
        <f t="shared" si="2"/>
        <v>34483.26</v>
      </c>
      <c r="D114" s="183">
        <v>5945</v>
      </c>
      <c r="E114" s="183">
        <v>28538.260000000002</v>
      </c>
      <c r="H114" s="181"/>
      <c r="I114" s="274"/>
      <c r="J114" s="277"/>
      <c r="K114" s="266"/>
      <c r="L114" s="266"/>
    </row>
    <row r="115" spans="1:12" s="9" customFormat="1" ht="12.75" x14ac:dyDescent="0.2">
      <c r="A115" s="11">
        <v>42005</v>
      </c>
      <c r="B115" s="275">
        <v>2009.8325</v>
      </c>
      <c r="C115" s="242">
        <f t="shared" si="2"/>
        <v>37856.559999999998</v>
      </c>
      <c r="D115" s="183">
        <v>5919</v>
      </c>
      <c r="E115" s="183">
        <v>31937.559999999998</v>
      </c>
      <c r="H115" s="181"/>
      <c r="I115" s="274"/>
      <c r="J115" s="277"/>
      <c r="K115" s="266"/>
      <c r="L115" s="266"/>
    </row>
    <row r="116" spans="1:12" s="9" customFormat="1" ht="12.75" x14ac:dyDescent="0.2">
      <c r="A116" s="11">
        <v>42036</v>
      </c>
      <c r="B116" s="275">
        <v>1877.9760000000001</v>
      </c>
      <c r="C116" s="242">
        <f t="shared" si="2"/>
        <v>38308.21</v>
      </c>
      <c r="D116" s="183">
        <v>5693</v>
      </c>
      <c r="E116" s="183">
        <v>32615.21</v>
      </c>
      <c r="H116" s="181"/>
      <c r="I116" s="274"/>
      <c r="J116" s="277"/>
      <c r="K116" s="266"/>
      <c r="L116" s="266"/>
    </row>
    <row r="117" spans="1:12" s="9" customFormat="1" ht="12.75" x14ac:dyDescent="0.2">
      <c r="A117" s="11">
        <v>42064</v>
      </c>
      <c r="B117" s="275">
        <v>2022.6344999999997</v>
      </c>
      <c r="C117" s="242">
        <f t="shared" si="2"/>
        <v>42560.438000000002</v>
      </c>
      <c r="D117" s="183">
        <v>6642</v>
      </c>
      <c r="E117" s="183">
        <v>35918.438000000002</v>
      </c>
      <c r="H117" s="181"/>
      <c r="I117" s="274"/>
      <c r="J117" s="277"/>
      <c r="K117" s="266"/>
      <c r="L117" s="266"/>
    </row>
    <row r="118" spans="1:12" s="9" customFormat="1" ht="12.75" x14ac:dyDescent="0.2">
      <c r="A118" s="11">
        <v>42095</v>
      </c>
      <c r="B118" s="275">
        <v>1995.1244999999999</v>
      </c>
      <c r="C118" s="242">
        <f t="shared" si="2"/>
        <v>45999.75</v>
      </c>
      <c r="D118" s="183">
        <v>9601</v>
      </c>
      <c r="E118" s="183">
        <v>36398.75</v>
      </c>
      <c r="H118" s="181"/>
      <c r="I118" s="274"/>
      <c r="J118" s="277"/>
      <c r="K118" s="266"/>
      <c r="L118" s="266"/>
    </row>
    <row r="119" spans="1:12" s="9" customFormat="1" ht="12.75" x14ac:dyDescent="0.2">
      <c r="A119" s="11">
        <v>42125</v>
      </c>
      <c r="B119" s="275">
        <v>1967.9369999999999</v>
      </c>
      <c r="C119" s="242">
        <f t="shared" si="2"/>
        <v>51548.19</v>
      </c>
      <c r="D119" s="183">
        <v>7415</v>
      </c>
      <c r="E119" s="183">
        <v>44133.19</v>
      </c>
      <c r="H119" s="181"/>
      <c r="I119" s="274"/>
      <c r="J119" s="277"/>
      <c r="K119" s="266"/>
      <c r="L119" s="266"/>
    </row>
    <row r="120" spans="1:12" s="9" customFormat="1" ht="12.75" x14ac:dyDescent="0.2">
      <c r="A120" s="11">
        <v>42156</v>
      </c>
      <c r="B120" s="275">
        <v>1832.2705000000003</v>
      </c>
      <c r="C120" s="242">
        <f t="shared" si="2"/>
        <v>46615.419999999991</v>
      </c>
      <c r="D120" s="183">
        <v>6528</v>
      </c>
      <c r="E120" s="183">
        <v>40087.419999999991</v>
      </c>
      <c r="H120" s="181"/>
      <c r="I120" s="274"/>
      <c r="J120" s="277"/>
      <c r="K120" s="266"/>
      <c r="L120" s="266"/>
    </row>
    <row r="121" spans="1:12" s="9" customFormat="1" ht="12.75" x14ac:dyDescent="0.2">
      <c r="A121" s="11">
        <v>42186</v>
      </c>
      <c r="B121" s="275">
        <v>1867.9865000000002</v>
      </c>
      <c r="C121" s="242">
        <f t="shared" si="2"/>
        <v>45173.62</v>
      </c>
      <c r="D121" s="183">
        <v>6062</v>
      </c>
      <c r="E121" s="183">
        <v>39111.620000000003</v>
      </c>
      <c r="H121" s="181"/>
      <c r="I121" s="274"/>
      <c r="J121" s="277"/>
      <c r="K121" s="266"/>
      <c r="L121" s="266"/>
    </row>
    <row r="122" spans="1:12" s="9" customFormat="1" ht="12.75" x14ac:dyDescent="0.2">
      <c r="A122" s="11">
        <v>42217</v>
      </c>
      <c r="B122" s="275">
        <v>1866.9515000000001</v>
      </c>
      <c r="C122" s="242">
        <f t="shared" si="2"/>
        <v>42342.11</v>
      </c>
      <c r="D122" s="183">
        <v>6683</v>
      </c>
      <c r="E122" s="183">
        <v>35659.11</v>
      </c>
      <c r="H122" s="181"/>
      <c r="I122" s="274"/>
      <c r="J122" s="277"/>
      <c r="K122" s="266"/>
      <c r="L122" s="266"/>
    </row>
    <row r="123" spans="1:12" s="9" customFormat="1" ht="12.75" x14ac:dyDescent="0.2">
      <c r="A123" s="11">
        <v>42248</v>
      </c>
      <c r="B123" s="275">
        <v>1602.7459999999999</v>
      </c>
      <c r="C123" s="242">
        <f t="shared" si="2"/>
        <v>25225.52</v>
      </c>
      <c r="D123" s="183">
        <v>6017</v>
      </c>
      <c r="E123" s="183">
        <v>19208.52</v>
      </c>
      <c r="H123" s="181"/>
      <c r="I123" s="274"/>
      <c r="J123" s="277"/>
      <c r="K123" s="266"/>
      <c r="L123" s="266"/>
    </row>
    <row r="124" spans="1:12" s="9" customFormat="1" ht="12.75" x14ac:dyDescent="0.2">
      <c r="A124" s="11">
        <v>42278</v>
      </c>
      <c r="B124" s="275">
        <v>1630.097</v>
      </c>
      <c r="C124" s="242">
        <f t="shared" si="2"/>
        <v>23143.824999999997</v>
      </c>
      <c r="D124" s="183">
        <v>7363</v>
      </c>
      <c r="E124" s="183">
        <v>15780.824999999999</v>
      </c>
      <c r="H124" s="181"/>
      <c r="I124" s="274"/>
      <c r="J124" s="277"/>
      <c r="K124" s="266"/>
      <c r="L124" s="266"/>
    </row>
    <row r="125" spans="1:12" s="9" customFormat="1" ht="12.75" x14ac:dyDescent="0.2">
      <c r="A125" s="11">
        <v>42309</v>
      </c>
      <c r="B125" s="275">
        <v>1836.7049999999999</v>
      </c>
      <c r="C125" s="242">
        <f t="shared" si="2"/>
        <v>21312.99</v>
      </c>
      <c r="D125" s="183">
        <v>3783</v>
      </c>
      <c r="E125" s="183">
        <v>17529.990000000002</v>
      </c>
      <c r="H125" s="181"/>
      <c r="I125" s="274"/>
      <c r="J125" s="277"/>
      <c r="K125" s="266"/>
      <c r="L125" s="266"/>
    </row>
    <row r="126" spans="1:12" s="9" customFormat="1" ht="12.75" x14ac:dyDescent="0.2">
      <c r="A126" s="11">
        <v>42339</v>
      </c>
      <c r="B126" s="275">
        <v>2167.2814999999996</v>
      </c>
      <c r="C126" s="242">
        <f t="shared" si="2"/>
        <v>43475.383000000002</v>
      </c>
      <c r="D126" s="183">
        <v>8634</v>
      </c>
      <c r="E126" s="183">
        <v>34841.383000000002</v>
      </c>
      <c r="H126" s="181"/>
      <c r="I126" s="274"/>
      <c r="J126" s="277"/>
      <c r="K126" s="266"/>
      <c r="L126" s="266"/>
    </row>
    <row r="127" spans="1:12" s="9" customFormat="1" ht="12.75" x14ac:dyDescent="0.2">
      <c r="A127" s="11">
        <v>42370</v>
      </c>
      <c r="B127" s="275">
        <v>2005.7405000000001</v>
      </c>
      <c r="C127" s="242">
        <f t="shared" si="2"/>
        <v>51260.864999999998</v>
      </c>
      <c r="D127" s="183">
        <v>7769</v>
      </c>
      <c r="E127" s="183">
        <v>43491.864999999998</v>
      </c>
      <c r="H127" s="181">
        <v>314.81910354472546</v>
      </c>
      <c r="I127" s="274">
        <v>359.59172672147372</v>
      </c>
      <c r="J127" s="277">
        <v>117.67114403164061</v>
      </c>
      <c r="K127" s="266">
        <v>158.28663485445563</v>
      </c>
      <c r="L127" s="266">
        <v>48.296155081488244</v>
      </c>
    </row>
    <row r="128" spans="1:12" s="9" customFormat="1" ht="12.75" x14ac:dyDescent="0.2">
      <c r="A128" s="11">
        <v>42401</v>
      </c>
      <c r="B128" s="275">
        <v>1959.4324999999999</v>
      </c>
      <c r="C128" s="242">
        <f t="shared" si="2"/>
        <v>46597.957999999999</v>
      </c>
      <c r="D128" s="183">
        <v>8292</v>
      </c>
      <c r="E128" s="183">
        <v>38305.957999999999</v>
      </c>
      <c r="H128" s="181">
        <v>306.07245739342966</v>
      </c>
      <c r="I128" s="274">
        <v>351.28956914873783</v>
      </c>
      <c r="J128" s="277">
        <v>106.96727469187924</v>
      </c>
      <c r="K128" s="266">
        <v>139.41276573667542</v>
      </c>
      <c r="L128" s="266">
        <v>51.547395795559332</v>
      </c>
    </row>
    <row r="129" spans="1:12" s="9" customFormat="1" ht="12.75" x14ac:dyDescent="0.2">
      <c r="A129" s="11">
        <v>42430</v>
      </c>
      <c r="B129" s="275">
        <v>2006.2735</v>
      </c>
      <c r="C129" s="242">
        <f t="shared" si="2"/>
        <v>43567.95</v>
      </c>
      <c r="D129" s="183">
        <v>10126</v>
      </c>
      <c r="E129" s="183">
        <v>33441.949999999997</v>
      </c>
      <c r="H129" s="181">
        <v>311.62872989050885</v>
      </c>
      <c r="I129" s="274">
        <v>359.68728364438704</v>
      </c>
      <c r="J129" s="277">
        <v>100.01178325050341</v>
      </c>
      <c r="K129" s="266">
        <v>121.7104331688458</v>
      </c>
      <c r="L129" s="266">
        <v>62.948496119854546</v>
      </c>
    </row>
    <row r="130" spans="1:12" s="9" customFormat="1" ht="12.75" x14ac:dyDescent="0.2">
      <c r="A130" s="11">
        <v>42461</v>
      </c>
      <c r="B130" s="275">
        <v>1990.6304999999998</v>
      </c>
      <c r="C130" s="242">
        <f t="shared" si="2"/>
        <v>40977.19</v>
      </c>
      <c r="D130" s="183">
        <v>9141</v>
      </c>
      <c r="E130" s="183">
        <v>31836.19</v>
      </c>
      <c r="H130" s="181">
        <v>308.24261116335947</v>
      </c>
      <c r="I130" s="274">
        <v>356.8827865615869</v>
      </c>
      <c r="J130" s="277">
        <v>94.064601260667416</v>
      </c>
      <c r="K130" s="266">
        <v>115.86634377916586</v>
      </c>
      <c r="L130" s="266">
        <v>56.825222499663283</v>
      </c>
    </row>
    <row r="131" spans="1:12" s="9" customFormat="1" ht="12.75" x14ac:dyDescent="0.2">
      <c r="A131" s="11">
        <v>42491</v>
      </c>
      <c r="B131" s="275">
        <v>2008.1530000000002</v>
      </c>
      <c r="C131" s="242">
        <f t="shared" si="2"/>
        <v>67693.510000000009</v>
      </c>
      <c r="D131" s="183">
        <v>13032</v>
      </c>
      <c r="E131" s="183">
        <v>54661.51</v>
      </c>
      <c r="H131" s="181">
        <v>322.15279182627057</v>
      </c>
      <c r="I131" s="274">
        <v>360.02424281252121</v>
      </c>
      <c r="J131" s="277">
        <v>155.39286676526632</v>
      </c>
      <c r="K131" s="266">
        <v>198.93804218244435</v>
      </c>
      <c r="L131" s="266">
        <v>81.013707429779217</v>
      </c>
    </row>
    <row r="132" spans="1:12" s="9" customFormat="1" ht="12.75" x14ac:dyDescent="0.2">
      <c r="A132" s="11">
        <v>42522</v>
      </c>
      <c r="B132" s="275">
        <v>1761.4615000000001</v>
      </c>
      <c r="C132" s="242">
        <f t="shared" si="2"/>
        <v>57379.01</v>
      </c>
      <c r="D132" s="183">
        <v>10672</v>
      </c>
      <c r="E132" s="183">
        <v>46707.01</v>
      </c>
      <c r="H132" s="181">
        <v>281.72881960347581</v>
      </c>
      <c r="I132" s="274">
        <v>315.79707461578261</v>
      </c>
      <c r="J132" s="277">
        <v>131.71556410729602</v>
      </c>
      <c r="K132" s="266">
        <v>169.98800665396641</v>
      </c>
      <c r="L132" s="266">
        <v>66.342716827087457</v>
      </c>
    </row>
    <row r="133" spans="1:12" s="9" customFormat="1" ht="12.75" x14ac:dyDescent="0.2">
      <c r="A133" s="11">
        <v>42552</v>
      </c>
      <c r="B133" s="275">
        <v>2061.3285000000001</v>
      </c>
      <c r="C133" s="242">
        <f t="shared" si="2"/>
        <v>38606.547914174094</v>
      </c>
      <c r="D133" s="183">
        <v>8433</v>
      </c>
      <c r="E133" s="183">
        <v>30173.547914174094</v>
      </c>
      <c r="H133" s="181">
        <v>317.56454901274418</v>
      </c>
      <c r="I133" s="274">
        <v>369.55761458433193</v>
      </c>
      <c r="J133" s="277">
        <v>88.622707794205468</v>
      </c>
      <c r="K133" s="266">
        <v>109.81523466409861</v>
      </c>
      <c r="L133" s="266">
        <v>52.423925318855758</v>
      </c>
    </row>
    <row r="134" spans="1:12" s="9" customFormat="1" ht="12.75" x14ac:dyDescent="0.2">
      <c r="A134" s="11">
        <v>42583</v>
      </c>
      <c r="B134" s="275">
        <v>2028.184</v>
      </c>
      <c r="C134" s="242">
        <f t="shared" si="2"/>
        <v>37751.408000000003</v>
      </c>
      <c r="D134" s="183">
        <v>7325</v>
      </c>
      <c r="E134" s="183">
        <v>30426.408000000003</v>
      </c>
      <c r="H134" s="181">
        <v>312.35879448119726</v>
      </c>
      <c r="I134" s="274">
        <v>363.61542615750403</v>
      </c>
      <c r="J134" s="277">
        <v>86.659703619227429</v>
      </c>
      <c r="K134" s="266">
        <v>110.73550727311161</v>
      </c>
      <c r="L134" s="266">
        <v>45.536019561320806</v>
      </c>
    </row>
    <row r="135" spans="1:12" s="9" customFormat="1" ht="12.75" x14ac:dyDescent="0.2">
      <c r="A135" s="11">
        <v>42614</v>
      </c>
      <c r="B135" s="275">
        <v>1313.6614999999997</v>
      </c>
      <c r="C135" s="242">
        <f t="shared" ref="C135:C198" si="3">SUM(D135:E135)</f>
        <v>25400.661499999998</v>
      </c>
      <c r="D135" s="183">
        <v>7901</v>
      </c>
      <c r="E135" s="183">
        <v>17499.661499999998</v>
      </c>
      <c r="H135" s="181">
        <v>202.71897676372475</v>
      </c>
      <c r="I135" s="274">
        <v>235.51491686612565</v>
      </c>
      <c r="J135" s="277">
        <v>58.308124489616944</v>
      </c>
      <c r="K135" s="266">
        <v>63.68921015291194</v>
      </c>
      <c r="L135" s="266">
        <v>49.116735911808298</v>
      </c>
    </row>
    <row r="136" spans="1:12" s="9" customFormat="1" ht="12.75" x14ac:dyDescent="0.2">
      <c r="A136" s="11">
        <v>42644</v>
      </c>
      <c r="B136" s="275">
        <v>1805.0720000000001</v>
      </c>
      <c r="C136" s="242">
        <f t="shared" si="3"/>
        <v>26813.652999999998</v>
      </c>
      <c r="D136" s="183">
        <v>7691</v>
      </c>
      <c r="E136" s="183">
        <v>19122.652999999998</v>
      </c>
      <c r="H136" s="181">
        <v>275.115037850661</v>
      </c>
      <c r="I136" s="274">
        <v>323.61562093231106</v>
      </c>
      <c r="J136" s="277">
        <v>61.55169687787032</v>
      </c>
      <c r="K136" s="266">
        <v>69.596012791345245</v>
      </c>
      <c r="L136" s="266">
        <v>47.811266409026395</v>
      </c>
    </row>
    <row r="137" spans="1:12" s="9" customFormat="1" ht="12.75" x14ac:dyDescent="0.2">
      <c r="A137" s="11">
        <v>42675</v>
      </c>
      <c r="B137" s="275">
        <v>1843.7445</v>
      </c>
      <c r="C137" s="242">
        <f t="shared" si="3"/>
        <v>29282.293000000001</v>
      </c>
      <c r="D137" s="183">
        <v>6497</v>
      </c>
      <c r="E137" s="183">
        <v>22785.293000000001</v>
      </c>
      <c r="H137" s="181">
        <v>281.81391778537898</v>
      </c>
      <c r="I137" s="274">
        <v>330.54887628196178</v>
      </c>
      <c r="J137" s="277">
        <v>67.21854805180719</v>
      </c>
      <c r="K137" s="266">
        <v>82.926021984635156</v>
      </c>
      <c r="L137" s="266">
        <v>40.388739807495057</v>
      </c>
    </row>
    <row r="138" spans="1:12" s="9" customFormat="1" ht="12.75" x14ac:dyDescent="0.2">
      <c r="A138" s="11">
        <v>42705</v>
      </c>
      <c r="B138" s="275">
        <v>2249.9145000000003</v>
      </c>
      <c r="C138" s="242">
        <f t="shared" si="3"/>
        <v>37180.199999999997</v>
      </c>
      <c r="D138" s="183">
        <v>7761</v>
      </c>
      <c r="E138" s="183">
        <v>29419.199999999997</v>
      </c>
      <c r="H138" s="181">
        <v>344.51126257367451</v>
      </c>
      <c r="I138" s="274">
        <v>403.36755429263218</v>
      </c>
      <c r="J138" s="277">
        <v>85.348475280805417</v>
      </c>
      <c r="K138" s="266">
        <v>107.06982025512592</v>
      </c>
      <c r="L138" s="266">
        <v>48.246422909953694</v>
      </c>
    </row>
    <row r="139" spans="1:12" s="9" customFormat="1" ht="12.75" x14ac:dyDescent="0.2">
      <c r="A139" s="11">
        <v>42736</v>
      </c>
      <c r="B139" s="275">
        <v>2002.9630000000002</v>
      </c>
      <c r="C139" s="242">
        <f t="shared" si="3"/>
        <v>44605.269</v>
      </c>
      <c r="D139" s="183">
        <v>7012</v>
      </c>
      <c r="E139" s="183">
        <v>37593.269</v>
      </c>
      <c r="H139" s="181">
        <v>311.58575411049554</v>
      </c>
      <c r="I139" s="274">
        <v>359.09377296276529</v>
      </c>
      <c r="J139" s="277">
        <v>102.39298601514176</v>
      </c>
      <c r="K139" s="266">
        <v>136.81896702264493</v>
      </c>
      <c r="L139" s="266">
        <v>43.590248350031608</v>
      </c>
    </row>
    <row r="140" spans="1:12" s="9" customFormat="1" ht="12.75" x14ac:dyDescent="0.2">
      <c r="A140" s="11">
        <v>42767</v>
      </c>
      <c r="B140" s="275">
        <v>1910.3410000000001</v>
      </c>
      <c r="C140" s="242">
        <f t="shared" si="3"/>
        <v>29340.99</v>
      </c>
      <c r="D140" s="183">
        <v>7650</v>
      </c>
      <c r="E140" s="183">
        <v>21690.99</v>
      </c>
      <c r="H140" s="181">
        <v>291.56869722496901</v>
      </c>
      <c r="I140" s="274">
        <v>342.48838212960595</v>
      </c>
      <c r="J140" s="277">
        <v>67.353289108970856</v>
      </c>
      <c r="K140" s="266">
        <v>78.943356734912342</v>
      </c>
      <c r="L140" s="266">
        <v>47.556389029911841</v>
      </c>
    </row>
    <row r="141" spans="1:12" s="9" customFormat="1" ht="12.75" x14ac:dyDescent="0.2">
      <c r="A141" s="11">
        <v>42795</v>
      </c>
      <c r="B141" s="275">
        <v>2131.1705000000002</v>
      </c>
      <c r="C141" s="242">
        <f t="shared" si="3"/>
        <v>32906.263000000006</v>
      </c>
      <c r="D141" s="183">
        <v>9602</v>
      </c>
      <c r="E141" s="183">
        <v>23304.263000000003</v>
      </c>
      <c r="H141" s="181">
        <v>325.34686391845713</v>
      </c>
      <c r="I141" s="274">
        <v>382.07897783031581</v>
      </c>
      <c r="J141" s="277">
        <v>75.537500450217621</v>
      </c>
      <c r="K141" s="266">
        <v>84.814789341252691</v>
      </c>
      <c r="L141" s="266">
        <v>59.69103888434163</v>
      </c>
    </row>
    <row r="142" spans="1:12" s="9" customFormat="1" ht="12.75" x14ac:dyDescent="0.2">
      <c r="A142" s="11">
        <v>42826</v>
      </c>
      <c r="B142" s="275">
        <v>2065.8374999999996</v>
      </c>
      <c r="C142" s="242">
        <f t="shared" si="3"/>
        <v>67757.323000000004</v>
      </c>
      <c r="D142" s="183">
        <v>13135</v>
      </c>
      <c r="E142" s="183">
        <v>54622.322999999997</v>
      </c>
      <c r="H142" s="181">
        <v>330.60768895327277</v>
      </c>
      <c r="I142" s="274">
        <v>370.36599388154781</v>
      </c>
      <c r="J142" s="277">
        <v>155.5393517829126</v>
      </c>
      <c r="K142" s="266">
        <v>198.79542290502226</v>
      </c>
      <c r="L142" s="266">
        <v>81.65400913828654</v>
      </c>
    </row>
    <row r="143" spans="1:12" s="9" customFormat="1" ht="12.75" x14ac:dyDescent="0.2">
      <c r="A143" s="11">
        <v>42856</v>
      </c>
      <c r="B143" s="275">
        <v>2087.471</v>
      </c>
      <c r="C143" s="242">
        <f t="shared" si="3"/>
        <v>79366.916000000012</v>
      </c>
      <c r="D143" s="183">
        <v>12705</v>
      </c>
      <c r="E143" s="183">
        <v>66661.916000000012</v>
      </c>
      <c r="H143" s="181">
        <v>338.70057478021806</v>
      </c>
      <c r="I143" s="274">
        <v>374.24447547975495</v>
      </c>
      <c r="J143" s="277">
        <v>182.1895866170639</v>
      </c>
      <c r="K143" s="266">
        <v>242.61296581763958</v>
      </c>
      <c r="L143" s="266">
        <v>78.98090491830456</v>
      </c>
    </row>
    <row r="144" spans="1:12" s="9" customFormat="1" ht="12.75" x14ac:dyDescent="0.2">
      <c r="A144" s="11">
        <v>42887</v>
      </c>
      <c r="B144" s="275">
        <v>1852.0710000000001</v>
      </c>
      <c r="C144" s="242">
        <f t="shared" si="3"/>
        <v>57405.833999999995</v>
      </c>
      <c r="D144" s="183">
        <v>11343</v>
      </c>
      <c r="E144" s="183">
        <v>46062.833999999995</v>
      </c>
      <c r="H144" s="181">
        <v>294.9783913807355</v>
      </c>
      <c r="I144" s="274">
        <v>332.04166187039976</v>
      </c>
      <c r="J144" s="277">
        <v>131.77713955608141</v>
      </c>
      <c r="K144" s="266">
        <v>167.6435578405158</v>
      </c>
      <c r="L144" s="266">
        <v>70.514002714547701</v>
      </c>
    </row>
    <row r="145" spans="1:12" s="9" customFormat="1" ht="12.75" x14ac:dyDescent="0.2">
      <c r="A145" s="11">
        <v>42917</v>
      </c>
      <c r="B145" s="275">
        <v>2022.096</v>
      </c>
      <c r="C145" s="242">
        <f t="shared" si="3"/>
        <v>46450.256999999998</v>
      </c>
      <c r="D145" s="183">
        <v>12432</v>
      </c>
      <c r="E145" s="183">
        <v>34018.256999999998</v>
      </c>
      <c r="H145" s="181">
        <v>315.16493418242453</v>
      </c>
      <c r="I145" s="274">
        <v>362.52396171717385</v>
      </c>
      <c r="J145" s="277">
        <v>106.62822177803127</v>
      </c>
      <c r="K145" s="266">
        <v>123.80787588998609</v>
      </c>
      <c r="L145" s="266">
        <v>77.283794564688094</v>
      </c>
    </row>
    <row r="146" spans="1:12" s="9" customFormat="1" ht="12.75" x14ac:dyDescent="0.2">
      <c r="A146" s="11">
        <v>42948</v>
      </c>
      <c r="B146" s="275">
        <v>1956.2474999999999</v>
      </c>
      <c r="C146" s="242">
        <f t="shared" si="3"/>
        <v>34250.06</v>
      </c>
      <c r="D146" s="183">
        <v>12082</v>
      </c>
      <c r="E146" s="183">
        <v>22168.06</v>
      </c>
      <c r="H146" s="181">
        <v>300.36126315453538</v>
      </c>
      <c r="I146" s="274">
        <v>350.71855826791472</v>
      </c>
      <c r="J146" s="277">
        <v>78.622234395621916</v>
      </c>
      <c r="K146" s="266">
        <v>80.679630975854081</v>
      </c>
      <c r="L146" s="266">
        <v>75.108012060051607</v>
      </c>
    </row>
    <row r="147" spans="1:12" s="9" customFormat="1" ht="12.75" x14ac:dyDescent="0.2">
      <c r="A147" s="11">
        <v>42979</v>
      </c>
      <c r="B147" s="275">
        <v>1388.7275</v>
      </c>
      <c r="C147" s="242">
        <f t="shared" si="3"/>
        <v>27079.968999999997</v>
      </c>
      <c r="D147" s="183">
        <v>12351</v>
      </c>
      <c r="E147" s="183">
        <v>14728.968999999999</v>
      </c>
      <c r="H147" s="181">
        <v>214.3996596875655</v>
      </c>
      <c r="I147" s="274">
        <v>248.97284552542837</v>
      </c>
      <c r="J147" s="277">
        <v>62.163034755097527</v>
      </c>
      <c r="K147" s="266">
        <v>53.605402708888136</v>
      </c>
      <c r="L147" s="266">
        <v>76.780256327900801</v>
      </c>
    </row>
    <row r="148" spans="1:12" s="9" customFormat="1" ht="12.75" x14ac:dyDescent="0.2">
      <c r="A148" s="11">
        <v>43009</v>
      </c>
      <c r="B148" s="275">
        <v>1945.8415000000002</v>
      </c>
      <c r="C148" s="242">
        <f t="shared" si="3"/>
        <v>30335.741000000002</v>
      </c>
      <c r="D148" s="183">
        <v>9722</v>
      </c>
      <c r="E148" s="183">
        <v>20613.741000000002</v>
      </c>
      <c r="H148" s="181">
        <v>297.17797883419536</v>
      </c>
      <c r="I148" s="274">
        <v>348.85295725508979</v>
      </c>
      <c r="J148" s="277">
        <v>69.636775511251003</v>
      </c>
      <c r="K148" s="266">
        <v>75.02275873088729</v>
      </c>
      <c r="L148" s="266">
        <v>60.437021457359855</v>
      </c>
    </row>
    <row r="149" spans="1:12" s="9" customFormat="1" ht="12.75" x14ac:dyDescent="0.2">
      <c r="A149" s="11">
        <v>43040</v>
      </c>
      <c r="B149" s="275">
        <v>2176.3840000000005</v>
      </c>
      <c r="C149" s="242">
        <f t="shared" si="3"/>
        <v>36891.942999999999</v>
      </c>
      <c r="D149" s="183">
        <v>12693</v>
      </c>
      <c r="E149" s="183">
        <v>24198.943000000003</v>
      </c>
      <c r="H149" s="181">
        <v>333.64589003832742</v>
      </c>
      <c r="I149" s="274">
        <v>390.18491204070909</v>
      </c>
      <c r="J149" s="277">
        <v>84.686771055464519</v>
      </c>
      <c r="K149" s="266">
        <v>88.070935898122244</v>
      </c>
      <c r="L149" s="266">
        <v>78.906306661002731</v>
      </c>
    </row>
    <row r="150" spans="1:12" s="9" customFormat="1" ht="12.75" x14ac:dyDescent="0.2">
      <c r="A150" s="11">
        <v>43070</v>
      </c>
      <c r="B150" s="275">
        <v>2360.3595</v>
      </c>
      <c r="C150" s="242">
        <f t="shared" si="3"/>
        <v>39676.506999999998</v>
      </c>
      <c r="D150" s="183">
        <v>11304</v>
      </c>
      <c r="E150" s="183">
        <v>28372.507000000001</v>
      </c>
      <c r="H150" s="181">
        <v>361.70796012213549</v>
      </c>
      <c r="I150" s="274">
        <v>423.16827540174529</v>
      </c>
      <c r="J150" s="277">
        <v>91.078837040096658</v>
      </c>
      <c r="K150" s="266">
        <v>103.2604294024753</v>
      </c>
      <c r="L150" s="266">
        <v>70.271558378316783</v>
      </c>
    </row>
    <row r="151" spans="1:12" s="9" customFormat="1" ht="12.75" x14ac:dyDescent="0.2">
      <c r="A151" s="11">
        <v>43101</v>
      </c>
      <c r="B151" s="275">
        <v>2256.2860000000001</v>
      </c>
      <c r="C151" s="242">
        <f t="shared" si="3"/>
        <v>40448.423000000003</v>
      </c>
      <c r="D151" s="183">
        <v>12241</v>
      </c>
      <c r="E151" s="183">
        <v>28207.423000000003</v>
      </c>
      <c r="H151" s="181">
        <v>346.830614354874</v>
      </c>
      <c r="I151" s="274">
        <v>404.50984497620061</v>
      </c>
      <c r="J151" s="277">
        <v>92.850797751573708</v>
      </c>
      <c r="K151" s="266">
        <v>102.6596138056203</v>
      </c>
      <c r="L151" s="266">
        <v>76.096438969300749</v>
      </c>
    </row>
    <row r="152" spans="1:12" s="9" customFormat="1" ht="12.75" x14ac:dyDescent="0.2">
      <c r="A152" s="11">
        <v>43132</v>
      </c>
      <c r="B152" s="275">
        <v>2101.4899999999998</v>
      </c>
      <c r="C152" s="242">
        <f t="shared" si="3"/>
        <v>37057.353999999999</v>
      </c>
      <c r="D152" s="183">
        <v>13511</v>
      </c>
      <c r="E152" s="183">
        <v>23546.353999999999</v>
      </c>
      <c r="H152" s="181">
        <v>322.77404381506085</v>
      </c>
      <c r="I152" s="274">
        <v>376.75781976178371</v>
      </c>
      <c r="J152" s="277">
        <v>85.066477906010604</v>
      </c>
      <c r="K152" s="266">
        <v>85.695868359559924</v>
      </c>
      <c r="L152" s="266">
        <v>83.991421200410301</v>
      </c>
    </row>
    <row r="153" spans="1:12" s="9" customFormat="1" ht="12.75" x14ac:dyDescent="0.2">
      <c r="A153" s="11">
        <v>43160</v>
      </c>
      <c r="B153" s="275">
        <v>2418.4959999999996</v>
      </c>
      <c r="C153" s="242">
        <f t="shared" si="3"/>
        <v>51477.597539999995</v>
      </c>
      <c r="D153" s="183">
        <v>17629</v>
      </c>
      <c r="E153" s="183">
        <v>33848.597539999995</v>
      </c>
      <c r="H153" s="181">
        <v>375.21534130860181</v>
      </c>
      <c r="I153" s="274">
        <v>433.59106160990291</v>
      </c>
      <c r="J153" s="277">
        <v>118.168661307845</v>
      </c>
      <c r="K153" s="266">
        <v>123.19040811768835</v>
      </c>
      <c r="L153" s="266">
        <v>109.59105649781904</v>
      </c>
    </row>
    <row r="154" spans="1:12" s="9" customFormat="1" ht="12.75" x14ac:dyDescent="0.2">
      <c r="A154" s="11">
        <v>43191</v>
      </c>
      <c r="B154" s="275">
        <v>2302.4725000000003</v>
      </c>
      <c r="C154" s="242">
        <f t="shared" si="3"/>
        <v>51650.724000000002</v>
      </c>
      <c r="D154" s="183">
        <v>16714</v>
      </c>
      <c r="E154" s="183">
        <v>34936.724000000002</v>
      </c>
      <c r="H154" s="181">
        <v>358.33769487446511</v>
      </c>
      <c r="I154" s="274">
        <v>412.79021987326291</v>
      </c>
      <c r="J154" s="277">
        <v>118.56607927202388</v>
      </c>
      <c r="K154" s="266">
        <v>127.1505941352227</v>
      </c>
      <c r="L154" s="266">
        <v>103.9029393785551</v>
      </c>
    </row>
    <row r="155" spans="1:12" s="9" customFormat="1" ht="12.75" x14ac:dyDescent="0.2">
      <c r="A155" s="11">
        <v>43221</v>
      </c>
      <c r="B155" s="275">
        <v>2153.4579999999996</v>
      </c>
      <c r="C155" s="242">
        <f t="shared" si="3"/>
        <v>68927.740640000004</v>
      </c>
      <c r="D155" s="183">
        <v>19671</v>
      </c>
      <c r="E155" s="183">
        <v>49256.740640000004</v>
      </c>
      <c r="H155" s="181">
        <v>343.90640610266792</v>
      </c>
      <c r="I155" s="274">
        <v>386.07470938646918</v>
      </c>
      <c r="J155" s="277">
        <v>158.22608722316733</v>
      </c>
      <c r="K155" s="266">
        <v>179.26763360928086</v>
      </c>
      <c r="L155" s="266">
        <v>122.28519328201253</v>
      </c>
    </row>
    <row r="156" spans="1:12" s="9" customFormat="1" ht="12.75" x14ac:dyDescent="0.2">
      <c r="A156" s="11">
        <v>43252</v>
      </c>
      <c r="B156" s="275">
        <v>2106.2004999999999</v>
      </c>
      <c r="C156" s="242">
        <f t="shared" si="3"/>
        <v>63137.50499999999</v>
      </c>
      <c r="D156" s="183">
        <v>17689</v>
      </c>
      <c r="E156" s="183">
        <v>45448.50499999999</v>
      </c>
      <c r="H156" s="181">
        <v>334.54210416373621</v>
      </c>
      <c r="I156" s="274">
        <v>377.60232423717395</v>
      </c>
      <c r="J156" s="277">
        <v>144.93439477959311</v>
      </c>
      <c r="K156" s="266">
        <v>165.40773580567082</v>
      </c>
      <c r="L156" s="266">
        <v>109.96404778432817</v>
      </c>
    </row>
    <row r="157" spans="1:12" s="9" customFormat="1" ht="12.75" x14ac:dyDescent="0.2">
      <c r="A157" s="11">
        <v>43282</v>
      </c>
      <c r="B157" s="275">
        <v>2069.4330000000004</v>
      </c>
      <c r="C157" s="242">
        <f t="shared" si="3"/>
        <v>45897.748000000007</v>
      </c>
      <c r="D157" s="183">
        <v>15040</v>
      </c>
      <c r="E157" s="183">
        <v>30857.748000000003</v>
      </c>
      <c r="H157" s="181">
        <v>321.84620969338948</v>
      </c>
      <c r="I157" s="274">
        <v>371.01059972832962</v>
      </c>
      <c r="J157" s="277">
        <v>105.359917661084</v>
      </c>
      <c r="K157" s="266">
        <v>112.30534929019043</v>
      </c>
      <c r="L157" s="266">
        <v>93.49648248495086</v>
      </c>
    </row>
    <row r="158" spans="1:12" s="9" customFormat="1" ht="12.75" x14ac:dyDescent="0.2">
      <c r="A158" s="11">
        <v>43313</v>
      </c>
      <c r="B158" s="275">
        <v>1703.5710000000001</v>
      </c>
      <c r="C158" s="242">
        <f t="shared" si="3"/>
        <v>30512.998999999996</v>
      </c>
      <c r="D158" s="183">
        <v>11944</v>
      </c>
      <c r="E158" s="183">
        <v>18568.998999999996</v>
      </c>
      <c r="H158" s="181">
        <v>261.85722264635359</v>
      </c>
      <c r="I158" s="274">
        <v>305.41839160281643</v>
      </c>
      <c r="J158" s="277">
        <v>70.043677572867821</v>
      </c>
      <c r="K158" s="266">
        <v>67.581014617923415</v>
      </c>
      <c r="L158" s="266">
        <v>74.250132101080652</v>
      </c>
    </row>
    <row r="159" spans="1:12" s="9" customFormat="1" ht="12.75" x14ac:dyDescent="0.2">
      <c r="A159" s="11">
        <v>43344</v>
      </c>
      <c r="B159" s="275">
        <v>1672.4209999999998</v>
      </c>
      <c r="C159" s="242">
        <f t="shared" si="3"/>
        <v>29576.718999999997</v>
      </c>
      <c r="D159" s="183">
        <v>8362</v>
      </c>
      <c r="E159" s="183">
        <v>21214.718999999997</v>
      </c>
      <c r="H159" s="181">
        <v>256.90839595719928</v>
      </c>
      <c r="I159" s="274">
        <v>299.83377969146795</v>
      </c>
      <c r="J159" s="277">
        <v>67.894413436690144</v>
      </c>
      <c r="K159" s="266">
        <v>77.209990417584578</v>
      </c>
      <c r="L159" s="266">
        <v>51.982552296486638</v>
      </c>
    </row>
    <row r="160" spans="1:12" s="9" customFormat="1" ht="12.75" x14ac:dyDescent="0.2">
      <c r="A160" s="11">
        <v>43374</v>
      </c>
      <c r="B160" s="275">
        <v>2248.6559999999999</v>
      </c>
      <c r="C160" s="242">
        <f t="shared" si="3"/>
        <v>36199.067999999999</v>
      </c>
      <c r="D160" s="183">
        <v>8064</v>
      </c>
      <c r="E160" s="183">
        <v>28135.067999999999</v>
      </c>
      <c r="H160" s="181">
        <v>343.91057139641418</v>
      </c>
      <c r="I160" s="274">
        <v>403.1419288001631</v>
      </c>
      <c r="J160" s="277">
        <v>83.096251778801459</v>
      </c>
      <c r="K160" s="266">
        <v>102.39628112340733</v>
      </c>
      <c r="L160" s="266">
        <v>50.13002890682472</v>
      </c>
    </row>
    <row r="161" spans="1:12" s="9" customFormat="1" ht="12.75" x14ac:dyDescent="0.2">
      <c r="A161" s="11">
        <v>43405</v>
      </c>
      <c r="B161" s="275">
        <v>2276.3809999999999</v>
      </c>
      <c r="C161" s="242">
        <f t="shared" si="3"/>
        <v>42805.591</v>
      </c>
      <c r="D161" s="183">
        <v>11364</v>
      </c>
      <c r="E161" s="183">
        <v>31441.591000000004</v>
      </c>
      <c r="H161" s="181">
        <v>350.7679377175528</v>
      </c>
      <c r="I161" s="274">
        <v>408.11250232318508</v>
      </c>
      <c r="J161" s="277">
        <v>98.261760973415065</v>
      </c>
      <c r="K161" s="266">
        <v>114.43021893542942</v>
      </c>
      <c r="L161" s="266">
        <v>70.644549664825888</v>
      </c>
    </row>
    <row r="162" spans="1:12" s="9" customFormat="1" ht="12.75" x14ac:dyDescent="0.2">
      <c r="A162" s="11">
        <v>43435</v>
      </c>
      <c r="B162" s="275">
        <v>2592.6889999999999</v>
      </c>
      <c r="C162" s="242">
        <f t="shared" si="3"/>
        <v>49821.984000000004</v>
      </c>
      <c r="D162" s="183">
        <v>13093</v>
      </c>
      <c r="E162" s="183">
        <v>36728.984000000004</v>
      </c>
      <c r="H162" s="181">
        <v>399.96181640136098</v>
      </c>
      <c r="I162" s="274">
        <v>464.82060583698257</v>
      </c>
      <c r="J162" s="277">
        <v>114.36814137268448</v>
      </c>
      <c r="K162" s="266">
        <v>133.67344166508255</v>
      </c>
      <c r="L162" s="266">
        <v>81.392915237730165</v>
      </c>
    </row>
    <row r="163" spans="1:12" s="9" customFormat="1" ht="12.75" x14ac:dyDescent="0.2">
      <c r="A163" s="11">
        <v>43466</v>
      </c>
      <c r="B163" s="275">
        <v>2276.1010000000001</v>
      </c>
      <c r="C163" s="242">
        <f t="shared" si="3"/>
        <v>55683.387999999999</v>
      </c>
      <c r="D163" s="183">
        <v>15018</v>
      </c>
      <c r="E163" s="183">
        <v>40665.387999999999</v>
      </c>
      <c r="H163" s="181">
        <v>356.19801200685367</v>
      </c>
      <c r="I163" s="274">
        <v>408.06230356443149</v>
      </c>
      <c r="J163" s="277">
        <v>127.82320332514338</v>
      </c>
      <c r="K163" s="266">
        <v>147.99980229798751</v>
      </c>
      <c r="L163" s="266">
        <v>93.359719013230844</v>
      </c>
    </row>
    <row r="164" spans="1:12" s="9" customFormat="1" ht="12.75" x14ac:dyDescent="0.2">
      <c r="A164" s="11">
        <v>43497</v>
      </c>
      <c r="B164" s="275">
        <v>2190.384</v>
      </c>
      <c r="C164" s="242">
        <f t="shared" si="3"/>
        <v>47975.904000000002</v>
      </c>
      <c r="D164" s="183">
        <v>17315</v>
      </c>
      <c r="E164" s="183">
        <v>30660.904000000002</v>
      </c>
      <c r="H164" s="181">
        <v>340.4002020766228</v>
      </c>
      <c r="I164" s="274">
        <v>392.69484997839436</v>
      </c>
      <c r="J164" s="277">
        <v>110.13039888484442</v>
      </c>
      <c r="K164" s="183">
        <v>111.58894463954395</v>
      </c>
      <c r="L164" s="183">
        <v>107.63906876508803</v>
      </c>
    </row>
    <row r="165" spans="1:12" s="4" customFormat="1" x14ac:dyDescent="0.2">
      <c r="A165" s="11">
        <v>43525</v>
      </c>
      <c r="B165" s="275">
        <v>2491.4860000000003</v>
      </c>
      <c r="C165" s="242">
        <f t="shared" si="3"/>
        <v>48310.837</v>
      </c>
      <c r="D165" s="183">
        <v>17366</v>
      </c>
      <c r="E165" s="183">
        <v>30944.837</v>
      </c>
      <c r="H165" s="181">
        <v>384.53392190382539</v>
      </c>
      <c r="I165" s="274">
        <v>446.67680232930388</v>
      </c>
      <c r="J165" s="277">
        <v>110.89924953307188</v>
      </c>
      <c r="K165" s="183">
        <v>112.62230568520454</v>
      </c>
      <c r="L165" s="183">
        <v>107.95611135862079</v>
      </c>
    </row>
    <row r="166" spans="1:12" x14ac:dyDescent="0.25">
      <c r="A166" s="11">
        <v>43556</v>
      </c>
      <c r="B166" s="275">
        <v>2537.0030000000006</v>
      </c>
      <c r="C166" s="242">
        <f t="shared" si="3"/>
        <v>60221.564999999995</v>
      </c>
      <c r="D166" s="183">
        <v>20408</v>
      </c>
      <c r="E166" s="183">
        <v>39813.564999999995</v>
      </c>
      <c r="H166" s="181">
        <v>396.24415452176629</v>
      </c>
      <c r="I166" s="274">
        <v>454.83714840856061</v>
      </c>
      <c r="J166" s="277">
        <v>138.24075050090948</v>
      </c>
      <c r="K166" s="183">
        <v>144.89963181411363</v>
      </c>
      <c r="L166" s="183">
        <v>126.86676958463278</v>
      </c>
    </row>
    <row r="167" spans="1:12" x14ac:dyDescent="0.25">
      <c r="A167" s="11">
        <v>43586</v>
      </c>
      <c r="B167" s="275">
        <v>2292.0990000000002</v>
      </c>
      <c r="C167" s="242">
        <f t="shared" si="3"/>
        <v>74208.005999999994</v>
      </c>
      <c r="D167" s="183">
        <v>22562</v>
      </c>
      <c r="E167" s="183">
        <v>51646.006000000001</v>
      </c>
      <c r="F167" s="184"/>
      <c r="G167" s="184"/>
      <c r="H167" s="181">
        <v>366.40531148839761</v>
      </c>
      <c r="I167" s="274">
        <v>410.93044550207992</v>
      </c>
      <c r="J167" s="277">
        <v>170.34712469886819</v>
      </c>
      <c r="K167" s="183">
        <v>187.96325458595592</v>
      </c>
      <c r="L167" s="183">
        <v>140.2571567703099</v>
      </c>
    </row>
    <row r="168" spans="1:12" x14ac:dyDescent="0.25">
      <c r="A168" s="11">
        <v>43617</v>
      </c>
      <c r="B168" s="275">
        <v>2351.8780000000002</v>
      </c>
      <c r="C168" s="242">
        <f t="shared" si="3"/>
        <v>67052.849000000002</v>
      </c>
      <c r="D168" s="183">
        <v>15729</v>
      </c>
      <c r="E168" s="183">
        <v>51323.849000000002</v>
      </c>
      <c r="F168" s="184"/>
      <c r="G168" s="184"/>
      <c r="H168" s="181">
        <v>372.099322352309</v>
      </c>
      <c r="I168" s="274">
        <v>421.6477012147123</v>
      </c>
      <c r="J168" s="277">
        <v>153.92220658802472</v>
      </c>
      <c r="K168" s="183">
        <v>186.79077905691602</v>
      </c>
      <c r="L168" s="183">
        <v>97.779665758363834</v>
      </c>
    </row>
    <row r="169" spans="1:12" x14ac:dyDescent="0.25">
      <c r="A169" s="11">
        <v>43647</v>
      </c>
      <c r="B169" s="275">
        <v>2468.2660000000001</v>
      </c>
      <c r="C169" s="242">
        <f t="shared" si="3"/>
        <v>58363.868600000009</v>
      </c>
      <c r="D169" s="183">
        <v>11912</v>
      </c>
      <c r="E169" s="183">
        <v>46451.868600000009</v>
      </c>
      <c r="F169" s="184"/>
      <c r="G169" s="184"/>
      <c r="H169" s="181">
        <v>385.41236098095078</v>
      </c>
      <c r="I169" s="274">
        <v>442.51389097837261</v>
      </c>
      <c r="J169" s="277">
        <v>133.97634215252407</v>
      </c>
      <c r="K169" s="183">
        <v>169.05943130733428</v>
      </c>
      <c r="L169" s="183">
        <v>74.051203414942464</v>
      </c>
    </row>
    <row r="170" spans="1:12" x14ac:dyDescent="0.25">
      <c r="A170" s="11">
        <v>43678</v>
      </c>
      <c r="B170" s="275">
        <v>1624.2249999999999</v>
      </c>
      <c r="C170" s="242">
        <f t="shared" si="3"/>
        <v>48466.614999999998</v>
      </c>
      <c r="D170" s="183">
        <v>13052</v>
      </c>
      <c r="E170" s="183">
        <v>35414.614999999998</v>
      </c>
      <c r="F170" s="184"/>
      <c r="G170" s="184"/>
      <c r="H170" s="181">
        <v>257.89204550307625</v>
      </c>
      <c r="I170" s="274">
        <v>291.19313905970728</v>
      </c>
      <c r="J170" s="277">
        <v>111.2568434885184</v>
      </c>
      <c r="K170" s="183">
        <v>128.88985636776275</v>
      </c>
      <c r="L170" s="183">
        <v>81.138037858615604</v>
      </c>
    </row>
    <row r="171" spans="1:12" x14ac:dyDescent="0.25">
      <c r="A171" s="11">
        <v>43709</v>
      </c>
      <c r="B171" s="275">
        <v>1943.13</v>
      </c>
      <c r="C171" s="242">
        <f t="shared" si="3"/>
        <v>34508.824999999997</v>
      </c>
      <c r="D171" s="183">
        <v>12507</v>
      </c>
      <c r="E171" s="183">
        <v>22001.824999999997</v>
      </c>
      <c r="F171" s="184"/>
      <c r="G171" s="184"/>
      <c r="H171" s="181">
        <v>298.55471118834225</v>
      </c>
      <c r="I171" s="274">
        <v>348.36683606094533</v>
      </c>
      <c r="J171" s="277">
        <v>79.216238683012449</v>
      </c>
      <c r="K171" s="183">
        <v>80.074626367635261</v>
      </c>
      <c r="L171" s="183">
        <v>77.7500336728245</v>
      </c>
    </row>
    <row r="172" spans="1:12" x14ac:dyDescent="0.25">
      <c r="A172" s="11">
        <v>43739</v>
      </c>
      <c r="B172" s="275">
        <v>2332.1320000000001</v>
      </c>
      <c r="C172" s="242">
        <f t="shared" si="3"/>
        <v>32198.835999999996</v>
      </c>
      <c r="D172" s="183">
        <v>7518</v>
      </c>
      <c r="E172" s="183">
        <v>24680.835999999996</v>
      </c>
      <c r="H172" s="181">
        <v>354.40708071807268</v>
      </c>
      <c r="I172" s="274">
        <v>418.10761303488925</v>
      </c>
      <c r="J172" s="277">
        <v>73.913576538499171</v>
      </c>
      <c r="K172" s="183">
        <v>89.824763224908921</v>
      </c>
      <c r="L172" s="183">
        <v>46.735808199591794</v>
      </c>
    </row>
    <row r="173" spans="1:12" x14ac:dyDescent="0.25">
      <c r="A173" s="11">
        <v>43770</v>
      </c>
      <c r="B173" s="275">
        <v>2447.7779999999998</v>
      </c>
      <c r="C173" s="242">
        <f t="shared" si="3"/>
        <v>38691.567999999999</v>
      </c>
      <c r="D173" s="183">
        <v>12738</v>
      </c>
      <c r="E173" s="183">
        <v>25953.568000000003</v>
      </c>
      <c r="H173" s="181">
        <v>374.06148651793075</v>
      </c>
      <c r="I173" s="274">
        <v>438.8407760878523</v>
      </c>
      <c r="J173" s="277">
        <v>88.817874433800824</v>
      </c>
      <c r="K173" s="183">
        <v>94.456812582911425</v>
      </c>
      <c r="L173" s="183">
        <v>79.186050125884577</v>
      </c>
    </row>
    <row r="174" spans="1:12" x14ac:dyDescent="0.25">
      <c r="A174" s="11">
        <v>43800</v>
      </c>
      <c r="B174" s="275">
        <v>2765.5289999999995</v>
      </c>
      <c r="C174" s="242">
        <f t="shared" si="3"/>
        <v>57769.571999999993</v>
      </c>
      <c r="D174" s="183">
        <v>19891</v>
      </c>
      <c r="E174" s="183">
        <v>37878.571999999993</v>
      </c>
      <c r="H174" s="181">
        <v>428.59042506923686</v>
      </c>
      <c r="I174" s="274">
        <v>495.80758249051269</v>
      </c>
      <c r="J174" s="277">
        <v>132.61211310925458</v>
      </c>
      <c r="K174" s="183">
        <v>137.85731412005916</v>
      </c>
      <c r="L174" s="183">
        <v>123.65282799921259</v>
      </c>
    </row>
    <row r="175" spans="1:12" x14ac:dyDescent="0.25">
      <c r="A175" s="11">
        <v>43831</v>
      </c>
      <c r="B175" s="275">
        <v>2520.6750000000002</v>
      </c>
      <c r="C175" s="242">
        <f t="shared" si="3"/>
        <v>60254.98799999999</v>
      </c>
      <c r="D175" s="183">
        <v>19122</v>
      </c>
      <c r="E175" s="183">
        <v>41132.98799999999</v>
      </c>
      <c r="H175" s="181">
        <v>393.87281003665129</v>
      </c>
      <c r="I175" s="274">
        <v>451.9098436480952</v>
      </c>
      <c r="J175" s="277">
        <v>138.31747418957468</v>
      </c>
      <c r="K175" s="183">
        <v>149.70161091111419</v>
      </c>
      <c r="L175" s="183">
        <v>118.87232301045415</v>
      </c>
    </row>
    <row r="176" spans="1:12" x14ac:dyDescent="0.25">
      <c r="A176" s="11">
        <v>43862</v>
      </c>
      <c r="B176" s="275">
        <v>2389.4169999999999</v>
      </c>
      <c r="C176" s="242">
        <f t="shared" si="3"/>
        <v>69918.921999999991</v>
      </c>
      <c r="D176" s="183">
        <v>21979</v>
      </c>
      <c r="E176" s="183">
        <v>47939.921999999999</v>
      </c>
      <c r="H176" s="181">
        <v>378.72795212609179</v>
      </c>
      <c r="I176" s="274">
        <v>428.28756274757581</v>
      </c>
      <c r="J176" s="277">
        <v>160.50137938950195</v>
      </c>
      <c r="K176" s="183">
        <v>174.47513296026935</v>
      </c>
      <c r="L176" s="183">
        <v>136.63292476972973</v>
      </c>
    </row>
    <row r="177" spans="1:12" x14ac:dyDescent="0.25">
      <c r="A177" s="11">
        <v>43891</v>
      </c>
      <c r="B177" s="275">
        <v>2395.5730000000003</v>
      </c>
      <c r="C177" s="242">
        <f t="shared" si="3"/>
        <v>66429.084999999992</v>
      </c>
      <c r="D177" s="183">
        <v>25162</v>
      </c>
      <c r="E177" s="183">
        <v>41267.084999999999</v>
      </c>
      <c r="H177" s="181">
        <v>378.21822465965363</v>
      </c>
      <c r="I177" s="274">
        <v>429.48139679950737</v>
      </c>
      <c r="J177" s="277">
        <v>152.49033407698238</v>
      </c>
      <c r="K177" s="183">
        <v>150.18965075199199</v>
      </c>
      <c r="L177" s="183">
        <v>156.42011251903813</v>
      </c>
    </row>
    <row r="178" spans="1:12" x14ac:dyDescent="0.25">
      <c r="A178" s="11">
        <v>43922</v>
      </c>
      <c r="B178" s="275">
        <v>1619.7539999999999</v>
      </c>
      <c r="C178" s="242">
        <f t="shared" si="3"/>
        <v>55140.26</v>
      </c>
      <c r="D178" s="183">
        <v>23423</v>
      </c>
      <c r="E178" s="183">
        <v>31717.260000000002</v>
      </c>
      <c r="H178" s="181">
        <v>260.07404675901194</v>
      </c>
      <c r="I178" s="274">
        <v>290.39157245117951</v>
      </c>
      <c r="J178" s="277">
        <v>126.57643362830709</v>
      </c>
      <c r="K178" s="183">
        <v>115.43350353459968</v>
      </c>
      <c r="L178" s="183">
        <v>145.60958173171568</v>
      </c>
    </row>
    <row r="179" spans="1:12" x14ac:dyDescent="0.25">
      <c r="A179" s="11">
        <v>43952</v>
      </c>
      <c r="B179" s="275">
        <v>1861.9270000000001</v>
      </c>
      <c r="C179" s="242">
        <f t="shared" si="3"/>
        <v>67171.118000000002</v>
      </c>
      <c r="D179" s="183">
        <v>26755</v>
      </c>
      <c r="E179" s="183">
        <v>40416.118000000002</v>
      </c>
      <c r="H179" s="181">
        <v>300.56703453872802</v>
      </c>
      <c r="I179" s="274">
        <v>333.80865817853032</v>
      </c>
      <c r="J179" s="277">
        <v>154.19369729606248</v>
      </c>
      <c r="K179" s="183">
        <v>147.09259564060065</v>
      </c>
      <c r="L179" s="183">
        <v>166.32303117585508</v>
      </c>
    </row>
    <row r="180" spans="1:12" x14ac:dyDescent="0.25">
      <c r="A180" s="11">
        <v>43983</v>
      </c>
      <c r="B180" s="275">
        <v>1917.8209999999999</v>
      </c>
      <c r="C180" s="242">
        <f t="shared" si="3"/>
        <v>68528.077999999994</v>
      </c>
      <c r="D180" s="183">
        <v>23396</v>
      </c>
      <c r="E180" s="183">
        <v>45132.077999999994</v>
      </c>
      <c r="H180" s="181">
        <v>309.30971559074368</v>
      </c>
      <c r="I180" s="274">
        <v>343.82940611345521</v>
      </c>
      <c r="J180" s="277">
        <v>157.30864737747791</v>
      </c>
      <c r="K180" s="183">
        <v>164.25611434710399</v>
      </c>
      <c r="L180" s="183">
        <v>145.44173565278658</v>
      </c>
    </row>
    <row r="181" spans="1:12" x14ac:dyDescent="0.25">
      <c r="A181" s="11">
        <v>44013</v>
      </c>
      <c r="B181" s="275">
        <v>2051.8929999999996</v>
      </c>
      <c r="C181" s="242">
        <f t="shared" si="3"/>
        <v>55573.445999999996</v>
      </c>
      <c r="D181" s="183">
        <v>17997</v>
      </c>
      <c r="E181" s="183">
        <v>37576.445999999996</v>
      </c>
      <c r="H181" s="181">
        <v>323.39419898878174</v>
      </c>
      <c r="I181" s="274">
        <v>367.86600605497375</v>
      </c>
      <c r="J181" s="277">
        <v>127.57082754262143</v>
      </c>
      <c r="K181" s="183">
        <v>136.75774049078305</v>
      </c>
      <c r="L181" s="183">
        <v>111.87873638840827</v>
      </c>
    </row>
    <row r="182" spans="1:12" x14ac:dyDescent="0.25">
      <c r="A182" s="11">
        <v>44044</v>
      </c>
      <c r="B182" s="275">
        <v>1468.1769999999999</v>
      </c>
      <c r="C182" s="242">
        <f t="shared" si="3"/>
        <v>34301.207999999999</v>
      </c>
      <c r="D182" s="183">
        <v>15718</v>
      </c>
      <c r="E182" s="183">
        <v>18583.207999999995</v>
      </c>
      <c r="H182" s="181">
        <v>229.07520346835707</v>
      </c>
      <c r="I182" s="274">
        <v>263.21665368114873</v>
      </c>
      <c r="J182" s="277">
        <v>78.73964645402026</v>
      </c>
      <c r="K182" s="183">
        <v>67.632727617461299</v>
      </c>
      <c r="L182" s="183">
        <v>97.711284022503818</v>
      </c>
    </row>
    <row r="183" spans="1:12" x14ac:dyDescent="0.25">
      <c r="A183" s="11">
        <v>44075</v>
      </c>
      <c r="B183" s="275">
        <v>2045.5659999999998</v>
      </c>
      <c r="C183" s="242">
        <f t="shared" si="3"/>
        <v>34327.046999999999</v>
      </c>
      <c r="D183" s="183">
        <v>19887</v>
      </c>
      <c r="E183" s="183">
        <v>14440.046999999999</v>
      </c>
      <c r="H183" s="181">
        <v>313.44352917730373</v>
      </c>
      <c r="I183" s="274">
        <v>366.73169338842149</v>
      </c>
      <c r="J183" s="277">
        <v>78.798960800171727</v>
      </c>
      <c r="K183" s="183">
        <v>52.553884428045976</v>
      </c>
      <c r="L183" s="183">
        <v>123.6279619134453</v>
      </c>
    </row>
    <row r="184" spans="1:12" x14ac:dyDescent="0.25">
      <c r="A184" s="11">
        <v>44105</v>
      </c>
      <c r="B184" s="275">
        <v>2526.6219999999994</v>
      </c>
      <c r="C184" s="242">
        <f t="shared" si="3"/>
        <v>31463.964</v>
      </c>
      <c r="D184" s="183">
        <v>14452</v>
      </c>
      <c r="E184" s="183">
        <v>17011.964</v>
      </c>
      <c r="H184" s="181">
        <v>382.5101425384899</v>
      </c>
      <c r="I184" s="274">
        <v>452.97602942776751</v>
      </c>
      <c r="J184" s="277">
        <v>72.226651650344834</v>
      </c>
      <c r="K184" s="183">
        <v>61.914257616341466</v>
      </c>
      <c r="L184" s="183">
        <v>89.841167877161539</v>
      </c>
    </row>
    <row r="185" spans="1:12" x14ac:dyDescent="0.25">
      <c r="A185" s="11">
        <v>44136</v>
      </c>
      <c r="B185" s="275">
        <v>2456.2860000000001</v>
      </c>
      <c r="C185" s="242">
        <f t="shared" si="3"/>
        <v>42342.886000000006</v>
      </c>
      <c r="D185" s="183">
        <v>15861</v>
      </c>
      <c r="E185" s="183">
        <v>26481.886000000006</v>
      </c>
      <c r="H185" s="181">
        <v>376.85573743356906</v>
      </c>
      <c r="I185" s="274">
        <v>440.36610122883957</v>
      </c>
      <c r="J185" s="277">
        <v>97.199605141687286</v>
      </c>
      <c r="K185" s="183">
        <v>96.379601553976173</v>
      </c>
      <c r="L185" s="183">
        <v>98.600246588683873</v>
      </c>
    </row>
    <row r="186" spans="1:12" x14ac:dyDescent="0.25">
      <c r="A186" s="11">
        <v>44166</v>
      </c>
      <c r="B186" s="275">
        <v>2729.09</v>
      </c>
      <c r="C186" s="242">
        <f t="shared" si="3"/>
        <v>60073.184999999998</v>
      </c>
      <c r="D186" s="183">
        <v>26755</v>
      </c>
      <c r="E186" s="183">
        <v>33318.184999999998</v>
      </c>
      <c r="H186" s="181">
        <v>424.24529897200694</v>
      </c>
      <c r="I186" s="274">
        <v>489.27475188256312</v>
      </c>
      <c r="J186" s="277">
        <v>137.90013891834226</v>
      </c>
      <c r="K186" s="183">
        <v>121.25999616498858</v>
      </c>
      <c r="L186" s="183">
        <v>166.32303117585508</v>
      </c>
    </row>
    <row r="187" spans="1:12" x14ac:dyDescent="0.25">
      <c r="A187" s="11">
        <v>44197</v>
      </c>
      <c r="B187" s="275">
        <v>2238.6549999999997</v>
      </c>
      <c r="C187" s="242">
        <f t="shared" si="3"/>
        <v>58748.39</v>
      </c>
      <c r="D187" s="183">
        <v>24220</v>
      </c>
      <c r="E187" s="183">
        <v>34528.39</v>
      </c>
      <c r="F187" s="190"/>
      <c r="H187" s="181">
        <v>352.02922907273273</v>
      </c>
      <c r="I187" s="274">
        <v>401.3489367062499</v>
      </c>
      <c r="J187" s="277">
        <v>134.85902474172045</v>
      </c>
      <c r="K187" s="183">
        <v>125.664481393066</v>
      </c>
      <c r="L187" s="183">
        <v>150.56414932084508</v>
      </c>
    </row>
    <row r="188" spans="1:12" x14ac:dyDescent="0.25">
      <c r="A188" s="11">
        <v>44228</v>
      </c>
      <c r="B188" s="275">
        <v>2208.6550000000002</v>
      </c>
      <c r="C188" s="242">
        <f t="shared" si="3"/>
        <v>50303.890999999996</v>
      </c>
      <c r="D188" s="183">
        <v>22050</v>
      </c>
      <c r="E188" s="183">
        <v>28253.890999999996</v>
      </c>
      <c r="F188" s="190"/>
      <c r="H188" s="181">
        <v>344.05863925400587</v>
      </c>
      <c r="I188" s="274">
        <v>395.97049826835416</v>
      </c>
      <c r="J188" s="277">
        <v>115.47437608032847</v>
      </c>
      <c r="K188" s="183">
        <v>102.8287319464132</v>
      </c>
      <c r="L188" s="183">
        <v>137.0742977920988</v>
      </c>
    </row>
    <row r="189" spans="1:12" x14ac:dyDescent="0.25">
      <c r="A189" s="11">
        <v>44256</v>
      </c>
      <c r="B189" s="275">
        <v>2227.9550000000004</v>
      </c>
      <c r="C189" s="242">
        <f t="shared" si="3"/>
        <v>62072.006000000001</v>
      </c>
      <c r="D189" s="183">
        <v>25150</v>
      </c>
      <c r="E189" s="183">
        <v>36922.006000000001</v>
      </c>
      <c r="F189" s="190"/>
      <c r="H189" s="181">
        <v>351.87794366848766</v>
      </c>
      <c r="I189" s="274">
        <v>399.43062699673374</v>
      </c>
      <c r="J189" s="277">
        <v>142.48850381980205</v>
      </c>
      <c r="K189" s="183">
        <v>134.37593632317265</v>
      </c>
      <c r="L189" s="183">
        <v>156.3455142617363</v>
      </c>
    </row>
    <row r="190" spans="1:12" x14ac:dyDescent="0.25">
      <c r="A190" s="11">
        <v>44287</v>
      </c>
      <c r="B190" s="275">
        <v>2222.5679999999998</v>
      </c>
      <c r="C190" s="242">
        <f t="shared" si="3"/>
        <v>60381.841</v>
      </c>
      <c r="D190" s="183">
        <v>26610</v>
      </c>
      <c r="E190" s="183">
        <v>33771.841</v>
      </c>
      <c r="F190" s="190"/>
      <c r="H190" s="181">
        <v>350.37284836489818</v>
      </c>
      <c r="I190" s="274">
        <v>398.46483873456896</v>
      </c>
      <c r="J190" s="277">
        <v>138.60866977579525</v>
      </c>
      <c r="K190" s="183">
        <v>122.91105623384362</v>
      </c>
      <c r="L190" s="183">
        <v>165.42163556679137</v>
      </c>
    </row>
    <row r="191" spans="1:12" x14ac:dyDescent="0.25">
      <c r="A191" s="11">
        <v>44317</v>
      </c>
      <c r="B191" s="275">
        <v>2264.5000000000005</v>
      </c>
      <c r="C191" s="242">
        <f t="shared" si="3"/>
        <v>65211.717000000004</v>
      </c>
      <c r="D191" s="183">
        <v>27080</v>
      </c>
      <c r="E191" s="183">
        <v>38131.717000000004</v>
      </c>
      <c r="F191" s="190"/>
      <c r="H191" s="181">
        <v>358.55108957921095</v>
      </c>
      <c r="I191" s="274">
        <v>405.98246142049703</v>
      </c>
      <c r="J191" s="277">
        <v>149.69582241067496</v>
      </c>
      <c r="K191" s="183">
        <v>138.77862366105572</v>
      </c>
      <c r="L191" s="183">
        <v>168.34340064444609</v>
      </c>
    </row>
    <row r="192" spans="1:12" x14ac:dyDescent="0.25">
      <c r="A192" s="11">
        <v>44348</v>
      </c>
      <c r="B192" s="275">
        <v>2050.7200000000003</v>
      </c>
      <c r="C192" s="242">
        <f t="shared" si="3"/>
        <v>67582.441999999995</v>
      </c>
      <c r="D192" s="183">
        <v>23230</v>
      </c>
      <c r="E192" s="183">
        <v>44352.441999999995</v>
      </c>
      <c r="F192" s="190"/>
      <c r="H192" s="181">
        <v>328.32470468940659</v>
      </c>
      <c r="I192" s="274">
        <v>367.65570911205202</v>
      </c>
      <c r="J192" s="277">
        <v>155.13790620958102</v>
      </c>
      <c r="K192" s="183">
        <v>161.41866511719886</v>
      </c>
      <c r="L192" s="183">
        <v>144.4097930934447</v>
      </c>
    </row>
    <row r="193" spans="1:12" x14ac:dyDescent="0.25">
      <c r="A193" s="11">
        <v>44378</v>
      </c>
      <c r="B193" s="275">
        <v>1620.194</v>
      </c>
      <c r="C193" s="242">
        <f t="shared" si="3"/>
        <v>48744.256999999998</v>
      </c>
      <c r="D193" s="183">
        <v>19390</v>
      </c>
      <c r="E193" s="183">
        <v>29354.256999999998</v>
      </c>
      <c r="F193" s="190"/>
      <c r="H193" s="181">
        <v>257.42106369365854</v>
      </c>
      <c r="I193" s="274">
        <v>290.47045621493527</v>
      </c>
      <c r="J193" s="277">
        <v>111.89418060273279</v>
      </c>
      <c r="K193" s="183">
        <v>106.83346320473608</v>
      </c>
      <c r="L193" s="183">
        <v>120.53835075686152</v>
      </c>
    </row>
    <row r="194" spans="1:12" x14ac:dyDescent="0.25">
      <c r="A194" s="11">
        <v>44409</v>
      </c>
      <c r="B194" s="275">
        <v>1526.854</v>
      </c>
      <c r="C194" s="242">
        <f t="shared" si="3"/>
        <v>39406.213000000003</v>
      </c>
      <c r="D194" s="183">
        <v>23600</v>
      </c>
      <c r="E194" s="183">
        <v>15806.213</v>
      </c>
      <c r="F194" s="190"/>
      <c r="H194" s="181">
        <v>239.81679819496497</v>
      </c>
      <c r="I194" s="274">
        <v>273.73634142182897</v>
      </c>
      <c r="J194" s="277">
        <v>90.458367521978175</v>
      </c>
      <c r="K194" s="183">
        <v>57.52598251564401</v>
      </c>
      <c r="L194" s="183">
        <v>146.70990602691754</v>
      </c>
    </row>
    <row r="195" spans="1:12" x14ac:dyDescent="0.25">
      <c r="A195" s="11">
        <v>44440</v>
      </c>
      <c r="B195" s="275">
        <v>1760.3230000000003</v>
      </c>
      <c r="C195" s="242">
        <f t="shared" si="3"/>
        <v>37908.148999999998</v>
      </c>
      <c r="D195" s="183">
        <v>22070</v>
      </c>
      <c r="E195" s="183">
        <v>15838.148999999999</v>
      </c>
      <c r="F195" s="190"/>
      <c r="H195" s="181">
        <v>273.06768595278243</v>
      </c>
      <c r="I195" s="274">
        <v>315.59296287706502</v>
      </c>
      <c r="J195" s="277">
        <v>85.815499717129157</v>
      </c>
      <c r="K195" s="183">
        <v>55.733318576986754</v>
      </c>
      <c r="L195" s="183">
        <v>137.19862822093521</v>
      </c>
    </row>
    <row r="196" spans="1:12" x14ac:dyDescent="0.25">
      <c r="A196" s="11">
        <v>44470</v>
      </c>
      <c r="B196" s="275">
        <v>2212.3629999999998</v>
      </c>
      <c r="C196" s="242">
        <f t="shared" si="3"/>
        <v>38011.173000000003</v>
      </c>
      <c r="D196" s="183">
        <v>20370</v>
      </c>
      <c r="E196" s="183">
        <v>17641.173000000003</v>
      </c>
      <c r="F196" s="190"/>
      <c r="H196" s="181">
        <v>339.37796463261611</v>
      </c>
      <c r="I196" s="274">
        <v>396.63527325927799</v>
      </c>
      <c r="J196" s="277">
        <v>87.256003442286953</v>
      </c>
      <c r="K196" s="183">
        <v>64.204234724247442</v>
      </c>
      <c r="L196" s="183">
        <v>126.63054176984366</v>
      </c>
    </row>
    <row r="197" spans="1:12" x14ac:dyDescent="0.25">
      <c r="A197" s="11">
        <v>44501</v>
      </c>
      <c r="B197" s="275">
        <v>2143.08401</v>
      </c>
      <c r="C197" s="242">
        <f t="shared" si="3"/>
        <v>48832.093000000001</v>
      </c>
      <c r="D197" s="183">
        <v>21440</v>
      </c>
      <c r="E197" s="183">
        <v>27392.093000000001</v>
      </c>
      <c r="F197" s="190"/>
      <c r="H197" s="181">
        <v>333.85334870451328</v>
      </c>
      <c r="I197" s="274">
        <v>384.21484716745823</v>
      </c>
      <c r="J197" s="277">
        <v>112.09581127375566</v>
      </c>
      <c r="K197" s="183">
        <v>99.692257910537776</v>
      </c>
      <c r="L197" s="183">
        <v>133.28221971258952</v>
      </c>
    </row>
    <row r="198" spans="1:12" x14ac:dyDescent="0.25">
      <c r="A198" s="11">
        <v>44531</v>
      </c>
      <c r="B198" s="275">
        <v>2514.7820000000002</v>
      </c>
      <c r="C198" s="242">
        <f t="shared" si="3"/>
        <v>51217.948000000004</v>
      </c>
      <c r="D198" s="183">
        <v>21940</v>
      </c>
      <c r="E198" s="183">
        <v>29277.948</v>
      </c>
      <c r="F198" s="190"/>
      <c r="H198" s="181">
        <v>389.17255279178272</v>
      </c>
      <c r="I198" s="274">
        <v>450.85333905761109</v>
      </c>
      <c r="J198" s="277">
        <v>117.57262652733382</v>
      </c>
      <c r="K198" s="183">
        <v>106.55574012206053</v>
      </c>
      <c r="L198" s="183">
        <v>136.39048043349879</v>
      </c>
    </row>
    <row r="199" spans="1:12" x14ac:dyDescent="0.25">
      <c r="A199" s="11">
        <v>44562</v>
      </c>
      <c r="B199" s="275">
        <v>2157.8089999999997</v>
      </c>
      <c r="C199" s="242">
        <f t="shared" ref="C199:C243" si="4">SUM(D199:E199)</f>
        <v>55438.855000000003</v>
      </c>
      <c r="D199" s="183">
        <v>20150</v>
      </c>
      <c r="E199" s="183">
        <v>35288.855000000003</v>
      </c>
      <c r="F199" s="190"/>
      <c r="H199" s="181">
        <v>338.81149674194825</v>
      </c>
      <c r="I199" s="274">
        <v>386.85476224124596</v>
      </c>
      <c r="J199" s="277">
        <v>127.26186910139414</v>
      </c>
      <c r="K199" s="183">
        <v>128.43215865350524</v>
      </c>
      <c r="L199" s="183">
        <v>125.2629070526436</v>
      </c>
    </row>
    <row r="200" spans="1:12" x14ac:dyDescent="0.25">
      <c r="A200" s="11">
        <v>44593</v>
      </c>
      <c r="B200" s="275">
        <v>1990.729</v>
      </c>
      <c r="C200" s="242">
        <f t="shared" si="4"/>
        <v>47394.081999999995</v>
      </c>
      <c r="D200" s="183">
        <v>12580</v>
      </c>
      <c r="E200" s="183">
        <v>34814.081999999995</v>
      </c>
      <c r="F200" s="190"/>
      <c r="H200" s="181">
        <v>310.983144288559</v>
      </c>
      <c r="I200" s="274">
        <v>356.90044576779189</v>
      </c>
      <c r="J200" s="277">
        <v>108.79480573083157</v>
      </c>
      <c r="K200" s="183">
        <v>126.7042442380219</v>
      </c>
      <c r="L200" s="183">
        <v>78.203839738077235</v>
      </c>
    </row>
    <row r="201" spans="1:12" x14ac:dyDescent="0.25">
      <c r="A201" s="11">
        <v>44621</v>
      </c>
      <c r="B201" s="275">
        <v>2223.3310000000001</v>
      </c>
      <c r="C201" s="242">
        <f t="shared" si="4"/>
        <v>52765.014999999999</v>
      </c>
      <c r="D201" s="183">
        <v>22250</v>
      </c>
      <c r="E201" s="183">
        <v>30515.014999999999</v>
      </c>
      <c r="F201" s="190"/>
      <c r="H201" s="181">
        <v>347.24840356458259</v>
      </c>
      <c r="I201" s="274">
        <v>398.60163035217278</v>
      </c>
      <c r="J201" s="277">
        <v>121.1239740081771</v>
      </c>
      <c r="K201" s="183">
        <v>111.05798835904686</v>
      </c>
      <c r="L201" s="183">
        <v>138.31760208046254</v>
      </c>
    </row>
    <row r="202" spans="1:12" x14ac:dyDescent="0.25">
      <c r="A202" s="11">
        <v>44652</v>
      </c>
      <c r="B202" s="275">
        <v>2189.4870000000001</v>
      </c>
      <c r="C202" s="242">
        <f t="shared" si="4"/>
        <v>55398.074000000001</v>
      </c>
      <c r="D202" s="183">
        <v>22860</v>
      </c>
      <c r="E202" s="183">
        <v>32538.074000000001</v>
      </c>
      <c r="F202" s="190"/>
      <c r="H202" s="181">
        <v>343.4223719439313</v>
      </c>
      <c r="I202" s="274">
        <v>392.53403466910135</v>
      </c>
      <c r="J202" s="277">
        <v>127.1682548612764</v>
      </c>
      <c r="K202" s="183">
        <v>118.42081819451194</v>
      </c>
      <c r="L202" s="183">
        <v>142.10968015997184</v>
      </c>
    </row>
    <row r="203" spans="1:12" x14ac:dyDescent="0.25">
      <c r="A203" s="11">
        <v>44682</v>
      </c>
      <c r="B203" s="275">
        <v>2009.8825000000002</v>
      </c>
      <c r="C203" s="242">
        <f t="shared" si="4"/>
        <v>58999.308999999994</v>
      </c>
      <c r="D203" s="183">
        <v>21480</v>
      </c>
      <c r="E203" s="183">
        <v>37519.308999999994</v>
      </c>
      <c r="F203" s="190"/>
      <c r="H203" s="181">
        <v>318.71184376870076</v>
      </c>
      <c r="I203" s="274">
        <v>360.33430978846638</v>
      </c>
      <c r="J203" s="277">
        <v>135.43501825625196</v>
      </c>
      <c r="K203" s="183">
        <v>136.54979301702721</v>
      </c>
      <c r="L203" s="183">
        <v>133.53088057026227</v>
      </c>
    </row>
    <row r="204" spans="1:12" x14ac:dyDescent="0.25">
      <c r="A204" s="11">
        <v>44713</v>
      </c>
      <c r="B204" s="275">
        <v>1932.3697769999999</v>
      </c>
      <c r="C204" s="242">
        <f t="shared" si="4"/>
        <v>72799.603000000003</v>
      </c>
      <c r="D204" s="183">
        <v>22500</v>
      </c>
      <c r="E204" s="183">
        <v>50299.602999999996</v>
      </c>
      <c r="F204" s="190"/>
      <c r="H204" s="181">
        <v>313.25005288781261</v>
      </c>
      <c r="I204" s="274">
        <v>346.43776947455325</v>
      </c>
      <c r="J204" s="277">
        <v>167.11408537603205</v>
      </c>
      <c r="K204" s="183">
        <v>183.06308302449395</v>
      </c>
      <c r="L204" s="183">
        <v>139.87173244091716</v>
      </c>
    </row>
    <row r="205" spans="1:12" x14ac:dyDescent="0.25">
      <c r="A205" s="11">
        <v>44743</v>
      </c>
      <c r="B205" s="275">
        <v>1840.9945</v>
      </c>
      <c r="C205" s="242">
        <f t="shared" si="4"/>
        <v>44271.184999999998</v>
      </c>
      <c r="D205" s="183">
        <v>21350</v>
      </c>
      <c r="E205" s="183">
        <v>22921.184999999998</v>
      </c>
      <c r="F205" s="190"/>
      <c r="H205" s="181">
        <v>287.77999581042707</v>
      </c>
      <c r="I205" s="274">
        <v>330.05585275848858</v>
      </c>
      <c r="J205" s="277">
        <v>101.62608427669733</v>
      </c>
      <c r="K205" s="183">
        <v>83.420594645146309</v>
      </c>
      <c r="L205" s="183">
        <v>132.72273278282586</v>
      </c>
    </row>
    <row r="206" spans="1:12" x14ac:dyDescent="0.25">
      <c r="A206" s="11">
        <v>44774</v>
      </c>
      <c r="B206" s="275">
        <v>1818.0367000000001</v>
      </c>
      <c r="C206" s="242">
        <f t="shared" si="4"/>
        <v>30001.802000000003</v>
      </c>
      <c r="D206" s="183">
        <v>16180</v>
      </c>
      <c r="E206" s="183">
        <v>13821.802000000003</v>
      </c>
      <c r="F206" s="190"/>
      <c r="H206" s="181">
        <v>278.36364695290047</v>
      </c>
      <c r="I206" s="274">
        <v>325.93994895950442</v>
      </c>
      <c r="J206" s="277">
        <v>68.870206625478573</v>
      </c>
      <c r="K206" s="183">
        <v>50.303810291984149</v>
      </c>
      <c r="L206" s="183">
        <v>100.58331692862399</v>
      </c>
    </row>
    <row r="207" spans="1:12" x14ac:dyDescent="0.25">
      <c r="A207" s="11">
        <v>44805</v>
      </c>
      <c r="B207" s="275">
        <v>2047.6590000000001</v>
      </c>
      <c r="C207" s="242">
        <f t="shared" si="4"/>
        <v>30399.086080624802</v>
      </c>
      <c r="D207" s="183">
        <v>13740</v>
      </c>
      <c r="E207" s="183">
        <v>16659.086080624802</v>
      </c>
      <c r="F207" s="190"/>
      <c r="H207" s="181">
        <v>311.86986249951667</v>
      </c>
      <c r="I207" s="274">
        <v>367.10692911010545</v>
      </c>
      <c r="J207" s="277">
        <v>68.643663114769211</v>
      </c>
      <c r="K207" s="183">
        <v>58.824904554690491</v>
      </c>
      <c r="L207" s="183">
        <v>85.415004610586749</v>
      </c>
    </row>
    <row r="208" spans="1:12" x14ac:dyDescent="0.25">
      <c r="A208" s="11">
        <v>44835</v>
      </c>
      <c r="B208" s="275">
        <v>2239.35</v>
      </c>
      <c r="C208" s="242">
        <f t="shared" si="4"/>
        <v>24435.032799070352</v>
      </c>
      <c r="D208" s="183">
        <v>11990</v>
      </c>
      <c r="E208" s="183">
        <v>12445.032799070352</v>
      </c>
      <c r="F208" s="190"/>
      <c r="H208" s="181">
        <v>337.55313775113149</v>
      </c>
      <c r="I208" s="274">
        <v>401.47353719672782</v>
      </c>
      <c r="J208" s="277">
        <v>56.091489363616247</v>
      </c>
      <c r="K208" s="183">
        <v>45.293122344102116</v>
      </c>
      <c r="L208" s="183">
        <v>74.536092087404299</v>
      </c>
    </row>
    <row r="209" spans="1:12" x14ac:dyDescent="0.25">
      <c r="A209" s="11">
        <v>44866</v>
      </c>
      <c r="B209" s="275">
        <v>2099.8310000000001</v>
      </c>
      <c r="C209" s="242">
        <f t="shared" si="4"/>
        <v>41335.005545585424</v>
      </c>
      <c r="D209" s="183">
        <v>23540</v>
      </c>
      <c r="E209" s="183">
        <v>17795.005545585424</v>
      </c>
      <c r="F209" s="190"/>
      <c r="H209" s="181">
        <v>324.3489722144397</v>
      </c>
      <c r="I209" s="274">
        <v>376.46039211616863</v>
      </c>
      <c r="J209" s="277">
        <v>94.885979608483851</v>
      </c>
      <c r="K209" s="183">
        <v>64.764101172186869</v>
      </c>
      <c r="L209" s="183">
        <v>146.33691474040847</v>
      </c>
    </row>
    <row r="210" spans="1:12" x14ac:dyDescent="0.25">
      <c r="A210" s="11">
        <v>44896</v>
      </c>
      <c r="B210" s="275">
        <v>2525.5460000000003</v>
      </c>
      <c r="C210" s="242">
        <f t="shared" si="4"/>
        <v>51538.725999999995</v>
      </c>
      <c r="D210" s="183">
        <v>25940</v>
      </c>
      <c r="E210" s="183">
        <v>25598.725999999999</v>
      </c>
      <c r="F210" s="190"/>
      <c r="H210" s="181">
        <v>118.31156793650391</v>
      </c>
      <c r="I210" s="274">
        <v>120.86349434738801</v>
      </c>
      <c r="J210" s="277">
        <v>107.07463230404734</v>
      </c>
      <c r="K210" s="183">
        <v>93.16538150528288</v>
      </c>
      <c r="L210" s="183">
        <v>130.832910264513</v>
      </c>
    </row>
    <row r="211" spans="1:12" x14ac:dyDescent="0.25">
      <c r="A211" s="11">
        <v>44927</v>
      </c>
      <c r="B211" s="275">
        <v>2175.8490000000002</v>
      </c>
      <c r="C211" s="242">
        <f t="shared" si="4"/>
        <v>54094.39</v>
      </c>
      <c r="D211" s="183">
        <v>14060</v>
      </c>
      <c r="E211" s="183">
        <v>40034.39</v>
      </c>
      <c r="F211" s="190"/>
      <c r="H211" s="181">
        <v>106.15736844824828</v>
      </c>
      <c r="I211" s="274">
        <v>104.12826110166667</v>
      </c>
      <c r="J211" s="277">
        <v>115.09216709590319</v>
      </c>
      <c r="K211" s="183">
        <v>145.70331420717116</v>
      </c>
      <c r="L211" s="183">
        <v>87.404291471968676</v>
      </c>
    </row>
    <row r="212" spans="1:12" x14ac:dyDescent="0.25">
      <c r="A212" s="11">
        <v>44958</v>
      </c>
      <c r="B212" s="275">
        <v>2124.3359999999998</v>
      </c>
      <c r="C212" s="242">
        <f t="shared" si="4"/>
        <v>50751.606500000002</v>
      </c>
      <c r="D212" s="183">
        <v>15520</v>
      </c>
      <c r="E212" s="183">
        <v>35231.606500000002</v>
      </c>
      <c r="F212" s="190"/>
      <c r="H212" s="181">
        <v>103.22657850804194</v>
      </c>
      <c r="I212" s="274">
        <v>101.66303529135989</v>
      </c>
      <c r="J212" s="277">
        <v>110.11135167763086</v>
      </c>
      <c r="K212" s="183">
        <v>128.22380538064684</v>
      </c>
      <c r="L212" s="183">
        <v>96.480412777023744</v>
      </c>
    </row>
    <row r="213" spans="1:12" x14ac:dyDescent="0.25">
      <c r="A213" s="11">
        <v>44986</v>
      </c>
      <c r="B213" s="275">
        <v>2383.4900000000002</v>
      </c>
      <c r="C213" s="242">
        <f t="shared" si="4"/>
        <v>60398.719000000005</v>
      </c>
      <c r="D213" s="183">
        <v>25740</v>
      </c>
      <c r="E213" s="183">
        <v>34658.719000000005</v>
      </c>
      <c r="F213" s="190"/>
      <c r="H213" s="181">
        <v>118.61467564976714</v>
      </c>
      <c r="I213" s="274">
        <v>114.06520813402561</v>
      </c>
      <c r="J213" s="277">
        <v>138.64741382681675</v>
      </c>
      <c r="K213" s="183">
        <v>126.13880777189446</v>
      </c>
      <c r="L213" s="183">
        <v>160.01326191240921</v>
      </c>
    </row>
    <row r="214" spans="1:12" x14ac:dyDescent="0.25">
      <c r="A214" s="11">
        <v>45017</v>
      </c>
      <c r="B214" s="275">
        <v>2239.893</v>
      </c>
      <c r="C214" s="242">
        <f t="shared" si="4"/>
        <v>64215.508999999998</v>
      </c>
      <c r="D214" s="183">
        <v>23740</v>
      </c>
      <c r="E214" s="183">
        <v>40475.508999999998</v>
      </c>
      <c r="F214" s="190"/>
      <c r="H214" s="181">
        <v>113.55094238535223</v>
      </c>
      <c r="I214" s="274">
        <v>107.19317523587135</v>
      </c>
      <c r="J214" s="277">
        <v>141.54619331428179</v>
      </c>
      <c r="K214" s="183">
        <v>147.30874644329998</v>
      </c>
      <c r="L214" s="183">
        <v>147.58021902877215</v>
      </c>
    </row>
    <row r="215" spans="1:12" x14ac:dyDescent="0.25">
      <c r="A215" s="11">
        <v>45047</v>
      </c>
      <c r="B215" s="275">
        <v>2158.2199999999998</v>
      </c>
      <c r="C215" s="242">
        <f t="shared" si="4"/>
        <v>65138.471999999994</v>
      </c>
      <c r="D215" s="183">
        <v>24960</v>
      </c>
      <c r="E215" s="183">
        <v>40178.471999999994</v>
      </c>
      <c r="F215" s="190"/>
      <c r="H215" s="181">
        <v>110.45408475894294</v>
      </c>
      <c r="I215" s="274">
        <v>103.28460094190312</v>
      </c>
      <c r="J215" s="277">
        <v>142.02357979861543</v>
      </c>
      <c r="K215" s="183">
        <v>146.22769399458886</v>
      </c>
      <c r="L215" s="183">
        <v>155.16437518779077</v>
      </c>
    </row>
    <row r="216" spans="1:12" x14ac:dyDescent="0.25">
      <c r="A216" s="11">
        <v>45078</v>
      </c>
      <c r="B216" s="275">
        <v>1777.0719999999997</v>
      </c>
      <c r="C216" s="242">
        <f t="shared" si="4"/>
        <v>56328.655999999995</v>
      </c>
      <c r="D216" s="183">
        <v>16090</v>
      </c>
      <c r="E216" s="183">
        <v>40238.655999999995</v>
      </c>
      <c r="F216" s="190"/>
      <c r="H216" s="181">
        <v>92.601683083452627</v>
      </c>
      <c r="I216" s="274">
        <v>85.04423662324956</v>
      </c>
      <c r="J216" s="277">
        <v>125.87949981705395</v>
      </c>
      <c r="K216" s="183">
        <v>146.44673088417915</v>
      </c>
      <c r="L216" s="183">
        <v>100.02382999886031</v>
      </c>
    </row>
    <row r="217" spans="1:12" x14ac:dyDescent="0.25">
      <c r="A217" s="11">
        <v>45108</v>
      </c>
      <c r="B217" s="275">
        <v>1525.7284000000002</v>
      </c>
      <c r="C217" s="242">
        <f t="shared" si="4"/>
        <v>37310.36</v>
      </c>
      <c r="D217" s="183">
        <v>18570</v>
      </c>
      <c r="E217" s="183">
        <v>18740.36</v>
      </c>
      <c r="F217" s="190"/>
      <c r="H217" s="181">
        <v>73.791238376622175</v>
      </c>
      <c r="I217" s="274">
        <v>73.015841267214824</v>
      </c>
      <c r="J217" s="277">
        <v>77.205556035172734</v>
      </c>
      <c r="K217" s="183">
        <v>68.204675066499135</v>
      </c>
      <c r="L217" s="183">
        <v>115.44080317457028</v>
      </c>
    </row>
    <row r="218" spans="1:12" x14ac:dyDescent="0.25">
      <c r="A218" s="11">
        <v>45139</v>
      </c>
      <c r="B218" s="275">
        <v>2092.1952999999999</v>
      </c>
      <c r="C218" s="242">
        <f t="shared" si="4"/>
        <v>35752.18</v>
      </c>
      <c r="D218" s="183">
        <v>20380</v>
      </c>
      <c r="E218" s="183">
        <v>15372.18</v>
      </c>
      <c r="F218" s="190"/>
      <c r="H218" s="181">
        <v>95.539172502709363</v>
      </c>
      <c r="I218" s="274">
        <v>100.12489767170413</v>
      </c>
      <c r="J218" s="277">
        <v>75.346780460229539</v>
      </c>
      <c r="K218" s="183">
        <v>55.946339449388205</v>
      </c>
      <c r="L218" s="183">
        <v>126.69270698426185</v>
      </c>
    </row>
    <row r="219" spans="1:12" x14ac:dyDescent="0.25">
      <c r="A219" s="11">
        <v>45170</v>
      </c>
      <c r="B219" s="275">
        <v>2287.9076000000005</v>
      </c>
      <c r="C219" s="242">
        <f t="shared" si="4"/>
        <v>33390.686999999998</v>
      </c>
      <c r="D219" s="183">
        <v>18010</v>
      </c>
      <c r="E219" s="183">
        <v>15380.686999999998</v>
      </c>
      <c r="F219" s="190"/>
      <c r="H219" s="181">
        <v>102.51994790139381</v>
      </c>
      <c r="I219" s="274">
        <v>109.49098027909454</v>
      </c>
      <c r="J219" s="277">
        <v>71.82429704488834</v>
      </c>
      <c r="K219" s="183">
        <v>55.977300283160368</v>
      </c>
      <c r="L219" s="183">
        <v>111.9595511671519</v>
      </c>
    </row>
    <row r="220" spans="1:12" x14ac:dyDescent="0.25">
      <c r="A220" s="11">
        <v>45200</v>
      </c>
      <c r="B220" s="275">
        <v>2372.8791000000001</v>
      </c>
      <c r="C220" s="242">
        <f t="shared" si="4"/>
        <v>28608.746999999999</v>
      </c>
      <c r="D220" s="183">
        <v>12170</v>
      </c>
      <c r="E220" s="183">
        <v>16438.746999999999</v>
      </c>
      <c r="F220" s="190"/>
      <c r="H220" s="181">
        <v>103.9352188096329</v>
      </c>
      <c r="I220" s="274">
        <v>113.55740884936768</v>
      </c>
      <c r="J220" s="277">
        <v>61.565685872237239</v>
      </c>
      <c r="K220" s="183">
        <v>59.828060807550521</v>
      </c>
      <c r="L220" s="183">
        <v>75.655065946931629</v>
      </c>
    </row>
    <row r="221" spans="1:12" x14ac:dyDescent="0.25">
      <c r="A221" s="11">
        <v>45231</v>
      </c>
      <c r="B221" s="275">
        <v>2180.2603999999997</v>
      </c>
      <c r="C221" s="242">
        <f t="shared" si="4"/>
        <v>44145.919999999998</v>
      </c>
      <c r="D221" s="183">
        <v>17150</v>
      </c>
      <c r="E221" s="183">
        <v>26995.919999999995</v>
      </c>
      <c r="F221" s="190"/>
      <c r="H221" s="181">
        <v>102.80305255606136</v>
      </c>
      <c r="I221" s="274">
        <v>104.33937474559316</v>
      </c>
      <c r="J221" s="277">
        <v>96.038142141382593</v>
      </c>
      <c r="K221" s="183">
        <v>98.250404566465363</v>
      </c>
      <c r="L221" s="183">
        <v>106.61334272718797</v>
      </c>
    </row>
    <row r="222" spans="1:12" x14ac:dyDescent="0.25">
      <c r="A222" s="11">
        <v>45261</v>
      </c>
      <c r="B222" s="275">
        <v>2734.0025000000005</v>
      </c>
      <c r="C222" s="242">
        <f t="shared" si="4"/>
        <v>52891.556652905143</v>
      </c>
      <c r="D222" s="183">
        <v>18540</v>
      </c>
      <c r="E222" s="183">
        <v>34351.556652905143</v>
      </c>
      <c r="F222" s="190"/>
      <c r="H222" s="181">
        <v>129.1866247020472</v>
      </c>
      <c r="I222" s="274">
        <v>130.83946825933668</v>
      </c>
      <c r="J222" s="277">
        <v>121.90863401055701</v>
      </c>
      <c r="K222" s="183">
        <v>128.03538539644137</v>
      </c>
      <c r="L222" s="183">
        <v>115.25430753131573</v>
      </c>
    </row>
    <row r="223" spans="1:12" x14ac:dyDescent="0.25">
      <c r="A223" s="11">
        <v>45292</v>
      </c>
      <c r="B223" s="275">
        <v>2321.3771000000002</v>
      </c>
      <c r="C223" s="242">
        <f t="shared" si="4"/>
        <v>49569.809000000008</v>
      </c>
      <c r="D223" s="183">
        <v>6070</v>
      </c>
      <c r="E223" s="183">
        <v>43499.809000000008</v>
      </c>
      <c r="F223" s="190"/>
      <c r="H223" s="181">
        <v>111.59176517736414</v>
      </c>
      <c r="I223" s="274">
        <v>111.09270945926384</v>
      </c>
      <c r="J223" s="277">
        <v>113.78926466535269</v>
      </c>
      <c r="K223" s="183">
        <v>158.31554667571888</v>
      </c>
      <c r="L223" s="183">
        <v>37.734285151838534</v>
      </c>
    </row>
    <row r="224" spans="1:12" x14ac:dyDescent="0.25">
      <c r="A224" s="11">
        <v>45323</v>
      </c>
      <c r="B224" s="275">
        <v>2172.8987999999999</v>
      </c>
      <c r="C224" s="242">
        <f t="shared" si="4"/>
        <v>45275.207000000002</v>
      </c>
      <c r="D224" s="183">
        <v>3950</v>
      </c>
      <c r="E224" s="183">
        <v>41325.207000000002</v>
      </c>
      <c r="F224" s="190"/>
      <c r="H224" s="181">
        <v>103.97666999570905</v>
      </c>
      <c r="I224" s="274">
        <v>103.98707520324166</v>
      </c>
      <c r="J224" s="277">
        <v>103.93085259016487</v>
      </c>
      <c r="K224" s="183">
        <v>150.40118308777502</v>
      </c>
      <c r="L224" s="183">
        <v>24.555259695183231</v>
      </c>
    </row>
    <row r="225" spans="1:12" x14ac:dyDescent="0.25">
      <c r="A225" s="11">
        <v>45352</v>
      </c>
      <c r="B225" s="275">
        <v>2422.0798</v>
      </c>
      <c r="C225" s="242">
        <f t="shared" si="4"/>
        <v>46038.725999999995</v>
      </c>
      <c r="D225" s="183">
        <v>5030</v>
      </c>
      <c r="E225" s="183">
        <v>41008.725999999995</v>
      </c>
      <c r="F225" s="190"/>
      <c r="H225" s="181">
        <v>114.01898309867539</v>
      </c>
      <c r="I225" s="274">
        <v>115.91197634738097</v>
      </c>
      <c r="J225" s="277">
        <v>105.68353768862923</v>
      </c>
      <c r="K225" s="183">
        <v>149.24936509870113</v>
      </c>
      <c r="L225" s="183">
        <v>31.26910285234726</v>
      </c>
    </row>
    <row r="226" spans="1:12" x14ac:dyDescent="0.25">
      <c r="A226" s="11">
        <v>45383</v>
      </c>
      <c r="B226" s="275">
        <v>2431.1158999999998</v>
      </c>
      <c r="C226" s="242">
        <f t="shared" si="4"/>
        <v>42128.311999999998</v>
      </c>
      <c r="D226" s="183">
        <v>8720</v>
      </c>
      <c r="E226" s="183">
        <v>33408.311999999998</v>
      </c>
      <c r="F226" s="190"/>
      <c r="H226" s="181">
        <v>112.71009268576768</v>
      </c>
      <c r="I226" s="274">
        <v>116.3444114015326</v>
      </c>
      <c r="J226" s="277">
        <v>96.707042871045815</v>
      </c>
      <c r="K226" s="183">
        <v>121.58800922075264</v>
      </c>
      <c r="L226" s="183">
        <v>54.208066972657662</v>
      </c>
    </row>
    <row r="227" spans="1:12" x14ac:dyDescent="0.25">
      <c r="A227" s="11">
        <v>45413</v>
      </c>
      <c r="B227" s="275">
        <v>2351.6201999999998</v>
      </c>
      <c r="C227" s="242">
        <f t="shared" si="4"/>
        <v>47368.306999999993</v>
      </c>
      <c r="D227" s="183">
        <v>7900</v>
      </c>
      <c r="E227" s="183">
        <v>39468.306999999993</v>
      </c>
      <c r="F227" s="190"/>
      <c r="H227" s="181">
        <v>111.83594915573481</v>
      </c>
      <c r="I227" s="274">
        <v>112.54003480827647</v>
      </c>
      <c r="J227" s="277">
        <v>108.73563829896291</v>
      </c>
      <c r="K227" s="183">
        <v>143.64308126203727</v>
      </c>
      <c r="L227" s="183">
        <v>49.110519390366463</v>
      </c>
    </row>
    <row r="228" spans="1:12" x14ac:dyDescent="0.25">
      <c r="A228" s="11">
        <v>45444</v>
      </c>
      <c r="B228" s="275">
        <v>1602.172</v>
      </c>
      <c r="C228" s="242">
        <f t="shared" si="4"/>
        <v>46055.148999999998</v>
      </c>
      <c r="D228" s="183">
        <v>7360</v>
      </c>
      <c r="E228" s="183">
        <v>38695.148999999998</v>
      </c>
      <c r="F228" s="190"/>
      <c r="H228" s="181">
        <v>82.049944577930361</v>
      </c>
      <c r="I228" s="274">
        <v>76.674155396711569</v>
      </c>
      <c r="J228" s="277">
        <v>105.72123727092134</v>
      </c>
      <c r="K228" s="183">
        <v>140.82920841407363</v>
      </c>
      <c r="L228" s="183">
        <v>45.753597811784452</v>
      </c>
    </row>
    <row r="229" spans="1:12" x14ac:dyDescent="0.25">
      <c r="A229" s="11">
        <v>45474</v>
      </c>
      <c r="B229" s="275">
        <v>1917.3778400000001</v>
      </c>
      <c r="C229" s="242">
        <f t="shared" si="4"/>
        <v>32089.219000000005</v>
      </c>
      <c r="D229" s="183">
        <v>6540</v>
      </c>
      <c r="E229" s="183">
        <v>25549.219000000005</v>
      </c>
      <c r="F229" s="190"/>
      <c r="H229" s="181">
        <v>88.409559591962662</v>
      </c>
      <c r="I229" s="274">
        <v>91.758766510943374</v>
      </c>
      <c r="J229" s="277">
        <v>73.661946805069675</v>
      </c>
      <c r="K229" s="183">
        <v>92.985203064286182</v>
      </c>
      <c r="L229" s="183">
        <v>40.656050229493253</v>
      </c>
    </row>
    <row r="230" spans="1:12" x14ac:dyDescent="0.25">
      <c r="A230" s="11">
        <v>45505</v>
      </c>
      <c r="B230" s="275">
        <v>2173.5362</v>
      </c>
      <c r="C230" s="242">
        <f t="shared" si="4"/>
        <v>24448.319</v>
      </c>
      <c r="D230" s="183">
        <v>4880</v>
      </c>
      <c r="E230" s="183">
        <v>19568.319</v>
      </c>
      <c r="F230" s="190"/>
      <c r="H230" s="181">
        <v>95.153466499785296</v>
      </c>
      <c r="I230" s="274">
        <v>104.01757886118217</v>
      </c>
      <c r="J230" s="277">
        <v>56.121988311755857</v>
      </c>
      <c r="K230" s="183">
        <v>71.217993624060654</v>
      </c>
      <c r="L230" s="183">
        <v>30.336624636074479</v>
      </c>
    </row>
    <row r="231" spans="1:12" x14ac:dyDescent="0.25">
      <c r="A231" s="11">
        <v>45536</v>
      </c>
      <c r="B231" s="275">
        <v>2288.2066</v>
      </c>
      <c r="C231" s="242">
        <f t="shared" si="4"/>
        <v>19979.248</v>
      </c>
      <c r="D231" s="183">
        <v>3730</v>
      </c>
      <c r="E231" s="183">
        <v>16249.247999999998</v>
      </c>
      <c r="F231" s="190"/>
      <c r="H231" s="181">
        <v>97.726924779744223</v>
      </c>
      <c r="I231" s="274">
        <v>109.5052893373377</v>
      </c>
      <c r="J231" s="277">
        <v>45.863076423932114</v>
      </c>
      <c r="K231" s="183">
        <v>59.13838794532019</v>
      </c>
      <c r="L231" s="183">
        <v>23.187624977983155</v>
      </c>
    </row>
    <row r="232" spans="1:12" x14ac:dyDescent="0.25">
      <c r="A232" s="11">
        <v>45566</v>
      </c>
      <c r="B232" s="275">
        <v>2401.3166999999999</v>
      </c>
      <c r="C232" s="242">
        <f t="shared" si="4"/>
        <v>21853.521999999997</v>
      </c>
      <c r="D232" s="183">
        <v>5560</v>
      </c>
      <c r="E232" s="183">
        <v>16293.521999999999</v>
      </c>
      <c r="F232" s="190"/>
      <c r="H232" s="181">
        <v>102.93442864535882</v>
      </c>
      <c r="I232" s="274">
        <v>114.91832950052716</v>
      </c>
      <c r="J232" s="277">
        <v>50.165539244424096</v>
      </c>
      <c r="K232" s="183">
        <v>59.299521124399689</v>
      </c>
      <c r="L232" s="183">
        <v>34.563859216511084</v>
      </c>
    </row>
    <row r="233" spans="1:12" x14ac:dyDescent="0.25">
      <c r="A233" s="11">
        <v>45597</v>
      </c>
      <c r="B233" s="275">
        <v>2360.7987999999996</v>
      </c>
      <c r="C233" s="242">
        <f t="shared" si="4"/>
        <v>30878.974999999999</v>
      </c>
      <c r="D233" s="183">
        <v>6900</v>
      </c>
      <c r="E233" s="183">
        <v>23978.974999999999</v>
      </c>
      <c r="F233" s="190"/>
      <c r="H233" s="181">
        <v>105.18860876699448</v>
      </c>
      <c r="I233" s="274">
        <v>112.97928939687509</v>
      </c>
      <c r="J233" s="277">
        <v>70.883788534868245</v>
      </c>
      <c r="K233" s="183">
        <v>87.270372517001064</v>
      </c>
      <c r="L233" s="183">
        <v>42.893997948547927</v>
      </c>
    </row>
    <row r="234" spans="1:12" x14ac:dyDescent="0.25">
      <c r="A234" s="11">
        <v>45627</v>
      </c>
      <c r="B234" s="275">
        <v>2732.3583000000003</v>
      </c>
      <c r="C234" s="242">
        <f t="shared" si="4"/>
        <v>41561.803999999996</v>
      </c>
      <c r="D234" s="183">
        <v>8020</v>
      </c>
      <c r="E234" s="183">
        <v>33541.803999999996</v>
      </c>
      <c r="F234" s="190"/>
      <c r="H234" s="181">
        <v>124.21772917274208</v>
      </c>
      <c r="I234" s="274">
        <v>130.76078279591371</v>
      </c>
      <c r="J234" s="277">
        <v>95.406603550268116</v>
      </c>
      <c r="K234" s="183">
        <v>122.07384719206038</v>
      </c>
      <c r="L234" s="183">
        <v>49.856501963384694</v>
      </c>
    </row>
    <row r="235" spans="1:12" x14ac:dyDescent="0.25">
      <c r="A235" s="11">
        <v>45658</v>
      </c>
      <c r="B235" s="275">
        <v>2466.8636999999999</v>
      </c>
      <c r="C235" s="242">
        <f t="shared" si="4"/>
        <v>41514.593999999997</v>
      </c>
      <c r="D235" s="183">
        <v>6688</v>
      </c>
      <c r="E235" s="183">
        <v>34826.593999999997</v>
      </c>
      <c r="F235" s="190"/>
      <c r="H235" s="181">
        <v>113.84350897098579</v>
      </c>
      <c r="I235" s="274">
        <v>118.0551717770045</v>
      </c>
      <c r="J235" s="277">
        <v>95.29823131133432</v>
      </c>
      <c r="K235" s="183">
        <v>126.74978108440223</v>
      </c>
      <c r="L235" s="183">
        <v>41.576095402882395</v>
      </c>
    </row>
    <row r="236" spans="1:12" x14ac:dyDescent="0.25">
      <c r="A236" s="11">
        <v>45689</v>
      </c>
      <c r="B236" s="275">
        <v>2280.6059000000005</v>
      </c>
      <c r="C236" s="242">
        <f t="shared" si="4"/>
        <v>48538.017</v>
      </c>
      <c r="D236" s="183">
        <v>6492</v>
      </c>
      <c r="E236" s="183">
        <v>42046.017</v>
      </c>
      <c r="F236" s="190"/>
      <c r="H236" s="181">
        <v>109.5633628356774</v>
      </c>
      <c r="I236" s="274">
        <v>109.14154733402985</v>
      </c>
      <c r="J236" s="277">
        <v>111.42074932635684</v>
      </c>
      <c r="K236" s="183">
        <v>153.02453780639746</v>
      </c>
      <c r="L236" s="183">
        <v>40.357657200285963</v>
      </c>
    </row>
    <row r="237" spans="1:12" x14ac:dyDescent="0.25">
      <c r="A237" s="11">
        <v>45717</v>
      </c>
      <c r="B237" s="275">
        <v>2550.2100999999998</v>
      </c>
      <c r="C237" s="242">
        <f t="shared" si="4"/>
        <v>49170.649000000005</v>
      </c>
      <c r="D237" s="183">
        <v>7087</v>
      </c>
      <c r="E237" s="183">
        <v>42083.649000000005</v>
      </c>
      <c r="F237" s="190"/>
      <c r="H237" s="181">
        <v>120.34656523621229</v>
      </c>
      <c r="I237" s="274">
        <v>122.04382894075252</v>
      </c>
      <c r="J237" s="277">
        <v>112.87297864771193</v>
      </c>
      <c r="K237" s="183">
        <v>153.16149773310659</v>
      </c>
      <c r="L237" s="183">
        <v>44.056487458167993</v>
      </c>
    </row>
    <row r="238" spans="1:12" x14ac:dyDescent="0.25">
      <c r="A238" s="11">
        <v>45748</v>
      </c>
      <c r="B238" s="275">
        <v>2177.8614000000002</v>
      </c>
      <c r="C238" s="242">
        <f t="shared" si="4"/>
        <v>38884.702000000005</v>
      </c>
      <c r="D238" s="183">
        <v>3589</v>
      </c>
      <c r="E238" s="183">
        <v>35295.702000000005</v>
      </c>
      <c r="F238" s="190"/>
      <c r="H238" s="181">
        <v>101.45527711870042</v>
      </c>
      <c r="I238" s="274">
        <v>104.22456728497305</v>
      </c>
      <c r="J238" s="277">
        <v>89.261220419698788</v>
      </c>
      <c r="K238" s="183">
        <v>128.45707799391175</v>
      </c>
      <c r="L238" s="183">
        <v>22.31109545468674</v>
      </c>
    </row>
    <row r="239" spans="1:12" x14ac:dyDescent="0.25">
      <c r="A239" s="11">
        <v>45778</v>
      </c>
      <c r="B239" s="275">
        <v>2306.2599</v>
      </c>
      <c r="C239" s="242">
        <f t="shared" si="4"/>
        <v>46742.322000000007</v>
      </c>
      <c r="D239" s="183">
        <v>6293</v>
      </c>
      <c r="E239" s="183">
        <v>40449.322000000007</v>
      </c>
      <c r="F239" s="190"/>
      <c r="H239" s="181">
        <v>109.80097648580241</v>
      </c>
      <c r="I239" s="274">
        <v>110.36925496001957</v>
      </c>
      <c r="J239" s="277">
        <v>107.29866740319976</v>
      </c>
      <c r="K239" s="183">
        <v>147.21344006572954</v>
      </c>
      <c r="L239" s="183">
        <v>39.120569433364075</v>
      </c>
    </row>
    <row r="240" spans="1:12" x14ac:dyDescent="0.25">
      <c r="A240" s="11">
        <v>45809</v>
      </c>
      <c r="B240" s="275">
        <v>1297.1992</v>
      </c>
      <c r="C240" s="242">
        <f t="shared" si="4"/>
        <v>44099.372999999992</v>
      </c>
      <c r="D240" s="183">
        <v>8957</v>
      </c>
      <c r="E240" s="183">
        <v>35142.372999999992</v>
      </c>
      <c r="F240" s="190"/>
      <c r="H240" s="181">
        <v>69.325261157608693</v>
      </c>
      <c r="I240" s="274">
        <v>62.07926055460333</v>
      </c>
      <c r="J240" s="277">
        <v>101.23168370233395</v>
      </c>
      <c r="K240" s="183">
        <v>127.89904417688412</v>
      </c>
      <c r="L240" s="183">
        <v>55.68138255436866</v>
      </c>
    </row>
    <row r="241" spans="1:12" x14ac:dyDescent="0.25">
      <c r="A241" s="11">
        <v>45839</v>
      </c>
      <c r="B241" s="275">
        <v>2081.5951</v>
      </c>
      <c r="C241" s="242">
        <f t="shared" si="4"/>
        <v>27811.657999999999</v>
      </c>
      <c r="D241" s="183">
        <v>3682</v>
      </c>
      <c r="E241" s="183">
        <v>24129.657999999999</v>
      </c>
      <c r="F241" s="190"/>
      <c r="H241" s="181">
        <v>92.996682733587903</v>
      </c>
      <c r="I241" s="274">
        <v>99.61761045033451</v>
      </c>
      <c r="J241" s="277">
        <v>63.842652953217403</v>
      </c>
      <c r="K241" s="183">
        <v>87.818776339181923</v>
      </c>
      <c r="L241" s="183">
        <v>22.889231948775866</v>
      </c>
    </row>
    <row r="242" spans="1:12" x14ac:dyDescent="0.25">
      <c r="A242" s="11">
        <v>45870</v>
      </c>
      <c r="B242" s="275">
        <v>2258.3393000000001</v>
      </c>
      <c r="C242" s="242">
        <f t="shared" si="4"/>
        <v>26874.760999999999</v>
      </c>
      <c r="D242" s="183">
        <v>5114</v>
      </c>
      <c r="E242" s="183">
        <v>21760.760999999999</v>
      </c>
      <c r="F242" s="190"/>
      <c r="H242" s="181">
        <v>99.491592950375292</v>
      </c>
      <c r="I242" s="274">
        <v>108.07594841671234</v>
      </c>
      <c r="J242" s="277">
        <v>61.691972471531976</v>
      </c>
      <c r="K242" s="183">
        <v>79.197285068416335</v>
      </c>
      <c r="L242" s="183">
        <v>31.791290653460013</v>
      </c>
    </row>
    <row r="243" spans="1:12" x14ac:dyDescent="0.25">
      <c r="A243" s="11">
        <v>45901</v>
      </c>
      <c r="B243" s="275">
        <v>2259.7453000000005</v>
      </c>
      <c r="C243" s="242">
        <f t="shared" si="4"/>
        <v>26651.496000000003</v>
      </c>
      <c r="D243" s="183">
        <v>4551</v>
      </c>
      <c r="E243" s="183">
        <v>22100.496000000003</v>
      </c>
      <c r="F243" s="190"/>
      <c r="H243" s="181">
        <v>99.451574738485988</v>
      </c>
      <c r="I243" s="274">
        <v>108.14323448992282</v>
      </c>
      <c r="J243" s="277">
        <v>61.179459700391192</v>
      </c>
      <c r="K243" s="183">
        <v>80.433734916963402</v>
      </c>
      <c r="L243" s="183">
        <v>28.291389081716172</v>
      </c>
    </row>
    <row r="244" spans="1:12" x14ac:dyDescent="0.25">
      <c r="A244" s="11">
        <v>45931</v>
      </c>
      <c r="B244" s="275">
        <v>2384.2219</v>
      </c>
      <c r="C244" s="242">
        <f>SUM(D244:E244)</f>
        <v>26741.981000000003</v>
      </c>
      <c r="D244" s="183">
        <v>6039</v>
      </c>
      <c r="E244" s="183">
        <v>20702.981000000003</v>
      </c>
      <c r="F244" s="190"/>
      <c r="H244" s="181">
        <v>104.34454465114096</v>
      </c>
      <c r="I244" s="274">
        <v>114.10023422007308</v>
      </c>
      <c r="J244" s="277">
        <v>61.387171245401262</v>
      </c>
      <c r="K244" s="183">
        <v>75.347543591099935</v>
      </c>
      <c r="L244" s="183">
        <v>37.54157298714216</v>
      </c>
    </row>
    <row r="245" spans="1:12" x14ac:dyDescent="0.25">
      <c r="A245" s="11">
        <v>45962</v>
      </c>
      <c r="B245" s="275">
        <v>2203.4159999999997</v>
      </c>
      <c r="C245" s="242">
        <f>SUM(D245:E245)</f>
        <v>33900.550999999999</v>
      </c>
      <c r="D245" s="362">
        <v>6953</v>
      </c>
      <c r="E245" s="183">
        <v>26947.550999999999</v>
      </c>
      <c r="F245" s="190"/>
      <c r="H245" s="181">
        <v>100.33443566751896</v>
      </c>
      <c r="I245" s="274">
        <v>105.44751798658358</v>
      </c>
      <c r="J245" s="277">
        <v>77.81992401948304</v>
      </c>
      <c r="K245" s="183">
        <v>98.074367823932619</v>
      </c>
      <c r="L245" s="362">
        <v>43.223473584964303</v>
      </c>
    </row>
    <row r="246" spans="1:12" x14ac:dyDescent="0.25">
      <c r="A246" s="11">
        <v>45992</v>
      </c>
      <c r="B246" s="275">
        <v>2723.6419999999994</v>
      </c>
      <c r="C246" s="242">
        <f>SUM(D246:E246)</f>
        <v>40609.298999999999</v>
      </c>
      <c r="D246" s="362">
        <v>4195</v>
      </c>
      <c r="E246" s="183">
        <v>36414.298999999999</v>
      </c>
      <c r="F246" s="190"/>
      <c r="H246" s="181">
        <v>123.47313690237897</v>
      </c>
      <c r="I246" s="274">
        <v>130.3436522127526</v>
      </c>
      <c r="J246" s="277">
        <v>93.220094347860837</v>
      </c>
      <c r="K246" s="183">
        <v>132.52816013509582</v>
      </c>
      <c r="L246" s="362">
        <v>26.078307448428774</v>
      </c>
    </row>
    <row r="247" spans="1:12" x14ac:dyDescent="0.25">
      <c r="A247" s="11">
        <v>46023</v>
      </c>
      <c r="B247" s="275">
        <v>2334.8320000000003</v>
      </c>
      <c r="C247" s="242">
        <f>SUM(D247:E247)</f>
        <v>44814.611999999994</v>
      </c>
      <c r="D247" s="362">
        <v>5635</v>
      </c>
      <c r="E247" s="183">
        <v>39179.611999999994</v>
      </c>
      <c r="F247" s="190"/>
      <c r="H247" s="181">
        <v>110.09630961152997</v>
      </c>
      <c r="I247" s="274">
        <v>111.73661229456944</v>
      </c>
      <c r="J247" s="277">
        <v>102.87354033869869</v>
      </c>
      <c r="K247" s="183">
        <v>142.5923891372156</v>
      </c>
      <c r="L247" s="362">
        <v>35.030098324647476</v>
      </c>
    </row>
    <row r="248" spans="1:12" x14ac:dyDescent="0.25">
      <c r="A248" s="359"/>
      <c r="D248" s="184"/>
    </row>
    <row r="249" spans="1:12" x14ac:dyDescent="0.25">
      <c r="D249" s="184"/>
      <c r="E249" s="363"/>
    </row>
    <row r="250" spans="1:12" x14ac:dyDescent="0.25">
      <c r="D250" s="184"/>
    </row>
    <row r="251" spans="1:12" x14ac:dyDescent="0.25">
      <c r="D251" s="184"/>
      <c r="E251" s="363"/>
    </row>
  </sheetData>
  <mergeCells count="6">
    <mergeCell ref="C4:E4"/>
    <mergeCell ref="A1:I1"/>
    <mergeCell ref="B4:B5"/>
    <mergeCell ref="B3:E3"/>
    <mergeCell ref="I4:I5"/>
    <mergeCell ref="H3:J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53"/>
  <sheetViews>
    <sheetView zoomScale="118" zoomScaleNormal="118" workbookViewId="0">
      <pane xSplit="1" ySplit="6" topLeftCell="B238" activePane="bottomRight" state="frozen"/>
      <selection pane="topRight" activeCell="B1" sqref="B1"/>
      <selection pane="bottomLeft" activeCell="A7" sqref="A7"/>
      <selection pane="bottomRight" activeCell="H253" sqref="H252:H253"/>
    </sheetView>
  </sheetViews>
  <sheetFormatPr defaultColWidth="11.42578125" defaultRowHeight="15" x14ac:dyDescent="0.25"/>
  <cols>
    <col min="1" max="1" width="10.85546875" customWidth="1"/>
    <col min="2" max="2" width="12.28515625" customWidth="1"/>
    <col min="3" max="3" width="12.42578125" bestFit="1" customWidth="1"/>
    <col min="4" max="4" width="17.140625" bestFit="1" customWidth="1"/>
    <col min="5" max="5" width="14" bestFit="1" customWidth="1"/>
    <col min="6" max="6" width="19" bestFit="1" customWidth="1"/>
    <col min="7" max="8" width="14" bestFit="1" customWidth="1"/>
    <col min="9" max="9" width="12.42578125" bestFit="1" customWidth="1"/>
    <col min="10" max="10" width="15.42578125" customWidth="1"/>
    <col min="11" max="11" width="12.42578125" bestFit="1" customWidth="1"/>
    <col min="12" max="12" width="13.85546875" bestFit="1" customWidth="1"/>
    <col min="13" max="13" width="17.42578125" bestFit="1" customWidth="1"/>
    <col min="14" max="14" width="13.85546875" bestFit="1" customWidth="1"/>
    <col min="15" max="15" width="12.140625" bestFit="1" customWidth="1"/>
    <col min="16" max="16" width="15.140625" bestFit="1" customWidth="1"/>
    <col min="17" max="17" width="15.42578125" bestFit="1" customWidth="1"/>
    <col min="18" max="20" width="17.85546875" bestFit="1" customWidth="1"/>
    <col min="21" max="21" width="19" bestFit="1" customWidth="1"/>
    <col min="22" max="22" width="14.42578125" bestFit="1" customWidth="1"/>
    <col min="23" max="23" width="13.42578125" bestFit="1" customWidth="1"/>
    <col min="24" max="24" width="14.140625" bestFit="1" customWidth="1"/>
    <col min="25" max="25" width="13.42578125" bestFit="1" customWidth="1"/>
    <col min="26" max="26" width="12" bestFit="1" customWidth="1"/>
    <col min="27" max="27" width="14.140625" bestFit="1" customWidth="1"/>
    <col min="28" max="28" width="11.5703125" bestFit="1" customWidth="1"/>
  </cols>
  <sheetData>
    <row r="1" spans="1:28" ht="23.25" x14ac:dyDescent="0.35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2"/>
      <c r="K1" s="2"/>
      <c r="L1" s="2"/>
      <c r="M1" s="2"/>
      <c r="N1" s="2"/>
    </row>
    <row r="2" spans="1:28" hidden="1" x14ac:dyDescent="0.25"/>
    <row r="3" spans="1:28" hidden="1" x14ac:dyDescent="0.25">
      <c r="B3" s="192">
        <f>B247/B246-1</f>
        <v>-2.7715638784684415E-3</v>
      </c>
      <c r="C3" s="192">
        <f>C247/C246-1</f>
        <v>-6.1808270820331801E-2</v>
      </c>
      <c r="D3" s="192">
        <f t="shared" ref="D3:X3" si="0">D247/D246-1</f>
        <v>-3.4246575342465779E-2</v>
      </c>
      <c r="E3" s="192">
        <f t="shared" si="0"/>
        <v>-0.42649990937103499</v>
      </c>
      <c r="F3" s="192">
        <f>F247/F246-1</f>
        <v>0.79262082348209573</v>
      </c>
      <c r="G3" s="192">
        <f t="shared" si="0"/>
        <v>0.98505549445055474</v>
      </c>
      <c r="H3" s="192">
        <f t="shared" si="0"/>
        <v>-0.45670399779232773</v>
      </c>
      <c r="I3" s="192">
        <f t="shared" si="0"/>
        <v>1.1414930854068923</v>
      </c>
      <c r="J3" s="192">
        <f t="shared" si="0"/>
        <v>-0.24958541550523305</v>
      </c>
      <c r="K3" s="192">
        <f t="shared" si="0"/>
        <v>-7.3714251579878654E-2</v>
      </c>
      <c r="L3" s="192">
        <f t="shared" si="0"/>
        <v>-0.18378113953342956</v>
      </c>
      <c r="M3" s="192">
        <f t="shared" si="0"/>
        <v>-7.4285595026330142E-2</v>
      </c>
      <c r="N3" s="192">
        <f t="shared" si="0"/>
        <v>7.9205084154034822E-3</v>
      </c>
      <c r="O3" s="192">
        <f t="shared" si="0"/>
        <v>1.8989549210977739</v>
      </c>
      <c r="P3" s="192">
        <f t="shared" si="0"/>
        <v>6.9547681094242364E-2</v>
      </c>
      <c r="Q3" s="192">
        <f t="shared" si="0"/>
        <v>-3.5665742490336494E-2</v>
      </c>
      <c r="R3" s="192">
        <f t="shared" si="0"/>
        <v>-4.8948198782134078E-2</v>
      </c>
      <c r="S3" s="192">
        <f t="shared" si="0"/>
        <v>2.5440312973700641E-2</v>
      </c>
      <c r="T3" s="192">
        <f t="shared" si="0"/>
        <v>0.14795624529703844</v>
      </c>
      <c r="U3" s="192">
        <f t="shared" si="0"/>
        <v>-0.11084200567644287</v>
      </c>
      <c r="V3" s="192" t="e">
        <f t="shared" si="0"/>
        <v>#DIV/0!</v>
      </c>
      <c r="W3" s="192">
        <f t="shared" si="0"/>
        <v>0.65581984680066818</v>
      </c>
      <c r="X3" s="192">
        <f t="shared" si="0"/>
        <v>-5.348936371819768E-2</v>
      </c>
      <c r="Y3" s="192">
        <f>Y247/Y246-1</f>
        <v>0.96556003723239225</v>
      </c>
      <c r="Z3" s="192"/>
      <c r="AA3" s="192"/>
      <c r="AB3" s="192"/>
    </row>
    <row r="4" spans="1:28" s="15" customFormat="1" ht="12.75" x14ac:dyDescent="0.2">
      <c r="B4" s="400" t="s">
        <v>427</v>
      </c>
      <c r="C4" s="396" t="s">
        <v>29</v>
      </c>
      <c r="D4" s="396"/>
      <c r="E4" s="396"/>
      <c r="F4" s="397" t="s">
        <v>426</v>
      </c>
      <c r="G4" s="397"/>
      <c r="H4" s="397"/>
      <c r="I4" s="397"/>
      <c r="J4" s="398" t="s">
        <v>425</v>
      </c>
      <c r="K4" s="399" t="s">
        <v>39</v>
      </c>
      <c r="L4" s="399"/>
      <c r="M4" s="399"/>
      <c r="N4" s="399"/>
      <c r="O4" s="399"/>
      <c r="P4" s="392" t="s">
        <v>424</v>
      </c>
      <c r="Q4" s="392"/>
      <c r="R4" s="393" t="s">
        <v>44</v>
      </c>
      <c r="S4" s="393"/>
      <c r="T4" s="393"/>
      <c r="U4" s="394" t="s">
        <v>468</v>
      </c>
      <c r="V4" s="394"/>
      <c r="W4" s="395" t="s">
        <v>422</v>
      </c>
      <c r="X4" s="395"/>
      <c r="Y4" s="395"/>
      <c r="Z4" s="391" t="s">
        <v>47</v>
      </c>
      <c r="AA4" s="391"/>
      <c r="AB4" s="391"/>
    </row>
    <row r="5" spans="1:28" s="214" customFormat="1" ht="12.75" x14ac:dyDescent="0.2">
      <c r="B5" s="400"/>
      <c r="C5" s="215"/>
      <c r="D5" s="216" t="s">
        <v>467</v>
      </c>
      <c r="E5" s="216" t="s">
        <v>470</v>
      </c>
      <c r="F5" s="217"/>
      <c r="G5" s="216" t="s">
        <v>30</v>
      </c>
      <c r="H5" s="216" t="s">
        <v>31</v>
      </c>
      <c r="I5" s="216" t="s">
        <v>32</v>
      </c>
      <c r="J5" s="398"/>
      <c r="K5" s="218"/>
      <c r="L5" s="214" t="s">
        <v>34</v>
      </c>
      <c r="M5" s="214" t="s">
        <v>35</v>
      </c>
      <c r="N5" s="214" t="s">
        <v>36</v>
      </c>
      <c r="O5" s="214" t="s">
        <v>37</v>
      </c>
      <c r="P5" s="214" t="s">
        <v>40</v>
      </c>
      <c r="Q5" s="214" t="s">
        <v>41</v>
      </c>
      <c r="R5" s="216" t="s">
        <v>40</v>
      </c>
      <c r="S5" s="216" t="s">
        <v>43</v>
      </c>
      <c r="T5" s="216" t="s">
        <v>37</v>
      </c>
      <c r="U5" s="216" t="s">
        <v>45</v>
      </c>
      <c r="V5" s="216" t="s">
        <v>46</v>
      </c>
      <c r="W5" s="216" t="s">
        <v>40</v>
      </c>
      <c r="X5" s="216" t="s">
        <v>43</v>
      </c>
      <c r="Y5" s="216" t="s">
        <v>37</v>
      </c>
      <c r="Z5" s="216" t="s">
        <v>40</v>
      </c>
      <c r="AA5" s="216" t="s">
        <v>43</v>
      </c>
      <c r="AB5" s="216" t="s">
        <v>37</v>
      </c>
    </row>
    <row r="6" spans="1:28" s="15" customFormat="1" ht="12.75" x14ac:dyDescent="0.2">
      <c r="B6" s="320" t="s">
        <v>428</v>
      </c>
      <c r="C6" s="243" t="s">
        <v>28</v>
      </c>
      <c r="D6" s="12" t="s">
        <v>28</v>
      </c>
      <c r="E6" s="12" t="s">
        <v>28</v>
      </c>
      <c r="F6" s="246" t="s">
        <v>28</v>
      </c>
      <c r="G6" s="12" t="s">
        <v>28</v>
      </c>
      <c r="H6" s="12" t="s">
        <v>28</v>
      </c>
      <c r="I6" s="12" t="s">
        <v>28</v>
      </c>
      <c r="J6" s="248" t="s">
        <v>33</v>
      </c>
      <c r="K6" s="250" t="s">
        <v>38</v>
      </c>
      <c r="L6" s="15" t="s">
        <v>38</v>
      </c>
      <c r="M6" s="15" t="s">
        <v>38</v>
      </c>
      <c r="N6" s="15" t="s">
        <v>38</v>
      </c>
      <c r="O6" s="15" t="s">
        <v>38</v>
      </c>
      <c r="P6" s="15" t="s">
        <v>42</v>
      </c>
      <c r="Q6" s="15" t="s">
        <v>42</v>
      </c>
      <c r="R6" s="12" t="s">
        <v>28</v>
      </c>
      <c r="S6" s="12" t="s">
        <v>28</v>
      </c>
      <c r="T6" s="12" t="s">
        <v>28</v>
      </c>
      <c r="U6" s="12" t="s">
        <v>28</v>
      </c>
      <c r="V6" s="12" t="s">
        <v>28</v>
      </c>
      <c r="W6" s="12" t="s">
        <v>27</v>
      </c>
      <c r="X6" s="12" t="s">
        <v>27</v>
      </c>
      <c r="Y6" s="12" t="s">
        <v>27</v>
      </c>
      <c r="Z6" s="12" t="s">
        <v>27</v>
      </c>
      <c r="AA6" s="12" t="s">
        <v>27</v>
      </c>
      <c r="AB6" s="12" t="s">
        <v>27</v>
      </c>
    </row>
    <row r="7" spans="1:28" s="15" customFormat="1" ht="12.75" x14ac:dyDescent="0.2">
      <c r="A7" s="11">
        <v>38718</v>
      </c>
      <c r="B7" s="321"/>
      <c r="C7" s="244">
        <f>D7+E7</f>
        <v>132.542</v>
      </c>
      <c r="D7" s="17">
        <v>119</v>
      </c>
      <c r="E7" s="17">
        <v>13.542</v>
      </c>
      <c r="F7" s="247">
        <f>G7+H7+I7</f>
        <v>5.1559999999999997</v>
      </c>
      <c r="G7" s="13">
        <v>0</v>
      </c>
      <c r="H7" s="13">
        <v>5.1559999999999997</v>
      </c>
      <c r="I7" s="13">
        <v>0</v>
      </c>
      <c r="J7" s="249"/>
      <c r="K7" s="251">
        <f>SUM(L7:O7)</f>
        <v>133.52600000000001</v>
      </c>
      <c r="L7" s="13">
        <v>87.019000000000005</v>
      </c>
      <c r="M7" s="13">
        <v>30</v>
      </c>
      <c r="N7" s="13">
        <v>16.507000000000001</v>
      </c>
      <c r="O7" s="13"/>
      <c r="P7" s="13">
        <v>11.341169000000001</v>
      </c>
      <c r="Q7" s="13"/>
      <c r="R7" s="13">
        <f>137.655+93.5461</f>
        <v>231.2011</v>
      </c>
      <c r="S7" s="13">
        <f>108.537+8.1739</f>
        <v>116.71090000000001</v>
      </c>
      <c r="T7" s="13">
        <f>22.387+86.218</f>
        <v>108.605</v>
      </c>
      <c r="U7" s="13">
        <v>41.703000000000003</v>
      </c>
      <c r="V7" s="13">
        <v>1.87</v>
      </c>
      <c r="W7" s="13">
        <v>15493.7</v>
      </c>
      <c r="X7" s="13">
        <v>2074</v>
      </c>
      <c r="Y7" s="13">
        <v>13419</v>
      </c>
      <c r="Z7" s="13">
        <v>6266</v>
      </c>
      <c r="AA7" s="13">
        <v>58.2</v>
      </c>
      <c r="AB7" s="13">
        <v>395.9</v>
      </c>
    </row>
    <row r="8" spans="1:28" s="15" customFormat="1" ht="12.75" x14ac:dyDescent="0.2">
      <c r="A8" s="11">
        <v>38749</v>
      </c>
      <c r="B8" s="321"/>
      <c r="C8" s="245">
        <f t="shared" ref="C8:C71" si="1">D8+E8</f>
        <v>114.94200000000001</v>
      </c>
      <c r="D8" s="13">
        <v>100</v>
      </c>
      <c r="E8" s="13">
        <v>14.942</v>
      </c>
      <c r="F8" s="247">
        <f t="shared" ref="F8:F71" si="2">G8+H8+I8</f>
        <v>8.5679999999999996</v>
      </c>
      <c r="G8" s="13">
        <v>1.2070000000000001</v>
      </c>
      <c r="H8" s="13">
        <v>6.0190000000000001</v>
      </c>
      <c r="I8" s="13">
        <v>1.3420000000000001</v>
      </c>
      <c r="J8" s="249"/>
      <c r="K8" s="251">
        <f t="shared" ref="K8:K71" si="3">SUM(L8:O8)</f>
        <v>133.70400000000001</v>
      </c>
      <c r="L8" s="13">
        <v>82.716999999999999</v>
      </c>
      <c r="M8" s="13">
        <v>35.841000000000001</v>
      </c>
      <c r="N8" s="13">
        <v>15.146000000000001</v>
      </c>
      <c r="O8" s="13"/>
      <c r="P8" s="13">
        <v>9.862406</v>
      </c>
      <c r="Q8" s="13">
        <v>16.808838999999999</v>
      </c>
      <c r="R8" s="13">
        <f>92.2153+139.647</f>
        <v>231.8623</v>
      </c>
      <c r="S8" s="13">
        <f>57.2813+122.808</f>
        <v>180.08930000000001</v>
      </c>
      <c r="T8" s="13">
        <f>37.0077+20.967</f>
        <v>57.974699999999999</v>
      </c>
      <c r="U8" s="13">
        <v>26.695</v>
      </c>
      <c r="V8" s="13">
        <v>2.6960000000000002</v>
      </c>
      <c r="W8" s="13">
        <v>16811</v>
      </c>
      <c r="X8" s="13">
        <v>2358</v>
      </c>
      <c r="Y8" s="13">
        <v>14453</v>
      </c>
      <c r="Z8" s="13">
        <v>5108</v>
      </c>
      <c r="AA8" s="13">
        <v>83.2</v>
      </c>
      <c r="AB8" s="13">
        <v>1560.4</v>
      </c>
    </row>
    <row r="9" spans="1:28" s="15" customFormat="1" ht="12.75" x14ac:dyDescent="0.2">
      <c r="A9" s="11">
        <v>38777</v>
      </c>
      <c r="B9" s="321"/>
      <c r="C9" s="245">
        <f t="shared" si="1"/>
        <v>11.289</v>
      </c>
      <c r="D9" s="13">
        <v>0</v>
      </c>
      <c r="E9" s="13">
        <v>11.289</v>
      </c>
      <c r="F9" s="247">
        <f t="shared" si="2"/>
        <v>22.755000000000003</v>
      </c>
      <c r="G9" s="13">
        <v>6.8120000000000003</v>
      </c>
      <c r="H9" s="13">
        <v>7.4249999999999998</v>
      </c>
      <c r="I9" s="13">
        <v>8.5180000000000007</v>
      </c>
      <c r="J9" s="249"/>
      <c r="K9" s="251">
        <f t="shared" si="3"/>
        <v>128.63800000000001</v>
      </c>
      <c r="L9" s="13">
        <v>79.245000000000005</v>
      </c>
      <c r="M9" s="13">
        <v>37.511000000000003</v>
      </c>
      <c r="N9" s="13">
        <v>11.882</v>
      </c>
      <c r="O9" s="13"/>
      <c r="P9" s="13">
        <v>10.804050999999999</v>
      </c>
      <c r="Q9" s="13"/>
      <c r="R9" s="13">
        <f>158.755+101.2842</f>
        <v>260.03919999999999</v>
      </c>
      <c r="S9" s="13">
        <f>138.406+63.1343</f>
        <v>201.5403</v>
      </c>
      <c r="T9" s="13">
        <f>22.278+39.5518</f>
        <v>61.829799999999999</v>
      </c>
      <c r="U9" s="13">
        <v>4.7850000000000001</v>
      </c>
      <c r="V9" s="13">
        <v>2.7839999999999998</v>
      </c>
      <c r="W9" s="13">
        <v>18405</v>
      </c>
      <c r="X9" s="13">
        <v>1919</v>
      </c>
      <c r="Y9" s="13">
        <v>16486</v>
      </c>
      <c r="Z9" s="13">
        <v>4680.3</v>
      </c>
      <c r="AA9" s="13">
        <v>55.5</v>
      </c>
      <c r="AB9" s="13">
        <v>4007</v>
      </c>
    </row>
    <row r="10" spans="1:28" s="15" customFormat="1" ht="12.75" x14ac:dyDescent="0.2">
      <c r="A10" s="11">
        <v>38808</v>
      </c>
      <c r="B10" s="321"/>
      <c r="C10" s="245">
        <f t="shared" si="1"/>
        <v>9.4510000000000005</v>
      </c>
      <c r="D10" s="13">
        <v>0</v>
      </c>
      <c r="E10" s="13">
        <v>9.4510000000000005</v>
      </c>
      <c r="F10" s="247">
        <f t="shared" si="2"/>
        <v>20.073</v>
      </c>
      <c r="G10" s="13">
        <v>5.0090000000000003</v>
      </c>
      <c r="H10" s="13">
        <v>9.3010000000000002</v>
      </c>
      <c r="I10" s="13">
        <v>5.7629999999999999</v>
      </c>
      <c r="J10" s="249"/>
      <c r="K10" s="251">
        <f t="shared" si="3"/>
        <v>118.92500000000001</v>
      </c>
      <c r="L10" s="13">
        <v>72.599000000000004</v>
      </c>
      <c r="M10" s="13">
        <v>35.183</v>
      </c>
      <c r="N10" s="13">
        <v>11.143000000000001</v>
      </c>
      <c r="O10" s="13"/>
      <c r="P10" s="13">
        <v>10.769033</v>
      </c>
      <c r="Q10" s="13">
        <v>17.236262999999997</v>
      </c>
      <c r="R10" s="13">
        <f>181.964+93.2032</f>
        <v>275.16719999999998</v>
      </c>
      <c r="S10" s="13">
        <f>144.703+54.6277</f>
        <v>199.33070000000001</v>
      </c>
      <c r="T10" s="13">
        <f>36.068+35.1807</f>
        <v>71.248699999999999</v>
      </c>
      <c r="U10" s="13">
        <v>0</v>
      </c>
      <c r="V10" s="13">
        <v>2.093</v>
      </c>
      <c r="W10" s="13">
        <v>16801</v>
      </c>
      <c r="X10" s="13">
        <v>2197</v>
      </c>
      <c r="Y10" s="13">
        <v>14604</v>
      </c>
      <c r="Z10" s="13">
        <v>391.2</v>
      </c>
      <c r="AA10" s="13">
        <v>80.2</v>
      </c>
      <c r="AB10" s="13">
        <v>2400</v>
      </c>
    </row>
    <row r="11" spans="1:28" s="15" customFormat="1" ht="12.75" x14ac:dyDescent="0.2">
      <c r="A11" s="11">
        <v>38838</v>
      </c>
      <c r="B11" s="321"/>
      <c r="C11" s="245">
        <f t="shared" si="1"/>
        <v>131.58799999999999</v>
      </c>
      <c r="D11" s="13">
        <v>121</v>
      </c>
      <c r="E11" s="13">
        <v>10.587999999999999</v>
      </c>
      <c r="F11" s="247">
        <f t="shared" si="2"/>
        <v>19.989000000000001</v>
      </c>
      <c r="G11" s="13">
        <v>6.0439999999999996</v>
      </c>
      <c r="H11" s="13">
        <v>8.3460000000000001</v>
      </c>
      <c r="I11" s="13">
        <v>5.5990000000000002</v>
      </c>
      <c r="J11" s="249"/>
      <c r="K11" s="251">
        <f t="shared" si="3"/>
        <v>132.01</v>
      </c>
      <c r="L11" s="13">
        <v>76.558999999999997</v>
      </c>
      <c r="M11" s="13">
        <v>38.106999999999999</v>
      </c>
      <c r="N11" s="13">
        <v>17.344000000000001</v>
      </c>
      <c r="O11" s="13"/>
      <c r="P11" s="13">
        <v>11.198387</v>
      </c>
      <c r="Q11" s="13"/>
      <c r="R11" s="13">
        <f>191.072+101.9546</f>
        <v>293.02660000000003</v>
      </c>
      <c r="S11" s="13">
        <f>155.942+66.2339</f>
        <v>222.17590000000001</v>
      </c>
      <c r="T11" s="13">
        <f>39.7+37.5798</f>
        <v>77.279799999999994</v>
      </c>
      <c r="U11" s="13">
        <v>13.224</v>
      </c>
      <c r="V11" s="13">
        <v>2.8450000000000002</v>
      </c>
      <c r="W11" s="13">
        <v>20128</v>
      </c>
      <c r="X11" s="13">
        <v>2368</v>
      </c>
      <c r="Y11" s="13">
        <v>17760</v>
      </c>
      <c r="Z11" s="13">
        <v>0</v>
      </c>
      <c r="AA11" s="13">
        <v>117.9</v>
      </c>
      <c r="AB11" s="13">
        <v>707.4</v>
      </c>
    </row>
    <row r="12" spans="1:28" s="15" customFormat="1" ht="12.75" x14ac:dyDescent="0.2">
      <c r="A12" s="11">
        <v>38869</v>
      </c>
      <c r="B12" s="321"/>
      <c r="C12" s="245">
        <f t="shared" si="1"/>
        <v>64.228999999999999</v>
      </c>
      <c r="D12" s="13">
        <v>50</v>
      </c>
      <c r="E12" s="13">
        <v>14.228999999999999</v>
      </c>
      <c r="F12" s="247">
        <f t="shared" si="2"/>
        <v>20.387</v>
      </c>
      <c r="G12" s="13">
        <v>7.0759999999999996</v>
      </c>
      <c r="H12" s="13">
        <v>9.8230000000000004</v>
      </c>
      <c r="I12" s="13">
        <v>3.488</v>
      </c>
      <c r="J12" s="249"/>
      <c r="K12" s="251">
        <f t="shared" si="3"/>
        <v>134.494</v>
      </c>
      <c r="L12" s="13">
        <v>80.36</v>
      </c>
      <c r="M12" s="13">
        <v>41.104999999999997</v>
      </c>
      <c r="N12" s="13">
        <v>13.029</v>
      </c>
      <c r="O12" s="13"/>
      <c r="P12" s="13">
        <v>11.056102000000001</v>
      </c>
      <c r="Q12" s="13">
        <v>17.920596</v>
      </c>
      <c r="R12" s="13">
        <f>155.758+98.5608</f>
        <v>254.31880000000001</v>
      </c>
      <c r="S12" s="13">
        <f>131.296+61.2307</f>
        <v>192.52670000000001</v>
      </c>
      <c r="T12" s="13">
        <f>35.2253+29.515</f>
        <v>64.740299999999991</v>
      </c>
      <c r="U12" s="13">
        <v>12.930999999999999</v>
      </c>
      <c r="V12" s="13">
        <v>3.5209999999999999</v>
      </c>
      <c r="W12" s="13">
        <v>12726</v>
      </c>
      <c r="X12" s="13">
        <v>1910</v>
      </c>
      <c r="Y12" s="13">
        <v>10816</v>
      </c>
      <c r="Z12" s="13">
        <v>0</v>
      </c>
      <c r="AA12" s="13">
        <v>107.2</v>
      </c>
      <c r="AB12" s="13">
        <v>852.8</v>
      </c>
    </row>
    <row r="13" spans="1:28" s="15" customFormat="1" ht="12.75" x14ac:dyDescent="0.2">
      <c r="A13" s="11">
        <v>38899</v>
      </c>
      <c r="B13" s="321"/>
      <c r="C13" s="245">
        <f t="shared" si="1"/>
        <v>12.347</v>
      </c>
      <c r="D13" s="13">
        <v>0</v>
      </c>
      <c r="E13" s="13">
        <v>12.347</v>
      </c>
      <c r="F13" s="247">
        <f t="shared" si="2"/>
        <v>24.276000000000003</v>
      </c>
      <c r="G13" s="13">
        <v>6.41</v>
      </c>
      <c r="H13" s="13">
        <v>6.7069999999999999</v>
      </c>
      <c r="I13" s="13">
        <v>11.159000000000001</v>
      </c>
      <c r="J13" s="249"/>
      <c r="K13" s="251">
        <f t="shared" si="3"/>
        <v>147.465</v>
      </c>
      <c r="L13" s="13">
        <v>92.05</v>
      </c>
      <c r="M13" s="13">
        <v>45.097999999999999</v>
      </c>
      <c r="N13" s="13">
        <v>10.317</v>
      </c>
      <c r="O13" s="13"/>
      <c r="P13" s="13">
        <v>11.135406999999999</v>
      </c>
      <c r="Q13" s="13"/>
      <c r="R13" s="13">
        <f>101.2427+133.271</f>
        <v>234.51369999999997</v>
      </c>
      <c r="S13" s="13">
        <f>108.666+69.7141</f>
        <v>178.3801</v>
      </c>
      <c r="T13" s="13">
        <f>31.9995+19.075</f>
        <v>51.0745</v>
      </c>
      <c r="U13" s="13">
        <v>0</v>
      </c>
      <c r="V13" s="13">
        <v>4.7290000000000001</v>
      </c>
      <c r="W13" s="13">
        <v>17157</v>
      </c>
      <c r="X13" s="13">
        <v>1982</v>
      </c>
      <c r="Y13" s="13">
        <v>15175</v>
      </c>
      <c r="Z13" s="13">
        <v>0</v>
      </c>
      <c r="AA13" s="13">
        <v>73.099999999999994</v>
      </c>
      <c r="AB13" s="13">
        <v>1259.3</v>
      </c>
    </row>
    <row r="14" spans="1:28" s="15" customFormat="1" ht="12.75" x14ac:dyDescent="0.2">
      <c r="A14" s="11">
        <v>38930</v>
      </c>
      <c r="B14" s="321"/>
      <c r="C14" s="245">
        <f t="shared" si="1"/>
        <v>16.741</v>
      </c>
      <c r="D14" s="13">
        <v>0</v>
      </c>
      <c r="E14" s="13">
        <v>16.741</v>
      </c>
      <c r="F14" s="247">
        <f t="shared" si="2"/>
        <v>20.746000000000002</v>
      </c>
      <c r="G14" s="13">
        <v>5.1210000000000004</v>
      </c>
      <c r="H14" s="13">
        <v>7.7380000000000004</v>
      </c>
      <c r="I14" s="13">
        <v>7.8869999999999996</v>
      </c>
      <c r="J14" s="249"/>
      <c r="K14" s="251">
        <f t="shared" si="3"/>
        <v>147.49299999999999</v>
      </c>
      <c r="L14" s="13">
        <v>92.460999999999999</v>
      </c>
      <c r="M14" s="13">
        <v>46.027999999999999</v>
      </c>
      <c r="N14" s="13">
        <v>9.0039999999999996</v>
      </c>
      <c r="O14" s="13"/>
      <c r="P14" s="13">
        <v>10.48293</v>
      </c>
      <c r="Q14" s="13">
        <v>17.207542</v>
      </c>
      <c r="R14" s="13">
        <f>142.314+103.9511</f>
        <v>246.26509999999999</v>
      </c>
      <c r="S14" s="13">
        <f>69.5017+127.057</f>
        <v>196.55869999999999</v>
      </c>
      <c r="T14" s="13">
        <f>22.557+36.5121</f>
        <v>59.069099999999992</v>
      </c>
      <c r="U14" s="13">
        <v>0</v>
      </c>
      <c r="V14" s="13">
        <v>1.6839999999999999</v>
      </c>
      <c r="W14" s="13">
        <v>15808</v>
      </c>
      <c r="X14" s="13">
        <v>2365</v>
      </c>
      <c r="Y14" s="13">
        <v>13443</v>
      </c>
      <c r="Z14" s="13">
        <v>0</v>
      </c>
      <c r="AA14" s="13">
        <v>64.099999999999994</v>
      </c>
      <c r="AB14" s="13">
        <v>1786</v>
      </c>
    </row>
    <row r="15" spans="1:28" s="15" customFormat="1" ht="12.75" x14ac:dyDescent="0.2">
      <c r="A15" s="11">
        <v>38961</v>
      </c>
      <c r="B15" s="321"/>
      <c r="C15" s="245">
        <f t="shared" si="1"/>
        <v>10.504</v>
      </c>
      <c r="D15" s="13">
        <v>0</v>
      </c>
      <c r="E15" s="13">
        <v>10.504</v>
      </c>
      <c r="F15" s="247">
        <f t="shared" si="2"/>
        <v>14.972000000000001</v>
      </c>
      <c r="G15" s="13">
        <v>2.996</v>
      </c>
      <c r="H15" s="13">
        <v>7.1820000000000004</v>
      </c>
      <c r="I15" s="13">
        <v>4.7939999999999996</v>
      </c>
      <c r="J15" s="249"/>
      <c r="K15" s="251">
        <f t="shared" si="3"/>
        <v>155.87200000000001</v>
      </c>
      <c r="L15" s="13">
        <v>102.654</v>
      </c>
      <c r="M15" s="13">
        <v>44.465000000000003</v>
      </c>
      <c r="N15" s="13">
        <v>8.7530000000000001</v>
      </c>
      <c r="O15" s="13"/>
      <c r="P15" s="13">
        <v>10.101424999999999</v>
      </c>
      <c r="Q15" s="13"/>
      <c r="R15" s="13">
        <f>121.382+96.091</f>
        <v>217.47300000000001</v>
      </c>
      <c r="S15" s="13">
        <f>97.367+56.7947</f>
        <v>154.1617</v>
      </c>
      <c r="T15" s="13">
        <f>27.081+34.6539</f>
        <v>61.734899999999996</v>
      </c>
      <c r="U15" s="13">
        <v>2.3140000000000001</v>
      </c>
      <c r="V15" s="13">
        <v>0</v>
      </c>
      <c r="W15" s="13">
        <v>13745</v>
      </c>
      <c r="X15" s="13">
        <v>2173</v>
      </c>
      <c r="Y15" s="13">
        <v>11572</v>
      </c>
      <c r="Z15" s="13">
        <v>0</v>
      </c>
      <c r="AA15" s="13">
        <v>43.7</v>
      </c>
      <c r="AB15" s="13">
        <v>2871.2</v>
      </c>
    </row>
    <row r="16" spans="1:28" s="15" customFormat="1" ht="12.75" x14ac:dyDescent="0.2">
      <c r="A16" s="11">
        <v>38991</v>
      </c>
      <c r="B16" s="321"/>
      <c r="C16" s="245">
        <f t="shared" si="1"/>
        <v>58.115000000000002</v>
      </c>
      <c r="D16" s="13">
        <v>51</v>
      </c>
      <c r="E16" s="13">
        <v>7.1150000000000002</v>
      </c>
      <c r="F16" s="247">
        <f t="shared" si="2"/>
        <v>24.362000000000002</v>
      </c>
      <c r="G16" s="13">
        <v>7.5410000000000004</v>
      </c>
      <c r="H16" s="13">
        <v>8.1850000000000005</v>
      </c>
      <c r="I16" s="13">
        <v>8.6359999999999992</v>
      </c>
      <c r="J16" s="249"/>
      <c r="K16" s="251">
        <f t="shared" si="3"/>
        <v>151.56399999999999</v>
      </c>
      <c r="L16" s="13">
        <v>96.131</v>
      </c>
      <c r="M16" s="13">
        <v>42.320999999999998</v>
      </c>
      <c r="N16" s="13">
        <v>13.112</v>
      </c>
      <c r="O16" s="13"/>
      <c r="P16" s="13">
        <v>10.731093000000001</v>
      </c>
      <c r="Q16" s="13">
        <v>17.008616000000004</v>
      </c>
      <c r="R16" s="13">
        <f>76.5177+123.391</f>
        <v>199.90870000000001</v>
      </c>
      <c r="S16" s="13">
        <f>42.5112+93.823</f>
        <v>136.33420000000001</v>
      </c>
      <c r="T16" s="13">
        <f>29.8152+25.673</f>
        <v>55.488199999999999</v>
      </c>
      <c r="U16" s="13">
        <v>28.573</v>
      </c>
      <c r="V16" s="13">
        <v>0</v>
      </c>
      <c r="W16" s="13">
        <v>14813</v>
      </c>
      <c r="X16" s="13">
        <v>2146</v>
      </c>
      <c r="Y16" s="13">
        <v>12667</v>
      </c>
      <c r="Z16" s="13">
        <v>0</v>
      </c>
      <c r="AA16" s="13">
        <v>51.2</v>
      </c>
      <c r="AB16" s="13">
        <v>1869.6</v>
      </c>
    </row>
    <row r="17" spans="1:28" s="15" customFormat="1" ht="12.75" x14ac:dyDescent="0.2">
      <c r="A17" s="11">
        <v>39022</v>
      </c>
      <c r="B17" s="321"/>
      <c r="C17" s="245">
        <f t="shared" si="1"/>
        <v>76.582999999999998</v>
      </c>
      <c r="D17" s="13">
        <v>66</v>
      </c>
      <c r="E17" s="13">
        <v>10.583</v>
      </c>
      <c r="F17" s="247">
        <f t="shared" si="2"/>
        <v>30.187999999999999</v>
      </c>
      <c r="G17" s="13">
        <v>9.1530000000000005</v>
      </c>
      <c r="H17" s="13">
        <v>9.9949999999999992</v>
      </c>
      <c r="I17" s="13">
        <v>11.04</v>
      </c>
      <c r="J17" s="249"/>
      <c r="K17" s="251">
        <f t="shared" si="3"/>
        <v>160.99799999999999</v>
      </c>
      <c r="L17" s="13">
        <v>101.10899999999999</v>
      </c>
      <c r="M17" s="13">
        <v>45.17</v>
      </c>
      <c r="N17" s="13">
        <v>14.718999999999999</v>
      </c>
      <c r="O17" s="13"/>
      <c r="P17" s="13">
        <v>10.936114999999999</v>
      </c>
      <c r="Q17" s="13"/>
      <c r="R17" s="13">
        <f>138.824+85.3385</f>
        <v>224.16250000000002</v>
      </c>
      <c r="S17" s="13">
        <f>107.496+55.3475</f>
        <v>162.84350000000001</v>
      </c>
      <c r="T17" s="13">
        <f>39.0071+34.847</f>
        <v>73.854100000000003</v>
      </c>
      <c r="U17" s="13">
        <v>28.527000000000001</v>
      </c>
      <c r="V17" s="13">
        <v>4.6470000000000002</v>
      </c>
      <c r="W17" s="13">
        <v>14847</v>
      </c>
      <c r="X17" s="13">
        <v>2719</v>
      </c>
      <c r="Y17" s="13">
        <v>12128</v>
      </c>
      <c r="Z17" s="13">
        <v>0</v>
      </c>
      <c r="AA17" s="13">
        <v>59</v>
      </c>
      <c r="AB17" s="13">
        <v>956</v>
      </c>
    </row>
    <row r="18" spans="1:28" s="15" customFormat="1" ht="12.75" x14ac:dyDescent="0.2">
      <c r="A18" s="11">
        <v>39052</v>
      </c>
      <c r="B18" s="321"/>
      <c r="C18" s="245">
        <f t="shared" si="1"/>
        <v>96.991</v>
      </c>
      <c r="D18" s="13">
        <v>77</v>
      </c>
      <c r="E18" s="13">
        <v>19.991</v>
      </c>
      <c r="F18" s="247">
        <f t="shared" si="2"/>
        <v>22.988</v>
      </c>
      <c r="G18" s="13">
        <v>6.133</v>
      </c>
      <c r="H18" s="13">
        <v>8.859</v>
      </c>
      <c r="I18" s="13">
        <v>7.9960000000000004</v>
      </c>
      <c r="J18" s="249"/>
      <c r="K18" s="251">
        <f t="shared" si="3"/>
        <v>166.91199999999998</v>
      </c>
      <c r="L18" s="13">
        <v>103.71599999999999</v>
      </c>
      <c r="M18" s="13">
        <v>46.472999999999999</v>
      </c>
      <c r="N18" s="13">
        <v>16.722999999999999</v>
      </c>
      <c r="O18" s="13"/>
      <c r="P18" s="13">
        <v>11.041675</v>
      </c>
      <c r="Q18" s="13">
        <v>17.496259999999999</v>
      </c>
      <c r="R18" s="13">
        <f>95.969+169.875</f>
        <v>265.84399999999999</v>
      </c>
      <c r="S18" s="13">
        <f>57.381+133.29</f>
        <v>190.67099999999999</v>
      </c>
      <c r="T18" s="13">
        <f>30.563+38.1869</f>
        <v>68.749899999999997</v>
      </c>
      <c r="U18" s="13">
        <v>21.608000000000001</v>
      </c>
      <c r="V18" s="13">
        <v>6.5640000000000001</v>
      </c>
      <c r="W18" s="13">
        <v>21826</v>
      </c>
      <c r="X18" s="13">
        <v>2637</v>
      </c>
      <c r="Y18" s="13">
        <v>19189</v>
      </c>
      <c r="Z18" s="13">
        <v>2522</v>
      </c>
      <c r="AA18" s="13">
        <v>15</v>
      </c>
      <c r="AB18" s="13">
        <v>253.6</v>
      </c>
    </row>
    <row r="19" spans="1:28" s="15" customFormat="1" ht="12.75" x14ac:dyDescent="0.2">
      <c r="A19" s="11">
        <v>39083</v>
      </c>
      <c r="B19" s="321"/>
      <c r="C19" s="245">
        <f t="shared" si="1"/>
        <v>82.152000000000001</v>
      </c>
      <c r="D19" s="13">
        <v>72</v>
      </c>
      <c r="E19" s="13">
        <v>10.151999999999999</v>
      </c>
      <c r="F19" s="247">
        <f t="shared" si="2"/>
        <v>15.026999999999999</v>
      </c>
      <c r="G19" s="13">
        <v>4.2389999999999999</v>
      </c>
      <c r="H19" s="13">
        <v>5.3579999999999997</v>
      </c>
      <c r="I19" s="13">
        <v>5.43</v>
      </c>
      <c r="J19" s="249"/>
      <c r="K19" s="251">
        <f t="shared" si="3"/>
        <v>120.104</v>
      </c>
      <c r="L19" s="13">
        <v>88.674999999999997</v>
      </c>
      <c r="M19" s="13">
        <v>14.778</v>
      </c>
      <c r="N19" s="13">
        <v>16.651</v>
      </c>
      <c r="O19" s="13"/>
      <c r="P19" s="13">
        <v>11.695173</v>
      </c>
      <c r="Q19" s="13"/>
      <c r="R19" s="13">
        <f>155.983+94.8327</f>
        <v>250.81569999999999</v>
      </c>
      <c r="S19" s="13">
        <f>131.307+60.4849</f>
        <v>191.7919</v>
      </c>
      <c r="T19" s="13">
        <f>36.473+25.764</f>
        <v>62.236999999999995</v>
      </c>
      <c r="U19" s="13">
        <v>20.347999999999999</v>
      </c>
      <c r="V19" s="13">
        <v>7.4059999999999997</v>
      </c>
      <c r="W19" s="13">
        <v>14074</v>
      </c>
      <c r="X19" s="13">
        <v>2823</v>
      </c>
      <c r="Y19" s="13">
        <v>11251</v>
      </c>
      <c r="Z19" s="13">
        <v>7499.5</v>
      </c>
      <c r="AA19" s="13">
        <v>1.6</v>
      </c>
      <c r="AB19" s="13">
        <v>597.5</v>
      </c>
    </row>
    <row r="20" spans="1:28" s="15" customFormat="1" ht="12.75" x14ac:dyDescent="0.2">
      <c r="A20" s="11">
        <v>39114</v>
      </c>
      <c r="B20" s="321"/>
      <c r="C20" s="245">
        <f t="shared" si="1"/>
        <v>70.25</v>
      </c>
      <c r="D20" s="13">
        <v>60</v>
      </c>
      <c r="E20" s="13">
        <v>10.25</v>
      </c>
      <c r="F20" s="247">
        <f t="shared" si="2"/>
        <v>24.972999999999999</v>
      </c>
      <c r="G20" s="13">
        <v>6.6520000000000001</v>
      </c>
      <c r="H20" s="13">
        <v>12.13</v>
      </c>
      <c r="I20" s="13">
        <v>6.1909999999999998</v>
      </c>
      <c r="J20" s="249"/>
      <c r="K20" s="251">
        <f t="shared" si="3"/>
        <v>133.34799999999998</v>
      </c>
      <c r="L20" s="13">
        <v>83.924999999999997</v>
      </c>
      <c r="M20" s="13">
        <v>36.871000000000002</v>
      </c>
      <c r="N20" s="13">
        <v>12.552</v>
      </c>
      <c r="O20" s="13"/>
      <c r="P20" s="13">
        <v>10.417437</v>
      </c>
      <c r="Q20" s="13">
        <v>17.202008999999997</v>
      </c>
      <c r="R20" s="13">
        <f>148.808+89.7297</f>
        <v>238.53769999999997</v>
      </c>
      <c r="S20" s="13">
        <f>119.112+54.175</f>
        <v>173.28699999999998</v>
      </c>
      <c r="T20" s="13">
        <f>28.083+35.1925</f>
        <v>63.275500000000001</v>
      </c>
      <c r="U20" s="13">
        <v>14.286</v>
      </c>
      <c r="V20" s="13">
        <v>0</v>
      </c>
      <c r="W20" s="13">
        <v>19005</v>
      </c>
      <c r="X20" s="13">
        <v>2710</v>
      </c>
      <c r="Y20" s="13">
        <v>16295</v>
      </c>
      <c r="Z20" s="13">
        <v>5222</v>
      </c>
      <c r="AA20" s="13">
        <v>20</v>
      </c>
      <c r="AB20" s="13">
        <v>778.2</v>
      </c>
    </row>
    <row r="21" spans="1:28" s="15" customFormat="1" ht="12.75" x14ac:dyDescent="0.2">
      <c r="A21" s="11">
        <v>39142</v>
      </c>
      <c r="B21" s="321"/>
      <c r="C21" s="245">
        <f t="shared" si="1"/>
        <v>56.874000000000002</v>
      </c>
      <c r="D21" s="13">
        <v>50</v>
      </c>
      <c r="E21" s="13">
        <v>6.8739999999999997</v>
      </c>
      <c r="F21" s="247">
        <f t="shared" si="2"/>
        <v>25.196999999999999</v>
      </c>
      <c r="G21" s="13">
        <v>7.399</v>
      </c>
      <c r="H21" s="13">
        <f>8.998+0.16</f>
        <v>9.1579999999999995</v>
      </c>
      <c r="I21" s="13">
        <v>8.64</v>
      </c>
      <c r="J21" s="249"/>
      <c r="K21" s="251">
        <f t="shared" si="3"/>
        <v>133.08500000000001</v>
      </c>
      <c r="L21" s="13">
        <v>84.183000000000007</v>
      </c>
      <c r="M21" s="13">
        <v>40.008000000000003</v>
      </c>
      <c r="N21" s="13">
        <v>8.8940000000000001</v>
      </c>
      <c r="O21" s="13"/>
      <c r="P21" s="13">
        <v>11.688113</v>
      </c>
      <c r="Q21" s="13"/>
      <c r="R21" s="13">
        <f>137.341+99.612</f>
        <v>236.953</v>
      </c>
      <c r="S21" s="13">
        <f>115.718+67.0727</f>
        <v>182.79070000000002</v>
      </c>
      <c r="T21" s="13">
        <f>23.827+33.3453</f>
        <v>57.172300000000007</v>
      </c>
      <c r="U21" s="13">
        <v>22.349</v>
      </c>
      <c r="V21" s="13">
        <v>5.6660000000000004</v>
      </c>
      <c r="W21" s="13">
        <v>21544</v>
      </c>
      <c r="X21" s="13">
        <v>2673</v>
      </c>
      <c r="Y21" s="13">
        <v>18871</v>
      </c>
      <c r="Z21" s="13">
        <v>13491.2</v>
      </c>
      <c r="AA21" s="13">
        <v>48</v>
      </c>
      <c r="AB21" s="13">
        <v>2066.1999999999998</v>
      </c>
    </row>
    <row r="22" spans="1:28" s="15" customFormat="1" ht="12.75" x14ac:dyDescent="0.2">
      <c r="A22" s="11">
        <v>39173</v>
      </c>
      <c r="B22" s="321"/>
      <c r="C22" s="245">
        <f t="shared" si="1"/>
        <v>105.301</v>
      </c>
      <c r="D22" s="13">
        <v>96</v>
      </c>
      <c r="E22" s="13">
        <v>9.3010000000000002</v>
      </c>
      <c r="F22" s="247">
        <f t="shared" si="2"/>
        <v>23.675000000000001</v>
      </c>
      <c r="G22" s="13">
        <v>8.6969999999999992</v>
      </c>
      <c r="H22" s="13">
        <f>3.673+0.345</f>
        <v>4.0179999999999998</v>
      </c>
      <c r="I22" s="13">
        <v>10.96</v>
      </c>
      <c r="J22" s="249"/>
      <c r="K22" s="251">
        <f t="shared" si="3"/>
        <v>130.345</v>
      </c>
      <c r="L22" s="13">
        <v>80.783000000000001</v>
      </c>
      <c r="M22" s="13">
        <v>40.421999999999997</v>
      </c>
      <c r="N22" s="13">
        <v>9.14</v>
      </c>
      <c r="O22" s="13"/>
      <c r="P22" s="13">
        <v>11.202731</v>
      </c>
      <c r="Q22" s="13">
        <v>17.968486120000001</v>
      </c>
      <c r="R22" s="13">
        <f>174.258+96.9052</f>
        <v>271.16320000000002</v>
      </c>
      <c r="S22" s="13">
        <f>137.188+59.3145</f>
        <v>196.5025</v>
      </c>
      <c r="T22" s="13">
        <f>33.404+31.0476</f>
        <v>64.451599999999999</v>
      </c>
      <c r="U22" s="13">
        <v>26.492999999999999</v>
      </c>
      <c r="V22" s="13">
        <v>5.7539999999999996</v>
      </c>
      <c r="W22" s="13">
        <v>14575</v>
      </c>
      <c r="X22" s="13">
        <v>2738</v>
      </c>
      <c r="Y22" s="13">
        <v>11837</v>
      </c>
      <c r="Z22" s="13">
        <v>8282</v>
      </c>
      <c r="AA22" s="13">
        <v>39.5</v>
      </c>
      <c r="AB22" s="13">
        <v>239.7</v>
      </c>
    </row>
    <row r="23" spans="1:28" s="15" customFormat="1" ht="12.75" x14ac:dyDescent="0.2">
      <c r="A23" s="11">
        <v>39203</v>
      </c>
      <c r="B23" s="321"/>
      <c r="C23" s="245">
        <f t="shared" si="1"/>
        <v>80.724999999999994</v>
      </c>
      <c r="D23" s="13">
        <v>70.3</v>
      </c>
      <c r="E23" s="13">
        <v>10.425000000000001</v>
      </c>
      <c r="F23" s="247">
        <f t="shared" si="2"/>
        <v>24.241</v>
      </c>
      <c r="G23" s="13">
        <v>8.1560000000000006</v>
      </c>
      <c r="H23" s="13">
        <v>6.8239999999999998</v>
      </c>
      <c r="I23" s="13">
        <v>9.2609999999999992</v>
      </c>
      <c r="J23" s="249"/>
      <c r="K23" s="251">
        <f t="shared" si="3"/>
        <v>140.55699999999999</v>
      </c>
      <c r="L23" s="13">
        <v>88.816000000000003</v>
      </c>
      <c r="M23" s="13">
        <v>42.606000000000002</v>
      </c>
      <c r="N23" s="13">
        <v>9.1349999999999998</v>
      </c>
      <c r="O23" s="13"/>
      <c r="P23" s="13">
        <v>11.712704</v>
      </c>
      <c r="Q23" s="13"/>
      <c r="R23" s="13">
        <f>90.3906+161.549</f>
        <v>251.93960000000001</v>
      </c>
      <c r="S23" s="13">
        <f>61.0006+134.069</f>
        <v>195.06959999999998</v>
      </c>
      <c r="T23" s="13">
        <f>30.5479+30.586</f>
        <v>61.133899999999997</v>
      </c>
      <c r="U23" s="13">
        <v>29.079000000000001</v>
      </c>
      <c r="V23" s="13">
        <v>10.96</v>
      </c>
      <c r="W23" s="13">
        <v>17231</v>
      </c>
      <c r="X23" s="13">
        <v>3252</v>
      </c>
      <c r="Y23" s="13">
        <v>13979</v>
      </c>
      <c r="Z23" s="13">
        <v>0</v>
      </c>
      <c r="AA23" s="13">
        <v>34</v>
      </c>
      <c r="AB23" s="13">
        <v>1579.4</v>
      </c>
    </row>
    <row r="24" spans="1:28" s="15" customFormat="1" ht="12.75" x14ac:dyDescent="0.2">
      <c r="A24" s="11">
        <v>39234</v>
      </c>
      <c r="B24" s="321"/>
      <c r="C24" s="245">
        <f t="shared" si="1"/>
        <v>70.423000000000002</v>
      </c>
      <c r="D24" s="13">
        <v>56</v>
      </c>
      <c r="E24" s="13">
        <v>14.423</v>
      </c>
      <c r="F24" s="247">
        <f t="shared" si="2"/>
        <v>21.024999999999999</v>
      </c>
      <c r="G24" s="13">
        <v>7.6840000000000002</v>
      </c>
      <c r="H24" s="13">
        <f>3.306+0.185</f>
        <v>3.4910000000000001</v>
      </c>
      <c r="I24" s="13">
        <v>9.85</v>
      </c>
      <c r="J24" s="249"/>
      <c r="K24" s="251">
        <f t="shared" si="3"/>
        <v>135.75800000000001</v>
      </c>
      <c r="L24" s="13">
        <v>86.17</v>
      </c>
      <c r="M24" s="13">
        <v>40.427999999999997</v>
      </c>
      <c r="N24" s="13">
        <v>9.16</v>
      </c>
      <c r="O24" s="13"/>
      <c r="P24" s="13">
        <v>11.351162</v>
      </c>
      <c r="Q24" s="13">
        <v>18.061358219999999</v>
      </c>
      <c r="R24" s="13">
        <f>174.751+66.7315</f>
        <v>241.48250000000002</v>
      </c>
      <c r="S24" s="13">
        <f>146.719+49.4817</f>
        <v>196.20069999999998</v>
      </c>
      <c r="T24" s="13">
        <f>22.657+26.26</f>
        <v>48.917000000000002</v>
      </c>
      <c r="U24" s="13">
        <v>17.161999999999999</v>
      </c>
      <c r="V24" s="13">
        <v>12.513</v>
      </c>
      <c r="W24" s="13">
        <v>18468</v>
      </c>
      <c r="X24" s="13">
        <v>2094</v>
      </c>
      <c r="Y24" s="13">
        <v>16374</v>
      </c>
      <c r="Z24" s="13">
        <v>0</v>
      </c>
      <c r="AA24" s="13">
        <v>20.6</v>
      </c>
      <c r="AB24" s="13">
        <v>2740.5</v>
      </c>
    </row>
    <row r="25" spans="1:28" s="15" customFormat="1" ht="12.75" x14ac:dyDescent="0.2">
      <c r="A25" s="11">
        <v>39264</v>
      </c>
      <c r="B25" s="321"/>
      <c r="C25" s="245">
        <f t="shared" si="1"/>
        <v>85.507000000000005</v>
      </c>
      <c r="D25" s="13">
        <v>73</v>
      </c>
      <c r="E25" s="13">
        <v>12.507</v>
      </c>
      <c r="F25" s="247">
        <f t="shared" si="2"/>
        <v>11.048</v>
      </c>
      <c r="G25" s="13">
        <v>2.5000000000000001E-2</v>
      </c>
      <c r="H25" s="13">
        <v>9.359</v>
      </c>
      <c r="I25" s="13">
        <v>1.6639999999999999</v>
      </c>
      <c r="J25" s="249"/>
      <c r="K25" s="251">
        <f t="shared" si="3"/>
        <v>143.56799999999998</v>
      </c>
      <c r="L25" s="13">
        <v>88.296999999999997</v>
      </c>
      <c r="M25" s="13">
        <v>44.521999999999998</v>
      </c>
      <c r="N25" s="13">
        <v>10.749000000000001</v>
      </c>
      <c r="O25" s="13"/>
      <c r="P25" s="13">
        <v>11.366838</v>
      </c>
      <c r="Q25" s="13"/>
      <c r="R25" s="13">
        <f>174.364+91.2834</f>
        <v>265.6474</v>
      </c>
      <c r="S25" s="13">
        <f>149.177+60.299</f>
        <v>209.476</v>
      </c>
      <c r="T25" s="13">
        <f>27.476+27.0548</f>
        <v>54.530799999999999</v>
      </c>
      <c r="U25" s="13">
        <v>17.931999999999999</v>
      </c>
      <c r="V25" s="13">
        <v>8.84</v>
      </c>
      <c r="W25" s="13">
        <v>15908</v>
      </c>
      <c r="X25" s="13">
        <v>2615.8000000000002</v>
      </c>
      <c r="Y25" s="13">
        <v>13292</v>
      </c>
      <c r="Z25" s="13">
        <v>0</v>
      </c>
      <c r="AA25" s="13">
        <v>6</v>
      </c>
      <c r="AB25" s="13">
        <v>2811.4</v>
      </c>
    </row>
    <row r="26" spans="1:28" s="15" customFormat="1" ht="12.75" x14ac:dyDescent="0.2">
      <c r="A26" s="11">
        <v>39295</v>
      </c>
      <c r="B26" s="321"/>
      <c r="C26" s="245">
        <f t="shared" si="1"/>
        <v>62.124000000000002</v>
      </c>
      <c r="D26" s="13">
        <v>51</v>
      </c>
      <c r="E26" s="13">
        <v>11.124000000000001</v>
      </c>
      <c r="F26" s="247">
        <f t="shared" si="2"/>
        <v>12.348000000000001</v>
      </c>
      <c r="G26" s="13">
        <v>2.077</v>
      </c>
      <c r="H26" s="13">
        <f>8.766+0.101</f>
        <v>8.8670000000000009</v>
      </c>
      <c r="I26" s="13">
        <v>1.4039999999999999</v>
      </c>
      <c r="J26" s="249"/>
      <c r="K26" s="251">
        <f t="shared" si="3"/>
        <v>151.28399999999999</v>
      </c>
      <c r="L26" s="13">
        <v>97.938999999999993</v>
      </c>
      <c r="M26" s="13">
        <v>44.026000000000003</v>
      </c>
      <c r="N26" s="13">
        <v>9.3190000000000008</v>
      </c>
      <c r="O26" s="13"/>
      <c r="P26" s="13">
        <v>10.928509</v>
      </c>
      <c r="Q26" s="13">
        <v>17.840604649999996</v>
      </c>
      <c r="R26" s="13">
        <f>101.15234+177.67</f>
        <v>278.82234</v>
      </c>
      <c r="S26" s="13">
        <f>0.25+65.84362+137.1</f>
        <v>203.19362000000001</v>
      </c>
      <c r="T26" s="13">
        <f>0.385+36.89185+33.5</f>
        <v>70.776849999999996</v>
      </c>
      <c r="U26" s="13">
        <v>15.965999999999999</v>
      </c>
      <c r="V26" s="13">
        <v>7.2450000000000001</v>
      </c>
      <c r="W26" s="13">
        <f>(W25+W24)/2</f>
        <v>17188</v>
      </c>
      <c r="X26" s="13">
        <f>(X25+X24)/2</f>
        <v>2354.9</v>
      </c>
      <c r="Y26" s="13">
        <f>(Y25+Y24)/2</f>
        <v>14833</v>
      </c>
      <c r="Z26" s="13">
        <v>0</v>
      </c>
      <c r="AA26" s="13">
        <v>15.3</v>
      </c>
      <c r="AB26" s="13">
        <v>219.8</v>
      </c>
    </row>
    <row r="27" spans="1:28" s="15" customFormat="1" ht="12.75" x14ac:dyDescent="0.2">
      <c r="A27" s="11">
        <v>39326</v>
      </c>
      <c r="B27" s="321"/>
      <c r="C27" s="245">
        <f t="shared" si="1"/>
        <v>57.363</v>
      </c>
      <c r="D27" s="13">
        <v>47</v>
      </c>
      <c r="E27" s="13">
        <v>10.363</v>
      </c>
      <c r="F27" s="247">
        <f t="shared" si="2"/>
        <v>8.343</v>
      </c>
      <c r="G27" s="13">
        <v>0</v>
      </c>
      <c r="H27" s="13">
        <v>7.5819999999999999</v>
      </c>
      <c r="I27" s="13">
        <v>0.76100000000000001</v>
      </c>
      <c r="J27" s="249"/>
      <c r="K27" s="251">
        <f t="shared" si="3"/>
        <v>154.15800000000002</v>
      </c>
      <c r="L27" s="13">
        <v>99.644000000000005</v>
      </c>
      <c r="M27" s="13">
        <v>45.518999999999998</v>
      </c>
      <c r="N27" s="13">
        <v>8.9949999999999992</v>
      </c>
      <c r="O27" s="13"/>
      <c r="P27" s="13">
        <v>10.645413000000001</v>
      </c>
      <c r="Q27" s="13"/>
      <c r="R27" s="13">
        <f>159.362+92.461</f>
        <v>251.82299999999998</v>
      </c>
      <c r="S27" s="13">
        <f>131.924+48.452</f>
        <v>180.376</v>
      </c>
      <c r="T27" s="13">
        <f>25.472+34.3461</f>
        <v>59.818100000000001</v>
      </c>
      <c r="U27" s="13">
        <v>15.471</v>
      </c>
      <c r="V27" s="13">
        <v>4.1050000000000004</v>
      </c>
      <c r="W27" s="13">
        <v>17401</v>
      </c>
      <c r="X27" s="13">
        <v>2390</v>
      </c>
      <c r="Y27" s="13">
        <v>15011</v>
      </c>
      <c r="Z27" s="13">
        <v>0</v>
      </c>
      <c r="AA27" s="13">
        <v>0.2</v>
      </c>
      <c r="AB27" s="13">
        <v>3.5</v>
      </c>
    </row>
    <row r="28" spans="1:28" s="15" customFormat="1" ht="12.75" x14ac:dyDescent="0.2">
      <c r="A28" s="11">
        <v>39356</v>
      </c>
      <c r="B28" s="321"/>
      <c r="C28" s="245">
        <f t="shared" si="1"/>
        <v>57.188000000000002</v>
      </c>
      <c r="D28" s="13">
        <v>44</v>
      </c>
      <c r="E28" s="13">
        <v>13.188000000000001</v>
      </c>
      <c r="F28" s="247">
        <f t="shared" si="2"/>
        <v>8.2620000000000005</v>
      </c>
      <c r="G28" s="13">
        <v>0</v>
      </c>
      <c r="H28" s="13">
        <f>7.767+0.201</f>
        <v>7.968</v>
      </c>
      <c r="I28" s="13">
        <v>0.29399999999999998</v>
      </c>
      <c r="J28" s="249"/>
      <c r="K28" s="251">
        <f t="shared" si="3"/>
        <v>164.70399999999998</v>
      </c>
      <c r="L28" s="13">
        <v>107.10299999999999</v>
      </c>
      <c r="M28" s="13">
        <v>47.780999999999999</v>
      </c>
      <c r="N28" s="13">
        <v>9.82</v>
      </c>
      <c r="O28" s="13"/>
      <c r="P28" s="13">
        <v>11.404618000000001</v>
      </c>
      <c r="Q28" s="13">
        <v>18.499164</v>
      </c>
      <c r="R28" s="13">
        <f>150.6+82.3423</f>
        <v>232.94229999999999</v>
      </c>
      <c r="S28" s="13">
        <f>121.9+48.2346</f>
        <v>170.13460000000001</v>
      </c>
      <c r="T28" s="13">
        <f>28.7+37.8169</f>
        <v>66.516899999999993</v>
      </c>
      <c r="U28" s="13">
        <v>15.156000000000001</v>
      </c>
      <c r="V28" s="13">
        <v>4.9969999999999999</v>
      </c>
      <c r="W28" s="13">
        <v>18133</v>
      </c>
      <c r="X28" s="13">
        <v>2537</v>
      </c>
      <c r="Y28" s="13">
        <v>15596</v>
      </c>
      <c r="Z28" s="13">
        <v>0</v>
      </c>
      <c r="AA28" s="13">
        <v>20.3</v>
      </c>
      <c r="AB28" s="13">
        <v>3491.2</v>
      </c>
    </row>
    <row r="29" spans="1:28" s="15" customFormat="1" ht="12.75" x14ac:dyDescent="0.2">
      <c r="A29" s="11">
        <v>39387</v>
      </c>
      <c r="B29" s="321"/>
      <c r="C29" s="245">
        <f t="shared" si="1"/>
        <v>67.506</v>
      </c>
      <c r="D29" s="13">
        <v>60</v>
      </c>
      <c r="E29" s="13">
        <v>7.5060000000000002</v>
      </c>
      <c r="F29" s="247">
        <f t="shared" si="2"/>
        <v>8.1920000000000002</v>
      </c>
      <c r="G29" s="13">
        <v>0</v>
      </c>
      <c r="H29" s="13">
        <v>8.1920000000000002</v>
      </c>
      <c r="I29" s="13">
        <v>0</v>
      </c>
      <c r="J29" s="249"/>
      <c r="K29" s="251">
        <f t="shared" si="3"/>
        <v>167.60900000000001</v>
      </c>
      <c r="L29" s="13">
        <v>110.664</v>
      </c>
      <c r="M29" s="13">
        <v>46.966999999999999</v>
      </c>
      <c r="N29" s="13">
        <v>9.9779999999999998</v>
      </c>
      <c r="O29" s="13"/>
      <c r="P29" s="13">
        <v>11.499036</v>
      </c>
      <c r="Q29" s="13"/>
      <c r="R29" s="13">
        <f>167.813+97.7169</f>
        <v>265.5299</v>
      </c>
      <c r="S29" s="13">
        <f>140.914+50.7265</f>
        <v>191.64049999999997</v>
      </c>
      <c r="T29" s="13">
        <f>30.76+51.3545</f>
        <v>82.114500000000007</v>
      </c>
      <c r="U29" s="13">
        <v>19.748999999999999</v>
      </c>
      <c r="V29" s="13">
        <v>4.5259999999999998</v>
      </c>
      <c r="W29" s="13">
        <v>20217</v>
      </c>
      <c r="X29" s="13">
        <v>2404</v>
      </c>
      <c r="Y29" s="13">
        <v>17813</v>
      </c>
      <c r="Z29" s="13">
        <v>0</v>
      </c>
      <c r="AA29" s="13">
        <v>5.7</v>
      </c>
      <c r="AB29" s="13">
        <v>661.2</v>
      </c>
    </row>
    <row r="30" spans="1:28" s="15" customFormat="1" ht="12.75" x14ac:dyDescent="0.2">
      <c r="A30" s="11">
        <v>39417</v>
      </c>
      <c r="B30" s="321"/>
      <c r="C30" s="245">
        <f t="shared" si="1"/>
        <v>56.390999999999998</v>
      </c>
      <c r="D30" s="13">
        <v>38.9</v>
      </c>
      <c r="E30" s="13">
        <v>17.491</v>
      </c>
      <c r="F30" s="247">
        <f t="shared" si="2"/>
        <v>9.2850000000000001</v>
      </c>
      <c r="G30" s="13">
        <v>0</v>
      </c>
      <c r="H30" s="13">
        <v>9.2850000000000001</v>
      </c>
      <c r="I30" s="13">
        <v>0</v>
      </c>
      <c r="J30" s="249"/>
      <c r="K30" s="251">
        <f t="shared" si="3"/>
        <v>163.82599999999999</v>
      </c>
      <c r="L30" s="13">
        <v>108.824</v>
      </c>
      <c r="M30" s="13">
        <v>47.555</v>
      </c>
      <c r="N30" s="13">
        <v>7.4470000000000001</v>
      </c>
      <c r="O30" s="13"/>
      <c r="P30" s="13">
        <v>11.700825</v>
      </c>
      <c r="Q30" s="13">
        <v>18.599710427691427</v>
      </c>
      <c r="R30" s="13">
        <f>162.687+1.32506+90.37428+0.03+0.50275</f>
        <v>254.91909000000001</v>
      </c>
      <c r="S30" s="13">
        <f>125.125+44.72418+0.9084+0.71786</f>
        <v>171.47543999999999</v>
      </c>
      <c r="T30" s="13">
        <f>35.141+0.485+42.51735+0.03</f>
        <v>78.173349999999999</v>
      </c>
      <c r="U30" s="13">
        <v>20.137</v>
      </c>
      <c r="V30" s="13">
        <v>10.222</v>
      </c>
      <c r="W30" s="13">
        <v>17225</v>
      </c>
      <c r="X30" s="13">
        <v>2100</v>
      </c>
      <c r="Y30" s="13">
        <v>15125</v>
      </c>
      <c r="Z30" s="13">
        <v>1203.23</v>
      </c>
      <c r="AA30" s="13">
        <v>19.053000000000001</v>
      </c>
      <c r="AB30" s="13">
        <v>220</v>
      </c>
    </row>
    <row r="31" spans="1:28" s="15" customFormat="1" ht="12.75" x14ac:dyDescent="0.2">
      <c r="A31" s="11">
        <v>39448</v>
      </c>
      <c r="B31" s="321"/>
      <c r="C31" s="245">
        <f t="shared" si="1"/>
        <v>68.349000000000004</v>
      </c>
      <c r="D31" s="13">
        <v>55</v>
      </c>
      <c r="E31" s="13">
        <v>13.349</v>
      </c>
      <c r="F31" s="247">
        <f t="shared" si="2"/>
        <v>14.355999999999998</v>
      </c>
      <c r="G31" s="13">
        <v>3.585</v>
      </c>
      <c r="H31" s="13">
        <f>8.581+0.144</f>
        <v>8.7249999999999996</v>
      </c>
      <c r="I31" s="13">
        <v>2.0459999999999998</v>
      </c>
      <c r="J31" s="249"/>
      <c r="K31" s="251">
        <f t="shared" si="3"/>
        <v>158.82900000000001</v>
      </c>
      <c r="L31" s="13">
        <v>101.575</v>
      </c>
      <c r="M31" s="13">
        <v>48.439</v>
      </c>
      <c r="N31" s="13">
        <v>8.8149999999999995</v>
      </c>
      <c r="O31" s="13"/>
      <c r="P31" s="13">
        <v>12.499290999999999</v>
      </c>
      <c r="Q31" s="13">
        <v>9.9527397473471471</v>
      </c>
      <c r="R31" s="13">
        <f>161.108+102.9307</f>
        <v>264.03870000000001</v>
      </c>
      <c r="S31" s="13">
        <f>139.412+0.59965+58.53935+1.95952</f>
        <v>200.51051999999999</v>
      </c>
      <c r="T31" s="13">
        <f>31.778+1.53+42.4453+0.04</f>
        <v>75.793300000000002</v>
      </c>
      <c r="U31" s="13">
        <v>16.039000000000001</v>
      </c>
      <c r="V31" s="13">
        <v>3.42</v>
      </c>
      <c r="W31" s="13">
        <v>25053</v>
      </c>
      <c r="X31" s="13">
        <v>3603</v>
      </c>
      <c r="Y31" s="13">
        <v>19742.099999999999</v>
      </c>
      <c r="Z31" s="13">
        <v>5385.1</v>
      </c>
      <c r="AA31" s="13">
        <v>16.100000000000001</v>
      </c>
      <c r="AB31" s="13">
        <v>1628.8</v>
      </c>
    </row>
    <row r="32" spans="1:28" s="15" customFormat="1" ht="12.75" x14ac:dyDescent="0.2">
      <c r="A32" s="11">
        <v>39479</v>
      </c>
      <c r="B32" s="321"/>
      <c r="C32" s="245">
        <f t="shared" si="1"/>
        <v>74.042000000000002</v>
      </c>
      <c r="D32" s="13">
        <v>54</v>
      </c>
      <c r="E32" s="13">
        <v>20.042000000000002</v>
      </c>
      <c r="F32" s="247">
        <f t="shared" si="2"/>
        <v>19.913</v>
      </c>
      <c r="G32" s="13">
        <v>4.7270000000000003</v>
      </c>
      <c r="H32" s="13">
        <f>8.462+0</f>
        <v>8.4619999999999997</v>
      </c>
      <c r="I32" s="13">
        <v>6.7240000000000002</v>
      </c>
      <c r="J32" s="249"/>
      <c r="K32" s="251">
        <f t="shared" si="3"/>
        <v>134.79599999999999</v>
      </c>
      <c r="L32" s="13">
        <v>91.941000000000003</v>
      </c>
      <c r="M32" s="13">
        <v>34.307000000000002</v>
      </c>
      <c r="N32" s="13">
        <v>8.548</v>
      </c>
      <c r="O32" s="13"/>
      <c r="P32" s="13">
        <v>11.232944999999999</v>
      </c>
      <c r="Q32" s="13">
        <v>8.9511400733672684</v>
      </c>
      <c r="R32" s="13">
        <f>98.5763+167.819</f>
        <v>266.39530000000002</v>
      </c>
      <c r="S32" s="13">
        <f>134.877+1.4052+55.00282+1.70105</f>
        <v>192.98607000000004</v>
      </c>
      <c r="T32" s="13">
        <f>25.186+1.034+39.6577+0.08</f>
        <v>65.957700000000003</v>
      </c>
      <c r="U32" s="13">
        <v>16.678999999999998</v>
      </c>
      <c r="V32" s="13">
        <v>5.3970000000000002</v>
      </c>
      <c r="W32" s="13">
        <v>22370</v>
      </c>
      <c r="X32" s="13">
        <v>2997</v>
      </c>
      <c r="Y32" s="13">
        <v>22370</v>
      </c>
      <c r="Z32" s="13">
        <v>4333.2</v>
      </c>
      <c r="AA32" s="13">
        <v>14.7</v>
      </c>
      <c r="AB32" s="13">
        <v>1494.2</v>
      </c>
    </row>
    <row r="33" spans="1:28" s="15" customFormat="1" ht="12.75" x14ac:dyDescent="0.2">
      <c r="A33" s="11">
        <v>39508</v>
      </c>
      <c r="B33" s="321"/>
      <c r="C33" s="245">
        <f t="shared" si="1"/>
        <v>57.504000000000005</v>
      </c>
      <c r="D33" s="13">
        <v>40</v>
      </c>
      <c r="E33" s="13">
        <v>17.504000000000001</v>
      </c>
      <c r="F33" s="247">
        <f t="shared" si="2"/>
        <v>9.9459999999999997</v>
      </c>
      <c r="G33" s="13">
        <v>0.33200000000000002</v>
      </c>
      <c r="H33" s="13">
        <f>7.533+0.189</f>
        <v>7.7220000000000004</v>
      </c>
      <c r="I33" s="13">
        <v>1.8919999999999999</v>
      </c>
      <c r="J33" s="249"/>
      <c r="K33" s="251">
        <f t="shared" si="3"/>
        <v>141.61500000000001</v>
      </c>
      <c r="L33" s="13">
        <v>86.808999999999997</v>
      </c>
      <c r="M33" s="13">
        <v>46.551000000000002</v>
      </c>
      <c r="N33" s="13">
        <v>8.2550000000000008</v>
      </c>
      <c r="O33" s="13"/>
      <c r="P33" s="13">
        <v>11.781936</v>
      </c>
      <c r="Q33" s="13">
        <v>9.1682036203148627</v>
      </c>
      <c r="R33" s="13">
        <f>147.283+1.61572+97.34844+0.7994</f>
        <v>247.04656</v>
      </c>
      <c r="S33" s="13">
        <f>133.368+1.58002+55.77642+0.764</f>
        <v>191.48844</v>
      </c>
      <c r="T33" s="13">
        <f>13.197+0.046+37.2446+0.03</f>
        <v>50.517600000000002</v>
      </c>
      <c r="U33" s="13">
        <v>14.779</v>
      </c>
      <c r="V33" s="13">
        <v>0</v>
      </c>
      <c r="W33" s="13">
        <v>19361</v>
      </c>
      <c r="X33" s="13">
        <v>2994</v>
      </c>
      <c r="Y33" s="13">
        <v>16367</v>
      </c>
      <c r="Z33" s="13">
        <v>3930.7</v>
      </c>
      <c r="AA33" s="13">
        <v>9.3000000000000007</v>
      </c>
      <c r="AB33" s="13">
        <v>1622.3</v>
      </c>
    </row>
    <row r="34" spans="1:28" s="15" customFormat="1" ht="12.75" x14ac:dyDescent="0.2">
      <c r="A34" s="11">
        <v>39539</v>
      </c>
      <c r="B34" s="321"/>
      <c r="C34" s="245">
        <f t="shared" si="1"/>
        <v>54.361000000000004</v>
      </c>
      <c r="D34" s="13">
        <v>44</v>
      </c>
      <c r="E34" s="13">
        <v>10.361000000000001</v>
      </c>
      <c r="F34" s="247">
        <f t="shared" si="2"/>
        <v>11.547000000000001</v>
      </c>
      <c r="G34" s="13">
        <v>2.915</v>
      </c>
      <c r="H34" s="13">
        <v>4.367</v>
      </c>
      <c r="I34" s="13">
        <v>4.2649999999999997</v>
      </c>
      <c r="J34" s="249"/>
      <c r="K34" s="251">
        <f t="shared" si="3"/>
        <v>151.661</v>
      </c>
      <c r="L34" s="13">
        <v>100.04</v>
      </c>
      <c r="M34" s="13">
        <v>43.069000000000003</v>
      </c>
      <c r="N34" s="13">
        <v>8.5519999999999996</v>
      </c>
      <c r="O34" s="13"/>
      <c r="P34" s="13">
        <v>11.569475199999999</v>
      </c>
      <c r="Q34" s="13">
        <v>9.2571064966148136</v>
      </c>
      <c r="R34" s="13">
        <f>168.527+102.2512</f>
        <v>270.77819999999997</v>
      </c>
      <c r="S34" s="13">
        <f>68.3068+152.295</f>
        <v>220.60179999999997</v>
      </c>
      <c r="T34" s="13">
        <f>38.0999+22.471</f>
        <v>60.570899999999995</v>
      </c>
      <c r="U34" s="13">
        <v>8.9670000000000005</v>
      </c>
      <c r="V34" s="13">
        <v>7.3579999999999997</v>
      </c>
      <c r="W34" s="13">
        <v>24009</v>
      </c>
      <c r="X34" s="13">
        <v>3323</v>
      </c>
      <c r="Y34" s="13">
        <v>20686</v>
      </c>
      <c r="Z34" s="13">
        <v>593</v>
      </c>
      <c r="AA34" s="13">
        <v>18.8</v>
      </c>
      <c r="AB34" s="13">
        <v>1718.3</v>
      </c>
    </row>
    <row r="35" spans="1:28" s="15" customFormat="1" ht="12.75" x14ac:dyDescent="0.2">
      <c r="A35" s="11">
        <v>39569</v>
      </c>
      <c r="B35" s="321"/>
      <c r="C35" s="245">
        <f t="shared" si="1"/>
        <v>51.063000000000002</v>
      </c>
      <c r="D35" s="13">
        <v>38</v>
      </c>
      <c r="E35" s="13">
        <v>13.063000000000001</v>
      </c>
      <c r="F35" s="247">
        <f t="shared" si="2"/>
        <v>7.1139999999999999</v>
      </c>
      <c r="G35" s="13">
        <v>0</v>
      </c>
      <c r="H35" s="13">
        <v>6.9219999999999997</v>
      </c>
      <c r="I35" s="13">
        <v>0.192</v>
      </c>
      <c r="J35" s="249"/>
      <c r="K35" s="251">
        <f t="shared" si="3"/>
        <v>158.73400000000001</v>
      </c>
      <c r="L35" s="13">
        <v>104.72499999999999</v>
      </c>
      <c r="M35" s="13">
        <v>46.216999999999999</v>
      </c>
      <c r="N35" s="13">
        <v>7.7919999999999998</v>
      </c>
      <c r="O35" s="13"/>
      <c r="P35" s="13">
        <v>12.085955199999999</v>
      </c>
      <c r="Q35" s="13">
        <v>9.7079806673115208</v>
      </c>
      <c r="R35" s="13">
        <f>101.4756+174.557</f>
        <v>276.0326</v>
      </c>
      <c r="S35" s="13">
        <f>149.11+66.5737</f>
        <v>215.68370000000002</v>
      </c>
      <c r="T35" s="13">
        <f>24.974+36.6496</f>
        <v>61.623599999999996</v>
      </c>
      <c r="U35" s="13">
        <v>17.969000000000001</v>
      </c>
      <c r="V35" s="13">
        <v>12.178000000000001</v>
      </c>
      <c r="W35" s="13">
        <v>19698</v>
      </c>
      <c r="X35" s="13">
        <v>2565</v>
      </c>
      <c r="Y35" s="13">
        <v>17133</v>
      </c>
      <c r="Z35" s="13">
        <v>0</v>
      </c>
      <c r="AA35" s="13">
        <v>12.1</v>
      </c>
      <c r="AB35" s="13">
        <v>1508.7</v>
      </c>
    </row>
    <row r="36" spans="1:28" s="15" customFormat="1" ht="12.75" x14ac:dyDescent="0.2">
      <c r="A36" s="11">
        <v>39600</v>
      </c>
      <c r="B36" s="321"/>
      <c r="C36" s="245">
        <f t="shared" si="1"/>
        <v>53.126000000000005</v>
      </c>
      <c r="D36" s="13">
        <v>37</v>
      </c>
      <c r="E36" s="13">
        <v>16.126000000000001</v>
      </c>
      <c r="F36" s="247">
        <f t="shared" si="2"/>
        <v>3.149</v>
      </c>
      <c r="G36" s="13">
        <v>0</v>
      </c>
      <c r="H36" s="13">
        <v>3.0750000000000002</v>
      </c>
      <c r="I36" s="13">
        <v>7.3999999999999996E-2</v>
      </c>
      <c r="J36" s="249"/>
      <c r="K36" s="251">
        <f t="shared" si="3"/>
        <v>152.999</v>
      </c>
      <c r="L36" s="13">
        <v>99.328999999999994</v>
      </c>
      <c r="M36" s="13">
        <v>45.362000000000002</v>
      </c>
      <c r="N36" s="13">
        <v>8.3079999999999998</v>
      </c>
      <c r="O36" s="13"/>
      <c r="P36" s="13">
        <v>11.157267599999994</v>
      </c>
      <c r="Q36" s="13">
        <v>8.948420395044387</v>
      </c>
      <c r="R36" s="13">
        <f>179.232+98.9123</f>
        <v>278.14429999999999</v>
      </c>
      <c r="S36" s="13">
        <f>61.7947+143.044</f>
        <v>204.83870000000002</v>
      </c>
      <c r="T36" s="13">
        <f>33.184+35.3751</f>
        <v>68.559100000000001</v>
      </c>
      <c r="U36" s="13">
        <v>12.199</v>
      </c>
      <c r="V36" s="13">
        <v>13.231999999999999</v>
      </c>
      <c r="W36" s="13">
        <v>18669</v>
      </c>
      <c r="X36" s="13">
        <v>2988</v>
      </c>
      <c r="Y36" s="13">
        <v>15681</v>
      </c>
      <c r="Z36" s="13">
        <v>0</v>
      </c>
      <c r="AA36" s="13">
        <v>19.5</v>
      </c>
      <c r="AB36" s="13">
        <v>2010</v>
      </c>
    </row>
    <row r="37" spans="1:28" s="15" customFormat="1" ht="12.75" x14ac:dyDescent="0.2">
      <c r="A37" s="11">
        <v>39630</v>
      </c>
      <c r="B37" s="321"/>
      <c r="C37" s="245">
        <f t="shared" si="1"/>
        <v>60.765999999999998</v>
      </c>
      <c r="D37" s="13">
        <v>51</v>
      </c>
      <c r="E37" s="13">
        <v>9.766</v>
      </c>
      <c r="F37" s="247">
        <f t="shared" si="2"/>
        <v>5.1340000000000003</v>
      </c>
      <c r="G37" s="13">
        <v>0</v>
      </c>
      <c r="H37" s="13">
        <v>5.1340000000000003</v>
      </c>
      <c r="I37" s="13">
        <v>0</v>
      </c>
      <c r="J37" s="249"/>
      <c r="K37" s="251">
        <f t="shared" si="3"/>
        <v>150.91499999999999</v>
      </c>
      <c r="L37" s="13">
        <v>94.251999999999995</v>
      </c>
      <c r="M37" s="13">
        <v>48.045999999999999</v>
      </c>
      <c r="N37" s="13">
        <v>8.6170000000000009</v>
      </c>
      <c r="O37" s="13"/>
      <c r="P37" s="13">
        <v>11.699401999999999</v>
      </c>
      <c r="Q37" s="13">
        <v>9.2218856940330785</v>
      </c>
      <c r="R37" s="13">
        <f>179.242+2.35648+95.9806+0.59861</f>
        <v>278.17768999999998</v>
      </c>
      <c r="S37" s="13">
        <f>1.03648+61.26147+0.66+144.331</f>
        <v>207.28895</v>
      </c>
      <c r="T37" s="13">
        <f>37.387+1.32+36.4715</f>
        <v>75.1785</v>
      </c>
      <c r="U37" s="13">
        <v>19.338000000000001</v>
      </c>
      <c r="V37" s="13">
        <v>9.0879999999999992</v>
      </c>
      <c r="W37" s="13">
        <v>19641</v>
      </c>
      <c r="X37" s="13">
        <v>3124</v>
      </c>
      <c r="Y37" s="13">
        <v>16517</v>
      </c>
      <c r="Z37" s="13">
        <v>0</v>
      </c>
      <c r="AA37" s="13">
        <v>17.399999999999999</v>
      </c>
      <c r="AB37" s="13">
        <v>1274</v>
      </c>
    </row>
    <row r="38" spans="1:28" s="15" customFormat="1" ht="12.75" x14ac:dyDescent="0.2">
      <c r="A38" s="11">
        <v>39661</v>
      </c>
      <c r="B38" s="321"/>
      <c r="C38" s="245">
        <f t="shared" si="1"/>
        <v>50.222999999999999</v>
      </c>
      <c r="D38" s="13">
        <v>41</v>
      </c>
      <c r="E38" s="13">
        <v>9.2230000000000008</v>
      </c>
      <c r="F38" s="247">
        <f t="shared" si="2"/>
        <v>8.8650000000000002</v>
      </c>
      <c r="G38" s="13">
        <v>0.73599999999999999</v>
      </c>
      <c r="H38" s="13">
        <v>7.2350000000000003</v>
      </c>
      <c r="I38" s="13">
        <v>0.89400000000000002</v>
      </c>
      <c r="J38" s="249"/>
      <c r="K38" s="251">
        <f t="shared" si="3"/>
        <v>165.37800000000001</v>
      </c>
      <c r="L38" s="13">
        <v>111.31</v>
      </c>
      <c r="M38" s="13">
        <v>46.67</v>
      </c>
      <c r="N38" s="13">
        <v>7.3979999999999997</v>
      </c>
      <c r="O38" s="13"/>
      <c r="P38" s="13">
        <v>10.993662</v>
      </c>
      <c r="Q38" s="13">
        <v>8.7721993590404388</v>
      </c>
      <c r="R38" s="13">
        <f>168.846+86.4564</f>
        <v>255.30240000000001</v>
      </c>
      <c r="S38" s="13">
        <f>43.2254+132.106</f>
        <v>175.3314</v>
      </c>
      <c r="T38" s="13">
        <f>40.4126+33.631</f>
        <v>74.043599999999998</v>
      </c>
      <c r="U38" s="13">
        <v>13.664999999999999</v>
      </c>
      <c r="V38" s="13">
        <v>0</v>
      </c>
      <c r="W38" s="13">
        <v>14569</v>
      </c>
      <c r="X38" s="13">
        <v>2537</v>
      </c>
      <c r="Y38" s="13">
        <v>12032</v>
      </c>
      <c r="Z38" s="13">
        <v>0</v>
      </c>
      <c r="AA38" s="13">
        <v>9.5</v>
      </c>
      <c r="AB38" s="13">
        <v>1691</v>
      </c>
    </row>
    <row r="39" spans="1:28" s="15" customFormat="1" ht="12.75" x14ac:dyDescent="0.2">
      <c r="A39" s="11">
        <v>39692</v>
      </c>
      <c r="B39" s="321"/>
      <c r="C39" s="245">
        <f t="shared" si="1"/>
        <v>47.847999999999999</v>
      </c>
      <c r="D39" s="13">
        <v>35</v>
      </c>
      <c r="E39" s="13">
        <v>12.848000000000001</v>
      </c>
      <c r="F39" s="247">
        <f t="shared" si="2"/>
        <v>8.5499999999999989</v>
      </c>
      <c r="G39" s="13">
        <v>1.119</v>
      </c>
      <c r="H39" s="13">
        <v>5.97</v>
      </c>
      <c r="I39" s="13">
        <v>1.4610000000000001</v>
      </c>
      <c r="J39" s="249"/>
      <c r="K39" s="251">
        <f t="shared" si="3"/>
        <v>156.47400000000002</v>
      </c>
      <c r="L39" s="13">
        <v>102.276</v>
      </c>
      <c r="M39" s="13">
        <v>46.731000000000002</v>
      </c>
      <c r="N39" s="13">
        <v>7.4669999999999996</v>
      </c>
      <c r="O39" s="13"/>
      <c r="P39" s="13">
        <v>10.878314</v>
      </c>
      <c r="Q39" s="13">
        <v>8.6263999469264885</v>
      </c>
      <c r="R39" s="13">
        <f>137.783+1.73113+93.49888+0.015</f>
        <v>233.02800999999999</v>
      </c>
      <c r="S39" s="13">
        <f>0.53659+34.55327+0.01+110.744</f>
        <v>145.84386000000001</v>
      </c>
      <c r="T39" s="13">
        <f>25.509+1.03+56.9197</f>
        <v>83.458699999999993</v>
      </c>
      <c r="U39" s="13">
        <v>13.867000000000001</v>
      </c>
      <c r="V39" s="13">
        <v>0</v>
      </c>
      <c r="W39" s="13">
        <v>18707</v>
      </c>
      <c r="X39" s="13">
        <v>3475</v>
      </c>
      <c r="Y39" s="13">
        <v>15232</v>
      </c>
      <c r="Z39" s="13">
        <v>0</v>
      </c>
      <c r="AA39" s="13">
        <v>11.65</v>
      </c>
      <c r="AB39" s="13">
        <v>722.80600000000004</v>
      </c>
    </row>
    <row r="40" spans="1:28" s="15" customFormat="1" ht="12.75" x14ac:dyDescent="0.2">
      <c r="A40" s="11">
        <v>39722</v>
      </c>
      <c r="B40" s="321"/>
      <c r="C40" s="245">
        <f t="shared" si="1"/>
        <v>50.08</v>
      </c>
      <c r="D40" s="13">
        <v>43</v>
      </c>
      <c r="E40" s="13">
        <f>5.91+1.17</f>
        <v>7.08</v>
      </c>
      <c r="F40" s="247">
        <f t="shared" si="2"/>
        <v>3.6320000000000001</v>
      </c>
      <c r="G40" s="13">
        <v>0</v>
      </c>
      <c r="H40" s="13">
        <v>3.6320000000000001</v>
      </c>
      <c r="I40" s="13">
        <v>0</v>
      </c>
      <c r="J40" s="249"/>
      <c r="K40" s="251">
        <f t="shared" si="3"/>
        <v>166.64600000000002</v>
      </c>
      <c r="L40" s="13">
        <v>114.44199999999999</v>
      </c>
      <c r="M40" s="13">
        <v>43.411000000000001</v>
      </c>
      <c r="N40" s="13">
        <v>8.7929999999999993</v>
      </c>
      <c r="O40" s="13"/>
      <c r="P40" s="13">
        <v>11.669107300000002</v>
      </c>
      <c r="Q40" s="13">
        <v>9.3158463487280638</v>
      </c>
      <c r="R40" s="13">
        <f>91.7503+140.798</f>
        <v>232.54829999999998</v>
      </c>
      <c r="S40" s="13">
        <f>121.348+33.7642</f>
        <v>155.1122</v>
      </c>
      <c r="T40" s="13">
        <f>48.8697+21.871</f>
        <v>70.740700000000004</v>
      </c>
      <c r="U40" s="13">
        <v>12.61</v>
      </c>
      <c r="V40" s="13">
        <v>0</v>
      </c>
      <c r="W40" s="13">
        <v>17310</v>
      </c>
      <c r="X40" s="13">
        <v>3074</v>
      </c>
      <c r="Y40" s="13">
        <v>14236</v>
      </c>
      <c r="Z40" s="13">
        <v>0</v>
      </c>
      <c r="AA40" s="13">
        <v>12.747</v>
      </c>
      <c r="AB40" s="13">
        <v>689.42499999999995</v>
      </c>
    </row>
    <row r="41" spans="1:28" s="15" customFormat="1" ht="12.75" x14ac:dyDescent="0.2">
      <c r="A41" s="11">
        <v>39753</v>
      </c>
      <c r="B41" s="321"/>
      <c r="C41" s="245">
        <f t="shared" si="1"/>
        <v>72.787000000000006</v>
      </c>
      <c r="D41" s="13">
        <v>50</v>
      </c>
      <c r="E41" s="13">
        <f>19.66+3.127</f>
        <v>22.786999999999999</v>
      </c>
      <c r="F41" s="247">
        <f t="shared" si="2"/>
        <v>8.8550000000000004</v>
      </c>
      <c r="G41" s="13">
        <v>0</v>
      </c>
      <c r="H41" s="13">
        <v>8.8550000000000004</v>
      </c>
      <c r="I41" s="13">
        <v>0</v>
      </c>
      <c r="J41" s="249"/>
      <c r="K41" s="251">
        <f t="shared" si="3"/>
        <v>164.61799999999999</v>
      </c>
      <c r="L41" s="13">
        <v>110.27800000000001</v>
      </c>
      <c r="M41" s="13">
        <v>46.188000000000002</v>
      </c>
      <c r="N41" s="13">
        <v>8.1519999999999992</v>
      </c>
      <c r="O41" s="13"/>
      <c r="P41" s="13">
        <v>11.3747411</v>
      </c>
      <c r="Q41" s="13">
        <v>9.0510946038840689</v>
      </c>
      <c r="R41" s="13">
        <f>179.8+86.5637</f>
        <v>266.36369999999999</v>
      </c>
      <c r="S41" s="13">
        <f>37.1495+144.388</f>
        <v>181.53750000000002</v>
      </c>
      <c r="T41" s="13">
        <f>46.1088+25.053</f>
        <v>71.161799999999999</v>
      </c>
      <c r="U41" s="13">
        <v>9.4770000000000003</v>
      </c>
      <c r="V41" s="13">
        <v>0</v>
      </c>
      <c r="W41" s="13">
        <v>20424</v>
      </c>
      <c r="X41" s="13">
        <v>2934</v>
      </c>
      <c r="Y41" s="13">
        <v>17490</v>
      </c>
      <c r="Z41" s="13">
        <v>0</v>
      </c>
      <c r="AA41" s="13">
        <v>0.374</v>
      </c>
      <c r="AB41" s="13">
        <v>400</v>
      </c>
    </row>
    <row r="42" spans="1:28" s="15" customFormat="1" ht="12.75" x14ac:dyDescent="0.2">
      <c r="A42" s="11">
        <v>39783</v>
      </c>
      <c r="B42" s="321"/>
      <c r="C42" s="245">
        <f t="shared" si="1"/>
        <v>76.891999999999996</v>
      </c>
      <c r="D42" s="13">
        <v>64</v>
      </c>
      <c r="E42" s="13">
        <f>12.256+0.636</f>
        <v>12.891999999999999</v>
      </c>
      <c r="F42" s="247">
        <f t="shared" si="2"/>
        <v>8.1929999999999996</v>
      </c>
      <c r="G42" s="13">
        <v>0</v>
      </c>
      <c r="H42" s="13">
        <v>8.1929999999999996</v>
      </c>
      <c r="I42" s="13">
        <v>0</v>
      </c>
      <c r="J42" s="249"/>
      <c r="K42" s="251">
        <f t="shared" si="3"/>
        <v>164.071</v>
      </c>
      <c r="L42" s="13">
        <v>107.54</v>
      </c>
      <c r="M42" s="13">
        <v>47.448999999999998</v>
      </c>
      <c r="N42" s="13">
        <v>9.0820000000000007</v>
      </c>
      <c r="O42" s="13"/>
      <c r="P42" s="13">
        <v>11.202267600000008</v>
      </c>
      <c r="Q42" s="13">
        <v>9.6149710473878685</v>
      </c>
      <c r="R42" s="13">
        <f>143.207+73.6481</f>
        <v>216.85509999999999</v>
      </c>
      <c r="S42" s="13">
        <f>38.6082+125.012</f>
        <v>163.62020000000001</v>
      </c>
      <c r="T42" s="13">
        <f>42.7001+25.473</f>
        <v>68.173100000000005</v>
      </c>
      <c r="U42" s="13">
        <v>24.736000000000001</v>
      </c>
      <c r="V42" s="13">
        <v>0</v>
      </c>
      <c r="W42" s="13">
        <v>20765</v>
      </c>
      <c r="X42" s="13">
        <v>3255</v>
      </c>
      <c r="Y42" s="13">
        <v>17510</v>
      </c>
      <c r="Z42" s="13">
        <v>0</v>
      </c>
      <c r="AA42" s="13">
        <v>7.3369999999999997</v>
      </c>
      <c r="AB42" s="13">
        <v>0</v>
      </c>
    </row>
    <row r="43" spans="1:28" s="15" customFormat="1" ht="12.75" x14ac:dyDescent="0.2">
      <c r="A43" s="11">
        <v>39814</v>
      </c>
      <c r="B43" s="321"/>
      <c r="C43" s="245">
        <f t="shared" si="1"/>
        <v>70.730999999999995</v>
      </c>
      <c r="D43" s="13">
        <v>55</v>
      </c>
      <c r="E43" s="13">
        <v>15.731</v>
      </c>
      <c r="F43" s="247">
        <f t="shared" si="2"/>
        <v>20.960999999999999</v>
      </c>
      <c r="G43" s="13">
        <v>7.1790000000000003</v>
      </c>
      <c r="H43" s="13">
        <v>6.782</v>
      </c>
      <c r="I43" s="13">
        <v>7</v>
      </c>
      <c r="J43" s="249"/>
      <c r="K43" s="251">
        <f t="shared" si="3"/>
        <v>158.23000000000002</v>
      </c>
      <c r="L43" s="13">
        <v>101.81399999999999</v>
      </c>
      <c r="M43" s="13">
        <v>48.164000000000001</v>
      </c>
      <c r="N43" s="13">
        <v>8.2520000000000007</v>
      </c>
      <c r="O43" s="13"/>
      <c r="P43" s="13">
        <v>12.122531499999999</v>
      </c>
      <c r="Q43" s="13">
        <v>9.8431106149968404</v>
      </c>
      <c r="R43" s="13">
        <v>269.9633</v>
      </c>
      <c r="S43" s="13">
        <v>192.85310000000001</v>
      </c>
      <c r="T43" s="13">
        <v>91.170199999999994</v>
      </c>
      <c r="U43" s="13">
        <v>22.79</v>
      </c>
      <c r="V43" s="13">
        <v>2.6920000000000002</v>
      </c>
      <c r="W43" s="13">
        <v>19882</v>
      </c>
      <c r="X43" s="13">
        <v>3179</v>
      </c>
      <c r="Y43" s="13">
        <v>16672.7</v>
      </c>
      <c r="Z43" s="13">
        <v>2526.4670000000001</v>
      </c>
      <c r="AA43" s="13">
        <v>0</v>
      </c>
      <c r="AB43" s="13">
        <v>40</v>
      </c>
    </row>
    <row r="44" spans="1:28" s="15" customFormat="1" ht="12.75" x14ac:dyDescent="0.2">
      <c r="A44" s="11">
        <v>39845</v>
      </c>
      <c r="B44" s="321"/>
      <c r="C44" s="245">
        <f t="shared" si="1"/>
        <v>75.272999999999996</v>
      </c>
      <c r="D44" s="13">
        <v>56</v>
      </c>
      <c r="E44" s="13">
        <v>19.273</v>
      </c>
      <c r="F44" s="247">
        <f t="shared" si="2"/>
        <v>24.315999999999999</v>
      </c>
      <c r="G44" s="13">
        <v>8.1549999999999994</v>
      </c>
      <c r="H44" s="13">
        <f>7.547+0</f>
        <v>7.5469999999999997</v>
      </c>
      <c r="I44" s="13">
        <v>8.6140000000000008</v>
      </c>
      <c r="J44" s="249"/>
      <c r="K44" s="251">
        <f t="shared" si="3"/>
        <v>133.51300000000001</v>
      </c>
      <c r="L44" s="13">
        <v>92.894000000000005</v>
      </c>
      <c r="M44" s="13">
        <v>34.039000000000001</v>
      </c>
      <c r="N44" s="13">
        <v>6.58</v>
      </c>
      <c r="O44" s="13"/>
      <c r="P44" s="13">
        <v>10.492426699999999</v>
      </c>
      <c r="Q44" s="13">
        <v>8.5250072778576236</v>
      </c>
      <c r="R44" s="13">
        <v>268.36419999999998</v>
      </c>
      <c r="S44" s="13">
        <v>181.56569999999999</v>
      </c>
      <c r="T44" s="13">
        <v>87.038300000000007</v>
      </c>
      <c r="U44" s="13">
        <v>20.224</v>
      </c>
      <c r="V44" s="13">
        <v>6.9139999999999997</v>
      </c>
      <c r="W44" s="13">
        <v>14459</v>
      </c>
      <c r="X44" s="13">
        <v>2827</v>
      </c>
      <c r="Y44" s="13">
        <v>11632</v>
      </c>
      <c r="Z44" s="13">
        <v>4049.337</v>
      </c>
      <c r="AA44" s="13">
        <v>0</v>
      </c>
      <c r="AB44" s="13">
        <v>0</v>
      </c>
    </row>
    <row r="45" spans="1:28" s="15" customFormat="1" ht="12.75" x14ac:dyDescent="0.2">
      <c r="A45" s="11">
        <v>39873</v>
      </c>
      <c r="B45" s="321"/>
      <c r="C45" s="245">
        <f t="shared" si="1"/>
        <v>89.730999999999995</v>
      </c>
      <c r="D45" s="13">
        <v>77</v>
      </c>
      <c r="E45" s="13">
        <f>12.731</f>
        <v>12.731</v>
      </c>
      <c r="F45" s="247">
        <f t="shared" si="2"/>
        <v>17.706000000000003</v>
      </c>
      <c r="G45" s="13">
        <v>4.9829999999999997</v>
      </c>
      <c r="H45" s="13">
        <f>5.793+0.187</f>
        <v>5.98</v>
      </c>
      <c r="I45" s="13">
        <v>6.7430000000000003</v>
      </c>
      <c r="J45" s="249"/>
      <c r="K45" s="251">
        <f t="shared" si="3"/>
        <v>142.92000000000002</v>
      </c>
      <c r="L45" s="13">
        <v>90.426000000000002</v>
      </c>
      <c r="M45" s="13">
        <v>42.872999999999998</v>
      </c>
      <c r="N45" s="13">
        <v>9.6210000000000004</v>
      </c>
      <c r="O45" s="13"/>
      <c r="P45" s="13">
        <v>11.8763012</v>
      </c>
      <c r="Q45" s="13">
        <v>9.174129420787029</v>
      </c>
      <c r="R45" s="13">
        <v>301.57310000000001</v>
      </c>
      <c r="S45" s="13">
        <v>201.3075</v>
      </c>
      <c r="T45" s="13">
        <v>97.055099999999996</v>
      </c>
      <c r="U45" s="13">
        <v>26.013000000000002</v>
      </c>
      <c r="V45" s="13">
        <v>9.7379999999999995</v>
      </c>
      <c r="W45" s="13">
        <v>21963</v>
      </c>
      <c r="X45" s="13">
        <v>3799</v>
      </c>
      <c r="Y45" s="13">
        <v>18164</v>
      </c>
      <c r="Z45" s="13">
        <v>3399.2820000000002</v>
      </c>
      <c r="AA45" s="13">
        <v>6</v>
      </c>
      <c r="AB45" s="13">
        <v>0</v>
      </c>
    </row>
    <row r="46" spans="1:28" s="15" customFormat="1" ht="12.75" x14ac:dyDescent="0.2">
      <c r="A46" s="11">
        <v>39904</v>
      </c>
      <c r="B46" s="321"/>
      <c r="C46" s="245">
        <f t="shared" si="1"/>
        <v>84.611000000000004</v>
      </c>
      <c r="D46" s="13">
        <v>68</v>
      </c>
      <c r="E46" s="13">
        <v>16.611000000000001</v>
      </c>
      <c r="F46" s="247">
        <f t="shared" si="2"/>
        <v>5.391</v>
      </c>
      <c r="G46" s="13">
        <v>0</v>
      </c>
      <c r="H46" s="13">
        <f>5.391+0</f>
        <v>5.391</v>
      </c>
      <c r="I46" s="13">
        <v>0</v>
      </c>
      <c r="J46" s="249"/>
      <c r="K46" s="251">
        <f t="shared" si="3"/>
        <v>134.804</v>
      </c>
      <c r="L46" s="13">
        <v>86.322000000000003</v>
      </c>
      <c r="M46" s="13">
        <v>40.142000000000003</v>
      </c>
      <c r="N46" s="13">
        <v>8.34</v>
      </c>
      <c r="O46" s="13"/>
      <c r="P46" s="13">
        <v>11.497031000000002</v>
      </c>
      <c r="Q46" s="13">
        <v>9.1591553763178695</v>
      </c>
      <c r="R46" s="13">
        <v>297.2</v>
      </c>
      <c r="S46" s="13">
        <v>207.75049000000001</v>
      </c>
      <c r="T46" s="13">
        <v>93.082350000000005</v>
      </c>
      <c r="U46" s="13">
        <v>21.124400000000001</v>
      </c>
      <c r="V46" s="13">
        <v>1.139</v>
      </c>
      <c r="W46" s="13">
        <v>17939</v>
      </c>
      <c r="X46" s="13">
        <v>3515</v>
      </c>
      <c r="Y46" s="13">
        <v>14424</v>
      </c>
      <c r="Z46" s="13">
        <v>1087.8</v>
      </c>
      <c r="AA46" s="13">
        <v>0</v>
      </c>
      <c r="AB46" s="13">
        <v>240.1</v>
      </c>
    </row>
    <row r="47" spans="1:28" s="15" customFormat="1" ht="12.75" x14ac:dyDescent="0.2">
      <c r="A47" s="11">
        <v>39934</v>
      </c>
      <c r="B47" s="321"/>
      <c r="C47" s="245">
        <f t="shared" si="1"/>
        <v>104.887</v>
      </c>
      <c r="D47" s="13">
        <v>92</v>
      </c>
      <c r="E47" s="13">
        <v>12.887</v>
      </c>
      <c r="F47" s="247">
        <f t="shared" si="2"/>
        <v>10.504999999999999</v>
      </c>
      <c r="G47" s="13">
        <v>1.7529999999999999</v>
      </c>
      <c r="H47" s="13">
        <f>6.429+0.143</f>
        <v>6.5720000000000001</v>
      </c>
      <c r="I47" s="13">
        <v>2.1800000000000002</v>
      </c>
      <c r="J47" s="249"/>
      <c r="K47" s="251">
        <f t="shared" si="3"/>
        <v>148.86799999999999</v>
      </c>
      <c r="L47" s="13">
        <v>93.277000000000001</v>
      </c>
      <c r="M47" s="13">
        <v>44.862000000000002</v>
      </c>
      <c r="N47" s="13">
        <v>10.728999999999999</v>
      </c>
      <c r="O47" s="13"/>
      <c r="P47" s="13">
        <v>11.953486399999999</v>
      </c>
      <c r="Q47" s="13">
        <v>9.5403661970406368</v>
      </c>
      <c r="R47" s="13">
        <v>287.61950000000002</v>
      </c>
      <c r="S47" s="13">
        <v>198.96539999999999</v>
      </c>
      <c r="T47" s="13">
        <v>84.018000000000001</v>
      </c>
      <c r="U47" s="13">
        <v>21.829000000000001</v>
      </c>
      <c r="V47" s="13">
        <v>7.8070000000000004</v>
      </c>
      <c r="W47" s="13">
        <v>21863</v>
      </c>
      <c r="X47" s="13">
        <v>2508</v>
      </c>
      <c r="Y47" s="13">
        <v>19355</v>
      </c>
      <c r="Z47" s="13">
        <v>0</v>
      </c>
      <c r="AA47" s="13">
        <v>16.5</v>
      </c>
      <c r="AB47" s="13">
        <v>1062.9000000000001</v>
      </c>
    </row>
    <row r="48" spans="1:28" s="15" customFormat="1" ht="12.75" x14ac:dyDescent="0.2">
      <c r="A48" s="11">
        <v>39965</v>
      </c>
      <c r="B48" s="321"/>
      <c r="C48" s="245">
        <f t="shared" si="1"/>
        <v>98.528000000000006</v>
      </c>
      <c r="D48" s="13">
        <v>88</v>
      </c>
      <c r="E48" s="13">
        <v>10.528</v>
      </c>
      <c r="F48" s="247">
        <f t="shared" si="2"/>
        <v>15.013400000000001</v>
      </c>
      <c r="G48" s="13">
        <v>3.7069999999999999</v>
      </c>
      <c r="H48" s="13">
        <f>5.683+0</f>
        <v>5.6829999999999998</v>
      </c>
      <c r="I48" s="13">
        <v>5.6234000000000002</v>
      </c>
      <c r="J48" s="249"/>
      <c r="K48" s="251">
        <f t="shared" si="3"/>
        <v>157.82399999999998</v>
      </c>
      <c r="L48" s="13">
        <v>100.256</v>
      </c>
      <c r="M48" s="13">
        <v>47.093000000000004</v>
      </c>
      <c r="N48" s="13">
        <v>10.475</v>
      </c>
      <c r="O48" s="13"/>
      <c r="P48" s="13">
        <v>11.763409499999995</v>
      </c>
      <c r="Q48" s="13">
        <v>8.3418751130000004</v>
      </c>
      <c r="R48" s="13">
        <v>291.17200000000003</v>
      </c>
      <c r="S48" s="13">
        <v>210.08949999999999</v>
      </c>
      <c r="T48" s="13">
        <v>80.729600000000005</v>
      </c>
      <c r="U48" s="13">
        <v>25.065999999999999</v>
      </c>
      <c r="V48" s="13">
        <v>5.4169999999999998</v>
      </c>
      <c r="W48" s="13">
        <v>14172</v>
      </c>
      <c r="X48" s="13">
        <v>2941</v>
      </c>
      <c r="Y48" s="13">
        <v>11231</v>
      </c>
      <c r="Z48" s="13">
        <v>0</v>
      </c>
      <c r="AA48" s="13">
        <v>10.6</v>
      </c>
      <c r="AB48" s="13">
        <v>325.39999999999998</v>
      </c>
    </row>
    <row r="49" spans="1:28" s="15" customFormat="1" ht="12.75" x14ac:dyDescent="0.2">
      <c r="A49" s="11">
        <v>39995</v>
      </c>
      <c r="B49" s="321"/>
      <c r="C49" s="245">
        <f t="shared" si="1"/>
        <v>85.992000000000004</v>
      </c>
      <c r="D49" s="13">
        <v>76</v>
      </c>
      <c r="E49" s="13">
        <v>9.9920000000000009</v>
      </c>
      <c r="F49" s="247">
        <f t="shared" si="2"/>
        <v>4.8040000000000003</v>
      </c>
      <c r="G49" s="13">
        <v>0.13700000000000001</v>
      </c>
      <c r="H49" s="13">
        <f>4.603+0</f>
        <v>4.6029999999999998</v>
      </c>
      <c r="I49" s="13">
        <v>6.4000000000000001E-2</v>
      </c>
      <c r="J49" s="249"/>
      <c r="K49" s="251">
        <f t="shared" si="3"/>
        <v>164.339</v>
      </c>
      <c r="L49" s="13">
        <v>100.98399999999999</v>
      </c>
      <c r="M49" s="13">
        <v>52.78</v>
      </c>
      <c r="N49" s="13">
        <v>10.574999999999999</v>
      </c>
      <c r="O49" s="13"/>
      <c r="P49" s="13">
        <v>11.7903989</v>
      </c>
      <c r="Q49" s="13">
        <v>9.2574955183204359</v>
      </c>
      <c r="R49" s="13">
        <v>307.30689999999998</v>
      </c>
      <c r="S49" s="13">
        <v>219.3305</v>
      </c>
      <c r="T49" s="13">
        <v>83.630600000000001</v>
      </c>
      <c r="U49" s="13">
        <v>23.600999999999999</v>
      </c>
      <c r="V49" s="13">
        <v>4.5599999999999996</v>
      </c>
      <c r="W49" s="13">
        <v>21389</v>
      </c>
      <c r="X49" s="13">
        <v>3202</v>
      </c>
      <c r="Y49" s="13">
        <v>18187</v>
      </c>
      <c r="Z49" s="13">
        <v>0</v>
      </c>
      <c r="AA49" s="13">
        <v>1.4</v>
      </c>
      <c r="AB49" s="13">
        <v>449.5</v>
      </c>
    </row>
    <row r="50" spans="1:28" s="15" customFormat="1" ht="12.75" x14ac:dyDescent="0.2">
      <c r="A50" s="11">
        <v>40026</v>
      </c>
      <c r="B50" s="321"/>
      <c r="C50" s="245">
        <f t="shared" si="1"/>
        <v>74.078000000000003</v>
      </c>
      <c r="D50" s="13">
        <v>59</v>
      </c>
      <c r="E50" s="13">
        <v>15.077999999999999</v>
      </c>
      <c r="F50" s="247">
        <f t="shared" si="2"/>
        <v>8.8689999999999998</v>
      </c>
      <c r="G50" s="13">
        <v>2.0019999999999998</v>
      </c>
      <c r="H50" s="13">
        <f>4.582+0.281</f>
        <v>4.8629999999999995</v>
      </c>
      <c r="I50" s="13">
        <v>2.004</v>
      </c>
      <c r="J50" s="249"/>
      <c r="K50" s="251">
        <f t="shared" si="3"/>
        <v>173.29000000000002</v>
      </c>
      <c r="L50" s="13">
        <v>113.003</v>
      </c>
      <c r="M50" s="13">
        <v>50.018000000000001</v>
      </c>
      <c r="N50" s="13">
        <v>10.269</v>
      </c>
      <c r="O50" s="13"/>
      <c r="P50" s="13">
        <v>11.141723100000011</v>
      </c>
      <c r="Q50" s="13">
        <v>8.7855298656957146</v>
      </c>
      <c r="R50" s="13">
        <f>256.2165</f>
        <v>256.2165</v>
      </c>
      <c r="S50" s="13">
        <v>168.82295999999999</v>
      </c>
      <c r="T50" s="13">
        <v>73.069400000000002</v>
      </c>
      <c r="U50" s="13">
        <v>17.055</v>
      </c>
      <c r="V50" s="13">
        <v>2.4860000000000002</v>
      </c>
      <c r="W50" s="13">
        <v>16793</v>
      </c>
      <c r="X50" s="13">
        <v>2736</v>
      </c>
      <c r="Y50" s="13">
        <v>14057</v>
      </c>
      <c r="Z50" s="13">
        <v>0</v>
      </c>
      <c r="AA50" s="13">
        <v>0.214</v>
      </c>
      <c r="AB50" s="13">
        <v>1235.2</v>
      </c>
    </row>
    <row r="51" spans="1:28" s="15" customFormat="1" ht="12.75" x14ac:dyDescent="0.2">
      <c r="A51" s="11">
        <v>40057</v>
      </c>
      <c r="B51" s="321"/>
      <c r="C51" s="245">
        <f t="shared" si="1"/>
        <v>76.055999999999997</v>
      </c>
      <c r="D51" s="13">
        <v>68</v>
      </c>
      <c r="E51" s="13">
        <v>8.0559999999999992</v>
      </c>
      <c r="F51" s="247">
        <f t="shared" si="2"/>
        <v>6.6240000000000006</v>
      </c>
      <c r="G51" s="13">
        <v>1.113</v>
      </c>
      <c r="H51" s="13">
        <f>4.434+0</f>
        <v>4.4340000000000002</v>
      </c>
      <c r="I51" s="13">
        <v>1.077</v>
      </c>
      <c r="J51" s="249"/>
      <c r="K51" s="251">
        <f t="shared" si="3"/>
        <v>172.40899999999999</v>
      </c>
      <c r="L51" s="13">
        <v>111.113</v>
      </c>
      <c r="M51" s="13">
        <v>50.652999999999999</v>
      </c>
      <c r="N51" s="13">
        <v>10.643000000000001</v>
      </c>
      <c r="O51" s="13"/>
      <c r="P51" s="13">
        <v>11.04075590000001</v>
      </c>
      <c r="Q51" s="13">
        <v>9.4750986159838479</v>
      </c>
      <c r="R51" s="13">
        <v>188.52429999999998</v>
      </c>
      <c r="S51" s="13">
        <v>129.4854</v>
      </c>
      <c r="T51" s="13">
        <v>67.5398</v>
      </c>
      <c r="U51" s="13">
        <v>20.029299999999999</v>
      </c>
      <c r="V51" s="13">
        <v>0.97499999999999998</v>
      </c>
      <c r="W51" s="13">
        <v>19759</v>
      </c>
      <c r="X51" s="13">
        <v>2564</v>
      </c>
      <c r="Y51" s="13">
        <v>17195</v>
      </c>
      <c r="Z51" s="13">
        <v>0</v>
      </c>
      <c r="AA51" s="13">
        <v>0</v>
      </c>
      <c r="AB51" s="13">
        <v>1223.7</v>
      </c>
    </row>
    <row r="52" spans="1:28" s="15" customFormat="1" ht="12.75" x14ac:dyDescent="0.2">
      <c r="A52" s="11">
        <v>40087</v>
      </c>
      <c r="B52" s="321"/>
      <c r="C52" s="245">
        <f t="shared" si="1"/>
        <v>92.048000000000002</v>
      </c>
      <c r="D52" s="13">
        <v>72</v>
      </c>
      <c r="E52" s="13">
        <v>20.047999999999998</v>
      </c>
      <c r="F52" s="247">
        <f t="shared" si="2"/>
        <v>8.4650000000000016</v>
      </c>
      <c r="G52" s="13">
        <v>0</v>
      </c>
      <c r="H52" s="13">
        <v>8.2710000000000008</v>
      </c>
      <c r="I52" s="13">
        <v>0.19400000000000001</v>
      </c>
      <c r="J52" s="249"/>
      <c r="K52" s="251">
        <f t="shared" si="3"/>
        <v>175.59229999999999</v>
      </c>
      <c r="L52" s="13">
        <v>120.036</v>
      </c>
      <c r="M52" s="13">
        <v>43.774999999999999</v>
      </c>
      <c r="N52" s="13">
        <v>11.7813</v>
      </c>
      <c r="O52" s="13"/>
      <c r="P52" s="13">
        <v>12.295843000000001</v>
      </c>
      <c r="Q52" s="13">
        <v>9.7228694754810547</v>
      </c>
      <c r="R52" s="13">
        <v>275.87369999999999</v>
      </c>
      <c r="S52" s="13">
        <v>186.62970000000001</v>
      </c>
      <c r="T52" s="13">
        <v>97.624300000000005</v>
      </c>
      <c r="U52" s="13">
        <v>29.14</v>
      </c>
      <c r="V52" s="13">
        <v>1.9810000000000001</v>
      </c>
      <c r="W52" s="13">
        <v>18376</v>
      </c>
      <c r="X52" s="13">
        <v>3092</v>
      </c>
      <c r="Y52" s="13">
        <v>15284</v>
      </c>
      <c r="Z52" s="13">
        <v>0</v>
      </c>
      <c r="AA52" s="13">
        <v>0</v>
      </c>
      <c r="AB52" s="13">
        <v>2707.6</v>
      </c>
    </row>
    <row r="53" spans="1:28" s="15" customFormat="1" ht="12.75" x14ac:dyDescent="0.2">
      <c r="A53" s="11">
        <v>40118</v>
      </c>
      <c r="B53" s="321"/>
      <c r="C53" s="245">
        <f t="shared" si="1"/>
        <v>115.065</v>
      </c>
      <c r="D53" s="13">
        <v>94</v>
      </c>
      <c r="E53" s="13">
        <v>21.065000000000001</v>
      </c>
      <c r="F53" s="247">
        <f t="shared" si="2"/>
        <v>5.3680000000000003</v>
      </c>
      <c r="G53" s="13">
        <v>0</v>
      </c>
      <c r="H53" s="13">
        <f>5.368+0</f>
        <v>5.3680000000000003</v>
      </c>
      <c r="I53" s="13">
        <v>0</v>
      </c>
      <c r="J53" s="249"/>
      <c r="K53" s="251">
        <f t="shared" si="3"/>
        <v>193.39599999999999</v>
      </c>
      <c r="L53" s="13">
        <v>125.812</v>
      </c>
      <c r="M53" s="13">
        <v>56.08</v>
      </c>
      <c r="N53" s="13">
        <v>11.504</v>
      </c>
      <c r="O53" s="13"/>
      <c r="P53" s="13">
        <v>11.875029199999998</v>
      </c>
      <c r="Q53" s="13">
        <v>9.3585004641540941</v>
      </c>
      <c r="R53" s="13">
        <v>242.84020000000001</v>
      </c>
      <c r="S53" s="13">
        <v>156.73609999999999</v>
      </c>
      <c r="T53" s="13">
        <v>84.664100000000005</v>
      </c>
      <c r="U53" s="13">
        <v>29.077000000000002</v>
      </c>
      <c r="V53" s="13">
        <v>0</v>
      </c>
      <c r="W53" s="13">
        <v>12157</v>
      </c>
      <c r="X53" s="13">
        <v>2528</v>
      </c>
      <c r="Y53" s="13">
        <v>9629</v>
      </c>
      <c r="Z53" s="13">
        <f>AVERAGE(Z50:Z52)</f>
        <v>0</v>
      </c>
      <c r="AA53" s="13">
        <f>AVERAGE(AA50:AA52)</f>
        <v>7.1333333333333332E-2</v>
      </c>
      <c r="AB53" s="13">
        <v>529.1</v>
      </c>
    </row>
    <row r="54" spans="1:28" s="15" customFormat="1" ht="12.75" x14ac:dyDescent="0.2">
      <c r="A54" s="11">
        <v>40148</v>
      </c>
      <c r="B54" s="321"/>
      <c r="C54" s="245">
        <f t="shared" si="1"/>
        <v>116.744</v>
      </c>
      <c r="D54" s="13">
        <v>98</v>
      </c>
      <c r="E54" s="13">
        <f>18.298+0.446</f>
        <v>18.744</v>
      </c>
      <c r="F54" s="247">
        <f t="shared" si="2"/>
        <v>7.3314999999999992</v>
      </c>
      <c r="G54" s="13">
        <f>AVERAGE(G50:G53)</f>
        <v>0.77874999999999994</v>
      </c>
      <c r="H54" s="13">
        <f>AVERAGE(H50:H53)</f>
        <v>5.734</v>
      </c>
      <c r="I54" s="13">
        <f>AVERAGE(I50:I53)</f>
        <v>0.81874999999999998</v>
      </c>
      <c r="J54" s="249"/>
      <c r="K54" s="251">
        <f t="shared" si="3"/>
        <v>187.22300000000001</v>
      </c>
      <c r="L54" s="13">
        <v>119.836</v>
      </c>
      <c r="M54" s="13">
        <v>54.509</v>
      </c>
      <c r="N54" s="13">
        <v>12.878</v>
      </c>
      <c r="O54" s="13"/>
      <c r="P54" s="13">
        <v>11.884199799999998</v>
      </c>
      <c r="Q54" s="13">
        <v>9.5501540603648305</v>
      </c>
      <c r="R54" s="13">
        <v>324.92469999999997</v>
      </c>
      <c r="S54" s="13">
        <v>209.5489</v>
      </c>
      <c r="T54" s="13">
        <v>113.1853</v>
      </c>
      <c r="U54" s="13">
        <v>27.286000000000001</v>
      </c>
      <c r="V54" s="13">
        <v>0</v>
      </c>
      <c r="W54" s="13">
        <v>23545</v>
      </c>
      <c r="X54" s="13">
        <v>4015</v>
      </c>
      <c r="Y54" s="13">
        <v>19530</v>
      </c>
      <c r="Z54" s="13">
        <v>356.5</v>
      </c>
      <c r="AA54" s="13">
        <v>0.2</v>
      </c>
      <c r="AB54" s="13">
        <v>1816.3</v>
      </c>
    </row>
    <row r="55" spans="1:28" s="15" customFormat="1" ht="12.75" x14ac:dyDescent="0.2">
      <c r="A55" s="11">
        <v>40179</v>
      </c>
      <c r="B55" s="321"/>
      <c r="C55" s="245">
        <f t="shared" si="1"/>
        <v>118.702</v>
      </c>
      <c r="D55" s="13">
        <v>97</v>
      </c>
      <c r="E55" s="13">
        <v>21.702000000000002</v>
      </c>
      <c r="F55" s="247">
        <f t="shared" si="2"/>
        <v>23.689</v>
      </c>
      <c r="G55" s="13">
        <v>9.49</v>
      </c>
      <c r="H55" s="13">
        <f>3.548+0.918</f>
        <v>4.4660000000000002</v>
      </c>
      <c r="I55" s="13">
        <v>9.7330000000000005</v>
      </c>
      <c r="J55" s="249"/>
      <c r="K55" s="251">
        <f t="shared" si="3"/>
        <v>174.80983000000001</v>
      </c>
      <c r="L55" s="13">
        <v>107.16598</v>
      </c>
      <c r="M55" s="13">
        <v>55.763620000000003</v>
      </c>
      <c r="N55" s="13">
        <v>11.880229999999999</v>
      </c>
      <c r="O55" s="13"/>
      <c r="P55" s="13">
        <v>12.955446999999999</v>
      </c>
      <c r="Q55" s="13">
        <v>10.275378316592043</v>
      </c>
      <c r="R55" s="13">
        <v>355.49099999999999</v>
      </c>
      <c r="S55" s="13">
        <v>214.09469999999999</v>
      </c>
      <c r="T55" s="13">
        <v>132.16239999999999</v>
      </c>
      <c r="U55" s="13">
        <v>43.000999999999998</v>
      </c>
      <c r="V55" s="13">
        <v>0</v>
      </c>
      <c r="W55" s="13">
        <v>16744</v>
      </c>
      <c r="X55" s="13">
        <v>3520</v>
      </c>
      <c r="Y55" s="13">
        <v>13224</v>
      </c>
      <c r="Z55" s="13">
        <v>3342.3</v>
      </c>
      <c r="AA55" s="13">
        <v>2.6</v>
      </c>
      <c r="AB55" s="13">
        <v>597.20000000000005</v>
      </c>
    </row>
    <row r="56" spans="1:28" s="15" customFormat="1" ht="12.75" x14ac:dyDescent="0.2">
      <c r="A56" s="11">
        <v>40210</v>
      </c>
      <c r="B56" s="321"/>
      <c r="C56" s="245">
        <f t="shared" si="1"/>
        <v>105.101</v>
      </c>
      <c r="D56" s="13">
        <v>87</v>
      </c>
      <c r="E56" s="13">
        <v>18.100999999999999</v>
      </c>
      <c r="F56" s="247">
        <f t="shared" si="2"/>
        <v>6.3630000000000004</v>
      </c>
      <c r="G56" s="13">
        <v>1.9570000000000001</v>
      </c>
      <c r="H56" s="13">
        <v>2.339</v>
      </c>
      <c r="I56" s="13">
        <v>2.0670000000000002</v>
      </c>
      <c r="J56" s="249"/>
      <c r="K56" s="251">
        <f t="shared" si="3"/>
        <v>151.24409</v>
      </c>
      <c r="L56" s="13">
        <v>102.36494999999999</v>
      </c>
      <c r="M56" s="13">
        <v>39.013689999999997</v>
      </c>
      <c r="N56" s="13">
        <v>9.8654499999999992</v>
      </c>
      <c r="O56" s="13"/>
      <c r="P56" s="13">
        <v>11.305816</v>
      </c>
      <c r="Q56" s="13">
        <v>8.9160348921857882</v>
      </c>
      <c r="R56" s="13">
        <f>174.252+129.6002</f>
        <v>303.85220000000004</v>
      </c>
      <c r="S56" s="13">
        <v>188.88900000000001</v>
      </c>
      <c r="T56" s="13">
        <v>112.1417</v>
      </c>
      <c r="U56" s="13">
        <v>23.693999999999999</v>
      </c>
      <c r="V56" s="13">
        <v>0</v>
      </c>
      <c r="W56" s="13">
        <v>18212</v>
      </c>
      <c r="X56" s="13">
        <v>3378</v>
      </c>
      <c r="Y56" s="13">
        <v>14834</v>
      </c>
      <c r="Z56" s="13">
        <v>3307.2</v>
      </c>
      <c r="AA56" s="13">
        <v>0.01</v>
      </c>
      <c r="AB56" s="13">
        <v>690.5</v>
      </c>
    </row>
    <row r="57" spans="1:28" s="15" customFormat="1" ht="12.75" x14ac:dyDescent="0.2">
      <c r="A57" s="11">
        <v>40238</v>
      </c>
      <c r="B57" s="321"/>
      <c r="C57" s="245">
        <f t="shared" si="1"/>
        <v>107.127</v>
      </c>
      <c r="D57" s="13">
        <v>91</v>
      </c>
      <c r="E57" s="13">
        <v>16.126999999999999</v>
      </c>
      <c r="F57" s="247">
        <f t="shared" si="2"/>
        <v>18.266999999999999</v>
      </c>
      <c r="G57" s="13">
        <v>5.8949999999999996</v>
      </c>
      <c r="H57" s="13">
        <f>4.963+0.519</f>
        <v>5.4820000000000002</v>
      </c>
      <c r="I57" s="13">
        <v>6.89</v>
      </c>
      <c r="J57" s="249"/>
      <c r="K57" s="251">
        <f t="shared" si="3"/>
        <v>157.94458</v>
      </c>
      <c r="L57" s="13">
        <v>97.581850000000003</v>
      </c>
      <c r="M57" s="13">
        <v>49.126950000000001</v>
      </c>
      <c r="N57" s="13">
        <v>11.23578</v>
      </c>
      <c r="O57" s="13"/>
      <c r="P57" s="13">
        <v>12.682116300000001</v>
      </c>
      <c r="Q57" s="13">
        <v>9.9541190000000004</v>
      </c>
      <c r="R57" s="13">
        <v>370.416</v>
      </c>
      <c r="S57" s="13">
        <v>234.49610000000001</v>
      </c>
      <c r="T57" s="13">
        <v>147.01849999999999</v>
      </c>
      <c r="U57" s="13">
        <v>24.798999999999999</v>
      </c>
      <c r="V57" s="13">
        <v>0</v>
      </c>
      <c r="W57" s="13">
        <v>20145</v>
      </c>
      <c r="X57" s="13">
        <v>3337</v>
      </c>
      <c r="Y57" s="13">
        <v>16808</v>
      </c>
      <c r="Z57" s="13">
        <v>998</v>
      </c>
      <c r="AA57" s="13">
        <v>0</v>
      </c>
      <c r="AB57" s="13">
        <v>1881.4</v>
      </c>
    </row>
    <row r="58" spans="1:28" s="15" customFormat="1" ht="12.75" x14ac:dyDescent="0.2">
      <c r="A58" s="11">
        <v>40269</v>
      </c>
      <c r="B58" s="321"/>
      <c r="C58" s="245">
        <f t="shared" si="1"/>
        <v>110.367</v>
      </c>
      <c r="D58" s="13">
        <v>100</v>
      </c>
      <c r="E58" s="13">
        <f>10.175+0.192</f>
        <v>10.367000000000001</v>
      </c>
      <c r="F58" s="247">
        <f t="shared" si="2"/>
        <v>18.296384000000003</v>
      </c>
      <c r="G58" s="13">
        <v>6.1710000000000003</v>
      </c>
      <c r="H58" s="13">
        <f>2.419+0.368974</f>
        <v>2.7879740000000002</v>
      </c>
      <c r="I58" s="13">
        <v>9.3374100000000002</v>
      </c>
      <c r="J58" s="249"/>
      <c r="K58" s="251">
        <f t="shared" si="3"/>
        <v>159.47272999999998</v>
      </c>
      <c r="L58" s="13">
        <v>99.992490000000004</v>
      </c>
      <c r="M58" s="13">
        <v>47.354640000000003</v>
      </c>
      <c r="N58" s="13">
        <v>12.1256</v>
      </c>
      <c r="O58" s="13"/>
      <c r="P58" s="13">
        <v>12.407839375</v>
      </c>
      <c r="Q58" s="13">
        <v>9.7608210401120203</v>
      </c>
      <c r="R58" s="13">
        <v>389.79020000000003</v>
      </c>
      <c r="S58" s="13">
        <v>229.06020000000001</v>
      </c>
      <c r="T58" s="13">
        <v>158.33009999999999</v>
      </c>
      <c r="U58" s="13">
        <v>24.946999999999999</v>
      </c>
      <c r="V58" s="13">
        <v>3.8069999999999999</v>
      </c>
      <c r="W58" s="13">
        <v>17535.5</v>
      </c>
      <c r="X58" s="13">
        <v>3422</v>
      </c>
      <c r="Y58" s="13">
        <v>14113.5</v>
      </c>
      <c r="Z58" s="13">
        <v>0</v>
      </c>
      <c r="AA58" s="13">
        <v>0</v>
      </c>
      <c r="AB58" s="13">
        <f>AVERAGE(AB55:AB57)</f>
        <v>1056.3666666666668</v>
      </c>
    </row>
    <row r="59" spans="1:28" s="15" customFormat="1" ht="12.75" x14ac:dyDescent="0.2">
      <c r="A59" s="11">
        <v>40299</v>
      </c>
      <c r="B59" s="321"/>
      <c r="C59" s="245">
        <f t="shared" si="1"/>
        <v>105.15</v>
      </c>
      <c r="D59" s="13">
        <v>93</v>
      </c>
      <c r="E59" s="13">
        <f>11.582+0.568</f>
        <v>12.15</v>
      </c>
      <c r="F59" s="247">
        <f t="shared" si="2"/>
        <v>19.515000000000001</v>
      </c>
      <c r="G59" s="13">
        <v>7.1520000000000001</v>
      </c>
      <c r="H59" s="13">
        <v>3.9780000000000002</v>
      </c>
      <c r="I59" s="13">
        <v>8.3849999999999998</v>
      </c>
      <c r="J59" s="249"/>
      <c r="K59" s="251">
        <f t="shared" si="3"/>
        <v>168.05947999999998</v>
      </c>
      <c r="L59" s="13">
        <v>105.00928</v>
      </c>
      <c r="M59" s="13">
        <v>52.228409999999997</v>
      </c>
      <c r="N59" s="13">
        <v>10.82179</v>
      </c>
      <c r="O59" s="13"/>
      <c r="P59" s="13">
        <v>12.972621999999999</v>
      </c>
      <c r="Q59" s="13">
        <v>10.159215</v>
      </c>
      <c r="R59" s="13">
        <v>391.96850000000001</v>
      </c>
      <c r="S59" s="13">
        <v>235.2638</v>
      </c>
      <c r="T59" s="13">
        <v>153.25459999999998</v>
      </c>
      <c r="U59" s="13">
        <v>28.045999999999999</v>
      </c>
      <c r="V59" s="13">
        <v>0</v>
      </c>
      <c r="W59" s="13">
        <v>16449.5</v>
      </c>
      <c r="X59" s="13">
        <v>3332</v>
      </c>
      <c r="Y59" s="13">
        <v>13117</v>
      </c>
      <c r="Z59" s="13">
        <v>0</v>
      </c>
      <c r="AA59" s="13">
        <v>0</v>
      </c>
      <c r="AB59" s="13">
        <v>2673.8</v>
      </c>
    </row>
    <row r="60" spans="1:28" s="15" customFormat="1" ht="12.75" x14ac:dyDescent="0.2">
      <c r="A60" s="11">
        <v>40330</v>
      </c>
      <c r="B60" s="321"/>
      <c r="C60" s="245">
        <f t="shared" si="1"/>
        <v>104.46000000000001</v>
      </c>
      <c r="D60" s="13">
        <v>87</v>
      </c>
      <c r="E60" s="13">
        <v>17.46</v>
      </c>
      <c r="F60" s="247">
        <f t="shared" si="2"/>
        <v>15.468999999999999</v>
      </c>
      <c r="G60" s="13">
        <v>4.7279999999999998</v>
      </c>
      <c r="H60" s="13">
        <f>4.094+0.471</f>
        <v>4.5650000000000004</v>
      </c>
      <c r="I60" s="13">
        <v>6.1760000000000002</v>
      </c>
      <c r="J60" s="249"/>
      <c r="K60" s="251">
        <f t="shared" si="3"/>
        <v>170.78886999999997</v>
      </c>
      <c r="L60" s="13">
        <v>111.02443</v>
      </c>
      <c r="M60" s="13">
        <v>49.249980000000001</v>
      </c>
      <c r="N60" s="13">
        <v>10.51446</v>
      </c>
      <c r="O60" s="13"/>
      <c r="P60" s="13">
        <v>12.030995000000001</v>
      </c>
      <c r="Q60" s="13">
        <v>8.9913080000000001</v>
      </c>
      <c r="R60" s="13">
        <v>385.4658</v>
      </c>
      <c r="S60" s="13">
        <v>233.68980000000002</v>
      </c>
      <c r="T60" s="13">
        <v>157.666</v>
      </c>
      <c r="U60" s="13">
        <v>30.378</v>
      </c>
      <c r="V60" s="13">
        <v>12.28</v>
      </c>
      <c r="W60" s="13">
        <v>19769</v>
      </c>
      <c r="X60" s="13">
        <v>3242</v>
      </c>
      <c r="Y60" s="13">
        <v>16527</v>
      </c>
      <c r="Z60" s="13">
        <v>0</v>
      </c>
      <c r="AA60" s="13">
        <v>0</v>
      </c>
      <c r="AB60" s="13">
        <v>2446.9</v>
      </c>
    </row>
    <row r="61" spans="1:28" s="15" customFormat="1" ht="12.75" x14ac:dyDescent="0.2">
      <c r="A61" s="11">
        <v>40360</v>
      </c>
      <c r="B61" s="321"/>
      <c r="C61" s="245">
        <f t="shared" si="1"/>
        <v>100.613</v>
      </c>
      <c r="D61" s="13">
        <v>83</v>
      </c>
      <c r="E61" s="13">
        <v>17.613</v>
      </c>
      <c r="F61" s="247">
        <f t="shared" si="2"/>
        <v>13</v>
      </c>
      <c r="G61" s="13">
        <v>4.3600000000000003</v>
      </c>
      <c r="H61" s="13">
        <f>4.492+1.263</f>
        <v>5.7549999999999999</v>
      </c>
      <c r="I61" s="13">
        <v>2.8849999999999998</v>
      </c>
      <c r="J61" s="249"/>
      <c r="K61" s="251">
        <f t="shared" si="3"/>
        <v>171.20585</v>
      </c>
      <c r="L61" s="13">
        <v>107.49339999999999</v>
      </c>
      <c r="M61" s="13">
        <v>53.287390000000002</v>
      </c>
      <c r="N61" s="13">
        <v>10.42506</v>
      </c>
      <c r="O61" s="13"/>
      <c r="P61" s="13">
        <v>12.071757</v>
      </c>
      <c r="Q61" s="13">
        <v>9.4402559999999998</v>
      </c>
      <c r="R61" s="13">
        <v>369.80870000000004</v>
      </c>
      <c r="S61" s="13">
        <v>204.11500000000001</v>
      </c>
      <c r="T61" s="13">
        <v>150.23779999999999</v>
      </c>
      <c r="U61" s="13">
        <v>22.88</v>
      </c>
      <c r="V61" s="13">
        <v>5.9669999999999996</v>
      </c>
      <c r="W61" s="13">
        <v>19627</v>
      </c>
      <c r="X61" s="13">
        <v>3422</v>
      </c>
      <c r="Y61" s="13">
        <v>16205</v>
      </c>
      <c r="Z61" s="13">
        <v>0</v>
      </c>
      <c r="AA61" s="13">
        <v>0</v>
      </c>
      <c r="AB61" s="13">
        <v>346.7</v>
      </c>
    </row>
    <row r="62" spans="1:28" s="15" customFormat="1" ht="12.75" x14ac:dyDescent="0.2">
      <c r="A62" s="11">
        <v>40391</v>
      </c>
      <c r="B62" s="321"/>
      <c r="C62" s="245">
        <f t="shared" si="1"/>
        <v>80.307000000000002</v>
      </c>
      <c r="D62" s="13">
        <v>62</v>
      </c>
      <c r="E62" s="13">
        <v>18.307000000000002</v>
      </c>
      <c r="F62" s="247">
        <f t="shared" si="2"/>
        <v>6.7620000000000005</v>
      </c>
      <c r="G62" s="13">
        <v>2.5299999999999998</v>
      </c>
      <c r="H62" s="13">
        <f>3.177+1.055</f>
        <v>4.2320000000000002</v>
      </c>
      <c r="I62" s="13">
        <v>0</v>
      </c>
      <c r="J62" s="249"/>
      <c r="K62" s="251">
        <f t="shared" si="3"/>
        <v>179.52537999999998</v>
      </c>
      <c r="L62" s="13">
        <v>114.67337999999999</v>
      </c>
      <c r="M62" s="13">
        <v>54.080170000000003</v>
      </c>
      <c r="N62" s="13">
        <v>10.77183</v>
      </c>
      <c r="O62" s="13"/>
      <c r="P62" s="13">
        <v>12.064092</v>
      </c>
      <c r="Q62" s="13">
        <v>9.4462499999999991</v>
      </c>
      <c r="R62" s="13">
        <v>310.202</v>
      </c>
      <c r="S62" s="13">
        <v>171.5718</v>
      </c>
      <c r="T62" s="13">
        <v>138.30079999999998</v>
      </c>
      <c r="U62" s="13">
        <v>13.045</v>
      </c>
      <c r="V62" s="13">
        <v>0</v>
      </c>
      <c r="W62" s="13">
        <v>19457</v>
      </c>
      <c r="X62" s="13">
        <v>3539</v>
      </c>
      <c r="Y62" s="13">
        <v>15918</v>
      </c>
      <c r="Z62" s="13">
        <v>0</v>
      </c>
      <c r="AA62" s="13">
        <v>0</v>
      </c>
      <c r="AB62" s="13">
        <v>199.9</v>
      </c>
    </row>
    <row r="63" spans="1:28" s="15" customFormat="1" ht="12.75" x14ac:dyDescent="0.2">
      <c r="A63" s="11">
        <v>40422</v>
      </c>
      <c r="B63" s="321"/>
      <c r="C63" s="245">
        <f t="shared" si="1"/>
        <v>76.801000000000002</v>
      </c>
      <c r="D63" s="13">
        <v>68</v>
      </c>
      <c r="E63" s="13">
        <f>8.159+0.642</f>
        <v>8.8010000000000002</v>
      </c>
      <c r="F63" s="247">
        <f t="shared" si="2"/>
        <v>17.826999999999998</v>
      </c>
      <c r="G63" s="13">
        <v>3.8759999999999999</v>
      </c>
      <c r="H63" s="13">
        <v>4.1020000000000003</v>
      </c>
      <c r="I63" s="13">
        <v>9.8490000000000002</v>
      </c>
      <c r="J63" s="249"/>
      <c r="K63" s="251">
        <f t="shared" si="3"/>
        <v>173.30153999999999</v>
      </c>
      <c r="L63" s="13">
        <v>112.34244</v>
      </c>
      <c r="M63" s="13">
        <v>51.63794</v>
      </c>
      <c r="N63" s="13">
        <v>9.3211600000000008</v>
      </c>
      <c r="O63" s="13"/>
      <c r="P63" s="13">
        <v>12.032120000000001</v>
      </c>
      <c r="Q63" s="13">
        <v>9.3330629999999992</v>
      </c>
      <c r="R63" s="13">
        <v>229.2484</v>
      </c>
      <c r="S63" s="13">
        <v>143.01</v>
      </c>
      <c r="T63" s="13">
        <v>105.3571</v>
      </c>
      <c r="U63" s="13">
        <v>20.029</v>
      </c>
      <c r="V63" s="13">
        <v>0.97499999999999998</v>
      </c>
      <c r="W63" s="13">
        <v>19730</v>
      </c>
      <c r="X63" s="13">
        <v>3366</v>
      </c>
      <c r="Y63" s="13">
        <v>16364</v>
      </c>
      <c r="Z63" s="13">
        <v>0</v>
      </c>
      <c r="AA63" s="13">
        <v>0</v>
      </c>
      <c r="AB63" s="13">
        <v>49.8</v>
      </c>
    </row>
    <row r="64" spans="1:28" s="15" customFormat="1" ht="12.75" x14ac:dyDescent="0.2">
      <c r="A64" s="11">
        <v>40452</v>
      </c>
      <c r="B64" s="321"/>
      <c r="C64" s="245">
        <f t="shared" si="1"/>
        <v>116.37700000000001</v>
      </c>
      <c r="D64" s="13">
        <v>98.075000000000003</v>
      </c>
      <c r="E64" s="13">
        <f>17.129+1.173</f>
        <v>18.302</v>
      </c>
      <c r="F64" s="247">
        <f t="shared" si="2"/>
        <v>16.602</v>
      </c>
      <c r="G64" s="13">
        <v>4.6710000000000003</v>
      </c>
      <c r="H64" s="13">
        <f>8.772+0.097</f>
        <v>8.8689999999999998</v>
      </c>
      <c r="I64" s="13">
        <v>3.0619999999999998</v>
      </c>
      <c r="J64" s="249"/>
      <c r="K64" s="251">
        <f t="shared" si="3"/>
        <v>182.86821</v>
      </c>
      <c r="L64" s="13">
        <v>121.76282</v>
      </c>
      <c r="M64" s="13">
        <v>50.054430000000004</v>
      </c>
      <c r="N64" s="13">
        <v>11.05096</v>
      </c>
      <c r="O64" s="13"/>
      <c r="P64" s="13">
        <v>12.316796999999999</v>
      </c>
      <c r="Q64" s="13">
        <v>9.6154510000000002</v>
      </c>
      <c r="R64" s="13">
        <v>336.40859999999998</v>
      </c>
      <c r="S64" s="13">
        <v>176.8279</v>
      </c>
      <c r="T64" s="13">
        <v>143.80599999999998</v>
      </c>
      <c r="U64" s="13">
        <v>27.78</v>
      </c>
      <c r="V64" s="13">
        <v>0.48199999999999998</v>
      </c>
      <c r="W64" s="13">
        <v>21610</v>
      </c>
      <c r="X64" s="13">
        <v>3426</v>
      </c>
      <c r="Y64" s="13">
        <v>18184</v>
      </c>
      <c r="Z64" s="13">
        <v>0</v>
      </c>
      <c r="AA64" s="13">
        <v>0</v>
      </c>
      <c r="AB64" s="13">
        <v>137.69999999999999</v>
      </c>
    </row>
    <row r="65" spans="1:28" s="15" customFormat="1" ht="12.75" x14ac:dyDescent="0.2">
      <c r="A65" s="11">
        <v>40483</v>
      </c>
      <c r="B65" s="321"/>
      <c r="C65" s="245">
        <f t="shared" si="1"/>
        <v>130.66300000000001</v>
      </c>
      <c r="D65" s="13">
        <v>102</v>
      </c>
      <c r="E65" s="13">
        <v>28.663</v>
      </c>
      <c r="F65" s="247">
        <f t="shared" si="2"/>
        <v>15.515000000000001</v>
      </c>
      <c r="G65" s="13">
        <v>1.9219999999999999</v>
      </c>
      <c r="H65" s="13">
        <f>6.519+0</f>
        <v>6.5190000000000001</v>
      </c>
      <c r="I65" s="13">
        <v>7.0739999999999998</v>
      </c>
      <c r="J65" s="249"/>
      <c r="K65" s="251">
        <f t="shared" si="3"/>
        <v>185.87295</v>
      </c>
      <c r="L65" s="13">
        <v>121.21305</v>
      </c>
      <c r="M65" s="13">
        <v>53.326790000000003</v>
      </c>
      <c r="N65" s="13">
        <v>11.33311</v>
      </c>
      <c r="O65" s="13"/>
      <c r="P65" s="13">
        <v>12.256435</v>
      </c>
      <c r="Q65" s="13">
        <v>9.7489849999999993</v>
      </c>
      <c r="R65" s="13">
        <f>275.8424</f>
        <v>275.8424</v>
      </c>
      <c r="S65" s="13">
        <v>153.435</v>
      </c>
      <c r="T65" s="13">
        <v>117.3336</v>
      </c>
      <c r="U65" s="13">
        <v>30.274999999999999</v>
      </c>
      <c r="V65" s="13">
        <v>13.61</v>
      </c>
      <c r="W65" s="13">
        <v>19940</v>
      </c>
      <c r="X65" s="13">
        <v>3534</v>
      </c>
      <c r="Y65" s="13">
        <v>16406</v>
      </c>
      <c r="Z65" s="13">
        <v>0</v>
      </c>
      <c r="AA65" s="13">
        <v>0</v>
      </c>
      <c r="AB65" s="13">
        <v>0</v>
      </c>
    </row>
    <row r="66" spans="1:28" s="15" customFormat="1" ht="12.75" x14ac:dyDescent="0.2">
      <c r="A66" s="11">
        <v>40513</v>
      </c>
      <c r="B66" s="321"/>
      <c r="C66" s="245">
        <f t="shared" si="1"/>
        <v>123.274</v>
      </c>
      <c r="D66" s="13">
        <v>103</v>
      </c>
      <c r="E66" s="13">
        <v>20.274000000000001</v>
      </c>
      <c r="F66" s="247">
        <f t="shared" si="2"/>
        <v>6.0589999999999993</v>
      </c>
      <c r="G66" s="13">
        <v>7.0000000000000007E-2</v>
      </c>
      <c r="H66" s="13">
        <v>3.9849999999999999</v>
      </c>
      <c r="I66" s="13">
        <v>2.004</v>
      </c>
      <c r="J66" s="249"/>
      <c r="K66" s="251">
        <f t="shared" si="3"/>
        <v>180.52324000000002</v>
      </c>
      <c r="L66" s="13">
        <v>118.24038</v>
      </c>
      <c r="M66" s="13">
        <v>51.784100000000002</v>
      </c>
      <c r="N66" s="13">
        <v>10.498760000000001</v>
      </c>
      <c r="O66" s="13"/>
      <c r="P66" s="13">
        <v>11.877953</v>
      </c>
      <c r="Q66" s="13">
        <v>10.363198000000001</v>
      </c>
      <c r="R66" s="13">
        <v>358.26749999999998</v>
      </c>
      <c r="S66" s="13">
        <v>210.80779999999999</v>
      </c>
      <c r="T66" s="13">
        <v>153.55009999999999</v>
      </c>
      <c r="U66" s="13">
        <v>29.039000000000001</v>
      </c>
      <c r="V66" s="13">
        <v>6.2060000000000004</v>
      </c>
      <c r="W66" s="13">
        <v>22406</v>
      </c>
      <c r="X66" s="13">
        <v>3919</v>
      </c>
      <c r="Y66" s="13">
        <v>18487</v>
      </c>
      <c r="Z66" s="13">
        <v>1458.7</v>
      </c>
      <c r="AA66" s="13">
        <f>(AA18+AA30+AA42+AA54)/4</f>
        <v>10.397500000000001</v>
      </c>
      <c r="AB66" s="13">
        <v>846.3</v>
      </c>
    </row>
    <row r="67" spans="1:28" s="15" customFormat="1" ht="12.75" x14ac:dyDescent="0.2">
      <c r="A67" s="11">
        <v>40544</v>
      </c>
      <c r="B67" s="321"/>
      <c r="C67" s="245">
        <f t="shared" si="1"/>
        <v>127.131</v>
      </c>
      <c r="D67" s="13">
        <v>110</v>
      </c>
      <c r="E67" s="13">
        <v>17.131</v>
      </c>
      <c r="F67" s="247">
        <f t="shared" si="2"/>
        <v>11.047000000000001</v>
      </c>
      <c r="G67" s="13">
        <v>3.4009999999999998</v>
      </c>
      <c r="H67" s="13">
        <v>4.109</v>
      </c>
      <c r="I67" s="13">
        <v>3.5369999999999999</v>
      </c>
      <c r="J67" s="249"/>
      <c r="K67" s="251">
        <f t="shared" si="3"/>
        <v>169.81974420000003</v>
      </c>
      <c r="L67" s="13">
        <v>109.76929220000001</v>
      </c>
      <c r="M67" s="13">
        <v>48.326122000000005</v>
      </c>
      <c r="N67" s="13">
        <v>11.72433</v>
      </c>
      <c r="O67" s="13"/>
      <c r="P67" s="13">
        <v>12.95473</v>
      </c>
      <c r="Q67" s="13">
        <v>10.225168</v>
      </c>
      <c r="R67" s="13">
        <v>402.94759999999997</v>
      </c>
      <c r="S67" s="13">
        <v>209.71730000000002</v>
      </c>
      <c r="T67" s="13">
        <v>169.91540000000001</v>
      </c>
      <c r="U67" s="13">
        <v>29.074000000000002</v>
      </c>
      <c r="V67" s="13">
        <v>0.38900000000000001</v>
      </c>
      <c r="W67" s="13">
        <v>18926</v>
      </c>
      <c r="X67" s="13">
        <v>2932</v>
      </c>
      <c r="Y67" s="13">
        <v>15994</v>
      </c>
      <c r="Z67" s="13">
        <v>3033</v>
      </c>
      <c r="AA67" s="13">
        <v>0</v>
      </c>
      <c r="AB67" s="13">
        <v>1190.1890000000001</v>
      </c>
    </row>
    <row r="68" spans="1:28" s="15" customFormat="1" ht="12.75" x14ac:dyDescent="0.2">
      <c r="A68" s="11">
        <v>40575</v>
      </c>
      <c r="B68" s="321"/>
      <c r="C68" s="245">
        <f t="shared" si="1"/>
        <v>109.181</v>
      </c>
      <c r="D68" s="13">
        <v>96</v>
      </c>
      <c r="E68" s="13">
        <v>13.180999999999999</v>
      </c>
      <c r="F68" s="247">
        <f t="shared" si="2"/>
        <v>21.569000000000003</v>
      </c>
      <c r="G68" s="13">
        <v>7.891</v>
      </c>
      <c r="H68" s="13">
        <f>3.044+0.289</f>
        <v>3.3330000000000002</v>
      </c>
      <c r="I68" s="13">
        <v>10.345000000000001</v>
      </c>
      <c r="J68" s="249"/>
      <c r="K68" s="251">
        <f t="shared" si="3"/>
        <v>157.83244010000001</v>
      </c>
      <c r="L68" s="13">
        <v>100.44056210000001</v>
      </c>
      <c r="M68" s="13">
        <v>45.398937999999994</v>
      </c>
      <c r="N68" s="13">
        <v>11.992939999999999</v>
      </c>
      <c r="O68" s="13"/>
      <c r="P68" s="13">
        <v>11.367902000000001</v>
      </c>
      <c r="Q68" s="13">
        <v>8.9939630000000008</v>
      </c>
      <c r="R68" s="13">
        <v>384.97410000000002</v>
      </c>
      <c r="S68" s="13">
        <v>214.45589999999999</v>
      </c>
      <c r="T68" s="13">
        <v>185.4298</v>
      </c>
      <c r="U68" s="13">
        <v>25.446000000000002</v>
      </c>
      <c r="V68" s="13">
        <v>0</v>
      </c>
      <c r="W68" s="13">
        <v>20188</v>
      </c>
      <c r="X68" s="13">
        <v>3262</v>
      </c>
      <c r="Y68" s="13">
        <v>16926</v>
      </c>
      <c r="Z68" s="13">
        <v>2854.7579999999998</v>
      </c>
      <c r="AA68" s="13">
        <v>0.6</v>
      </c>
      <c r="AB68" s="13">
        <v>2451.46</v>
      </c>
    </row>
    <row r="69" spans="1:28" s="15" customFormat="1" ht="12.75" x14ac:dyDescent="0.2">
      <c r="A69" s="11">
        <v>40603</v>
      </c>
      <c r="B69" s="321"/>
      <c r="C69" s="245">
        <f t="shared" si="1"/>
        <v>136.624</v>
      </c>
      <c r="D69" s="13">
        <v>117</v>
      </c>
      <c r="E69" s="13">
        <v>19.623999999999999</v>
      </c>
      <c r="F69" s="247">
        <f t="shared" si="2"/>
        <v>20.594999999999999</v>
      </c>
      <c r="G69" s="13">
        <v>7.6310000000000002</v>
      </c>
      <c r="H69" s="13">
        <f>2.559+0.48</f>
        <v>3.0390000000000001</v>
      </c>
      <c r="I69" s="13">
        <v>9.9250000000000007</v>
      </c>
      <c r="J69" s="249"/>
      <c r="K69" s="251">
        <f t="shared" si="3"/>
        <v>140.54499900000002</v>
      </c>
      <c r="L69" s="13">
        <v>85.484389000000007</v>
      </c>
      <c r="M69" s="13">
        <v>43.839710000000004</v>
      </c>
      <c r="N69" s="13">
        <v>11.220900000000002</v>
      </c>
      <c r="O69" s="13"/>
      <c r="P69" s="13">
        <v>12.471584999999999</v>
      </c>
      <c r="Q69" s="13">
        <v>9.8624480000000005</v>
      </c>
      <c r="R69" s="13">
        <v>458.46429999999998</v>
      </c>
      <c r="S69" s="13">
        <v>261.71120000000002</v>
      </c>
      <c r="T69" s="13">
        <v>200.59569999999999</v>
      </c>
      <c r="U69" s="13">
        <v>28.748999999999999</v>
      </c>
      <c r="V69" s="13">
        <v>8.8170000000000002</v>
      </c>
      <c r="W69" s="13">
        <v>21910</v>
      </c>
      <c r="X69" s="13">
        <v>3317</v>
      </c>
      <c r="Y69" s="13">
        <v>18593</v>
      </c>
      <c r="Z69" s="13">
        <v>2613.5</v>
      </c>
      <c r="AA69" s="13">
        <v>0.9</v>
      </c>
      <c r="AB69" s="13">
        <v>2503.223</v>
      </c>
    </row>
    <row r="70" spans="1:28" s="15" customFormat="1" ht="12.75" x14ac:dyDescent="0.2">
      <c r="A70" s="11">
        <v>40634</v>
      </c>
      <c r="B70" s="321"/>
      <c r="C70" s="245">
        <f t="shared" si="1"/>
        <v>132.19999999999999</v>
      </c>
      <c r="D70" s="13">
        <v>112</v>
      </c>
      <c r="E70" s="13">
        <v>20.2</v>
      </c>
      <c r="F70" s="247">
        <f t="shared" si="2"/>
        <v>14.052999999999999</v>
      </c>
      <c r="G70" s="13">
        <v>7.4059999999999997</v>
      </c>
      <c r="H70" s="13">
        <v>3.8719999999999999</v>
      </c>
      <c r="I70" s="13">
        <v>2.7749999999999999</v>
      </c>
      <c r="J70" s="249"/>
      <c r="K70" s="251">
        <f t="shared" si="3"/>
        <v>139.69314730000002</v>
      </c>
      <c r="L70" s="13">
        <v>88.286384300000009</v>
      </c>
      <c r="M70" s="13">
        <v>40.341063000000013</v>
      </c>
      <c r="N70" s="13">
        <v>11.065700000000001</v>
      </c>
      <c r="O70" s="13"/>
      <c r="P70" s="13">
        <v>12.216418000000001</v>
      </c>
      <c r="Q70" s="13">
        <v>9.7015469999999997</v>
      </c>
      <c r="R70" s="13">
        <v>418.39400000000001</v>
      </c>
      <c r="S70" s="13">
        <v>238.92959999999999</v>
      </c>
      <c r="T70" s="13">
        <v>186.04910000000001</v>
      </c>
      <c r="U70" s="13">
        <v>40.079000000000001</v>
      </c>
      <c r="V70" s="13">
        <v>2.5859999999999999</v>
      </c>
      <c r="W70" s="13">
        <v>15461</v>
      </c>
      <c r="X70" s="13">
        <v>3138</v>
      </c>
      <c r="Y70" s="13">
        <v>12326</v>
      </c>
      <c r="Z70" s="13">
        <v>0</v>
      </c>
      <c r="AA70" s="13">
        <v>0</v>
      </c>
      <c r="AB70" s="13">
        <v>1144.963</v>
      </c>
    </row>
    <row r="71" spans="1:28" s="15" customFormat="1" ht="12.75" x14ac:dyDescent="0.2">
      <c r="A71" s="11">
        <v>40664</v>
      </c>
      <c r="B71" s="321"/>
      <c r="C71" s="245">
        <f t="shared" si="1"/>
        <v>157.88200000000001</v>
      </c>
      <c r="D71" s="13">
        <v>146</v>
      </c>
      <c r="E71" s="13">
        <v>11.882</v>
      </c>
      <c r="F71" s="247">
        <f t="shared" si="2"/>
        <v>22.791</v>
      </c>
      <c r="G71" s="13">
        <v>6.3860000000000001</v>
      </c>
      <c r="H71" s="13">
        <f>0.842+0.808</f>
        <v>1.65</v>
      </c>
      <c r="I71" s="13">
        <v>14.755000000000001</v>
      </c>
      <c r="J71" s="249"/>
      <c r="K71" s="251">
        <f t="shared" si="3"/>
        <v>157.67516170000002</v>
      </c>
      <c r="L71" s="13">
        <v>95.0661877</v>
      </c>
      <c r="M71" s="13">
        <v>49.888074000000003</v>
      </c>
      <c r="N71" s="13">
        <v>12.7209</v>
      </c>
      <c r="O71" s="13"/>
      <c r="P71" s="13">
        <v>12.566959000000001</v>
      </c>
      <c r="Q71" s="13">
        <v>10.003602000000001</v>
      </c>
      <c r="R71" s="13">
        <v>466.82820000000004</v>
      </c>
      <c r="S71" s="13">
        <v>250.44280000000003</v>
      </c>
      <c r="T71" s="13">
        <v>203.4468</v>
      </c>
      <c r="U71" s="13">
        <v>35.064999999999998</v>
      </c>
      <c r="V71" s="13">
        <v>0</v>
      </c>
      <c r="W71" s="13">
        <v>22206</v>
      </c>
      <c r="X71" s="13">
        <v>3287</v>
      </c>
      <c r="Y71" s="13">
        <v>18919</v>
      </c>
      <c r="Z71" s="13">
        <v>0</v>
      </c>
      <c r="AA71" s="13">
        <v>0</v>
      </c>
      <c r="AB71" s="13">
        <v>2103.614</v>
      </c>
    </row>
    <row r="72" spans="1:28" s="15" customFormat="1" ht="12.75" x14ac:dyDescent="0.2">
      <c r="A72" s="11">
        <v>40695</v>
      </c>
      <c r="B72" s="321"/>
      <c r="C72" s="245">
        <f t="shared" ref="C72:C135" si="4">D72+E72</f>
        <v>133.19</v>
      </c>
      <c r="D72" s="13">
        <v>122</v>
      </c>
      <c r="E72" s="13">
        <v>11.19</v>
      </c>
      <c r="F72" s="247">
        <f t="shared" ref="F72:F135" si="5">G72+H72+I72</f>
        <v>16.023</v>
      </c>
      <c r="G72" s="13">
        <v>5.5430000000000001</v>
      </c>
      <c r="H72" s="13">
        <v>4.1080000000000005</v>
      </c>
      <c r="I72" s="13">
        <v>6.3719999999999999</v>
      </c>
      <c r="J72" s="249"/>
      <c r="K72" s="251">
        <f t="shared" ref="K72:K135" si="6">SUM(L72:O72)</f>
        <v>149.34465900000001</v>
      </c>
      <c r="L72" s="13">
        <v>92.915210000000002</v>
      </c>
      <c r="M72" s="13">
        <v>45.215328999999997</v>
      </c>
      <c r="N72" s="13">
        <v>11.214120000000001</v>
      </c>
      <c r="O72" s="13"/>
      <c r="P72" s="13">
        <v>12.039911999999999</v>
      </c>
      <c r="Q72" s="13">
        <v>9.5241360000000004</v>
      </c>
      <c r="R72" s="13">
        <v>432.62</v>
      </c>
      <c r="S72" s="13">
        <v>232.10340000000002</v>
      </c>
      <c r="T72" s="13">
        <v>199.73779999999999</v>
      </c>
      <c r="U72" s="13">
        <v>35.509</v>
      </c>
      <c r="V72" s="13">
        <v>0</v>
      </c>
      <c r="W72" s="13">
        <v>24279</v>
      </c>
      <c r="X72" s="13">
        <v>3330</v>
      </c>
      <c r="Y72" s="13">
        <v>20949</v>
      </c>
      <c r="Z72" s="13">
        <v>0</v>
      </c>
      <c r="AA72" s="13">
        <v>0</v>
      </c>
      <c r="AB72" s="13">
        <v>1893.0229999999999</v>
      </c>
    </row>
    <row r="73" spans="1:28" s="15" customFormat="1" ht="12.75" x14ac:dyDescent="0.2">
      <c r="A73" s="11">
        <v>40725</v>
      </c>
      <c r="B73" s="321"/>
      <c r="C73" s="245">
        <f t="shared" si="4"/>
        <v>85.841999999999999</v>
      </c>
      <c r="D73" s="13">
        <v>71</v>
      </c>
      <c r="E73" s="13">
        <v>14.842000000000001</v>
      </c>
      <c r="F73" s="247">
        <f t="shared" si="5"/>
        <v>15.714600000000001</v>
      </c>
      <c r="G73" s="13">
        <v>6.14</v>
      </c>
      <c r="H73" s="13">
        <f>0.0046+1.594</f>
        <v>1.5986</v>
      </c>
      <c r="I73" s="13">
        <v>7.976</v>
      </c>
      <c r="J73" s="249"/>
      <c r="K73" s="251">
        <f t="shared" si="6"/>
        <v>159.42197420000002</v>
      </c>
      <c r="L73" s="13">
        <v>97.878068200000016</v>
      </c>
      <c r="M73" s="13">
        <v>48.368095999999994</v>
      </c>
      <c r="N73" s="13">
        <v>13.175810000000002</v>
      </c>
      <c r="O73" s="13"/>
      <c r="P73" s="13">
        <v>12.775905</v>
      </c>
      <c r="Q73" s="13">
        <v>10.318695999999999</v>
      </c>
      <c r="R73" s="13">
        <v>423.55719999999997</v>
      </c>
      <c r="S73" s="13">
        <v>227.90929999999997</v>
      </c>
      <c r="T73" s="13">
        <v>176.47200000000001</v>
      </c>
      <c r="U73" s="13">
        <v>23.286999999999999</v>
      </c>
      <c r="V73" s="13">
        <v>14.778</v>
      </c>
      <c r="W73" s="13">
        <v>23999</v>
      </c>
      <c r="X73" s="13">
        <v>3543</v>
      </c>
      <c r="Y73" s="13">
        <v>20386</v>
      </c>
      <c r="Z73" s="13">
        <v>0</v>
      </c>
      <c r="AA73" s="13">
        <v>0</v>
      </c>
      <c r="AB73" s="13">
        <v>1177.52</v>
      </c>
    </row>
    <row r="74" spans="1:28" s="15" customFormat="1" ht="12.75" x14ac:dyDescent="0.2">
      <c r="A74" s="11">
        <v>40756</v>
      </c>
      <c r="B74" s="321"/>
      <c r="C74" s="245">
        <f t="shared" si="4"/>
        <v>114.718</v>
      </c>
      <c r="D74" s="13">
        <v>105</v>
      </c>
      <c r="E74" s="13">
        <v>9.718</v>
      </c>
      <c r="F74" s="247">
        <f t="shared" si="5"/>
        <v>7.3660000000000005</v>
      </c>
      <c r="G74" s="13">
        <v>3.0779999999999998</v>
      </c>
      <c r="H74" s="13">
        <f>2.591+0.42</f>
        <v>3.0110000000000001</v>
      </c>
      <c r="I74" s="13">
        <v>1.2769999999999999</v>
      </c>
      <c r="J74" s="249"/>
      <c r="K74" s="251">
        <f t="shared" si="6"/>
        <v>171.29352039999998</v>
      </c>
      <c r="L74" s="13">
        <v>110.12696139999998</v>
      </c>
      <c r="M74" s="13">
        <v>48.958548999999998</v>
      </c>
      <c r="N74" s="13">
        <v>12.20801</v>
      </c>
      <c r="O74" s="13"/>
      <c r="P74" s="13">
        <v>12.219628</v>
      </c>
      <c r="Q74" s="13">
        <v>9.6688279999999995</v>
      </c>
      <c r="R74" s="13">
        <v>341.80500000000001</v>
      </c>
      <c r="S74" s="13">
        <v>179.18630000000002</v>
      </c>
      <c r="T74" s="13">
        <v>160.21340000000001</v>
      </c>
      <c r="U74" s="13">
        <v>32.15</v>
      </c>
      <c r="V74" s="13">
        <v>9.26</v>
      </c>
      <c r="W74" s="13">
        <v>25913</v>
      </c>
      <c r="X74" s="13">
        <v>3251</v>
      </c>
      <c r="Y74" s="13">
        <v>22662</v>
      </c>
      <c r="Z74" s="13">
        <v>0</v>
      </c>
      <c r="AA74" s="13">
        <v>0</v>
      </c>
      <c r="AB74" s="13">
        <v>335.83300000000003</v>
      </c>
    </row>
    <row r="75" spans="1:28" s="15" customFormat="1" ht="12.75" x14ac:dyDescent="0.2">
      <c r="A75" s="11">
        <v>40787</v>
      </c>
      <c r="B75" s="321"/>
      <c r="C75" s="245">
        <f t="shared" si="4"/>
        <v>139.53700000000001</v>
      </c>
      <c r="D75" s="13">
        <v>125</v>
      </c>
      <c r="E75" s="13">
        <v>14.537000000000001</v>
      </c>
      <c r="F75" s="247">
        <f t="shared" si="5"/>
        <v>9.2809999999999988</v>
      </c>
      <c r="G75" s="13">
        <v>2.1859999999999999</v>
      </c>
      <c r="H75" s="13">
        <f>1.89+0.222</f>
        <v>2.1120000000000001</v>
      </c>
      <c r="I75" s="13">
        <v>4.9829999999999997</v>
      </c>
      <c r="J75" s="249"/>
      <c r="K75" s="251">
        <f t="shared" si="6"/>
        <v>180.57504699999998</v>
      </c>
      <c r="L75" s="13">
        <v>110.59848600000001</v>
      </c>
      <c r="M75" s="13">
        <v>58.128101000000001</v>
      </c>
      <c r="N75" s="13">
        <v>11.848459999999999</v>
      </c>
      <c r="O75" s="13"/>
      <c r="P75" s="13">
        <v>11.817166</v>
      </c>
      <c r="Q75" s="13">
        <v>9.4419760000000004</v>
      </c>
      <c r="R75" s="13">
        <v>330.30809999999997</v>
      </c>
      <c r="S75" s="13">
        <v>176.2937</v>
      </c>
      <c r="T75" s="13">
        <v>156.53370000000001</v>
      </c>
      <c r="U75" s="13">
        <v>34.749000000000002</v>
      </c>
      <c r="V75" s="13">
        <v>0</v>
      </c>
      <c r="W75" s="13">
        <v>18814</v>
      </c>
      <c r="X75" s="13">
        <v>3305</v>
      </c>
      <c r="Y75" s="13">
        <v>15509</v>
      </c>
      <c r="Z75" s="13">
        <v>0</v>
      </c>
      <c r="AA75" s="13">
        <v>0</v>
      </c>
      <c r="AB75" s="13">
        <v>216.04599999999999</v>
      </c>
    </row>
    <row r="76" spans="1:28" s="15" customFormat="1" ht="12.75" x14ac:dyDescent="0.2">
      <c r="A76" s="11">
        <v>40817</v>
      </c>
      <c r="B76" s="321"/>
      <c r="C76" s="245">
        <f t="shared" si="4"/>
        <v>148.738</v>
      </c>
      <c r="D76" s="13">
        <v>134</v>
      </c>
      <c r="E76" s="13">
        <v>14.738</v>
      </c>
      <c r="F76" s="247">
        <f t="shared" si="5"/>
        <v>9.4719999999999995</v>
      </c>
      <c r="G76" s="13">
        <v>1.1080000000000001</v>
      </c>
      <c r="H76" s="13">
        <v>5.3739999999999997</v>
      </c>
      <c r="I76" s="13">
        <v>2.99</v>
      </c>
      <c r="J76" s="249"/>
      <c r="K76" s="251">
        <f t="shared" si="6"/>
        <v>194.8651361</v>
      </c>
      <c r="L76" s="13">
        <v>127.6039711</v>
      </c>
      <c r="M76" s="13">
        <v>53.100124999999998</v>
      </c>
      <c r="N76" s="13">
        <v>14.161040000000002</v>
      </c>
      <c r="O76" s="13"/>
      <c r="P76" s="13">
        <v>13.147187000000001</v>
      </c>
      <c r="Q76" s="13">
        <v>10.510895</v>
      </c>
      <c r="R76" s="13">
        <v>351.19439999999997</v>
      </c>
      <c r="S76" s="13">
        <v>176.01509999999999</v>
      </c>
      <c r="T76" s="13">
        <v>162.03</v>
      </c>
      <c r="U76" s="13">
        <v>36.484000000000002</v>
      </c>
      <c r="V76" s="13">
        <v>0</v>
      </c>
      <c r="W76" s="13">
        <v>24891</v>
      </c>
      <c r="X76" s="13">
        <v>3297</v>
      </c>
      <c r="Y76" s="13">
        <v>21594</v>
      </c>
      <c r="Z76" s="13">
        <v>0</v>
      </c>
      <c r="AA76" s="13">
        <v>0</v>
      </c>
      <c r="AB76" s="13">
        <v>241.16499999999999</v>
      </c>
    </row>
    <row r="77" spans="1:28" s="15" customFormat="1" ht="12.75" x14ac:dyDescent="0.2">
      <c r="A77" s="11">
        <v>40848</v>
      </c>
      <c r="B77" s="321"/>
      <c r="C77" s="245">
        <f t="shared" si="4"/>
        <v>156.67599999999999</v>
      </c>
      <c r="D77" s="13">
        <v>145</v>
      </c>
      <c r="E77" s="13">
        <v>11.676</v>
      </c>
      <c r="F77" s="247">
        <f t="shared" si="5"/>
        <v>5.9930000000000003</v>
      </c>
      <c r="G77" s="13">
        <v>2.0950000000000002</v>
      </c>
      <c r="H77" s="13">
        <v>1.9E-2</v>
      </c>
      <c r="I77" s="13">
        <v>3.879</v>
      </c>
      <c r="J77" s="249"/>
      <c r="K77" s="251">
        <f t="shared" si="6"/>
        <v>203.5239617</v>
      </c>
      <c r="L77" s="13">
        <v>129.7771247</v>
      </c>
      <c r="M77" s="13">
        <v>61.049697000000002</v>
      </c>
      <c r="N77" s="13">
        <v>12.697139999999999</v>
      </c>
      <c r="O77" s="13"/>
      <c r="P77" s="13">
        <v>12.292496</v>
      </c>
      <c r="Q77" s="13">
        <v>9.8676119999999994</v>
      </c>
      <c r="R77" s="13">
        <v>300.61220000000003</v>
      </c>
      <c r="S77" s="13">
        <v>176.0822</v>
      </c>
      <c r="T77" s="13">
        <v>144.28700000000001</v>
      </c>
      <c r="U77" s="13">
        <v>39.241999999999997</v>
      </c>
      <c r="V77" s="13">
        <v>0</v>
      </c>
      <c r="W77" s="13">
        <v>22746</v>
      </c>
      <c r="X77" s="13">
        <f>AVERAGE(X74:X76)</f>
        <v>3284.3333333333335</v>
      </c>
      <c r="Y77" s="13">
        <f>AVERAGE(Y74:Y76)</f>
        <v>19921.666666666668</v>
      </c>
      <c r="Z77" s="13">
        <v>0</v>
      </c>
      <c r="AA77" s="13">
        <v>0</v>
      </c>
      <c r="AB77" s="13">
        <v>242.22399999999999</v>
      </c>
    </row>
    <row r="78" spans="1:28" s="15" customFormat="1" ht="12.75" x14ac:dyDescent="0.2">
      <c r="A78" s="11">
        <v>40878</v>
      </c>
      <c r="B78" s="321"/>
      <c r="C78" s="245">
        <f t="shared" si="4"/>
        <v>161.91</v>
      </c>
      <c r="D78" s="13">
        <v>129</v>
      </c>
      <c r="E78" s="13">
        <v>32.909999999999997</v>
      </c>
      <c r="F78" s="247">
        <f t="shared" si="5"/>
        <v>10.286999999999999</v>
      </c>
      <c r="G78" s="13">
        <v>1.696</v>
      </c>
      <c r="H78" s="13">
        <v>3.5010000000000003</v>
      </c>
      <c r="I78" s="13">
        <v>5.09</v>
      </c>
      <c r="J78" s="249"/>
      <c r="K78" s="251">
        <f t="shared" si="6"/>
        <v>206.46582239999998</v>
      </c>
      <c r="L78" s="13">
        <v>132.92301839999999</v>
      </c>
      <c r="M78" s="13">
        <v>58.706423999999998</v>
      </c>
      <c r="N78" s="13">
        <v>14.836379999999998</v>
      </c>
      <c r="O78" s="13"/>
      <c r="P78" s="13">
        <v>12.687816</v>
      </c>
      <c r="Q78" s="13">
        <v>10.683187</v>
      </c>
      <c r="R78" s="13">
        <v>408.62549999999999</v>
      </c>
      <c r="S78" s="13">
        <v>226.81730000000002</v>
      </c>
      <c r="T78" s="13">
        <v>196.3202</v>
      </c>
      <c r="U78" s="13">
        <v>32.561</v>
      </c>
      <c r="V78" s="13">
        <v>0</v>
      </c>
      <c r="W78" s="13">
        <v>18917</v>
      </c>
      <c r="X78" s="13">
        <f>AVERAGE(X75:X77)</f>
        <v>3295.4444444444448</v>
      </c>
      <c r="Y78" s="13">
        <f>AVERAGE(Y75:Y77)</f>
        <v>19008.222222222223</v>
      </c>
      <c r="Z78" s="13">
        <v>0</v>
      </c>
      <c r="AA78" s="13">
        <v>0</v>
      </c>
      <c r="AB78" s="13">
        <v>143.45699999999999</v>
      </c>
    </row>
    <row r="79" spans="1:28" s="15" customFormat="1" ht="12.75" x14ac:dyDescent="0.2">
      <c r="A79" s="11">
        <v>40909</v>
      </c>
      <c r="B79" s="321"/>
      <c r="C79" s="245">
        <f t="shared" si="4"/>
        <v>157.83699999999999</v>
      </c>
      <c r="D79" s="13">
        <v>143</v>
      </c>
      <c r="E79" s="13">
        <v>14.837</v>
      </c>
      <c r="F79" s="247">
        <f t="shared" si="5"/>
        <v>1.6869999999999998</v>
      </c>
      <c r="G79" s="13">
        <v>0</v>
      </c>
      <c r="H79" s="13">
        <f>1.176+0.511</f>
        <v>1.6869999999999998</v>
      </c>
      <c r="I79" s="13">
        <v>0</v>
      </c>
      <c r="J79" s="249"/>
      <c r="K79" s="251">
        <f t="shared" si="6"/>
        <v>190.24171999999999</v>
      </c>
      <c r="L79" s="13">
        <v>119.0038</v>
      </c>
      <c r="M79" s="13">
        <v>55.925890000000003</v>
      </c>
      <c r="N79" s="13">
        <v>15.31203</v>
      </c>
      <c r="O79" s="13"/>
      <c r="P79" s="13">
        <v>13.535273</v>
      </c>
      <c r="Q79" s="13">
        <v>10.827961999999999</v>
      </c>
      <c r="R79" s="13">
        <v>449.93600000000004</v>
      </c>
      <c r="S79" s="13">
        <v>217.97069999999999</v>
      </c>
      <c r="T79" s="13">
        <v>201.99469999999999</v>
      </c>
      <c r="U79" s="13">
        <v>33.136000000000003</v>
      </c>
      <c r="V79" s="13">
        <v>13.131</v>
      </c>
      <c r="W79" s="13">
        <v>19017</v>
      </c>
      <c r="X79" s="13">
        <v>2813</v>
      </c>
      <c r="Y79" s="13">
        <v>16258</v>
      </c>
      <c r="Z79" s="13">
        <v>3916.6</v>
      </c>
      <c r="AA79" s="13">
        <v>0</v>
      </c>
      <c r="AB79" s="13">
        <v>847.86800000000005</v>
      </c>
    </row>
    <row r="80" spans="1:28" s="15" customFormat="1" ht="12.75" x14ac:dyDescent="0.2">
      <c r="A80" s="11">
        <v>40940</v>
      </c>
      <c r="B80" s="321"/>
      <c r="C80" s="245">
        <f t="shared" si="4"/>
        <v>128.56299999999999</v>
      </c>
      <c r="D80" s="13">
        <v>115</v>
      </c>
      <c r="E80" s="13">
        <v>13.563000000000001</v>
      </c>
      <c r="F80" s="247">
        <f t="shared" si="5"/>
        <v>2.7652760000000001</v>
      </c>
      <c r="G80" s="13">
        <v>0</v>
      </c>
      <c r="H80" s="13">
        <v>2.7652760000000001</v>
      </c>
      <c r="I80" s="13">
        <v>0</v>
      </c>
      <c r="J80" s="249"/>
      <c r="K80" s="251">
        <f t="shared" si="6"/>
        <v>170.17103</v>
      </c>
      <c r="L80" s="13">
        <v>103.19211</v>
      </c>
      <c r="M80" s="13">
        <v>52.476559999999999</v>
      </c>
      <c r="N80" s="13">
        <v>14.502359999999999</v>
      </c>
      <c r="O80" s="13"/>
      <c r="P80" s="13">
        <v>12.215842</v>
      </c>
      <c r="Q80" s="13">
        <v>9.7673749999999995</v>
      </c>
      <c r="R80" s="13">
        <v>426.45119999999997</v>
      </c>
      <c r="S80" s="13">
        <v>217.9658</v>
      </c>
      <c r="T80" s="13">
        <v>210.089</v>
      </c>
      <c r="U80" s="13">
        <v>23.088999999999999</v>
      </c>
      <c r="V80" s="13">
        <v>0</v>
      </c>
      <c r="W80" s="13">
        <v>16700</v>
      </c>
      <c r="X80" s="13">
        <v>2720</v>
      </c>
      <c r="Y80" s="13">
        <v>13980</v>
      </c>
      <c r="Z80" s="13">
        <v>5124</v>
      </c>
      <c r="AA80" s="13">
        <v>0</v>
      </c>
      <c r="AB80" s="13">
        <v>2035.097</v>
      </c>
    </row>
    <row r="81" spans="1:28" s="15" customFormat="1" ht="12.75" x14ac:dyDescent="0.2">
      <c r="A81" s="11">
        <v>40969</v>
      </c>
      <c r="B81" s="321"/>
      <c r="C81" s="245">
        <f t="shared" si="4"/>
        <v>144.94399999999999</v>
      </c>
      <c r="D81" s="13">
        <v>128</v>
      </c>
      <c r="E81" s="13">
        <v>16.943999999999999</v>
      </c>
      <c r="F81" s="247">
        <f t="shared" si="5"/>
        <v>10.557</v>
      </c>
      <c r="G81" s="13">
        <v>3.3140000000000001</v>
      </c>
      <c r="H81" s="13">
        <f>2.642+0.457</f>
        <v>3.0989999999999998</v>
      </c>
      <c r="I81" s="13">
        <v>4.1440000000000001</v>
      </c>
      <c r="J81" s="249"/>
      <c r="K81" s="251">
        <f t="shared" si="6"/>
        <v>173.82303999999999</v>
      </c>
      <c r="L81" s="13">
        <v>106.45676</v>
      </c>
      <c r="M81" s="13">
        <v>51.815600000000003</v>
      </c>
      <c r="N81" s="13">
        <v>15.55068</v>
      </c>
      <c r="O81" s="13"/>
      <c r="P81" s="13">
        <v>13.201226</v>
      </c>
      <c r="Q81" s="13">
        <v>10.210850000000001</v>
      </c>
      <c r="R81" s="13">
        <v>453.95349999999996</v>
      </c>
      <c r="S81" s="13">
        <v>248.23489999999998</v>
      </c>
      <c r="T81" s="13">
        <v>199.05349999999999</v>
      </c>
      <c r="U81" s="13">
        <v>31.395</v>
      </c>
      <c r="V81" s="13">
        <v>0</v>
      </c>
      <c r="W81" s="13">
        <v>21410</v>
      </c>
      <c r="X81" s="13">
        <v>2903</v>
      </c>
      <c r="Y81" s="13">
        <v>18507</v>
      </c>
      <c r="Z81" s="13">
        <f>1656+1134</f>
        <v>2790</v>
      </c>
      <c r="AA81" s="13">
        <v>0</v>
      </c>
      <c r="AB81" s="13">
        <v>2763.19</v>
      </c>
    </row>
    <row r="82" spans="1:28" s="15" customFormat="1" ht="12.75" x14ac:dyDescent="0.2">
      <c r="A82" s="11">
        <v>41000</v>
      </c>
      <c r="B82" s="321"/>
      <c r="C82" s="245">
        <f t="shared" si="4"/>
        <v>135.43600000000001</v>
      </c>
      <c r="D82" s="13">
        <v>123</v>
      </c>
      <c r="E82" s="13">
        <v>12.436</v>
      </c>
      <c r="F82" s="247">
        <f t="shared" si="5"/>
        <v>9.9535720000000012</v>
      </c>
      <c r="G82" s="13">
        <v>3.2661190000000002</v>
      </c>
      <c r="H82" s="13">
        <f>2.343503+0</f>
        <v>2.3435030000000001</v>
      </c>
      <c r="I82" s="13">
        <v>4.3439500000000004</v>
      </c>
      <c r="J82" s="249"/>
      <c r="K82" s="251">
        <f t="shared" si="6"/>
        <v>175.13139000000001</v>
      </c>
      <c r="L82" s="13">
        <v>108.54123</v>
      </c>
      <c r="M82" s="13">
        <v>52.813299999999998</v>
      </c>
      <c r="N82" s="13">
        <v>13.776859999999999</v>
      </c>
      <c r="O82" s="13"/>
      <c r="P82" s="13">
        <v>12.489190000000001</v>
      </c>
      <c r="Q82" s="13">
        <v>9.9198710000000005</v>
      </c>
      <c r="R82" s="13">
        <v>425.56330000000003</v>
      </c>
      <c r="S82" s="13">
        <v>234.4649</v>
      </c>
      <c r="T82" s="13">
        <v>201.73570000000001</v>
      </c>
      <c r="U82" s="13">
        <v>20.399000000000001</v>
      </c>
      <c r="V82" s="13">
        <v>0</v>
      </c>
      <c r="W82" s="13">
        <v>18337</v>
      </c>
      <c r="X82" s="13">
        <v>2810</v>
      </c>
      <c r="Y82" s="13">
        <v>15527</v>
      </c>
      <c r="Z82" s="13">
        <v>0</v>
      </c>
      <c r="AA82" s="13">
        <v>0</v>
      </c>
      <c r="AB82" s="13">
        <v>398.69</v>
      </c>
    </row>
    <row r="83" spans="1:28" s="15" customFormat="1" ht="12.75" x14ac:dyDescent="0.2">
      <c r="A83" s="11">
        <v>41030</v>
      </c>
      <c r="B83" s="321"/>
      <c r="C83" s="245">
        <f t="shared" si="4"/>
        <v>136.874</v>
      </c>
      <c r="D83" s="13">
        <v>122</v>
      </c>
      <c r="E83" s="13">
        <v>14.874000000000001</v>
      </c>
      <c r="F83" s="247">
        <f t="shared" si="5"/>
        <v>4.5154080000000008</v>
      </c>
      <c r="G83" s="13">
        <v>0.49577900000000003</v>
      </c>
      <c r="H83" s="13">
        <f>2.800905+0</f>
        <v>2.8009050000000002</v>
      </c>
      <c r="I83" s="13">
        <v>1.2187239999999999</v>
      </c>
      <c r="J83" s="249"/>
      <c r="K83" s="251">
        <f t="shared" si="6"/>
        <v>173.27904000000001</v>
      </c>
      <c r="L83" s="13">
        <v>104.09923000000001</v>
      </c>
      <c r="M83" s="13">
        <v>54.30292</v>
      </c>
      <c r="N83" s="13">
        <v>14.87689</v>
      </c>
      <c r="O83" s="13"/>
      <c r="P83" s="13">
        <v>13.234139000000001</v>
      </c>
      <c r="Q83" s="13">
        <v>10.482953999999999</v>
      </c>
      <c r="R83" s="13">
        <v>435.09010000000001</v>
      </c>
      <c r="S83" s="13">
        <v>246.45650000000001</v>
      </c>
      <c r="T83" s="13">
        <v>196.8194</v>
      </c>
      <c r="U83" s="13">
        <v>25.989000000000001</v>
      </c>
      <c r="V83" s="13">
        <v>14.106</v>
      </c>
      <c r="W83" s="13">
        <v>22700</v>
      </c>
      <c r="X83" s="13">
        <v>2743</v>
      </c>
      <c r="Y83" s="13">
        <v>19957</v>
      </c>
      <c r="Z83" s="13">
        <v>0</v>
      </c>
      <c r="AA83" s="13">
        <v>0</v>
      </c>
      <c r="AB83" s="13">
        <v>408.15499999999997</v>
      </c>
    </row>
    <row r="84" spans="1:28" s="15" customFormat="1" ht="12.75" x14ac:dyDescent="0.2">
      <c r="A84" s="11">
        <v>41061</v>
      </c>
      <c r="B84" s="321"/>
      <c r="C84" s="245">
        <f t="shared" si="4"/>
        <v>139.49099999999999</v>
      </c>
      <c r="D84" s="13">
        <v>125</v>
      </c>
      <c r="E84" s="13">
        <v>14.491</v>
      </c>
      <c r="F84" s="247">
        <f t="shared" si="5"/>
        <v>2.7069999999999999</v>
      </c>
      <c r="G84" s="13">
        <v>0</v>
      </c>
      <c r="H84" s="13">
        <v>1.502</v>
      </c>
      <c r="I84" s="13">
        <v>1.2050000000000001</v>
      </c>
      <c r="J84" s="249"/>
      <c r="K84" s="251">
        <f t="shared" si="6"/>
        <v>186.58446000000001</v>
      </c>
      <c r="L84" s="13">
        <v>116.3117</v>
      </c>
      <c r="M84" s="13">
        <v>55.440429999999999</v>
      </c>
      <c r="N84" s="13">
        <v>14.832330000000001</v>
      </c>
      <c r="O84" s="13"/>
      <c r="P84" s="13">
        <v>12.943721</v>
      </c>
      <c r="Q84" s="13">
        <v>10.438302</v>
      </c>
      <c r="R84" s="13">
        <v>420.6825</v>
      </c>
      <c r="S84" s="13">
        <v>242.5924</v>
      </c>
      <c r="T84" s="13">
        <v>176.92599999999999</v>
      </c>
      <c r="U84" s="13">
        <v>27.219000000000001</v>
      </c>
      <c r="V84" s="13">
        <v>8.1760000000000002</v>
      </c>
      <c r="W84" s="13">
        <v>22919</v>
      </c>
      <c r="X84" s="13">
        <v>2816</v>
      </c>
      <c r="Y84" s="13">
        <v>20103</v>
      </c>
      <c r="Z84" s="13">
        <v>0</v>
      </c>
      <c r="AA84" s="13">
        <v>0</v>
      </c>
      <c r="AB84" s="13">
        <v>87.231999999999999</v>
      </c>
    </row>
    <row r="85" spans="1:28" s="15" customFormat="1" ht="12.75" x14ac:dyDescent="0.2">
      <c r="A85" s="11">
        <v>41091</v>
      </c>
      <c r="B85" s="321"/>
      <c r="C85" s="245">
        <f t="shared" si="4"/>
        <v>131.417</v>
      </c>
      <c r="D85" s="13">
        <v>116</v>
      </c>
      <c r="E85" s="13">
        <v>15.417</v>
      </c>
      <c r="F85" s="247">
        <f t="shared" si="5"/>
        <v>1.649</v>
      </c>
      <c r="G85" s="13">
        <v>0</v>
      </c>
      <c r="H85" s="13">
        <v>1.649</v>
      </c>
      <c r="I85" s="13">
        <v>0</v>
      </c>
      <c r="J85" s="249"/>
      <c r="K85" s="251">
        <f t="shared" si="6"/>
        <v>200.19708</v>
      </c>
      <c r="L85" s="13">
        <v>124.30853</v>
      </c>
      <c r="M85" s="13">
        <v>62.785119999999999</v>
      </c>
      <c r="N85" s="13">
        <v>13.103429999999999</v>
      </c>
      <c r="O85" s="13"/>
      <c r="P85" s="13">
        <v>12.81874</v>
      </c>
      <c r="Q85" s="13">
        <v>10.241284</v>
      </c>
      <c r="R85" s="13">
        <v>388.6463</v>
      </c>
      <c r="S85" s="13">
        <v>215.13149999999999</v>
      </c>
      <c r="T85" s="13">
        <v>158.10739999999998</v>
      </c>
      <c r="U85" s="13">
        <v>43.183</v>
      </c>
      <c r="V85" s="13">
        <v>2.7210000000000001</v>
      </c>
      <c r="W85" s="13">
        <v>18973</v>
      </c>
      <c r="X85" s="13">
        <v>3106</v>
      </c>
      <c r="Y85" s="13">
        <v>15867</v>
      </c>
      <c r="Z85" s="13">
        <v>0</v>
      </c>
      <c r="AA85" s="13">
        <v>0</v>
      </c>
      <c r="AB85" s="13">
        <v>1548.557</v>
      </c>
    </row>
    <row r="86" spans="1:28" s="15" customFormat="1" ht="12.75" x14ac:dyDescent="0.2">
      <c r="A86" s="11">
        <v>41122</v>
      </c>
      <c r="B86" s="321"/>
      <c r="C86" s="245">
        <f t="shared" si="4"/>
        <v>102.505</v>
      </c>
      <c r="D86" s="13">
        <v>91</v>
      </c>
      <c r="E86" s="13">
        <v>11.505000000000001</v>
      </c>
      <c r="F86" s="247">
        <f t="shared" si="5"/>
        <v>2.3820000000000001</v>
      </c>
      <c r="G86" s="13">
        <v>0</v>
      </c>
      <c r="H86" s="13">
        <f>2.314+0.068</f>
        <v>2.3820000000000001</v>
      </c>
      <c r="I86" s="13">
        <v>0</v>
      </c>
      <c r="J86" s="249"/>
      <c r="K86" s="251">
        <f t="shared" si="6"/>
        <v>199.5857</v>
      </c>
      <c r="L86" s="13">
        <v>125.96249</v>
      </c>
      <c r="M86" s="13">
        <v>61.446629999999999</v>
      </c>
      <c r="N86" s="13">
        <v>12.17658</v>
      </c>
      <c r="O86" s="13"/>
      <c r="P86" s="13">
        <v>12.650931</v>
      </c>
      <c r="Q86" s="13">
        <v>10.012166000000001</v>
      </c>
      <c r="R86" s="13">
        <v>303.04070000000002</v>
      </c>
      <c r="S86" s="13">
        <v>158.59730000000002</v>
      </c>
      <c r="T86" s="13">
        <v>158.34059999999999</v>
      </c>
      <c r="U86" s="13">
        <v>35.017000000000003</v>
      </c>
      <c r="V86" s="13">
        <v>0</v>
      </c>
      <c r="W86" s="13">
        <v>19320</v>
      </c>
      <c r="X86" s="13">
        <v>2831</v>
      </c>
      <c r="Y86" s="13">
        <v>16489</v>
      </c>
      <c r="Z86" s="13">
        <v>0</v>
      </c>
      <c r="AA86" s="13">
        <v>0</v>
      </c>
      <c r="AB86" s="13">
        <v>734.23500000000001</v>
      </c>
    </row>
    <row r="87" spans="1:28" s="15" customFormat="1" ht="12.75" x14ac:dyDescent="0.2">
      <c r="A87" s="11">
        <v>41153</v>
      </c>
      <c r="B87" s="321"/>
      <c r="C87" s="245">
        <f t="shared" si="4"/>
        <v>89.393000000000001</v>
      </c>
      <c r="D87" s="13">
        <v>76</v>
      </c>
      <c r="E87" s="13">
        <v>13.393000000000001</v>
      </c>
      <c r="F87" s="247">
        <f t="shared" si="5"/>
        <v>4.952</v>
      </c>
      <c r="G87" s="13">
        <v>0.63700000000000001</v>
      </c>
      <c r="H87" s="13">
        <v>3.2440000000000002</v>
      </c>
      <c r="I87" s="13">
        <v>1.071</v>
      </c>
      <c r="J87" s="249"/>
      <c r="K87" s="251">
        <f t="shared" si="6"/>
        <v>205.94049000000001</v>
      </c>
      <c r="L87" s="13">
        <v>136.68350000000001</v>
      </c>
      <c r="M87" s="13">
        <v>57.765309999999999</v>
      </c>
      <c r="N87" s="13">
        <v>11.491680000000001</v>
      </c>
      <c r="O87" s="13"/>
      <c r="P87" s="13">
        <v>12.121009000000001</v>
      </c>
      <c r="Q87" s="13">
        <v>9.4377019999999998</v>
      </c>
      <c r="R87" s="13">
        <v>340.89920000000001</v>
      </c>
      <c r="S87" s="13">
        <v>176.58840000000001</v>
      </c>
      <c r="T87" s="13">
        <v>167.55680000000001</v>
      </c>
      <c r="U87" s="13">
        <v>28.366</v>
      </c>
      <c r="V87" s="13">
        <v>8.9999999999999993E-3</v>
      </c>
      <c r="W87" s="13">
        <v>20107</v>
      </c>
      <c r="X87" s="13">
        <v>2971</v>
      </c>
      <c r="Y87" s="13">
        <v>17136</v>
      </c>
      <c r="Z87" s="13">
        <v>0</v>
      </c>
      <c r="AA87" s="13">
        <v>0</v>
      </c>
      <c r="AB87" s="13">
        <v>707.23299999999995</v>
      </c>
    </row>
    <row r="88" spans="1:28" s="15" customFormat="1" ht="12.75" x14ac:dyDescent="0.2">
      <c r="A88" s="11">
        <v>41183</v>
      </c>
      <c r="B88" s="321"/>
      <c r="C88" s="245">
        <f t="shared" si="4"/>
        <v>119.285</v>
      </c>
      <c r="D88" s="13">
        <v>103</v>
      </c>
      <c r="E88" s="13">
        <v>16.285</v>
      </c>
      <c r="F88" s="247">
        <f t="shared" si="5"/>
        <v>2.548</v>
      </c>
      <c r="G88" s="13">
        <v>0</v>
      </c>
      <c r="H88" s="13">
        <v>2.548</v>
      </c>
      <c r="I88" s="13">
        <v>0</v>
      </c>
      <c r="J88" s="249"/>
      <c r="K88" s="251">
        <f t="shared" si="6"/>
        <v>217.29743000000002</v>
      </c>
      <c r="L88" s="13">
        <v>141.47496000000001</v>
      </c>
      <c r="M88" s="13">
        <v>61.071260000000002</v>
      </c>
      <c r="N88" s="13">
        <v>14.75121</v>
      </c>
      <c r="O88" s="13"/>
      <c r="P88" s="13">
        <v>13.284272</v>
      </c>
      <c r="Q88" s="13">
        <v>10.595369</v>
      </c>
      <c r="R88" s="13">
        <v>336.91300000000001</v>
      </c>
      <c r="S88" s="13">
        <v>159.33080000000001</v>
      </c>
      <c r="T88" s="13">
        <v>147.018</v>
      </c>
      <c r="U88" s="13">
        <v>30.081</v>
      </c>
      <c r="V88" s="13">
        <v>0</v>
      </c>
      <c r="W88" s="13">
        <v>19865</v>
      </c>
      <c r="X88" s="13">
        <v>2746</v>
      </c>
      <c r="Y88" s="13">
        <v>17119</v>
      </c>
      <c r="Z88" s="13">
        <v>0</v>
      </c>
      <c r="AA88" s="13">
        <v>0</v>
      </c>
      <c r="AB88" s="13">
        <v>221.52199999999999</v>
      </c>
    </row>
    <row r="89" spans="1:28" s="15" customFormat="1" ht="12.75" x14ac:dyDescent="0.2">
      <c r="A89" s="11">
        <v>41214</v>
      </c>
      <c r="B89" s="321"/>
      <c r="C89" s="245">
        <f t="shared" si="4"/>
        <v>141.48500000000001</v>
      </c>
      <c r="D89" s="13">
        <v>121</v>
      </c>
      <c r="E89" s="13">
        <v>20.484999999999999</v>
      </c>
      <c r="F89" s="247">
        <f t="shared" si="5"/>
        <v>1.8069999999999999</v>
      </c>
      <c r="G89" s="13">
        <v>0</v>
      </c>
      <c r="H89" s="13">
        <v>1.8069999999999999</v>
      </c>
      <c r="I89" s="13">
        <v>0</v>
      </c>
      <c r="J89" s="249"/>
      <c r="K89" s="251">
        <f t="shared" si="6"/>
        <v>203.84971999999999</v>
      </c>
      <c r="L89" s="13">
        <v>128.45018999999999</v>
      </c>
      <c r="M89" s="13">
        <v>60.302079999999997</v>
      </c>
      <c r="N89" s="13">
        <v>15.09745</v>
      </c>
      <c r="O89" s="13"/>
      <c r="P89" s="13">
        <v>12.510300000000001</v>
      </c>
      <c r="Q89" s="13">
        <v>9.9821139999999993</v>
      </c>
      <c r="R89" s="13">
        <v>362.27499999999998</v>
      </c>
      <c r="S89" s="13">
        <v>193.1096</v>
      </c>
      <c r="T89" s="13">
        <v>172.60380000000001</v>
      </c>
      <c r="U89" s="13">
        <v>28.204999999999998</v>
      </c>
      <c r="V89" s="13">
        <v>11.704000000000001</v>
      </c>
      <c r="W89" s="13">
        <v>23874</v>
      </c>
      <c r="X89" s="13">
        <v>3329</v>
      </c>
      <c r="Y89" s="13">
        <v>20545</v>
      </c>
      <c r="Z89" s="13">
        <v>0</v>
      </c>
      <c r="AA89" s="13">
        <v>0</v>
      </c>
      <c r="AB89" s="13">
        <v>39.979999999999997</v>
      </c>
    </row>
    <row r="90" spans="1:28" s="15" customFormat="1" ht="12.75" x14ac:dyDescent="0.2">
      <c r="A90" s="11">
        <v>41244</v>
      </c>
      <c r="B90" s="321"/>
      <c r="C90" s="245">
        <f t="shared" si="4"/>
        <v>130.54499999999999</v>
      </c>
      <c r="D90" s="13">
        <v>117</v>
      </c>
      <c r="E90" s="13">
        <v>13.545</v>
      </c>
      <c r="F90" s="247">
        <f t="shared" si="5"/>
        <v>2.2869999999999999</v>
      </c>
      <c r="G90" s="13">
        <v>0</v>
      </c>
      <c r="H90" s="13">
        <v>2.2869999999999999</v>
      </c>
      <c r="I90" s="13">
        <v>0</v>
      </c>
      <c r="J90" s="249"/>
      <c r="K90" s="251">
        <f t="shared" si="6"/>
        <v>217.31175000000002</v>
      </c>
      <c r="L90" s="13">
        <v>141.88452000000001</v>
      </c>
      <c r="M90" s="13">
        <v>60.395949999999999</v>
      </c>
      <c r="N90" s="13">
        <v>15.031280000000001</v>
      </c>
      <c r="O90" s="13"/>
      <c r="P90" s="13">
        <v>12.863253</v>
      </c>
      <c r="Q90" s="13">
        <v>11.168202000000001</v>
      </c>
      <c r="R90" s="13">
        <v>379.60980000000001</v>
      </c>
      <c r="S90" s="13">
        <v>209.03300000000002</v>
      </c>
      <c r="T90" s="13">
        <v>177.87799999999999</v>
      </c>
      <c r="U90" s="13">
        <v>37.091999999999999</v>
      </c>
      <c r="V90" s="13">
        <v>7.9429999999999996</v>
      </c>
      <c r="W90" s="13">
        <v>14109</v>
      </c>
      <c r="X90" s="13">
        <v>2617</v>
      </c>
      <c r="Y90" s="13">
        <v>11492</v>
      </c>
      <c r="Z90" s="13">
        <v>3110</v>
      </c>
      <c r="AA90" s="13">
        <v>0</v>
      </c>
      <c r="AB90" s="13">
        <v>558.66200000000003</v>
      </c>
    </row>
    <row r="91" spans="1:28" s="15" customFormat="1" ht="12.75" x14ac:dyDescent="0.2">
      <c r="A91" s="11">
        <v>41275</v>
      </c>
      <c r="B91" s="321"/>
      <c r="C91" s="245">
        <f t="shared" si="4"/>
        <v>104.944</v>
      </c>
      <c r="D91" s="13">
        <v>103</v>
      </c>
      <c r="E91" s="13">
        <v>1.944</v>
      </c>
      <c r="F91" s="247">
        <f t="shared" si="5"/>
        <v>7.1130000000000004</v>
      </c>
      <c r="G91" s="13">
        <v>2.1019999999999999</v>
      </c>
      <c r="H91" s="13">
        <f>3.17+0</f>
        <v>3.17</v>
      </c>
      <c r="I91" s="13">
        <v>1.841</v>
      </c>
      <c r="J91" s="249"/>
      <c r="K91" s="251">
        <f t="shared" si="6"/>
        <v>198.49282480000002</v>
      </c>
      <c r="L91" s="13">
        <v>127.59167380000001</v>
      </c>
      <c r="M91" s="13">
        <v>57.781614000000005</v>
      </c>
      <c r="N91" s="13">
        <v>13.119536999999998</v>
      </c>
      <c r="O91" s="13"/>
      <c r="P91" s="13">
        <v>13.536917000000001</v>
      </c>
      <c r="Q91" s="13">
        <v>10.857262</v>
      </c>
      <c r="R91" s="13">
        <v>391.05534999999998</v>
      </c>
      <c r="S91" s="13">
        <v>226.05534</v>
      </c>
      <c r="T91" s="13">
        <v>179.99424999999999</v>
      </c>
      <c r="U91" s="13">
        <v>32.515000000000001</v>
      </c>
      <c r="V91" s="13">
        <v>3.2</v>
      </c>
      <c r="W91" s="13">
        <v>20473</v>
      </c>
      <c r="X91" s="13">
        <v>2811</v>
      </c>
      <c r="Y91" s="13">
        <v>17662</v>
      </c>
      <c r="Z91" s="13">
        <v>6209</v>
      </c>
      <c r="AA91" s="13">
        <v>0</v>
      </c>
      <c r="AB91" s="13">
        <v>545.64599999999996</v>
      </c>
    </row>
    <row r="92" spans="1:28" s="15" customFormat="1" ht="12.75" x14ac:dyDescent="0.2">
      <c r="A92" s="11">
        <v>41306</v>
      </c>
      <c r="B92" s="321"/>
      <c r="C92" s="245">
        <f t="shared" si="4"/>
        <v>97.174000000000007</v>
      </c>
      <c r="D92" s="13">
        <v>75</v>
      </c>
      <c r="E92" s="13">
        <v>22.173999999999999</v>
      </c>
      <c r="F92" s="247">
        <f t="shared" si="5"/>
        <v>13.327556</v>
      </c>
      <c r="G92" s="13">
        <v>5.2141609999999998</v>
      </c>
      <c r="H92" s="13">
        <v>1.7024949999999999</v>
      </c>
      <c r="I92" s="13">
        <v>6.4108999999999998</v>
      </c>
      <c r="J92" s="249"/>
      <c r="K92" s="251">
        <f t="shared" si="6"/>
        <v>169.5936332</v>
      </c>
      <c r="L92" s="13">
        <v>104.1744612</v>
      </c>
      <c r="M92" s="13">
        <v>52.652064000000003</v>
      </c>
      <c r="N92" s="13">
        <v>12.767108</v>
      </c>
      <c r="O92" s="13"/>
      <c r="P92" s="13">
        <v>12.2102162</v>
      </c>
      <c r="Q92" s="13">
        <v>9.736458871602597</v>
      </c>
      <c r="R92" s="13">
        <v>375.51526000000001</v>
      </c>
      <c r="S92" s="13">
        <v>233.38113000000001</v>
      </c>
      <c r="T92" s="13">
        <v>151.11635000000001</v>
      </c>
      <c r="U92" s="13">
        <v>24.507999999999999</v>
      </c>
      <c r="V92" s="13">
        <v>0</v>
      </c>
      <c r="W92" s="13">
        <v>22441</v>
      </c>
      <c r="X92" s="13">
        <v>3136</v>
      </c>
      <c r="Y92" s="13">
        <v>19305</v>
      </c>
      <c r="Z92" s="13">
        <v>9229.7999999999993</v>
      </c>
      <c r="AA92" s="13">
        <v>0</v>
      </c>
      <c r="AB92" s="13">
        <v>1542.204</v>
      </c>
    </row>
    <row r="93" spans="1:28" s="15" customFormat="1" ht="12.75" x14ac:dyDescent="0.2">
      <c r="A93" s="11">
        <v>41334</v>
      </c>
      <c r="B93" s="321"/>
      <c r="C93" s="245">
        <f t="shared" si="4"/>
        <v>104.52799999999999</v>
      </c>
      <c r="D93" s="13">
        <v>84</v>
      </c>
      <c r="E93" s="13">
        <v>20.527999999999999</v>
      </c>
      <c r="F93" s="247">
        <f t="shared" si="5"/>
        <v>4.0483349999999998</v>
      </c>
      <c r="G93" s="13">
        <v>1.3979889999999999</v>
      </c>
      <c r="H93" s="13">
        <v>0.86607599999999996</v>
      </c>
      <c r="I93" s="13">
        <v>1.78427</v>
      </c>
      <c r="J93" s="249"/>
      <c r="K93" s="251">
        <f t="shared" si="6"/>
        <v>180.68567479999999</v>
      </c>
      <c r="L93" s="13">
        <v>112.01610579999999</v>
      </c>
      <c r="M93" s="13">
        <v>55.039538</v>
      </c>
      <c r="N93" s="13">
        <v>13.630030999999999</v>
      </c>
      <c r="O93" s="13"/>
      <c r="P93" s="13">
        <v>13.375698999999999</v>
      </c>
      <c r="Q93" s="13">
        <v>10.168335772587501</v>
      </c>
      <c r="R93" s="13">
        <v>447.37594000000001</v>
      </c>
      <c r="S93" s="13">
        <v>267.93529000000001</v>
      </c>
      <c r="T93" s="13">
        <v>179.2971</v>
      </c>
      <c r="U93" s="13">
        <v>20.05</v>
      </c>
      <c r="V93" s="13">
        <v>12.574</v>
      </c>
      <c r="W93" s="13">
        <v>20890</v>
      </c>
      <c r="X93" s="13">
        <f>W93*14%</f>
        <v>2924.6000000000004</v>
      </c>
      <c r="Y93" s="13">
        <f>W93*86%</f>
        <v>17965.400000000001</v>
      </c>
      <c r="Z93" s="13">
        <v>4308</v>
      </c>
      <c r="AA93" s="13">
        <v>0</v>
      </c>
      <c r="AB93" s="13">
        <v>2170.1619999999998</v>
      </c>
    </row>
    <row r="94" spans="1:28" s="15" customFormat="1" ht="12.75" x14ac:dyDescent="0.2">
      <c r="A94" s="11">
        <v>41365</v>
      </c>
      <c r="B94" s="321"/>
      <c r="C94" s="245">
        <f t="shared" si="4"/>
        <v>128.6</v>
      </c>
      <c r="D94" s="13">
        <v>111</v>
      </c>
      <c r="E94" s="13">
        <v>17.600000000000001</v>
      </c>
      <c r="F94" s="247">
        <f t="shared" si="5"/>
        <v>7.142256999999999</v>
      </c>
      <c r="G94" s="13">
        <v>1.7355659999999999</v>
      </c>
      <c r="H94" s="13">
        <v>2.5450010000000001</v>
      </c>
      <c r="I94" s="13">
        <v>2.8616899999999998</v>
      </c>
      <c r="J94" s="249"/>
      <c r="K94" s="251">
        <f t="shared" si="6"/>
        <v>180.73529070000001</v>
      </c>
      <c r="L94" s="13">
        <v>112.59708569999999</v>
      </c>
      <c r="M94" s="13">
        <v>52.994490000000006</v>
      </c>
      <c r="N94" s="13">
        <v>15.143715</v>
      </c>
      <c r="O94" s="13"/>
      <c r="P94" s="13">
        <v>13.072798000000001</v>
      </c>
      <c r="Q94" s="13">
        <v>10.366955644852901</v>
      </c>
      <c r="R94" s="13">
        <v>390.27328</v>
      </c>
      <c r="S94" s="13">
        <v>257.83893</v>
      </c>
      <c r="T94" s="13">
        <v>136.21039999999999</v>
      </c>
      <c r="U94" s="13">
        <v>27.530840000000001</v>
      </c>
      <c r="V94" s="13">
        <v>3.0790000000000002</v>
      </c>
      <c r="W94" s="13">
        <v>17136</v>
      </c>
      <c r="X94" s="13">
        <f>W94*14%</f>
        <v>2399.0400000000004</v>
      </c>
      <c r="Y94" s="13">
        <f>W94*86%</f>
        <v>14736.96</v>
      </c>
      <c r="Z94" s="13">
        <v>0</v>
      </c>
      <c r="AA94" s="13">
        <v>0</v>
      </c>
      <c r="AB94" s="13">
        <v>1043.9860000000001</v>
      </c>
    </row>
    <row r="95" spans="1:28" s="15" customFormat="1" ht="12.75" x14ac:dyDescent="0.2">
      <c r="A95" s="11">
        <v>41395</v>
      </c>
      <c r="B95" s="321"/>
      <c r="C95" s="245">
        <f t="shared" si="4"/>
        <v>135.20099999999999</v>
      </c>
      <c r="D95" s="13">
        <v>107</v>
      </c>
      <c r="E95" s="13">
        <v>28.201000000000001</v>
      </c>
      <c r="F95" s="247">
        <f t="shared" si="5"/>
        <v>9.1532990000000005</v>
      </c>
      <c r="G95" s="13">
        <v>3.0968040000000001</v>
      </c>
      <c r="H95" s="13">
        <v>2.2716150000000002</v>
      </c>
      <c r="I95" s="13">
        <v>3.7848799999999998</v>
      </c>
      <c r="J95" s="249"/>
      <c r="K95" s="251">
        <f t="shared" si="6"/>
        <v>183.72868680000002</v>
      </c>
      <c r="L95" s="13">
        <v>109.18675280000001</v>
      </c>
      <c r="M95" s="13">
        <v>58.296813</v>
      </c>
      <c r="N95" s="13">
        <v>16.245121000000001</v>
      </c>
      <c r="O95" s="13"/>
      <c r="P95" s="13">
        <v>13.852817999999999</v>
      </c>
      <c r="Q95" s="13">
        <v>10.935106693393401</v>
      </c>
      <c r="R95" s="13">
        <v>435.37451999999996</v>
      </c>
      <c r="S95" s="13">
        <v>282.93157000000002</v>
      </c>
      <c r="T95" s="13">
        <v>151.45010000000002</v>
      </c>
      <c r="U95" s="13">
        <v>15.576801970397</v>
      </c>
      <c r="V95" s="13">
        <v>14.505000000000001</v>
      </c>
      <c r="W95" s="13">
        <v>18728</v>
      </c>
      <c r="X95" s="13">
        <v>2824</v>
      </c>
      <c r="Y95" s="13">
        <f>W95-X95</f>
        <v>15904</v>
      </c>
      <c r="Z95" s="13">
        <v>0</v>
      </c>
      <c r="AA95" s="13">
        <v>0</v>
      </c>
      <c r="AB95" s="13">
        <v>2941.43</v>
      </c>
    </row>
    <row r="96" spans="1:28" s="15" customFormat="1" ht="12.75" x14ac:dyDescent="0.2">
      <c r="A96" s="11">
        <v>41426</v>
      </c>
      <c r="B96" s="321"/>
      <c r="C96" s="245">
        <f t="shared" si="4"/>
        <v>80.427999999999997</v>
      </c>
      <c r="D96" s="13">
        <v>68</v>
      </c>
      <c r="E96" s="13">
        <v>12.428000000000001</v>
      </c>
      <c r="F96" s="247">
        <f t="shared" si="5"/>
        <v>1.491684</v>
      </c>
      <c r="G96" s="13">
        <v>0</v>
      </c>
      <c r="H96" s="13">
        <v>1.491684</v>
      </c>
      <c r="I96" s="13">
        <v>0</v>
      </c>
      <c r="J96" s="249"/>
      <c r="K96" s="251">
        <f t="shared" si="6"/>
        <v>198.54306749999998</v>
      </c>
      <c r="L96" s="13">
        <v>124.9497835</v>
      </c>
      <c r="M96" s="13">
        <v>59.319181999999998</v>
      </c>
      <c r="N96" s="13">
        <v>14.274101999999999</v>
      </c>
      <c r="O96" s="13"/>
      <c r="P96" s="13">
        <v>13.443733999999999</v>
      </c>
      <c r="Q96" s="13">
        <v>10.628119064110701</v>
      </c>
      <c r="R96" s="13">
        <v>437.09320000000002</v>
      </c>
      <c r="S96" s="13">
        <v>263.50875000000002</v>
      </c>
      <c r="T96" s="13">
        <v>150.15270000000001</v>
      </c>
      <c r="U96" s="13">
        <v>7.0439999999999996</v>
      </c>
      <c r="V96" s="13">
        <v>15.544</v>
      </c>
      <c r="W96" s="13">
        <v>18172</v>
      </c>
      <c r="X96" s="13">
        <v>2860</v>
      </c>
      <c r="Y96" s="13">
        <v>15312</v>
      </c>
      <c r="Z96" s="13">
        <v>0</v>
      </c>
      <c r="AA96" s="13">
        <v>0</v>
      </c>
      <c r="AB96" s="13">
        <v>2366.6610000000001</v>
      </c>
    </row>
    <row r="97" spans="1:28" s="15" customFormat="1" ht="12.75" x14ac:dyDescent="0.2">
      <c r="A97" s="11">
        <v>41456</v>
      </c>
      <c r="B97" s="321"/>
      <c r="C97" s="245">
        <f t="shared" si="4"/>
        <v>95.856999999999999</v>
      </c>
      <c r="D97" s="13">
        <v>79</v>
      </c>
      <c r="E97" s="13">
        <v>16.856999999999999</v>
      </c>
      <c r="F97" s="247">
        <f t="shared" si="5"/>
        <v>1.528</v>
      </c>
      <c r="G97" s="13">
        <v>0</v>
      </c>
      <c r="H97" s="13">
        <v>1.528</v>
      </c>
      <c r="I97" s="13">
        <v>0</v>
      </c>
      <c r="J97" s="249"/>
      <c r="K97" s="251">
        <f t="shared" si="6"/>
        <v>212.97267639999998</v>
      </c>
      <c r="L97" s="13">
        <v>131.18296439999997</v>
      </c>
      <c r="M97" s="13">
        <v>66.715396999999996</v>
      </c>
      <c r="N97" s="13">
        <v>15.074315</v>
      </c>
      <c r="O97" s="13"/>
      <c r="P97" s="13">
        <v>13.673819999999999</v>
      </c>
      <c r="Q97" s="13">
        <v>10.909287204345</v>
      </c>
      <c r="R97" s="13">
        <v>409.91152</v>
      </c>
      <c r="S97" s="13">
        <v>253.08286000000004</v>
      </c>
      <c r="T97" s="13">
        <v>156.28444999999999</v>
      </c>
      <c r="U97" s="13">
        <v>16.088000000000001</v>
      </c>
      <c r="V97" s="13">
        <v>13.085000000000001</v>
      </c>
      <c r="W97" s="13">
        <v>20332</v>
      </c>
      <c r="X97" s="13">
        <v>3632</v>
      </c>
      <c r="Y97" s="13">
        <v>16700</v>
      </c>
      <c r="Z97" s="13">
        <v>0</v>
      </c>
      <c r="AA97" s="13">
        <v>0</v>
      </c>
      <c r="AB97" s="13">
        <v>1167.76</v>
      </c>
    </row>
    <row r="98" spans="1:28" s="15" customFormat="1" ht="12.75" x14ac:dyDescent="0.2">
      <c r="A98" s="11">
        <v>41487</v>
      </c>
      <c r="B98" s="321"/>
      <c r="C98" s="245">
        <f t="shared" si="4"/>
        <v>67.942000000000007</v>
      </c>
      <c r="D98" s="13">
        <v>45</v>
      </c>
      <c r="E98" s="13">
        <v>22.942</v>
      </c>
      <c r="F98" s="247">
        <f t="shared" si="5"/>
        <v>5.46</v>
      </c>
      <c r="G98" s="13">
        <v>2.157</v>
      </c>
      <c r="H98" s="13">
        <v>1.081</v>
      </c>
      <c r="I98" s="13">
        <v>2.222</v>
      </c>
      <c r="J98" s="249"/>
      <c r="K98" s="251">
        <f t="shared" si="6"/>
        <v>216.06068730000001</v>
      </c>
      <c r="L98" s="13">
        <v>141.46797730000003</v>
      </c>
      <c r="M98" s="13">
        <v>62.421925999999999</v>
      </c>
      <c r="N98" s="13">
        <v>12.170783999999999</v>
      </c>
      <c r="O98" s="13"/>
      <c r="P98" s="13">
        <v>13.18948</v>
      </c>
      <c r="Q98" s="13">
        <v>10.442501656687</v>
      </c>
      <c r="R98" s="13">
        <v>313.14526000000001</v>
      </c>
      <c r="S98" s="13">
        <v>184.13142999999999</v>
      </c>
      <c r="T98" s="13">
        <v>116.71825999999999</v>
      </c>
      <c r="U98" s="13">
        <v>31.507999999999999</v>
      </c>
      <c r="V98" s="13">
        <v>3.7639999999999998</v>
      </c>
      <c r="W98" s="13">
        <v>17523</v>
      </c>
      <c r="X98" s="13">
        <f>W98*14%</f>
        <v>2453.2200000000003</v>
      </c>
      <c r="Y98" s="13">
        <f>W98-X98</f>
        <v>15069.779999999999</v>
      </c>
      <c r="Z98" s="13">
        <v>0</v>
      </c>
      <c r="AA98" s="13">
        <v>0</v>
      </c>
      <c r="AB98" s="13">
        <v>792.745</v>
      </c>
    </row>
    <row r="99" spans="1:28" s="15" customFormat="1" ht="12.75" x14ac:dyDescent="0.2">
      <c r="A99" s="11">
        <v>41518</v>
      </c>
      <c r="B99" s="321"/>
      <c r="C99" s="245">
        <f t="shared" si="4"/>
        <v>83.798000000000002</v>
      </c>
      <c r="D99" s="13">
        <v>67</v>
      </c>
      <c r="E99" s="13">
        <v>16.797999999999998</v>
      </c>
      <c r="F99" s="247">
        <f t="shared" si="5"/>
        <v>7.6439710000000005</v>
      </c>
      <c r="G99" s="13">
        <v>3.3815330000000001</v>
      </c>
      <c r="H99" s="13">
        <v>0.318938</v>
      </c>
      <c r="I99" s="13">
        <v>3.9434999999999998</v>
      </c>
      <c r="J99" s="249"/>
      <c r="K99" s="251">
        <f t="shared" si="6"/>
        <v>213.4009394</v>
      </c>
      <c r="L99" s="13">
        <v>143.45421340000001</v>
      </c>
      <c r="M99" s="13">
        <v>59.412635999999999</v>
      </c>
      <c r="N99" s="13">
        <v>10.534090000000001</v>
      </c>
      <c r="O99" s="13"/>
      <c r="P99" s="13">
        <v>10.715045999999999</v>
      </c>
      <c r="Q99" s="13">
        <v>8.8037248439160702</v>
      </c>
      <c r="R99" s="13">
        <v>319.50099999999998</v>
      </c>
      <c r="S99" s="13">
        <v>184.82816999999997</v>
      </c>
      <c r="T99" s="13">
        <v>133.40316000000001</v>
      </c>
      <c r="U99" s="13">
        <v>30.145</v>
      </c>
      <c r="V99" s="13">
        <v>0.61299999999999999</v>
      </c>
      <c r="W99" s="13">
        <v>16331</v>
      </c>
      <c r="X99" s="13">
        <v>2880</v>
      </c>
      <c r="Y99" s="13">
        <v>13451</v>
      </c>
      <c r="Z99" s="13">
        <v>0</v>
      </c>
      <c r="AA99" s="13">
        <v>0</v>
      </c>
      <c r="AB99" s="13">
        <v>188.845</v>
      </c>
    </row>
    <row r="100" spans="1:28" s="15" customFormat="1" ht="12.75" x14ac:dyDescent="0.2">
      <c r="A100" s="11">
        <v>41548</v>
      </c>
      <c r="B100" s="321"/>
      <c r="C100" s="245">
        <f t="shared" si="4"/>
        <v>74.039999999999992</v>
      </c>
      <c r="D100" s="13">
        <v>59</v>
      </c>
      <c r="E100" s="13">
        <v>15.04</v>
      </c>
      <c r="F100" s="247">
        <f t="shared" si="5"/>
        <v>0.16292399999999999</v>
      </c>
      <c r="G100" s="13">
        <v>0</v>
      </c>
      <c r="H100" s="13">
        <f>0.04402+0.118904</f>
        <v>0.16292399999999999</v>
      </c>
      <c r="I100" s="13">
        <v>0</v>
      </c>
      <c r="J100" s="249"/>
      <c r="K100" s="251">
        <f t="shared" si="6"/>
        <v>212.43313229999995</v>
      </c>
      <c r="L100" s="13">
        <v>140.11230529999997</v>
      </c>
      <c r="M100" s="13">
        <v>60.164142999999996</v>
      </c>
      <c r="N100" s="13">
        <v>12.156683999999998</v>
      </c>
      <c r="O100" s="13"/>
      <c r="P100" s="13">
        <v>12.689085</v>
      </c>
      <c r="Q100" s="13">
        <v>9.9889968078180402</v>
      </c>
      <c r="R100" s="13">
        <v>275.47613999999999</v>
      </c>
      <c r="S100" s="13">
        <v>168.49171000000001</v>
      </c>
      <c r="T100" s="13">
        <v>113.05982999999998</v>
      </c>
      <c r="U100" s="13">
        <v>25.023</v>
      </c>
      <c r="V100" s="13">
        <v>6.2</v>
      </c>
      <c r="W100" s="13">
        <v>21531</v>
      </c>
      <c r="X100" s="13">
        <v>3271</v>
      </c>
      <c r="Y100" s="13">
        <v>18260</v>
      </c>
      <c r="Z100" s="13">
        <v>0</v>
      </c>
      <c r="AA100" s="13">
        <v>0</v>
      </c>
      <c r="AB100" s="13">
        <v>110.44799999999999</v>
      </c>
    </row>
    <row r="101" spans="1:28" s="15" customFormat="1" ht="12.75" x14ac:dyDescent="0.2">
      <c r="A101" s="11">
        <v>41579</v>
      </c>
      <c r="B101" s="321"/>
      <c r="C101" s="245">
        <f t="shared" si="4"/>
        <v>40.777000000000001</v>
      </c>
      <c r="D101" s="13">
        <v>23</v>
      </c>
      <c r="E101" s="13">
        <v>17.777000000000001</v>
      </c>
      <c r="F101" s="247">
        <f t="shared" si="5"/>
        <v>0.33613900000000002</v>
      </c>
      <c r="G101" s="13">
        <v>0</v>
      </c>
      <c r="H101" s="13">
        <v>0.33613900000000002</v>
      </c>
      <c r="I101" s="13">
        <v>0</v>
      </c>
      <c r="J101" s="249"/>
      <c r="K101" s="251">
        <f t="shared" si="6"/>
        <v>214.68986689999997</v>
      </c>
      <c r="L101" s="13">
        <v>144.05933789999997</v>
      </c>
      <c r="M101" s="13">
        <v>59.282665000000001</v>
      </c>
      <c r="N101" s="13">
        <v>11.347864</v>
      </c>
      <c r="O101" s="13"/>
      <c r="P101" s="13">
        <v>12.726229</v>
      </c>
      <c r="Q101" s="13">
        <v>10.128132804071599</v>
      </c>
      <c r="R101" s="13">
        <v>371.96113000000003</v>
      </c>
      <c r="S101" s="13">
        <v>226.18159000000003</v>
      </c>
      <c r="T101" s="13">
        <v>139.84793999999999</v>
      </c>
      <c r="U101" s="13">
        <v>12.566000000000001</v>
      </c>
      <c r="V101" s="13">
        <v>2.9220000000000002</v>
      </c>
      <c r="W101" s="13">
        <v>23647</v>
      </c>
      <c r="X101" s="13">
        <f>W101*14%</f>
        <v>3310.5800000000004</v>
      </c>
      <c r="Y101" s="13">
        <f>W101-X101</f>
        <v>20336.419999999998</v>
      </c>
      <c r="Z101" s="13">
        <v>0</v>
      </c>
      <c r="AA101" s="13">
        <v>0</v>
      </c>
      <c r="AB101" s="13">
        <v>57.927999999999997</v>
      </c>
    </row>
    <row r="102" spans="1:28" s="15" customFormat="1" ht="12.75" x14ac:dyDescent="0.2">
      <c r="A102" s="11">
        <v>41609</v>
      </c>
      <c r="B102" s="321"/>
      <c r="C102" s="245">
        <f t="shared" si="4"/>
        <v>85.703000000000003</v>
      </c>
      <c r="D102" s="13">
        <v>60.453000000000003</v>
      </c>
      <c r="E102" s="13">
        <v>25.25</v>
      </c>
      <c r="F102" s="247">
        <f t="shared" si="5"/>
        <v>0.59253</v>
      </c>
      <c r="G102" s="13">
        <v>0</v>
      </c>
      <c r="H102" s="13">
        <v>0.37334499999999998</v>
      </c>
      <c r="I102" s="13">
        <v>0.21918499999999999</v>
      </c>
      <c r="J102" s="249"/>
      <c r="K102" s="251">
        <f t="shared" si="6"/>
        <v>225.1333338</v>
      </c>
      <c r="L102" s="13">
        <v>149.2444318</v>
      </c>
      <c r="M102" s="13">
        <v>62.145589000000001</v>
      </c>
      <c r="N102" s="13">
        <v>13.743313000000001</v>
      </c>
      <c r="O102" s="13"/>
      <c r="P102" s="13">
        <v>12.336586475000001</v>
      </c>
      <c r="Q102" s="13">
        <v>11.192435880967</v>
      </c>
      <c r="R102" s="13">
        <v>381.85736999999995</v>
      </c>
      <c r="S102" s="13">
        <v>231.35323999999997</v>
      </c>
      <c r="T102" s="13">
        <v>148.34530000000001</v>
      </c>
      <c r="U102" s="13">
        <v>18.001000000000001</v>
      </c>
      <c r="V102" s="13">
        <v>3.22</v>
      </c>
      <c r="W102" s="13">
        <v>25115</v>
      </c>
      <c r="X102" s="13">
        <v>3869</v>
      </c>
      <c r="Y102" s="13">
        <v>21246</v>
      </c>
      <c r="Z102" s="13">
        <v>6345</v>
      </c>
      <c r="AA102" s="13">
        <v>0</v>
      </c>
      <c r="AB102" s="13">
        <v>42.456000000000003</v>
      </c>
    </row>
    <row r="103" spans="1:28" s="15" customFormat="1" ht="12.75" x14ac:dyDescent="0.2">
      <c r="A103" s="11">
        <v>41640</v>
      </c>
      <c r="B103" s="321"/>
      <c r="C103" s="245">
        <f t="shared" si="4"/>
        <v>75.224999999999994</v>
      </c>
      <c r="D103" s="13">
        <v>63.244999999999997</v>
      </c>
      <c r="E103" s="13">
        <v>11.98</v>
      </c>
      <c r="F103" s="247">
        <f t="shared" si="5"/>
        <v>0</v>
      </c>
      <c r="G103" s="13">
        <v>0</v>
      </c>
      <c r="H103" s="13">
        <v>0</v>
      </c>
      <c r="I103" s="13">
        <v>0</v>
      </c>
      <c r="J103" s="249">
        <v>525.26463891000003</v>
      </c>
      <c r="K103" s="251">
        <f t="shared" si="6"/>
        <v>203.10189270000001</v>
      </c>
      <c r="L103" s="13">
        <v>123.0673867</v>
      </c>
      <c r="M103" s="13">
        <v>66.445879000000005</v>
      </c>
      <c r="N103" s="13">
        <v>13.588627000000001</v>
      </c>
      <c r="O103" s="13"/>
      <c r="P103" s="13">
        <v>13.76141095</v>
      </c>
      <c r="Q103" s="13">
        <v>10.889081157531599</v>
      </c>
      <c r="R103" s="13">
        <v>431.54496999999998</v>
      </c>
      <c r="S103" s="13">
        <v>267.52602000000002</v>
      </c>
      <c r="T103" s="13">
        <v>173.16895000000002</v>
      </c>
      <c r="U103" s="13">
        <v>17.03</v>
      </c>
      <c r="V103" s="13">
        <v>1.3680000000000001</v>
      </c>
      <c r="W103" s="13">
        <v>11228</v>
      </c>
      <c r="X103" s="13">
        <v>2615</v>
      </c>
      <c r="Y103" s="13">
        <v>8613</v>
      </c>
      <c r="Z103" s="13">
        <v>11955</v>
      </c>
      <c r="AA103" s="13">
        <v>0</v>
      </c>
      <c r="AB103" s="13">
        <v>720.81</v>
      </c>
    </row>
    <row r="104" spans="1:28" s="15" customFormat="1" ht="12.75" x14ac:dyDescent="0.2">
      <c r="A104" s="11">
        <v>41671</v>
      </c>
      <c r="B104" s="321"/>
      <c r="C104" s="245">
        <f t="shared" si="4"/>
        <v>126.3</v>
      </c>
      <c r="D104" s="13">
        <v>106</v>
      </c>
      <c r="E104" s="13">
        <v>20.3</v>
      </c>
      <c r="F104" s="247">
        <f t="shared" si="5"/>
        <v>3.7165939999999997</v>
      </c>
      <c r="G104" s="13">
        <v>1.9565939999999999</v>
      </c>
      <c r="H104" s="13">
        <v>0</v>
      </c>
      <c r="I104" s="13">
        <v>1.76</v>
      </c>
      <c r="J104" s="249">
        <v>498.04571697000006</v>
      </c>
      <c r="K104" s="251">
        <f t="shared" si="6"/>
        <v>186.2593004</v>
      </c>
      <c r="L104" s="13">
        <v>120.60672339999999</v>
      </c>
      <c r="M104" s="13">
        <v>51.139778999999997</v>
      </c>
      <c r="N104" s="13">
        <v>14.512798</v>
      </c>
      <c r="O104" s="13"/>
      <c r="P104" s="13">
        <v>12.371116000000001</v>
      </c>
      <c r="Q104" s="13">
        <v>9.8899332998209601</v>
      </c>
      <c r="R104" s="13">
        <v>409.01076</v>
      </c>
      <c r="S104" s="13">
        <v>268.28010999999998</v>
      </c>
      <c r="T104" s="13">
        <v>140.60154999999997</v>
      </c>
      <c r="U104" s="13">
        <v>26.012</v>
      </c>
      <c r="V104" s="13">
        <v>5.4109999999999996</v>
      </c>
      <c r="W104" s="13">
        <v>18099</v>
      </c>
      <c r="X104" s="13">
        <v>3117</v>
      </c>
      <c r="Y104" s="13">
        <v>14796</v>
      </c>
      <c r="Z104" s="13">
        <v>7901</v>
      </c>
      <c r="AA104" s="13">
        <v>0</v>
      </c>
      <c r="AB104" s="13">
        <v>2649.51</v>
      </c>
    </row>
    <row r="105" spans="1:28" s="15" customFormat="1" ht="12.75" x14ac:dyDescent="0.2">
      <c r="A105" s="11">
        <v>41699</v>
      </c>
      <c r="B105" s="321"/>
      <c r="C105" s="245">
        <f t="shared" si="4"/>
        <v>121.217</v>
      </c>
      <c r="D105" s="13">
        <v>103</v>
      </c>
      <c r="E105" s="13">
        <v>18.216999999999999</v>
      </c>
      <c r="F105" s="247">
        <f t="shared" si="5"/>
        <v>3.6909999999999998</v>
      </c>
      <c r="G105" s="13">
        <v>1.613</v>
      </c>
      <c r="H105" s="13">
        <v>0</v>
      </c>
      <c r="I105" s="13">
        <v>2.0779999999999998</v>
      </c>
      <c r="J105" s="249">
        <v>453.40092436999998</v>
      </c>
      <c r="K105" s="251">
        <f t="shared" si="6"/>
        <v>180.8129562</v>
      </c>
      <c r="L105" s="13">
        <v>106.36745020000001</v>
      </c>
      <c r="M105" s="13">
        <v>57.780439999999992</v>
      </c>
      <c r="N105" s="13">
        <v>16.665065999999999</v>
      </c>
      <c r="O105" s="13"/>
      <c r="P105" s="13">
        <v>13.60287245</v>
      </c>
      <c r="Q105" s="13">
        <v>10.685233189864899</v>
      </c>
      <c r="R105" s="13">
        <v>466.27830999999998</v>
      </c>
      <c r="S105" s="13">
        <v>295.70696000000004</v>
      </c>
      <c r="T105" s="13">
        <v>183.3295</v>
      </c>
      <c r="U105" s="13">
        <v>15.1021900055587</v>
      </c>
      <c r="V105" s="13">
        <v>7.0620000000000003</v>
      </c>
      <c r="W105" s="13">
        <v>19643</v>
      </c>
      <c r="X105" s="13">
        <v>2746</v>
      </c>
      <c r="Y105" s="13">
        <v>16897</v>
      </c>
      <c r="Z105" s="13">
        <v>1408.1669999999999</v>
      </c>
      <c r="AA105" s="13">
        <v>0</v>
      </c>
      <c r="AB105" s="13">
        <v>1883.8119999999999</v>
      </c>
    </row>
    <row r="106" spans="1:28" s="15" customFormat="1" ht="12.75" x14ac:dyDescent="0.2">
      <c r="A106" s="11">
        <v>41730</v>
      </c>
      <c r="B106" s="321"/>
      <c r="C106" s="245">
        <f t="shared" si="4"/>
        <v>120.279</v>
      </c>
      <c r="D106" s="13">
        <v>97</v>
      </c>
      <c r="E106" s="13">
        <v>23.279</v>
      </c>
      <c r="F106" s="247">
        <f t="shared" si="5"/>
        <v>3.8222860000000001</v>
      </c>
      <c r="G106" s="13">
        <v>1.6446670000000001</v>
      </c>
      <c r="H106" s="13">
        <v>0</v>
      </c>
      <c r="I106" s="13">
        <v>2.177619</v>
      </c>
      <c r="J106" s="249">
        <v>480.63260358500003</v>
      </c>
      <c r="K106" s="251">
        <f t="shared" si="6"/>
        <v>179.83321699999999</v>
      </c>
      <c r="L106" s="13">
        <v>109.63135299999999</v>
      </c>
      <c r="M106" s="13">
        <v>54.34686</v>
      </c>
      <c r="N106" s="13">
        <v>15.855004000000001</v>
      </c>
      <c r="O106" s="13"/>
      <c r="P106" s="13">
        <v>13.53446175</v>
      </c>
      <c r="Q106" s="13">
        <v>10.773658097100199</v>
      </c>
      <c r="R106" s="13">
        <v>445.52092000000005</v>
      </c>
      <c r="S106" s="13">
        <v>291.44130999999999</v>
      </c>
      <c r="T106" s="13">
        <v>159.40585000000002</v>
      </c>
      <c r="U106" s="13">
        <v>18.66844</v>
      </c>
      <c r="V106" s="13">
        <v>7.774</v>
      </c>
      <c r="W106" s="13">
        <v>23238</v>
      </c>
      <c r="X106" s="13">
        <v>3543</v>
      </c>
      <c r="Y106" s="13">
        <v>19695</v>
      </c>
      <c r="Z106" s="13">
        <v>0</v>
      </c>
      <c r="AA106" s="13">
        <v>0</v>
      </c>
      <c r="AB106" s="13">
        <v>3131.4830000000002</v>
      </c>
    </row>
    <row r="107" spans="1:28" s="15" customFormat="1" ht="12.75" x14ac:dyDescent="0.2">
      <c r="A107" s="11">
        <v>41760</v>
      </c>
      <c r="B107" s="321"/>
      <c r="C107" s="245">
        <f t="shared" si="4"/>
        <v>53.507999999999996</v>
      </c>
      <c r="D107" s="13">
        <v>40</v>
      </c>
      <c r="E107" s="13">
        <v>13.507999999999999</v>
      </c>
      <c r="F107" s="247">
        <f t="shared" si="5"/>
        <v>7.4975149999999999</v>
      </c>
      <c r="G107" s="13">
        <v>3.224615</v>
      </c>
      <c r="H107" s="13">
        <v>0.82282</v>
      </c>
      <c r="I107" s="13">
        <v>3.4500799999999998</v>
      </c>
      <c r="J107" s="249">
        <v>300.05479343499997</v>
      </c>
      <c r="K107" s="251">
        <f t="shared" si="6"/>
        <v>195.05786209999999</v>
      </c>
      <c r="L107" s="13">
        <v>119.7163061</v>
      </c>
      <c r="M107" s="13">
        <v>62.433438999999993</v>
      </c>
      <c r="N107" s="13">
        <v>12.908116999999999</v>
      </c>
      <c r="O107" s="13"/>
      <c r="P107" s="13">
        <v>14.122372</v>
      </c>
      <c r="Q107" s="13">
        <v>11.2762048241614</v>
      </c>
      <c r="R107" s="13">
        <v>478.48973999999998</v>
      </c>
      <c r="S107" s="13">
        <v>299.63269000000003</v>
      </c>
      <c r="T107" s="13">
        <v>177.21265</v>
      </c>
      <c r="U107" s="13">
        <v>13.70804</v>
      </c>
      <c r="V107" s="13">
        <v>0</v>
      </c>
      <c r="W107" s="13">
        <v>25528</v>
      </c>
      <c r="X107" s="13">
        <v>3269</v>
      </c>
      <c r="Y107" s="13">
        <v>22259</v>
      </c>
      <c r="Z107" s="13">
        <v>0</v>
      </c>
      <c r="AA107" s="13">
        <v>0</v>
      </c>
      <c r="AB107" s="13">
        <v>1061.7860000000001</v>
      </c>
    </row>
    <row r="108" spans="1:28" s="15" customFormat="1" ht="12.75" x14ac:dyDescent="0.2">
      <c r="A108" s="11">
        <v>41791</v>
      </c>
      <c r="B108" s="321"/>
      <c r="C108" s="245">
        <f t="shared" si="4"/>
        <v>54.387999999999998</v>
      </c>
      <c r="D108" s="13">
        <v>40</v>
      </c>
      <c r="E108" s="13">
        <v>14.388</v>
      </c>
      <c r="F108" s="247">
        <f t="shared" si="5"/>
        <v>10.172117999999999</v>
      </c>
      <c r="G108" s="13">
        <v>4.2365849999999998</v>
      </c>
      <c r="H108" s="13">
        <v>0.70220300000000002</v>
      </c>
      <c r="I108" s="13">
        <v>5.2333299999999996</v>
      </c>
      <c r="J108" s="249">
        <v>349.24939728999999</v>
      </c>
      <c r="K108" s="251">
        <f t="shared" si="6"/>
        <v>207.37848399999999</v>
      </c>
      <c r="L108" s="13">
        <v>130.743098</v>
      </c>
      <c r="M108" s="13">
        <v>61.987720000000003</v>
      </c>
      <c r="N108" s="13">
        <v>14.647665999999999</v>
      </c>
      <c r="O108" s="13"/>
      <c r="P108" s="13">
        <v>13.6760986</v>
      </c>
      <c r="Q108" s="13">
        <v>10.9955609190906</v>
      </c>
      <c r="R108" s="13">
        <v>438.30986999999999</v>
      </c>
      <c r="S108" s="13">
        <v>278.27771999999999</v>
      </c>
      <c r="T108" s="13">
        <v>159.60775000000001</v>
      </c>
      <c r="U108" s="13">
        <v>18.628509999999999</v>
      </c>
      <c r="V108" s="13">
        <v>9.6039999999999992</v>
      </c>
      <c r="W108" s="13">
        <v>19380</v>
      </c>
      <c r="X108" s="13">
        <v>3742</v>
      </c>
      <c r="Y108" s="13">
        <v>15638</v>
      </c>
      <c r="Z108" s="13">
        <v>0</v>
      </c>
      <c r="AA108" s="13">
        <v>0</v>
      </c>
      <c r="AB108" s="13">
        <v>1148.367</v>
      </c>
    </row>
    <row r="109" spans="1:28" s="15" customFormat="1" ht="12.75" x14ac:dyDescent="0.2">
      <c r="A109" s="11">
        <v>41821</v>
      </c>
      <c r="B109" s="321"/>
      <c r="C109" s="245">
        <f t="shared" si="4"/>
        <v>54.597000000000001</v>
      </c>
      <c r="D109" s="13">
        <v>42</v>
      </c>
      <c r="E109" s="13">
        <v>12.597</v>
      </c>
      <c r="F109" s="247">
        <f t="shared" si="5"/>
        <v>6.3777795000000008</v>
      </c>
      <c r="G109" s="13">
        <v>2.0738509999999999</v>
      </c>
      <c r="H109" s="13">
        <v>1.3485685000000001</v>
      </c>
      <c r="I109" s="13">
        <v>2.9553600000000002</v>
      </c>
      <c r="J109" s="249">
        <v>309.66499044</v>
      </c>
      <c r="K109" s="251">
        <f t="shared" si="6"/>
        <v>212.6164349</v>
      </c>
      <c r="L109" s="13">
        <v>128.4721299</v>
      </c>
      <c r="M109" s="13">
        <v>69.340141000000003</v>
      </c>
      <c r="N109" s="13">
        <v>14.804164</v>
      </c>
      <c r="O109" s="13"/>
      <c r="P109" s="13">
        <v>14.18788565</v>
      </c>
      <c r="Q109" s="13">
        <v>11.35030852</v>
      </c>
      <c r="R109" s="13">
        <v>378.40054000000003</v>
      </c>
      <c r="S109" s="13">
        <v>240.31760999999997</v>
      </c>
      <c r="T109" s="13">
        <v>125.5891</v>
      </c>
      <c r="U109" s="13">
        <v>14.2006</v>
      </c>
      <c r="V109" s="13">
        <v>12.486000000000001</v>
      </c>
      <c r="W109" s="13">
        <v>21865</v>
      </c>
      <c r="X109" s="13">
        <v>3767</v>
      </c>
      <c r="Y109" s="13">
        <v>18098</v>
      </c>
      <c r="Z109" s="13">
        <v>0</v>
      </c>
      <c r="AA109" s="13">
        <v>0</v>
      </c>
      <c r="AB109" s="13">
        <v>795.60500000000002</v>
      </c>
    </row>
    <row r="110" spans="1:28" s="15" customFormat="1" ht="12.75" x14ac:dyDescent="0.2">
      <c r="A110" s="11">
        <v>41852</v>
      </c>
      <c r="B110" s="321"/>
      <c r="C110" s="245">
        <f t="shared" si="4"/>
        <v>56.289000000000001</v>
      </c>
      <c r="D110" s="13">
        <v>43</v>
      </c>
      <c r="E110" s="13">
        <v>13.289</v>
      </c>
      <c r="F110" s="247">
        <f t="shared" si="5"/>
        <v>6.5067389999999996</v>
      </c>
      <c r="G110" s="13">
        <v>3.0400559999999999</v>
      </c>
      <c r="H110" s="13">
        <v>7.9393000000000005E-2</v>
      </c>
      <c r="I110" s="13">
        <v>3.3872900000000001</v>
      </c>
      <c r="J110" s="249">
        <v>503.90442464</v>
      </c>
      <c r="K110" s="251">
        <f t="shared" si="6"/>
        <v>238.65520130000002</v>
      </c>
      <c r="L110" s="13">
        <v>156.61631930000001</v>
      </c>
      <c r="M110" s="13">
        <v>67.507812999999999</v>
      </c>
      <c r="N110" s="13">
        <v>14.531068999999999</v>
      </c>
      <c r="O110" s="13"/>
      <c r="P110" s="13">
        <v>13.842005350000001</v>
      </c>
      <c r="Q110" s="13">
        <v>11.0736515891568</v>
      </c>
      <c r="R110" s="13">
        <v>309.99270999999999</v>
      </c>
      <c r="S110" s="13">
        <v>204.08260999999999</v>
      </c>
      <c r="T110" s="13">
        <v>117.80630000000001</v>
      </c>
      <c r="U110" s="13">
        <v>7.6505400000000003</v>
      </c>
      <c r="V110" s="13">
        <v>7.907</v>
      </c>
      <c r="W110" s="13">
        <v>23053</v>
      </c>
      <c r="X110" s="13">
        <v>3770</v>
      </c>
      <c r="Y110" s="13">
        <v>19283</v>
      </c>
      <c r="Z110" s="13">
        <v>0</v>
      </c>
      <c r="AA110" s="13">
        <v>0</v>
      </c>
      <c r="AB110" s="13">
        <v>1254.9549999999999</v>
      </c>
    </row>
    <row r="111" spans="1:28" s="15" customFormat="1" ht="12.75" x14ac:dyDescent="0.2">
      <c r="A111" s="11">
        <v>41883</v>
      </c>
      <c r="B111" s="321"/>
      <c r="C111" s="245">
        <f t="shared" si="4"/>
        <v>67.924000000000007</v>
      </c>
      <c r="D111" s="13">
        <v>56</v>
      </c>
      <c r="E111" s="13">
        <v>11.923999999999999</v>
      </c>
      <c r="F111" s="247">
        <f t="shared" si="5"/>
        <v>7.0389999999999997</v>
      </c>
      <c r="G111" s="13">
        <v>3.0859999999999999</v>
      </c>
      <c r="H111" s="13">
        <v>0.69199999999999995</v>
      </c>
      <c r="I111" s="13">
        <v>3.2610000000000001</v>
      </c>
      <c r="J111" s="249">
        <v>564.15334902999996</v>
      </c>
      <c r="K111" s="251">
        <f t="shared" si="6"/>
        <v>239.11839040000004</v>
      </c>
      <c r="L111" s="13">
        <v>158.26484440000004</v>
      </c>
      <c r="M111" s="13">
        <v>66.955909000000005</v>
      </c>
      <c r="N111" s="13">
        <v>13.897637000000001</v>
      </c>
      <c r="O111" s="13"/>
      <c r="P111" s="13">
        <v>13.4246453</v>
      </c>
      <c r="Q111" s="13">
        <v>10.925387127806999</v>
      </c>
      <c r="R111" s="13">
        <v>454.39259999999996</v>
      </c>
      <c r="S111" s="13">
        <v>263.60199999999998</v>
      </c>
      <c r="T111" s="13">
        <v>180.8691</v>
      </c>
      <c r="U111" s="13">
        <v>14.805</v>
      </c>
      <c r="V111" s="13">
        <v>15.025</v>
      </c>
      <c r="W111" s="13">
        <v>21056</v>
      </c>
      <c r="X111" s="13">
        <v>4146</v>
      </c>
      <c r="Y111" s="13">
        <v>16910</v>
      </c>
      <c r="Z111" s="13">
        <v>0</v>
      </c>
      <c r="AA111" s="13">
        <v>0</v>
      </c>
      <c r="AB111" s="13">
        <v>134.125</v>
      </c>
    </row>
    <row r="112" spans="1:28" s="15" customFormat="1" ht="12.75" x14ac:dyDescent="0.2">
      <c r="A112" s="11">
        <v>41913</v>
      </c>
      <c r="B112" s="321"/>
      <c r="C112" s="245">
        <f t="shared" si="4"/>
        <v>82.558999999999997</v>
      </c>
      <c r="D112" s="13">
        <v>69</v>
      </c>
      <c r="E112" s="13">
        <v>13.558999999999999</v>
      </c>
      <c r="F112" s="247">
        <f t="shared" si="5"/>
        <v>7.8906768999999999</v>
      </c>
      <c r="G112" s="13">
        <v>3.5496840000000001</v>
      </c>
      <c r="H112" s="13">
        <v>0</v>
      </c>
      <c r="I112" s="13">
        <v>4.3409928999999998</v>
      </c>
      <c r="J112" s="249">
        <v>563.95830447000003</v>
      </c>
      <c r="K112" s="251">
        <f t="shared" si="6"/>
        <v>235.66940390000002</v>
      </c>
      <c r="L112" s="13">
        <v>152.28055890000002</v>
      </c>
      <c r="M112" s="13">
        <v>67.576524000000006</v>
      </c>
      <c r="N112" s="13">
        <v>15.812321000000001</v>
      </c>
      <c r="O112" s="13"/>
      <c r="P112" s="13">
        <v>14.458210599999999</v>
      </c>
      <c r="Q112" s="13">
        <v>11.535263658642</v>
      </c>
      <c r="R112" s="13">
        <v>327.99576300000001</v>
      </c>
      <c r="S112" s="13">
        <v>214.41771000000003</v>
      </c>
      <c r="T112" s="13">
        <v>121.5171</v>
      </c>
      <c r="U112" s="13">
        <v>19.231000000000002</v>
      </c>
      <c r="V112" s="13">
        <v>11.601000000000001</v>
      </c>
      <c r="W112" s="13">
        <v>18555</v>
      </c>
      <c r="X112" s="13">
        <v>3700</v>
      </c>
      <c r="Y112" s="13">
        <v>14855</v>
      </c>
      <c r="Z112" s="13">
        <v>0</v>
      </c>
      <c r="AA112" s="13">
        <v>0</v>
      </c>
      <c r="AB112" s="13">
        <v>93.262</v>
      </c>
    </row>
    <row r="113" spans="1:28" s="15" customFormat="1" ht="12.75" x14ac:dyDescent="0.2">
      <c r="A113" s="11">
        <v>41944</v>
      </c>
      <c r="B113" s="321"/>
      <c r="C113" s="245">
        <f t="shared" si="4"/>
        <v>96.757999999999996</v>
      </c>
      <c r="D113" s="13">
        <v>79</v>
      </c>
      <c r="E113" s="13">
        <v>17.757999999999999</v>
      </c>
      <c r="F113" s="247">
        <f t="shared" si="5"/>
        <v>9.813745355</v>
      </c>
      <c r="G113" s="13">
        <v>4.2441649999999997</v>
      </c>
      <c r="H113" s="13">
        <v>0</v>
      </c>
      <c r="I113" s="13">
        <v>5.5695803550000003</v>
      </c>
      <c r="J113" s="249">
        <v>658.182120145</v>
      </c>
      <c r="K113" s="251">
        <f t="shared" si="6"/>
        <v>238.78896220000001</v>
      </c>
      <c r="L113" s="13">
        <v>157.80011720000002</v>
      </c>
      <c r="M113" s="13">
        <v>65.140948999999992</v>
      </c>
      <c r="N113" s="13">
        <v>15.847896</v>
      </c>
      <c r="O113" s="13"/>
      <c r="P113" s="13">
        <v>13.882471049999999</v>
      </c>
      <c r="Q113" s="13">
        <v>11.132199699451901</v>
      </c>
      <c r="R113" s="13">
        <v>385.78229999999996</v>
      </c>
      <c r="S113" s="13">
        <v>229.50045</v>
      </c>
      <c r="T113" s="13">
        <v>135.25685000000001</v>
      </c>
      <c r="U113" s="13">
        <v>14.336101990749601</v>
      </c>
      <c r="V113" s="13">
        <v>5.3890000000000002</v>
      </c>
      <c r="W113" s="13">
        <v>18880</v>
      </c>
      <c r="X113" s="13">
        <v>3799</v>
      </c>
      <c r="Y113" s="13">
        <v>15081</v>
      </c>
      <c r="Z113" s="13">
        <v>0</v>
      </c>
      <c r="AA113" s="13">
        <v>0</v>
      </c>
      <c r="AB113" s="13">
        <v>202.34399999999999</v>
      </c>
    </row>
    <row r="114" spans="1:28" s="15" customFormat="1" ht="12.75" x14ac:dyDescent="0.2">
      <c r="A114" s="11">
        <v>41974</v>
      </c>
      <c r="B114" s="321"/>
      <c r="C114" s="245">
        <f t="shared" si="4"/>
        <v>33.873999999999995</v>
      </c>
      <c r="D114" s="13">
        <v>14</v>
      </c>
      <c r="E114" s="13">
        <v>19.873999999999999</v>
      </c>
      <c r="F114" s="247">
        <f t="shared" si="5"/>
        <v>13.888</v>
      </c>
      <c r="G114" s="13">
        <v>4.1859999999999999</v>
      </c>
      <c r="H114" s="13">
        <v>3.222</v>
      </c>
      <c r="I114" s="13">
        <v>6.48</v>
      </c>
      <c r="J114" s="249">
        <v>798.55466939500002</v>
      </c>
      <c r="K114" s="251">
        <f t="shared" si="6"/>
        <v>245.80474720000001</v>
      </c>
      <c r="L114" s="13">
        <v>163.00221519999999</v>
      </c>
      <c r="M114" s="13">
        <v>70.145069000000007</v>
      </c>
      <c r="N114" s="13">
        <v>12.657463</v>
      </c>
      <c r="O114" s="13"/>
      <c r="P114" s="13">
        <v>13.988586700000001</v>
      </c>
      <c r="Q114" s="13">
        <v>11.9110590909773</v>
      </c>
      <c r="R114" s="13">
        <v>413.51014000000004</v>
      </c>
      <c r="S114" s="13">
        <v>261.77767</v>
      </c>
      <c r="T114" s="13">
        <v>167.886</v>
      </c>
      <c r="U114" s="13">
        <v>18.795000000000002</v>
      </c>
      <c r="V114" s="13">
        <v>0</v>
      </c>
      <c r="W114" s="13">
        <v>27691</v>
      </c>
      <c r="X114" s="13">
        <v>4220</v>
      </c>
      <c r="Y114" s="13">
        <v>23471</v>
      </c>
      <c r="Z114" s="13">
        <v>0</v>
      </c>
      <c r="AA114" s="13">
        <v>0</v>
      </c>
      <c r="AB114" s="13">
        <v>43.679000000000002</v>
      </c>
    </row>
    <row r="115" spans="1:28" s="15" customFormat="1" ht="12.75" x14ac:dyDescent="0.2">
      <c r="A115" s="11">
        <v>42005</v>
      </c>
      <c r="B115" s="321"/>
      <c r="C115" s="245">
        <f t="shared" si="4"/>
        <v>67.781000000000006</v>
      </c>
      <c r="D115" s="13">
        <v>51</v>
      </c>
      <c r="E115" s="13">
        <v>16.780999999999999</v>
      </c>
      <c r="F115" s="247">
        <f t="shared" si="5"/>
        <v>11.033999999999999</v>
      </c>
      <c r="G115" s="13">
        <v>3.871</v>
      </c>
      <c r="H115" s="13">
        <v>0.79400000000000004</v>
      </c>
      <c r="I115" s="13">
        <v>6.3689999999999998</v>
      </c>
      <c r="J115" s="249">
        <v>393.40714548</v>
      </c>
      <c r="K115" s="251">
        <f t="shared" si="6"/>
        <v>209.81766490000001</v>
      </c>
      <c r="L115" s="13">
        <v>130.87267589999999</v>
      </c>
      <c r="M115" s="13">
        <v>64.049481</v>
      </c>
      <c r="N115" s="13">
        <v>14.895508</v>
      </c>
      <c r="O115" s="13"/>
      <c r="P115" s="13">
        <v>15.013669999999999</v>
      </c>
      <c r="Q115" s="13">
        <v>12.074161462336701</v>
      </c>
      <c r="R115" s="13">
        <v>452.99295000000001</v>
      </c>
      <c r="S115" s="13">
        <v>290.58652000000001</v>
      </c>
      <c r="T115" s="13">
        <v>177.98755</v>
      </c>
      <c r="U115" s="13">
        <v>17.509</v>
      </c>
      <c r="V115" s="13">
        <v>0</v>
      </c>
      <c r="W115" s="13">
        <v>27744</v>
      </c>
      <c r="X115" s="13">
        <v>4865.065889964405</v>
      </c>
      <c r="Y115" s="13">
        <v>22878.934110035596</v>
      </c>
      <c r="Z115" s="13">
        <v>10590</v>
      </c>
      <c r="AA115" s="13">
        <v>0</v>
      </c>
      <c r="AB115" s="13">
        <v>1231.0029999999999</v>
      </c>
    </row>
    <row r="116" spans="1:28" s="15" customFormat="1" ht="12.75" x14ac:dyDescent="0.2">
      <c r="A116" s="11">
        <v>42036</v>
      </c>
      <c r="B116" s="321"/>
      <c r="C116" s="245">
        <f t="shared" si="4"/>
        <v>71.52</v>
      </c>
      <c r="D116" s="13">
        <v>52</v>
      </c>
      <c r="E116" s="13">
        <v>19.52</v>
      </c>
      <c r="F116" s="247">
        <f t="shared" si="5"/>
        <v>3.7619999999999996</v>
      </c>
      <c r="G116" s="13">
        <v>1.841</v>
      </c>
      <c r="H116" s="13">
        <v>0.379</v>
      </c>
      <c r="I116" s="13">
        <v>1.542</v>
      </c>
      <c r="J116" s="249">
        <v>434.43425838499996</v>
      </c>
      <c r="K116" s="251">
        <f t="shared" si="6"/>
        <v>201.5283608</v>
      </c>
      <c r="L116" s="13">
        <v>128.95257080000002</v>
      </c>
      <c r="M116" s="13">
        <v>59.024915999999997</v>
      </c>
      <c r="N116" s="13">
        <v>13.550874000000002</v>
      </c>
      <c r="O116" s="13"/>
      <c r="P116" s="13">
        <v>13.13409925</v>
      </c>
      <c r="Q116" s="13">
        <v>10.543874971499401</v>
      </c>
      <c r="R116" s="13">
        <v>491.46752000000004</v>
      </c>
      <c r="S116" s="13">
        <v>283.83310999999998</v>
      </c>
      <c r="T116" s="13">
        <v>194.62950000000001</v>
      </c>
      <c r="U116" s="13">
        <v>15.885</v>
      </c>
      <c r="V116" s="13">
        <v>12.038</v>
      </c>
      <c r="W116" s="13">
        <v>20281</v>
      </c>
      <c r="X116" s="13">
        <v>3948</v>
      </c>
      <c r="Y116" s="13">
        <v>16333</v>
      </c>
      <c r="Z116" s="13">
        <v>7705</v>
      </c>
      <c r="AA116" s="13">
        <v>0</v>
      </c>
      <c r="AB116" s="13">
        <v>1441.2650000000001</v>
      </c>
    </row>
    <row r="117" spans="1:28" s="15" customFormat="1" ht="12.75" x14ac:dyDescent="0.2">
      <c r="A117" s="11">
        <v>42064</v>
      </c>
      <c r="B117" s="321"/>
      <c r="C117" s="245">
        <f t="shared" si="4"/>
        <v>82.704000000000008</v>
      </c>
      <c r="D117" s="13">
        <v>68</v>
      </c>
      <c r="E117" s="13">
        <v>14.704000000000001</v>
      </c>
      <c r="F117" s="247">
        <f t="shared" si="5"/>
        <v>0.96499999999999997</v>
      </c>
      <c r="G117" s="13">
        <v>0</v>
      </c>
      <c r="H117" s="13">
        <v>0.94599999999999995</v>
      </c>
      <c r="I117" s="13">
        <v>1.9E-2</v>
      </c>
      <c r="J117" s="249">
        <v>551.16020618999994</v>
      </c>
      <c r="K117" s="251">
        <f t="shared" si="6"/>
        <v>189.7819581</v>
      </c>
      <c r="L117" s="13">
        <v>113.05673709999998</v>
      </c>
      <c r="M117" s="13">
        <v>61.209151000000006</v>
      </c>
      <c r="N117" s="13">
        <v>15.516069999999999</v>
      </c>
      <c r="O117" s="13"/>
      <c r="P117" s="13">
        <v>14.4831954</v>
      </c>
      <c r="Q117" s="13">
        <v>11.2929655602582</v>
      </c>
      <c r="R117" s="13">
        <v>537.44367999999997</v>
      </c>
      <c r="S117" s="13">
        <v>321.36147</v>
      </c>
      <c r="T117" s="13">
        <v>222.4597</v>
      </c>
      <c r="U117" s="13">
        <v>20.681000000000001</v>
      </c>
      <c r="V117" s="13">
        <v>7.7720000000000002</v>
      </c>
      <c r="W117" s="13">
        <v>24783</v>
      </c>
      <c r="X117" s="13">
        <v>4350</v>
      </c>
      <c r="Y117" s="13">
        <v>20433</v>
      </c>
      <c r="Z117" s="13">
        <v>2470</v>
      </c>
      <c r="AA117" s="13">
        <v>0</v>
      </c>
      <c r="AB117" s="13">
        <v>4045.723</v>
      </c>
    </row>
    <row r="118" spans="1:28" s="15" customFormat="1" ht="12.75" x14ac:dyDescent="0.2">
      <c r="A118" s="11">
        <v>42095</v>
      </c>
      <c r="B118" s="321"/>
      <c r="C118" s="245">
        <f t="shared" si="4"/>
        <v>82.585000000000008</v>
      </c>
      <c r="D118" s="13">
        <v>66</v>
      </c>
      <c r="E118" s="13">
        <v>16.585000000000001</v>
      </c>
      <c r="F118" s="247">
        <f t="shared" si="5"/>
        <v>1.8029999999999999</v>
      </c>
      <c r="G118" s="13">
        <v>0.71299999999999997</v>
      </c>
      <c r="H118" s="13">
        <v>0.53300000000000003</v>
      </c>
      <c r="I118" s="13">
        <v>0.55700000000000005</v>
      </c>
      <c r="J118" s="249">
        <v>570.335241</v>
      </c>
      <c r="K118" s="251">
        <f t="shared" si="6"/>
        <v>190.93895879999999</v>
      </c>
      <c r="L118" s="13">
        <v>117.24747080000002</v>
      </c>
      <c r="M118" s="13">
        <v>58.679046999999997</v>
      </c>
      <c r="N118" s="13">
        <v>15.012441000000001</v>
      </c>
      <c r="O118" s="13"/>
      <c r="P118" s="13">
        <v>14.138984199999999</v>
      </c>
      <c r="Q118" s="13">
        <v>11.364666979885399</v>
      </c>
      <c r="R118" s="13">
        <v>525.26242000000002</v>
      </c>
      <c r="S118" s="13">
        <v>308.54149000000001</v>
      </c>
      <c r="T118" s="13">
        <v>231.40254999999999</v>
      </c>
      <c r="U118" s="13">
        <v>20.11</v>
      </c>
      <c r="V118" s="13">
        <v>11.093999999999999</v>
      </c>
      <c r="W118" s="13">
        <v>21147</v>
      </c>
      <c r="X118" s="13">
        <v>3452</v>
      </c>
      <c r="Y118" s="13">
        <v>17695</v>
      </c>
      <c r="Z118" s="13">
        <v>0</v>
      </c>
      <c r="AA118" s="13">
        <v>0</v>
      </c>
      <c r="AB118" s="13">
        <v>1306.579</v>
      </c>
    </row>
    <row r="119" spans="1:28" s="15" customFormat="1" ht="12.75" x14ac:dyDescent="0.2">
      <c r="A119" s="11">
        <v>42125</v>
      </c>
      <c r="B119" s="321"/>
      <c r="C119" s="245">
        <f t="shared" si="4"/>
        <v>90.456999999999994</v>
      </c>
      <c r="D119" s="13">
        <v>77</v>
      </c>
      <c r="E119" s="13">
        <v>13.457000000000001</v>
      </c>
      <c r="F119" s="247">
        <f t="shared" si="5"/>
        <v>13.870842</v>
      </c>
      <c r="G119" s="13">
        <v>6.1809810000000001</v>
      </c>
      <c r="H119" s="13">
        <v>0</v>
      </c>
      <c r="I119" s="13">
        <v>7.6898609999999996</v>
      </c>
      <c r="J119" s="249">
        <v>397.71513549999997</v>
      </c>
      <c r="K119" s="251">
        <f t="shared" si="6"/>
        <v>209.68911519999997</v>
      </c>
      <c r="L119" s="13">
        <v>128.93248419999998</v>
      </c>
      <c r="M119" s="13">
        <v>65.434832</v>
      </c>
      <c r="N119" s="13">
        <v>15.321798999999997</v>
      </c>
      <c r="O119" s="13"/>
      <c r="P119" s="13">
        <v>14.544309500000001</v>
      </c>
      <c r="Q119" s="13">
        <v>11.616574563877499</v>
      </c>
      <c r="R119" s="13">
        <v>530.13026000000002</v>
      </c>
      <c r="S119" s="13">
        <v>301.84371000000004</v>
      </c>
      <c r="T119" s="13">
        <v>215.57420000000002</v>
      </c>
      <c r="U119" s="13">
        <v>22.787330000000001</v>
      </c>
      <c r="V119" s="13">
        <v>17.786000000000001</v>
      </c>
      <c r="W119" s="13">
        <v>18797</v>
      </c>
      <c r="X119" s="13">
        <v>2950</v>
      </c>
      <c r="Y119" s="13">
        <v>15847</v>
      </c>
      <c r="Z119" s="13">
        <v>0</v>
      </c>
      <c r="AA119" s="13">
        <v>0</v>
      </c>
      <c r="AB119" s="13">
        <v>838.16200000000003</v>
      </c>
    </row>
    <row r="120" spans="1:28" s="15" customFormat="1" ht="12.75" x14ac:dyDescent="0.2">
      <c r="A120" s="11">
        <v>42156</v>
      </c>
      <c r="B120" s="321"/>
      <c r="C120" s="245">
        <f t="shared" si="4"/>
        <v>107.218</v>
      </c>
      <c r="D120" s="13">
        <v>95</v>
      </c>
      <c r="E120" s="13">
        <v>12.218</v>
      </c>
      <c r="F120" s="247">
        <f t="shared" si="5"/>
        <v>9.2998283499999985</v>
      </c>
      <c r="G120" s="13">
        <v>3.3915410000000001</v>
      </c>
      <c r="H120" s="13">
        <v>1.2333559999999999</v>
      </c>
      <c r="I120" s="13">
        <v>4.6749313499999996</v>
      </c>
      <c r="J120" s="249">
        <v>432.17622071</v>
      </c>
      <c r="K120" s="251">
        <f t="shared" si="6"/>
        <v>226.33770240000004</v>
      </c>
      <c r="L120" s="13">
        <v>142.30635940000002</v>
      </c>
      <c r="M120" s="13">
        <v>68.837260999999998</v>
      </c>
      <c r="N120" s="13">
        <v>15.194082</v>
      </c>
      <c r="O120" s="13"/>
      <c r="P120" s="13">
        <v>14.358948699999999</v>
      </c>
      <c r="Q120" s="13">
        <v>11.48715896</v>
      </c>
      <c r="R120" s="13">
        <v>532.00905</v>
      </c>
      <c r="S120" s="13">
        <v>314.80468000000002</v>
      </c>
      <c r="T120" s="13">
        <v>196.26385000000002</v>
      </c>
      <c r="U120" s="13">
        <v>21.021999999999998</v>
      </c>
      <c r="V120" s="13">
        <v>5.1059999999999999</v>
      </c>
      <c r="W120" s="13">
        <v>22728</v>
      </c>
      <c r="X120" s="13">
        <v>4268</v>
      </c>
      <c r="Y120" s="13">
        <v>19552</v>
      </c>
      <c r="Z120" s="13">
        <v>0</v>
      </c>
      <c r="AA120" s="13">
        <v>0</v>
      </c>
      <c r="AB120" s="13">
        <v>1448.277</v>
      </c>
    </row>
    <row r="121" spans="1:28" s="15" customFormat="1" ht="12.75" x14ac:dyDescent="0.2">
      <c r="A121" s="11">
        <v>42186</v>
      </c>
      <c r="B121" s="321"/>
      <c r="C121" s="245">
        <f t="shared" si="4"/>
        <v>118.521</v>
      </c>
      <c r="D121" s="13">
        <v>101</v>
      </c>
      <c r="E121" s="13">
        <v>17.521000000000001</v>
      </c>
      <c r="F121" s="247">
        <f t="shared" si="5"/>
        <v>7.3170000000000002</v>
      </c>
      <c r="G121" s="13">
        <v>3.2090000000000001</v>
      </c>
      <c r="H121" s="13">
        <v>0</v>
      </c>
      <c r="I121" s="13">
        <v>4.1079999999999997</v>
      </c>
      <c r="J121" s="249">
        <v>325.42391049999998</v>
      </c>
      <c r="K121" s="251">
        <f t="shared" si="6"/>
        <v>238.95285120000003</v>
      </c>
      <c r="L121" s="13">
        <v>148.68351920000001</v>
      </c>
      <c r="M121" s="13">
        <v>73.511237000000008</v>
      </c>
      <c r="N121" s="13">
        <v>16.758095000000001</v>
      </c>
      <c r="O121" s="13"/>
      <c r="P121" s="13">
        <v>14.780722949999999</v>
      </c>
      <c r="Q121" s="13">
        <v>11.3517410499467</v>
      </c>
      <c r="R121" s="13">
        <v>439.16796999999997</v>
      </c>
      <c r="S121" s="13">
        <v>255.8441</v>
      </c>
      <c r="T121" s="13">
        <v>180.45724999999999</v>
      </c>
      <c r="U121" s="13">
        <v>27.522919999999999</v>
      </c>
      <c r="V121" s="13">
        <v>10.159000000000001</v>
      </c>
      <c r="W121" s="13">
        <f>SUM(X121:Y121)</f>
        <v>24640</v>
      </c>
      <c r="X121" s="13">
        <v>2661</v>
      </c>
      <c r="Y121" s="13">
        <v>21979</v>
      </c>
      <c r="Z121" s="13">
        <v>0</v>
      </c>
      <c r="AA121" s="13">
        <v>0</v>
      </c>
      <c r="AB121" s="13">
        <v>1355.749</v>
      </c>
    </row>
    <row r="122" spans="1:28" s="15" customFormat="1" ht="12.75" x14ac:dyDescent="0.2">
      <c r="A122" s="11">
        <v>42217</v>
      </c>
      <c r="B122" s="321"/>
      <c r="C122" s="245">
        <f t="shared" si="4"/>
        <v>100.124</v>
      </c>
      <c r="D122" s="13">
        <v>89</v>
      </c>
      <c r="E122" s="13">
        <v>11.124000000000001</v>
      </c>
      <c r="F122" s="247">
        <f t="shared" si="5"/>
        <v>2.0303489999999953</v>
      </c>
      <c r="G122" s="13">
        <v>1.3437680000000001</v>
      </c>
      <c r="H122" s="13">
        <v>3.3730000000000001E-3</v>
      </c>
      <c r="I122" s="13">
        <v>0.68320799999999504</v>
      </c>
      <c r="J122" s="249">
        <v>271.74866816999997</v>
      </c>
      <c r="K122" s="251">
        <f t="shared" si="6"/>
        <v>252.09181799999993</v>
      </c>
      <c r="L122" s="13">
        <v>166.85216699999995</v>
      </c>
      <c r="M122" s="13">
        <v>71.146347000000006</v>
      </c>
      <c r="N122" s="13">
        <v>14.093304</v>
      </c>
      <c r="O122" s="13"/>
      <c r="P122" s="13">
        <v>14.4167667</v>
      </c>
      <c r="Q122" s="13">
        <v>11.0722190592101</v>
      </c>
      <c r="R122" s="13">
        <v>401.02471000000003</v>
      </c>
      <c r="S122" s="13">
        <v>253.46135999999998</v>
      </c>
      <c r="T122" s="13">
        <v>167.98479999999998</v>
      </c>
      <c r="U122" s="13">
        <v>7.2239199999999997</v>
      </c>
      <c r="V122" s="13">
        <v>13.756</v>
      </c>
      <c r="W122" s="13">
        <v>20107</v>
      </c>
      <c r="X122" s="13">
        <v>3464</v>
      </c>
      <c r="Y122" s="13">
        <v>16643</v>
      </c>
      <c r="Z122" s="13">
        <v>0</v>
      </c>
      <c r="AA122" s="13">
        <v>0</v>
      </c>
      <c r="AB122" s="13">
        <v>278.738</v>
      </c>
    </row>
    <row r="123" spans="1:28" s="15" customFormat="1" ht="12.75" x14ac:dyDescent="0.2">
      <c r="A123" s="11">
        <v>42248</v>
      </c>
      <c r="B123" s="321"/>
      <c r="C123" s="245">
        <f t="shared" si="4"/>
        <v>109.488</v>
      </c>
      <c r="D123" s="13">
        <v>97</v>
      </c>
      <c r="E123" s="13">
        <v>12.488</v>
      </c>
      <c r="F123" s="247">
        <f t="shared" si="5"/>
        <v>5.66</v>
      </c>
      <c r="G123" s="13">
        <v>2.052</v>
      </c>
      <c r="H123" s="13">
        <v>0.77300000000000002</v>
      </c>
      <c r="I123" s="13">
        <v>2.835</v>
      </c>
      <c r="J123" s="249">
        <v>337.12715108999998</v>
      </c>
      <c r="K123" s="251">
        <f t="shared" si="6"/>
        <v>245.21473839999996</v>
      </c>
      <c r="L123" s="13">
        <v>155.70264639999996</v>
      </c>
      <c r="M123" s="13">
        <v>74.465958000000001</v>
      </c>
      <c r="N123" s="13">
        <v>15.046133999999999</v>
      </c>
      <c r="O123" s="13"/>
      <c r="P123" s="13">
        <v>13.878017549999999</v>
      </c>
      <c r="Q123" s="13">
        <v>11.4241558832379</v>
      </c>
      <c r="R123" s="13">
        <v>368.54563999999999</v>
      </c>
      <c r="S123" s="13">
        <v>197.3783</v>
      </c>
      <c r="T123" s="13">
        <v>145.88964999999999</v>
      </c>
      <c r="U123" s="13">
        <v>17.102</v>
      </c>
      <c r="V123" s="13">
        <v>9.3829999999999991</v>
      </c>
      <c r="W123" s="13">
        <v>18666</v>
      </c>
      <c r="X123" s="13">
        <v>3179</v>
      </c>
      <c r="Y123" s="13">
        <v>15487</v>
      </c>
      <c r="Z123" s="13">
        <v>0</v>
      </c>
      <c r="AA123" s="13">
        <v>0</v>
      </c>
      <c r="AB123" s="13">
        <v>174.93100000000001</v>
      </c>
    </row>
    <row r="124" spans="1:28" s="15" customFormat="1" ht="12.75" x14ac:dyDescent="0.2">
      <c r="A124" s="11">
        <v>42278</v>
      </c>
      <c r="B124" s="321"/>
      <c r="C124" s="245">
        <f t="shared" si="4"/>
        <v>145.32999999999998</v>
      </c>
      <c r="D124" s="13">
        <v>126</v>
      </c>
      <c r="E124" s="13">
        <v>19.329999999999998</v>
      </c>
      <c r="F124" s="247">
        <f t="shared" si="5"/>
        <v>0.84299999999999997</v>
      </c>
      <c r="G124" s="13">
        <v>0.39700000000000002</v>
      </c>
      <c r="H124" s="13">
        <v>0</v>
      </c>
      <c r="I124" s="13">
        <v>0.44600000000000001</v>
      </c>
      <c r="J124" s="249">
        <v>377.66098269500003</v>
      </c>
      <c r="K124" s="251">
        <f t="shared" si="6"/>
        <v>256.75394339999991</v>
      </c>
      <c r="L124" s="13">
        <v>169.61265539999994</v>
      </c>
      <c r="M124" s="13">
        <v>71.664051000000001</v>
      </c>
      <c r="N124" s="13">
        <v>15.477237000000001</v>
      </c>
      <c r="O124" s="13"/>
      <c r="P124" s="13">
        <v>14.565178250000001</v>
      </c>
      <c r="Q124" s="13">
        <v>11.645929636926599</v>
      </c>
      <c r="R124" s="13">
        <v>400.87851000000001</v>
      </c>
      <c r="S124" s="13">
        <v>255.27232000000001</v>
      </c>
      <c r="T124" s="13">
        <v>170.15654999999998</v>
      </c>
      <c r="U124" s="13">
        <v>30.181999999999999</v>
      </c>
      <c r="V124" s="13">
        <v>5.6070000000000002</v>
      </c>
      <c r="W124" s="13">
        <v>26384</v>
      </c>
      <c r="X124" s="13">
        <v>3249</v>
      </c>
      <c r="Y124" s="13">
        <v>23135</v>
      </c>
      <c r="Z124" s="13">
        <v>0</v>
      </c>
      <c r="AA124" s="13">
        <v>0</v>
      </c>
      <c r="AB124" s="13">
        <v>111.41800000000001</v>
      </c>
    </row>
    <row r="125" spans="1:28" s="15" customFormat="1" ht="12.75" x14ac:dyDescent="0.2">
      <c r="A125" s="11">
        <v>42309</v>
      </c>
      <c r="B125" s="321"/>
      <c r="C125" s="245">
        <f t="shared" si="4"/>
        <v>142.91300000000001</v>
      </c>
      <c r="D125" s="13">
        <v>126</v>
      </c>
      <c r="E125" s="13">
        <v>16.913</v>
      </c>
      <c r="F125" s="247">
        <f t="shared" si="5"/>
        <v>0</v>
      </c>
      <c r="G125" s="13">
        <v>0</v>
      </c>
      <c r="H125" s="13">
        <v>0</v>
      </c>
      <c r="I125" s="13">
        <v>0</v>
      </c>
      <c r="J125" s="249">
        <v>445.67795358000001</v>
      </c>
      <c r="K125" s="251">
        <f t="shared" si="6"/>
        <v>254.36790839999995</v>
      </c>
      <c r="L125" s="13">
        <v>172.85024639999995</v>
      </c>
      <c r="M125" s="13">
        <v>68.743577999999999</v>
      </c>
      <c r="N125" s="13">
        <v>12.774084</v>
      </c>
      <c r="O125" s="13"/>
      <c r="P125" s="13">
        <v>15.0697408</v>
      </c>
      <c r="Q125" s="13">
        <v>12.0043389579756</v>
      </c>
      <c r="R125" s="13">
        <v>432.66352000000001</v>
      </c>
      <c r="S125" s="13">
        <v>253.78332</v>
      </c>
      <c r="T125" s="13">
        <v>144.3656</v>
      </c>
      <c r="U125" s="13">
        <v>28.567</v>
      </c>
      <c r="V125" s="13">
        <v>3.98</v>
      </c>
      <c r="W125" s="13">
        <v>22256</v>
      </c>
      <c r="X125" s="13">
        <v>2940</v>
      </c>
      <c r="Y125" s="13">
        <v>19316</v>
      </c>
      <c r="Z125" s="13">
        <v>0</v>
      </c>
      <c r="AA125" s="13">
        <v>0</v>
      </c>
      <c r="AB125" s="13">
        <v>465.70299999999997</v>
      </c>
    </row>
    <row r="126" spans="1:28" s="15" customFormat="1" ht="12.75" x14ac:dyDescent="0.2">
      <c r="A126" s="11">
        <v>42339</v>
      </c>
      <c r="B126" s="321"/>
      <c r="C126" s="245">
        <f t="shared" si="4"/>
        <v>124.187</v>
      </c>
      <c r="D126" s="13">
        <v>114</v>
      </c>
      <c r="E126" s="13">
        <v>10.186999999999999</v>
      </c>
      <c r="F126" s="247">
        <f t="shared" si="5"/>
        <v>0</v>
      </c>
      <c r="G126" s="13">
        <v>0</v>
      </c>
      <c r="H126" s="13">
        <v>0</v>
      </c>
      <c r="I126" s="13">
        <v>0</v>
      </c>
      <c r="J126" s="249">
        <v>630.75426239000001</v>
      </c>
      <c r="K126" s="251">
        <f t="shared" si="6"/>
        <v>243.73636189999996</v>
      </c>
      <c r="L126" s="13">
        <v>156.02099089999996</v>
      </c>
      <c r="M126" s="13">
        <v>74.481216000000018</v>
      </c>
      <c r="N126" s="13">
        <v>13.234155000000001</v>
      </c>
      <c r="O126" s="13"/>
      <c r="P126" s="13">
        <v>13.88610014</v>
      </c>
      <c r="Q126" s="13">
        <v>11.747102196483199</v>
      </c>
      <c r="R126" s="13">
        <v>465.23016000000001</v>
      </c>
      <c r="S126" s="13">
        <v>280.44961000000001</v>
      </c>
      <c r="T126" s="13">
        <v>206.64929999999998</v>
      </c>
      <c r="U126" s="13">
        <v>34.616999999999997</v>
      </c>
      <c r="V126" s="13">
        <v>11.23</v>
      </c>
      <c r="W126" s="13">
        <v>19591</v>
      </c>
      <c r="X126" s="13">
        <v>3693</v>
      </c>
      <c r="Y126" s="13">
        <v>15898</v>
      </c>
      <c r="Z126" s="13">
        <v>0</v>
      </c>
      <c r="AA126" s="13">
        <v>0</v>
      </c>
      <c r="AB126" s="13">
        <v>0</v>
      </c>
    </row>
    <row r="127" spans="1:28" s="15" customFormat="1" ht="12.75" x14ac:dyDescent="0.2">
      <c r="A127" s="11">
        <v>42370</v>
      </c>
      <c r="B127" s="321"/>
      <c r="C127" s="245">
        <f t="shared" si="4"/>
        <v>132.59800000000001</v>
      </c>
      <c r="D127" s="13">
        <v>122</v>
      </c>
      <c r="E127" s="13">
        <v>10.598000000000001</v>
      </c>
      <c r="F127" s="247">
        <f t="shared" si="5"/>
        <v>1.744</v>
      </c>
      <c r="G127" s="13">
        <v>0.51200000000000001</v>
      </c>
      <c r="H127" s="13">
        <v>0</v>
      </c>
      <c r="I127" s="13">
        <v>1.232</v>
      </c>
      <c r="J127" s="249">
        <v>571.49977935343986</v>
      </c>
      <c r="K127" s="251">
        <f t="shared" si="6"/>
        <v>230.01015119999994</v>
      </c>
      <c r="L127" s="13">
        <v>147.54326719999995</v>
      </c>
      <c r="M127" s="13">
        <v>69.342874000000009</v>
      </c>
      <c r="N127" s="13">
        <v>13.124010000000002</v>
      </c>
      <c r="O127" s="13"/>
      <c r="P127" s="13">
        <v>15.664765600000001</v>
      </c>
      <c r="Q127" s="13">
        <v>12.6399545901654</v>
      </c>
      <c r="R127" s="13">
        <v>531.24599999999998</v>
      </c>
      <c r="S127" s="13">
        <v>334.33315000000005</v>
      </c>
      <c r="T127" s="13">
        <v>218.58045000000001</v>
      </c>
      <c r="U127" s="13">
        <v>25.577999999999999</v>
      </c>
      <c r="V127" s="13">
        <v>13.821999999999999</v>
      </c>
      <c r="W127" s="13">
        <v>25551</v>
      </c>
      <c r="X127" s="13">
        <v>3482</v>
      </c>
      <c r="Y127" s="13">
        <v>22069</v>
      </c>
      <c r="Z127" s="13">
        <v>9907</v>
      </c>
      <c r="AA127" s="13">
        <v>0</v>
      </c>
      <c r="AB127" s="13">
        <v>749.79300000000001</v>
      </c>
    </row>
    <row r="128" spans="1:28" s="15" customFormat="1" ht="12.75" x14ac:dyDescent="0.2">
      <c r="A128" s="11">
        <v>42401</v>
      </c>
      <c r="B128" s="321"/>
      <c r="C128" s="245">
        <f t="shared" si="4"/>
        <v>135.286</v>
      </c>
      <c r="D128" s="13">
        <v>115</v>
      </c>
      <c r="E128" s="13">
        <v>20.286000000000001</v>
      </c>
      <c r="F128" s="247">
        <f t="shared" si="5"/>
        <v>0</v>
      </c>
      <c r="G128" s="13">
        <v>0</v>
      </c>
      <c r="H128" s="13">
        <v>0</v>
      </c>
      <c r="I128" s="13">
        <v>0</v>
      </c>
      <c r="J128" s="249">
        <v>577.86855028047171</v>
      </c>
      <c r="K128" s="251">
        <f t="shared" si="6"/>
        <v>217.50252909999998</v>
      </c>
      <c r="L128" s="13">
        <v>140.79292810000001</v>
      </c>
      <c r="M128" s="13">
        <v>64.443554999999989</v>
      </c>
      <c r="N128" s="13">
        <v>12.266046000000001</v>
      </c>
      <c r="O128" s="13"/>
      <c r="P128" s="13">
        <v>13.9163853</v>
      </c>
      <c r="Q128" s="13">
        <v>11.0842765344307</v>
      </c>
      <c r="R128" s="13">
        <v>534.3741</v>
      </c>
      <c r="S128" s="13">
        <v>324.66358999999994</v>
      </c>
      <c r="T128" s="13">
        <v>227.66345000000001</v>
      </c>
      <c r="U128" s="13">
        <v>21.591000000000001</v>
      </c>
      <c r="V128" s="13">
        <v>1.405</v>
      </c>
      <c r="W128" s="13">
        <v>20850</v>
      </c>
      <c r="X128" s="13">
        <v>3638</v>
      </c>
      <c r="Y128" s="13">
        <v>17212</v>
      </c>
      <c r="Z128" s="13">
        <v>7623</v>
      </c>
      <c r="AA128" s="13">
        <v>0</v>
      </c>
      <c r="AB128" s="13">
        <v>2655.6390000000001</v>
      </c>
    </row>
    <row r="129" spans="1:28" s="15" customFormat="1" ht="12.75" x14ac:dyDescent="0.2">
      <c r="A129" s="11">
        <v>42430</v>
      </c>
      <c r="B129" s="321"/>
      <c r="C129" s="245">
        <f t="shared" si="4"/>
        <v>145.95099999999999</v>
      </c>
      <c r="D129" s="13">
        <v>129</v>
      </c>
      <c r="E129" s="13">
        <v>16.951000000000001</v>
      </c>
      <c r="F129" s="247">
        <f t="shared" si="5"/>
        <v>0</v>
      </c>
      <c r="G129" s="13">
        <v>0</v>
      </c>
      <c r="H129" s="13">
        <v>0</v>
      </c>
      <c r="I129" s="13">
        <v>0</v>
      </c>
      <c r="J129" s="249">
        <v>791.88466787063919</v>
      </c>
      <c r="K129" s="251">
        <f t="shared" si="6"/>
        <v>228.08088560000007</v>
      </c>
      <c r="L129" s="13">
        <v>141.90696960000008</v>
      </c>
      <c r="M129" s="13">
        <v>71.255024999999989</v>
      </c>
      <c r="N129" s="13">
        <v>14.918891</v>
      </c>
      <c r="O129" s="13"/>
      <c r="P129" s="13">
        <v>15.118283099999999</v>
      </c>
      <c r="Q129" s="13">
        <v>12.3014808659885</v>
      </c>
      <c r="R129" s="13">
        <v>552.68521999999996</v>
      </c>
      <c r="S129" s="13">
        <v>309.35606000000001</v>
      </c>
      <c r="T129" s="13">
        <v>238.01315</v>
      </c>
      <c r="U129" s="13">
        <v>22.003299999999999</v>
      </c>
      <c r="V129" s="13">
        <v>0.22628999999999999</v>
      </c>
      <c r="W129" s="13">
        <v>24351</v>
      </c>
      <c r="X129" s="13">
        <v>3958</v>
      </c>
      <c r="Y129" s="13">
        <v>20393</v>
      </c>
      <c r="Z129" s="13">
        <v>1292</v>
      </c>
      <c r="AA129" s="13">
        <v>0</v>
      </c>
      <c r="AB129" s="13">
        <v>3111.585</v>
      </c>
    </row>
    <row r="130" spans="1:28" s="15" customFormat="1" ht="12.75" x14ac:dyDescent="0.2">
      <c r="A130" s="11">
        <v>42461</v>
      </c>
      <c r="B130" s="321"/>
      <c r="C130" s="245">
        <f t="shared" si="4"/>
        <v>160.595</v>
      </c>
      <c r="D130" s="13">
        <v>148</v>
      </c>
      <c r="E130" s="13">
        <v>12.595000000000001</v>
      </c>
      <c r="F130" s="247">
        <f t="shared" si="5"/>
        <v>0</v>
      </c>
      <c r="G130" s="13">
        <v>0</v>
      </c>
      <c r="H130" s="13">
        <v>0</v>
      </c>
      <c r="I130" s="13">
        <v>0</v>
      </c>
      <c r="J130" s="249">
        <v>654.55132565060171</v>
      </c>
      <c r="K130" s="251">
        <f t="shared" si="6"/>
        <v>217.3286940000001</v>
      </c>
      <c r="L130" s="13">
        <v>136.4692160000001</v>
      </c>
      <c r="M130" s="13">
        <v>63.239203000000003</v>
      </c>
      <c r="N130" s="13">
        <v>17.620274999999999</v>
      </c>
      <c r="O130" s="13"/>
      <c r="P130" s="13">
        <v>14.9608863</v>
      </c>
      <c r="Q130" s="13">
        <v>12.0664044721106</v>
      </c>
      <c r="R130" s="13">
        <v>590.98950000000002</v>
      </c>
      <c r="S130" s="13">
        <v>323.78294</v>
      </c>
      <c r="T130" s="13">
        <v>252.90539999999999</v>
      </c>
      <c r="U130" s="13">
        <v>30.02</v>
      </c>
      <c r="V130" s="13">
        <v>3.0569999999999999</v>
      </c>
      <c r="W130" s="13">
        <v>26762</v>
      </c>
      <c r="X130" s="13">
        <v>4650</v>
      </c>
      <c r="Y130" s="13">
        <v>22112</v>
      </c>
      <c r="Z130" s="13">
        <v>0</v>
      </c>
      <c r="AA130" s="13">
        <v>0</v>
      </c>
      <c r="AB130" s="13">
        <v>1454.5309999999999</v>
      </c>
    </row>
    <row r="131" spans="1:28" s="15" customFormat="1" ht="12.75" x14ac:dyDescent="0.2">
      <c r="A131" s="11">
        <v>42491</v>
      </c>
      <c r="B131" s="321"/>
      <c r="C131" s="245">
        <f t="shared" si="4"/>
        <v>158.13</v>
      </c>
      <c r="D131" s="13">
        <v>144</v>
      </c>
      <c r="E131" s="13">
        <v>14.13</v>
      </c>
      <c r="F131" s="247">
        <f t="shared" si="5"/>
        <v>5.7000000000000002E-2</v>
      </c>
      <c r="G131" s="13">
        <v>0</v>
      </c>
      <c r="H131" s="13">
        <v>5.7000000000000002E-2</v>
      </c>
      <c r="I131" s="13">
        <v>0</v>
      </c>
      <c r="J131" s="249">
        <v>522.87465280232675</v>
      </c>
      <c r="K131" s="251">
        <f t="shared" si="6"/>
        <v>212.9918845000002</v>
      </c>
      <c r="L131" s="13">
        <v>126.85863650000019</v>
      </c>
      <c r="M131" s="13">
        <v>66.394671000000002</v>
      </c>
      <c r="N131" s="13">
        <v>19.738577000000006</v>
      </c>
      <c r="O131" s="13"/>
      <c r="P131" s="13">
        <v>15.287075099999999</v>
      </c>
      <c r="Q131" s="13">
        <v>12.2765436291984</v>
      </c>
      <c r="R131" s="13">
        <v>549.37936000000002</v>
      </c>
      <c r="S131" s="13">
        <v>297.25680999999997</v>
      </c>
      <c r="T131" s="13">
        <v>256.77855</v>
      </c>
      <c r="U131" s="13">
        <v>45.012</v>
      </c>
      <c r="V131" s="13">
        <v>11.542999999999999</v>
      </c>
      <c r="W131" s="13">
        <v>25944</v>
      </c>
      <c r="X131" s="13">
        <v>3920</v>
      </c>
      <c r="Y131" s="13">
        <v>21938.008600000001</v>
      </c>
      <c r="Z131" s="13">
        <v>0</v>
      </c>
      <c r="AA131" s="13">
        <v>0</v>
      </c>
      <c r="AB131" s="13">
        <v>291.81799999999998</v>
      </c>
    </row>
    <row r="132" spans="1:28" s="15" customFormat="1" ht="12.75" x14ac:dyDescent="0.2">
      <c r="A132" s="11">
        <v>42522</v>
      </c>
      <c r="B132" s="321"/>
      <c r="C132" s="245">
        <f t="shared" si="4"/>
        <v>159.43899999999999</v>
      </c>
      <c r="D132" s="13">
        <v>147</v>
      </c>
      <c r="E132" s="13">
        <v>12.439</v>
      </c>
      <c r="F132" s="247">
        <f t="shared" si="5"/>
        <v>3.5999999999999997E-2</v>
      </c>
      <c r="G132" s="13">
        <v>0</v>
      </c>
      <c r="H132" s="13">
        <v>3.5999999999999997E-2</v>
      </c>
      <c r="I132" s="13">
        <v>0</v>
      </c>
      <c r="J132" s="249">
        <v>366.7209238968627</v>
      </c>
      <c r="K132" s="251">
        <f t="shared" si="6"/>
        <v>220.52333320000028</v>
      </c>
      <c r="L132" s="13">
        <v>134.02258920000028</v>
      </c>
      <c r="M132" s="13">
        <v>68.727194999999995</v>
      </c>
      <c r="N132" s="13">
        <v>17.773548999999999</v>
      </c>
      <c r="O132" s="13"/>
      <c r="P132" s="13">
        <v>15.04286875</v>
      </c>
      <c r="Q132" s="13">
        <v>11.8722680945645</v>
      </c>
      <c r="R132" s="13">
        <v>514.02612999999997</v>
      </c>
      <c r="S132" s="13">
        <v>286.04622999999998</v>
      </c>
      <c r="T132" s="13">
        <v>232.26590000000002</v>
      </c>
      <c r="U132" s="13">
        <v>43.343000000000004</v>
      </c>
      <c r="V132" s="13">
        <v>14.282</v>
      </c>
      <c r="W132" s="13">
        <v>17363</v>
      </c>
      <c r="X132" s="13">
        <v>3831</v>
      </c>
      <c r="Y132" s="13">
        <v>13532</v>
      </c>
      <c r="Z132" s="13">
        <v>0</v>
      </c>
      <c r="AA132" s="13">
        <v>0</v>
      </c>
      <c r="AB132" s="13">
        <v>530.81799999999998</v>
      </c>
    </row>
    <row r="133" spans="1:28" s="15" customFormat="1" ht="12.75" x14ac:dyDescent="0.2">
      <c r="A133" s="11">
        <v>42552</v>
      </c>
      <c r="B133" s="321"/>
      <c r="C133" s="245">
        <f t="shared" si="4"/>
        <v>165.839</v>
      </c>
      <c r="D133" s="13">
        <v>154</v>
      </c>
      <c r="E133" s="13">
        <v>11.839</v>
      </c>
      <c r="F133" s="247">
        <f t="shared" si="5"/>
        <v>0</v>
      </c>
      <c r="G133" s="13">
        <v>0</v>
      </c>
      <c r="H133" s="13">
        <v>0</v>
      </c>
      <c r="I133" s="13">
        <v>0</v>
      </c>
      <c r="J133" s="249">
        <v>496.75326326500004</v>
      </c>
      <c r="K133" s="251">
        <f t="shared" si="6"/>
        <v>239.75456260000027</v>
      </c>
      <c r="L133" s="13">
        <v>150.93257460000029</v>
      </c>
      <c r="M133" s="13">
        <v>72.902837999999988</v>
      </c>
      <c r="N133" s="13">
        <v>15.91915</v>
      </c>
      <c r="O133" s="13"/>
      <c r="P133" s="13">
        <v>15.33959905</v>
      </c>
      <c r="Q133" s="13">
        <v>12.2187281384846</v>
      </c>
      <c r="R133" s="13">
        <v>494.14310999999998</v>
      </c>
      <c r="S133" s="13">
        <v>243.80126000000001</v>
      </c>
      <c r="T133" s="13">
        <v>241.81184999999999</v>
      </c>
      <c r="U133" s="13">
        <v>50.468000000000004</v>
      </c>
      <c r="V133" s="13">
        <v>14.568</v>
      </c>
      <c r="W133" s="13">
        <v>23229</v>
      </c>
      <c r="X133" s="13">
        <v>3318</v>
      </c>
      <c r="Y133" s="13">
        <v>19911</v>
      </c>
      <c r="Z133" s="13">
        <v>0</v>
      </c>
      <c r="AA133" s="13">
        <v>0</v>
      </c>
      <c r="AB133" s="13">
        <v>1891.386</v>
      </c>
    </row>
    <row r="134" spans="1:28" s="15" customFormat="1" ht="12.75" x14ac:dyDescent="0.2">
      <c r="A134" s="11">
        <v>42583</v>
      </c>
      <c r="B134" s="321"/>
      <c r="C134" s="245">
        <f t="shared" si="4"/>
        <v>145.63999999999999</v>
      </c>
      <c r="D134" s="13">
        <v>141</v>
      </c>
      <c r="E134" s="13">
        <v>4.6399999999999997</v>
      </c>
      <c r="F134" s="247">
        <f t="shared" si="5"/>
        <v>0</v>
      </c>
      <c r="G134" s="13">
        <v>0</v>
      </c>
      <c r="H134" s="13">
        <v>0</v>
      </c>
      <c r="I134" s="13">
        <v>0</v>
      </c>
      <c r="J134" s="249">
        <v>446.92164614499995</v>
      </c>
      <c r="K134" s="251">
        <f t="shared" si="6"/>
        <v>256.25918750000034</v>
      </c>
      <c r="L134" s="13">
        <v>169.58093550000035</v>
      </c>
      <c r="M134" s="13">
        <v>71.463673999999997</v>
      </c>
      <c r="N134" s="13">
        <v>15.214578000000001</v>
      </c>
      <c r="O134" s="13"/>
      <c r="P134" s="13">
        <v>15.17566075</v>
      </c>
      <c r="Q134" s="13">
        <v>12.2038277707035</v>
      </c>
      <c r="R134" s="13">
        <v>551.17899999999997</v>
      </c>
      <c r="S134" s="13">
        <v>260.43691000000001</v>
      </c>
      <c r="T134" s="13">
        <v>279.70915000000002</v>
      </c>
      <c r="U134" s="13">
        <v>43.671999999999997</v>
      </c>
      <c r="V134" s="13">
        <v>11.459</v>
      </c>
      <c r="W134" s="13">
        <v>20048</v>
      </c>
      <c r="X134" s="13">
        <v>4227</v>
      </c>
      <c r="Y134" s="13">
        <v>15821</v>
      </c>
      <c r="Z134" s="13">
        <v>0</v>
      </c>
      <c r="AA134" s="13">
        <v>0</v>
      </c>
      <c r="AB134" s="13">
        <v>0.221</v>
      </c>
    </row>
    <row r="135" spans="1:28" s="15" customFormat="1" ht="12.75" x14ac:dyDescent="0.2">
      <c r="A135" s="11">
        <v>42614</v>
      </c>
      <c r="B135" s="321"/>
      <c r="C135" s="245">
        <f t="shared" si="4"/>
        <v>143.68199999999999</v>
      </c>
      <c r="D135" s="13">
        <v>130</v>
      </c>
      <c r="E135" s="13">
        <v>13.682</v>
      </c>
      <c r="F135" s="247">
        <f t="shared" si="5"/>
        <v>2.149</v>
      </c>
      <c r="G135" s="13">
        <v>0.76800000000000002</v>
      </c>
      <c r="H135" s="13">
        <v>0</v>
      </c>
      <c r="I135" s="13">
        <v>1.381</v>
      </c>
      <c r="J135" s="249">
        <v>459.09407096000001</v>
      </c>
      <c r="K135" s="251">
        <f t="shared" si="6"/>
        <v>260.94467380000009</v>
      </c>
      <c r="L135" s="13">
        <v>172.7817338000001</v>
      </c>
      <c r="M135" s="13">
        <v>74.130295000000004</v>
      </c>
      <c r="N135" s="13">
        <v>14.032645</v>
      </c>
      <c r="O135" s="13"/>
      <c r="P135" s="13">
        <v>14.625981100000001</v>
      </c>
      <c r="Q135" s="13">
        <v>12.143313968737999</v>
      </c>
      <c r="R135" s="13">
        <v>374.44690000000003</v>
      </c>
      <c r="S135" s="13">
        <v>184.9272</v>
      </c>
      <c r="T135" s="13">
        <v>202.42190000000002</v>
      </c>
      <c r="U135" s="13">
        <v>39.601999999999997</v>
      </c>
      <c r="V135" s="13">
        <v>8.2330000000000005</v>
      </c>
      <c r="W135" s="13">
        <v>18026</v>
      </c>
      <c r="X135" s="13">
        <v>2926</v>
      </c>
      <c r="Y135" s="13">
        <f>W135-X135</f>
        <v>15100</v>
      </c>
      <c r="Z135" s="13">
        <v>0</v>
      </c>
      <c r="AA135" s="13">
        <v>0</v>
      </c>
      <c r="AB135" s="13">
        <v>56.594000000000001</v>
      </c>
    </row>
    <row r="136" spans="1:28" s="15" customFormat="1" ht="12.75" x14ac:dyDescent="0.2">
      <c r="A136" s="11">
        <v>42644</v>
      </c>
      <c r="B136" s="321"/>
      <c r="C136" s="245">
        <f t="shared" ref="C136:C163" si="7">D136+E136</f>
        <v>159.33099999999999</v>
      </c>
      <c r="D136" s="13">
        <v>142</v>
      </c>
      <c r="E136" s="13">
        <v>17.331</v>
      </c>
      <c r="F136" s="247">
        <f t="shared" ref="F136:F162" si="8">G136+H136+I136</f>
        <v>0</v>
      </c>
      <c r="G136" s="13">
        <v>0</v>
      </c>
      <c r="H136" s="13">
        <v>0</v>
      </c>
      <c r="I136" s="13">
        <v>0</v>
      </c>
      <c r="J136" s="249">
        <v>365.96567996499999</v>
      </c>
      <c r="K136" s="251">
        <f t="shared" ref="K136:K162" si="9">SUM(L136:O136)</f>
        <v>269.33693780000021</v>
      </c>
      <c r="L136" s="13">
        <v>182.34428480000022</v>
      </c>
      <c r="M136" s="13">
        <v>73.287743000000006</v>
      </c>
      <c r="N136" s="13">
        <v>13.704909999999996</v>
      </c>
      <c r="O136" s="13"/>
      <c r="P136" s="13">
        <v>15.609644599999999</v>
      </c>
      <c r="Q136" s="13">
        <v>12.5900333423231</v>
      </c>
      <c r="R136" s="13">
        <v>462.11671999999999</v>
      </c>
      <c r="S136" s="13">
        <v>233.00532000000001</v>
      </c>
      <c r="T136" s="13">
        <v>232.10724999999999</v>
      </c>
      <c r="U136" s="13">
        <v>39.484999999999999</v>
      </c>
      <c r="V136" s="13">
        <v>7.843</v>
      </c>
      <c r="W136" s="13">
        <v>19768</v>
      </c>
      <c r="X136" s="13">
        <v>2798</v>
      </c>
      <c r="Y136" s="13">
        <v>16970</v>
      </c>
      <c r="Z136" s="13">
        <v>0</v>
      </c>
      <c r="AA136" s="13">
        <v>0</v>
      </c>
      <c r="AB136" s="13">
        <v>79.319999999999993</v>
      </c>
    </row>
    <row r="137" spans="1:28" s="15" customFormat="1" ht="12.75" x14ac:dyDescent="0.2">
      <c r="A137" s="11">
        <v>42675</v>
      </c>
      <c r="B137" s="321"/>
      <c r="C137" s="245">
        <f t="shared" si="7"/>
        <v>168.02199999999999</v>
      </c>
      <c r="D137" s="13">
        <v>154</v>
      </c>
      <c r="E137" s="13">
        <v>14.022</v>
      </c>
      <c r="F137" s="247">
        <f t="shared" si="8"/>
        <v>3.6479999999999997</v>
      </c>
      <c r="G137" s="13">
        <v>1.5389999999999999</v>
      </c>
      <c r="H137" s="13">
        <v>0</v>
      </c>
      <c r="I137" s="13">
        <v>2.109</v>
      </c>
      <c r="J137" s="249">
        <v>496.92959715499995</v>
      </c>
      <c r="K137" s="251">
        <f t="shared" si="9"/>
        <v>263.91849330000019</v>
      </c>
      <c r="L137" s="13">
        <v>172.33360430000022</v>
      </c>
      <c r="M137" s="13">
        <v>77.793841</v>
      </c>
      <c r="N137" s="13">
        <v>13.791048</v>
      </c>
      <c r="O137" s="13"/>
      <c r="P137" s="13">
        <v>15.148480149999999</v>
      </c>
      <c r="Q137" s="13">
        <v>12.188388228995899</v>
      </c>
      <c r="R137" s="13">
        <v>490.22615000000002</v>
      </c>
      <c r="S137" s="13">
        <v>227.81063</v>
      </c>
      <c r="T137" s="13">
        <v>241.63874999999999</v>
      </c>
      <c r="U137" s="13">
        <v>36.466000000000001</v>
      </c>
      <c r="V137" s="13">
        <v>2.1040000000000001</v>
      </c>
      <c r="W137" s="13">
        <v>22611</v>
      </c>
      <c r="X137" s="13">
        <v>4032</v>
      </c>
      <c r="Y137" s="13">
        <v>18579</v>
      </c>
      <c r="Z137" s="13">
        <v>0</v>
      </c>
      <c r="AA137" s="13">
        <v>0</v>
      </c>
      <c r="AB137" s="13">
        <v>62.136000000000003</v>
      </c>
    </row>
    <row r="138" spans="1:28" s="15" customFormat="1" ht="12.75" x14ac:dyDescent="0.2">
      <c r="A138" s="11">
        <v>42705</v>
      </c>
      <c r="B138" s="321"/>
      <c r="C138" s="245">
        <f t="shared" si="7"/>
        <v>106.467</v>
      </c>
      <c r="D138" s="13">
        <v>82</v>
      </c>
      <c r="E138" s="13">
        <v>24.466999999999999</v>
      </c>
      <c r="F138" s="247">
        <f t="shared" si="8"/>
        <v>2.2000000000000002</v>
      </c>
      <c r="G138" s="13">
        <v>0.65700000000000003</v>
      </c>
      <c r="H138" s="13">
        <v>0</v>
      </c>
      <c r="I138" s="13">
        <v>1.5429999999999999</v>
      </c>
      <c r="J138" s="249">
        <v>384.12126675499997</v>
      </c>
      <c r="K138" s="251">
        <f t="shared" si="9"/>
        <v>265.15749220000026</v>
      </c>
      <c r="L138" s="13">
        <v>173.24008220000024</v>
      </c>
      <c r="M138" s="13">
        <v>77.927340000000001</v>
      </c>
      <c r="N138" s="13">
        <v>13.990069999999998</v>
      </c>
      <c r="O138" s="13"/>
      <c r="P138" s="13">
        <v>14.55445025</v>
      </c>
      <c r="Q138" s="13">
        <v>11.7988439768177</v>
      </c>
      <c r="R138" s="13">
        <v>536.37136999999996</v>
      </c>
      <c r="S138" s="13">
        <v>267.01031</v>
      </c>
      <c r="T138" s="13">
        <v>275.6739</v>
      </c>
      <c r="U138" s="13">
        <v>33.783999999999999</v>
      </c>
      <c r="V138" s="13">
        <v>9.6850000000000005</v>
      </c>
      <c r="W138" s="13">
        <v>20775</v>
      </c>
      <c r="X138" s="13">
        <v>3809</v>
      </c>
      <c r="Y138" s="13">
        <v>16966</v>
      </c>
      <c r="Z138" s="13">
        <v>2961</v>
      </c>
      <c r="AA138" s="13">
        <v>0</v>
      </c>
      <c r="AB138" s="13">
        <v>96.942999999999998</v>
      </c>
    </row>
    <row r="139" spans="1:28" s="15" customFormat="1" ht="12.75" x14ac:dyDescent="0.2">
      <c r="A139" s="11">
        <v>42736</v>
      </c>
      <c r="B139" s="321"/>
      <c r="C139" s="245">
        <f t="shared" si="7"/>
        <v>92.477999999999994</v>
      </c>
      <c r="D139" s="13">
        <v>81</v>
      </c>
      <c r="E139" s="13">
        <v>11.478</v>
      </c>
      <c r="F139" s="247">
        <f t="shared" si="8"/>
        <v>0</v>
      </c>
      <c r="G139" s="13">
        <v>0</v>
      </c>
      <c r="H139" s="13">
        <v>0</v>
      </c>
      <c r="I139" s="13">
        <v>0</v>
      </c>
      <c r="J139" s="249">
        <v>576.65717949999998</v>
      </c>
      <c r="K139" s="251">
        <f t="shared" si="9"/>
        <v>249.80289050000019</v>
      </c>
      <c r="L139" s="13">
        <v>158.6732155000002</v>
      </c>
      <c r="M139" s="13">
        <v>75.913232999999991</v>
      </c>
      <c r="N139" s="13">
        <v>15.216442000000001</v>
      </c>
      <c r="O139" s="13"/>
      <c r="P139" s="13">
        <v>16.10743025</v>
      </c>
      <c r="Q139" s="13">
        <v>12.760619904961199</v>
      </c>
      <c r="R139" s="13">
        <v>554.40969999999993</v>
      </c>
      <c r="S139" s="13">
        <v>272.04118</v>
      </c>
      <c r="T139" s="13">
        <v>291.74345</v>
      </c>
      <c r="U139" s="13">
        <v>15.170412580645614</v>
      </c>
      <c r="V139" s="13">
        <v>15.361625999999999</v>
      </c>
      <c r="W139" s="13">
        <v>24404</v>
      </c>
      <c r="X139" s="13">
        <v>3821</v>
      </c>
      <c r="Y139" s="13">
        <v>20583</v>
      </c>
      <c r="Z139" s="13">
        <v>7217</v>
      </c>
      <c r="AA139" s="13">
        <v>0</v>
      </c>
      <c r="AB139" s="13">
        <v>809.75</v>
      </c>
    </row>
    <row r="140" spans="1:28" s="15" customFormat="1" ht="12.75" x14ac:dyDescent="0.2">
      <c r="A140" s="11">
        <v>42767</v>
      </c>
      <c r="B140" s="321"/>
      <c r="C140" s="245">
        <f t="shared" si="7"/>
        <v>103.595</v>
      </c>
      <c r="D140" s="13">
        <v>86</v>
      </c>
      <c r="E140" s="13">
        <v>17.594999999999999</v>
      </c>
      <c r="F140" s="247">
        <f t="shared" si="8"/>
        <v>0</v>
      </c>
      <c r="G140" s="13">
        <v>0</v>
      </c>
      <c r="H140" s="13">
        <v>0</v>
      </c>
      <c r="I140" s="13">
        <v>0</v>
      </c>
      <c r="J140" s="249">
        <v>585.02028199999995</v>
      </c>
      <c r="K140" s="251">
        <f t="shared" si="9"/>
        <v>222.18788980000014</v>
      </c>
      <c r="L140" s="13">
        <v>137.64220880000013</v>
      </c>
      <c r="M140" s="13">
        <v>70.382304000000005</v>
      </c>
      <c r="N140" s="13">
        <v>14.163377000000001</v>
      </c>
      <c r="O140" s="13"/>
      <c r="P140" s="13">
        <v>14.06673945</v>
      </c>
      <c r="Q140" s="13">
        <v>11.201715076122101</v>
      </c>
      <c r="R140" s="13">
        <v>570.34280000000001</v>
      </c>
      <c r="S140" s="13">
        <v>279.66147999999998</v>
      </c>
      <c r="T140" s="13">
        <v>287.15530000000001</v>
      </c>
      <c r="U140" s="13">
        <v>34.370100409144605</v>
      </c>
      <c r="V140" s="13">
        <v>15.564</v>
      </c>
      <c r="W140" s="13">
        <v>23117</v>
      </c>
      <c r="X140" s="13">
        <v>4063</v>
      </c>
      <c r="Y140" s="13">
        <v>19054</v>
      </c>
      <c r="Z140" s="13">
        <v>4877</v>
      </c>
      <c r="AA140" s="13">
        <v>0</v>
      </c>
      <c r="AB140" s="13">
        <v>1798.498</v>
      </c>
    </row>
    <row r="141" spans="1:28" s="15" customFormat="1" ht="12.75" x14ac:dyDescent="0.2">
      <c r="A141" s="11">
        <v>42795</v>
      </c>
      <c r="B141" s="321"/>
      <c r="C141" s="245">
        <f t="shared" si="7"/>
        <v>111.661</v>
      </c>
      <c r="D141" s="13">
        <v>91</v>
      </c>
      <c r="E141" s="13">
        <v>20.661000000000001</v>
      </c>
      <c r="F141" s="247">
        <f t="shared" si="8"/>
        <v>1.573</v>
      </c>
      <c r="G141" s="13">
        <v>0.76500000000000001</v>
      </c>
      <c r="H141" s="13">
        <v>0</v>
      </c>
      <c r="I141" s="13">
        <v>0.80800000000000005</v>
      </c>
      <c r="J141" s="249">
        <v>451.49413700000002</v>
      </c>
      <c r="K141" s="251">
        <f t="shared" si="9"/>
        <v>215.6005026</v>
      </c>
      <c r="L141" s="13">
        <v>131.10940159999998</v>
      </c>
      <c r="M141" s="13">
        <v>69.051809000000006</v>
      </c>
      <c r="N141" s="13">
        <v>15.439292000000002</v>
      </c>
      <c r="O141" s="13"/>
      <c r="P141" s="13">
        <v>15.595377300000001</v>
      </c>
      <c r="Q141" s="13">
        <v>12.3230185466448</v>
      </c>
      <c r="R141" s="13">
        <v>609.76172999999994</v>
      </c>
      <c r="S141" s="13">
        <v>297.43103000000002</v>
      </c>
      <c r="T141" s="13">
        <v>319.33769999999998</v>
      </c>
      <c r="U141" s="13">
        <v>32.374670000000002</v>
      </c>
      <c r="V141" s="13">
        <v>19.004000000000001</v>
      </c>
      <c r="W141" s="13">
        <v>24890</v>
      </c>
      <c r="X141" s="13">
        <v>5665</v>
      </c>
      <c r="Y141" s="13">
        <v>19225</v>
      </c>
      <c r="Z141" s="13">
        <v>1269.165</v>
      </c>
      <c r="AA141" s="13">
        <v>0</v>
      </c>
      <c r="AB141" s="13">
        <v>2003.0509999999999</v>
      </c>
    </row>
    <row r="142" spans="1:28" s="15" customFormat="1" ht="12.75" x14ac:dyDescent="0.2">
      <c r="A142" s="11">
        <v>42826</v>
      </c>
      <c r="B142" s="321"/>
      <c r="C142" s="245">
        <f t="shared" si="7"/>
        <v>111.264</v>
      </c>
      <c r="D142" s="13">
        <v>99</v>
      </c>
      <c r="E142" s="13">
        <v>12.263999999999999</v>
      </c>
      <c r="F142" s="247">
        <f t="shared" si="8"/>
        <v>2.4020000000000001</v>
      </c>
      <c r="G142" s="13">
        <v>1.1879999999999999</v>
      </c>
      <c r="H142" s="13">
        <v>0</v>
      </c>
      <c r="I142" s="13">
        <v>1.214</v>
      </c>
      <c r="J142" s="249">
        <v>592.22105499999998</v>
      </c>
      <c r="K142" s="251">
        <f t="shared" si="9"/>
        <v>226.49553399999996</v>
      </c>
      <c r="L142" s="13">
        <v>145.53050699999997</v>
      </c>
      <c r="M142" s="13">
        <v>67.065303</v>
      </c>
      <c r="N142" s="13">
        <v>13.899723999999999</v>
      </c>
      <c r="O142" s="13"/>
      <c r="P142" s="13">
        <v>15.217571700000001</v>
      </c>
      <c r="Q142" s="13">
        <v>12.0042228339712</v>
      </c>
      <c r="R142" s="13">
        <v>531.07801000000006</v>
      </c>
      <c r="S142" s="13">
        <v>278.29023999999998</v>
      </c>
      <c r="T142" s="13">
        <v>238.97909999999999</v>
      </c>
      <c r="U142" s="13">
        <v>43.162030002605398</v>
      </c>
      <c r="V142" s="13">
        <v>13.71</v>
      </c>
      <c r="W142" s="13">
        <v>20222</v>
      </c>
      <c r="X142" s="13">
        <v>5466</v>
      </c>
      <c r="Y142" s="13">
        <v>14756</v>
      </c>
      <c r="Z142" s="13">
        <v>0</v>
      </c>
      <c r="AA142" s="13">
        <v>0</v>
      </c>
      <c r="AB142" s="13">
        <v>663.87199999999996</v>
      </c>
    </row>
    <row r="143" spans="1:28" s="15" customFormat="1" ht="12.75" x14ac:dyDescent="0.2">
      <c r="A143" s="11">
        <v>42856</v>
      </c>
      <c r="B143" s="321"/>
      <c r="C143" s="245">
        <f t="shared" si="7"/>
        <v>134.45699999999999</v>
      </c>
      <c r="D143" s="13">
        <v>125</v>
      </c>
      <c r="E143" s="13">
        <v>9.4570000000000007</v>
      </c>
      <c r="F143" s="247">
        <f t="shared" si="8"/>
        <v>6.8529999999999998</v>
      </c>
      <c r="G143" s="13">
        <v>2.835</v>
      </c>
      <c r="H143" s="13">
        <v>0</v>
      </c>
      <c r="I143" s="13">
        <v>4.0179999999999998</v>
      </c>
      <c r="J143" s="249">
        <v>597.97600350000005</v>
      </c>
      <c r="K143" s="251">
        <f t="shared" si="9"/>
        <v>254.54296140000005</v>
      </c>
      <c r="L143" s="13">
        <v>158.86130940000007</v>
      </c>
      <c r="M143" s="13">
        <v>79.898148999999989</v>
      </c>
      <c r="N143" s="13">
        <v>15.783503000000001</v>
      </c>
      <c r="O143" s="13"/>
      <c r="P143" s="13">
        <v>15.7697804</v>
      </c>
      <c r="Q143" s="13">
        <v>12.424353215355501</v>
      </c>
      <c r="R143" s="13">
        <v>601.00031000000001</v>
      </c>
      <c r="S143" s="13">
        <v>395.26208000000003</v>
      </c>
      <c r="T143" s="13">
        <v>204.66399999999999</v>
      </c>
      <c r="U143" s="13">
        <v>45.325707681826621</v>
      </c>
      <c r="V143" s="13">
        <v>16.62867</v>
      </c>
      <c r="W143" s="13">
        <v>26479</v>
      </c>
      <c r="X143" s="13">
        <v>5058</v>
      </c>
      <c r="Y143" s="13">
        <v>21421</v>
      </c>
      <c r="Z143" s="13">
        <v>0</v>
      </c>
      <c r="AA143" s="13">
        <v>0</v>
      </c>
      <c r="AB143" s="13">
        <v>1114.6569999999999</v>
      </c>
    </row>
    <row r="144" spans="1:28" s="15" customFormat="1" ht="12.75" x14ac:dyDescent="0.2">
      <c r="A144" s="11">
        <v>42887</v>
      </c>
      <c r="B144" s="321"/>
      <c r="C144" s="245">
        <f t="shared" si="7"/>
        <v>136.8365</v>
      </c>
      <c r="D144" s="13">
        <v>122</v>
      </c>
      <c r="E144" s="13">
        <v>14.836499999999999</v>
      </c>
      <c r="F144" s="247">
        <f t="shared" si="8"/>
        <v>7.827</v>
      </c>
      <c r="G144" s="13">
        <v>2.3730000000000002</v>
      </c>
      <c r="H144" s="13">
        <v>0</v>
      </c>
      <c r="I144" s="13">
        <v>5.4539999999999997</v>
      </c>
      <c r="J144" s="249">
        <v>441.4867635</v>
      </c>
      <c r="K144" s="251">
        <f t="shared" si="9"/>
        <v>248.29154800000018</v>
      </c>
      <c r="L144" s="13">
        <v>158.02717700000014</v>
      </c>
      <c r="M144" s="13">
        <v>80.295726000000016</v>
      </c>
      <c r="N144" s="13">
        <v>9.9686450000000004</v>
      </c>
      <c r="O144" s="13"/>
      <c r="P144" s="13">
        <v>15.267929049999999</v>
      </c>
      <c r="Q144" s="13">
        <v>13.042942148150299</v>
      </c>
      <c r="R144" s="13">
        <v>533.91760999999997</v>
      </c>
      <c r="S144" s="13">
        <v>319.59014000000002</v>
      </c>
      <c r="T144" s="13">
        <v>200.12129999999999</v>
      </c>
      <c r="U144" s="13">
        <v>46.090830000000004</v>
      </c>
      <c r="V144" s="13">
        <v>11.909761</v>
      </c>
      <c r="W144" s="13">
        <v>18335</v>
      </c>
      <c r="X144" s="13">
        <v>5383</v>
      </c>
      <c r="Y144" s="13">
        <v>12952</v>
      </c>
      <c r="Z144" s="13">
        <v>0</v>
      </c>
      <c r="AA144" s="13">
        <v>0</v>
      </c>
      <c r="AB144" s="13">
        <v>523.96400000000006</v>
      </c>
    </row>
    <row r="145" spans="1:28" s="15" customFormat="1" ht="12.75" x14ac:dyDescent="0.2">
      <c r="A145" s="11">
        <v>42917</v>
      </c>
      <c r="B145" s="321"/>
      <c r="C145" s="245">
        <f t="shared" si="7"/>
        <v>135.57599999999999</v>
      </c>
      <c r="D145" s="13">
        <v>124</v>
      </c>
      <c r="E145" s="13">
        <v>11.576000000000001</v>
      </c>
      <c r="F145" s="247">
        <f t="shared" si="8"/>
        <v>0.93199999999999994</v>
      </c>
      <c r="G145" s="13">
        <v>1.099</v>
      </c>
      <c r="H145" s="13">
        <v>0</v>
      </c>
      <c r="I145" s="13">
        <v>-0.16700000000000001</v>
      </c>
      <c r="J145" s="249">
        <v>507.82459349999999</v>
      </c>
      <c r="K145" s="251">
        <f t="shared" si="9"/>
        <v>273.11826430000008</v>
      </c>
      <c r="L145" s="13">
        <v>177.92546230000002</v>
      </c>
      <c r="M145" s="13">
        <v>87.006752000000006</v>
      </c>
      <c r="N145" s="13">
        <v>8.1860499999999998</v>
      </c>
      <c r="O145" s="13"/>
      <c r="P145" s="13">
        <v>15.578051520000001</v>
      </c>
      <c r="Q145" s="13">
        <v>13.049589092462099</v>
      </c>
      <c r="R145" s="13">
        <v>544.38982999999996</v>
      </c>
      <c r="S145" s="13">
        <v>356.42359999999996</v>
      </c>
      <c r="T145" s="13">
        <v>203.85434999999998</v>
      </c>
      <c r="U145" s="13">
        <v>43.393149999999999</v>
      </c>
      <c r="V145" s="13">
        <v>14.042701999999998</v>
      </c>
      <c r="W145" s="13">
        <v>24389</v>
      </c>
      <c r="X145" s="13">
        <v>4924</v>
      </c>
      <c r="Y145" s="13">
        <v>19465</v>
      </c>
      <c r="Z145" s="13">
        <v>0</v>
      </c>
      <c r="AA145" s="13">
        <v>0</v>
      </c>
      <c r="AB145" s="13">
        <v>41.661999999999999</v>
      </c>
    </row>
    <row r="146" spans="1:28" s="15" customFormat="1" ht="12.75" x14ac:dyDescent="0.2">
      <c r="A146" s="11">
        <v>42948</v>
      </c>
      <c r="B146" s="321"/>
      <c r="C146" s="245">
        <f t="shared" si="7"/>
        <v>132.09100000000001</v>
      </c>
      <c r="D146" s="13">
        <v>123</v>
      </c>
      <c r="E146" s="13">
        <v>9.0909999999999993</v>
      </c>
      <c r="F146" s="247">
        <f t="shared" si="8"/>
        <v>1.3279999999999998</v>
      </c>
      <c r="G146" s="13">
        <v>0.84499999999999997</v>
      </c>
      <c r="H146" s="13">
        <v>0</v>
      </c>
      <c r="I146" s="13">
        <v>0.48299999999999998</v>
      </c>
      <c r="J146" s="249">
        <v>409.42347899999999</v>
      </c>
      <c r="K146" s="251">
        <f t="shared" si="9"/>
        <v>288.85850310000001</v>
      </c>
      <c r="L146" s="13">
        <v>194.61464710000001</v>
      </c>
      <c r="M146" s="13">
        <v>82.435511000000005</v>
      </c>
      <c r="N146" s="13">
        <v>11.808345000000001</v>
      </c>
      <c r="O146" s="13"/>
      <c r="P146" s="13">
        <v>15.625397299999999</v>
      </c>
      <c r="Q146" s="13">
        <v>12.572734668203299</v>
      </c>
      <c r="R146" s="13">
        <v>518.53493000000003</v>
      </c>
      <c r="S146" s="13">
        <v>334.07792000000001</v>
      </c>
      <c r="T146" s="13">
        <v>186.667</v>
      </c>
      <c r="U146" s="13">
        <v>41.643999999999998</v>
      </c>
      <c r="V146" s="13">
        <v>15.397680000000001</v>
      </c>
      <c r="W146" s="13">
        <v>23241</v>
      </c>
      <c r="X146" s="13">
        <v>4805</v>
      </c>
      <c r="Y146" s="13">
        <v>18436</v>
      </c>
      <c r="Z146" s="13">
        <v>0</v>
      </c>
      <c r="AA146" s="13">
        <v>0</v>
      </c>
      <c r="AB146" s="13">
        <v>0</v>
      </c>
    </row>
    <row r="147" spans="1:28" s="15" customFormat="1" ht="12.75" x14ac:dyDescent="0.2">
      <c r="A147" s="11">
        <v>42979</v>
      </c>
      <c r="B147" s="321"/>
      <c r="C147" s="245">
        <f t="shared" si="7"/>
        <v>124.964</v>
      </c>
      <c r="D147" s="13">
        <v>114</v>
      </c>
      <c r="E147" s="13">
        <v>10.964</v>
      </c>
      <c r="F147" s="247">
        <f t="shared" si="8"/>
        <v>4.2690000000000001</v>
      </c>
      <c r="G147" s="13">
        <v>1.8779999999999999</v>
      </c>
      <c r="H147" s="13">
        <v>0</v>
      </c>
      <c r="I147" s="13">
        <v>2.391</v>
      </c>
      <c r="J147" s="249">
        <v>524.97604100000001</v>
      </c>
      <c r="K147" s="251">
        <f t="shared" si="9"/>
        <v>286.6212457000002</v>
      </c>
      <c r="L147" s="13">
        <v>191.22606070000018</v>
      </c>
      <c r="M147" s="13">
        <v>84.674386999999996</v>
      </c>
      <c r="N147" s="13">
        <v>10.720798</v>
      </c>
      <c r="O147" s="13"/>
      <c r="P147" s="13">
        <v>15.27649686</v>
      </c>
      <c r="Q147" s="13">
        <v>11.930597910871599</v>
      </c>
      <c r="R147" s="13">
        <v>410.08699000000001</v>
      </c>
      <c r="S147" s="13">
        <v>280.38657000000001</v>
      </c>
      <c r="T147" s="13">
        <v>153.5951</v>
      </c>
      <c r="U147" s="13">
        <v>39.466160000000002</v>
      </c>
      <c r="V147" s="13">
        <v>17.736000000000001</v>
      </c>
      <c r="W147" s="13">
        <v>23976</v>
      </c>
      <c r="X147" s="13">
        <v>3912</v>
      </c>
      <c r="Y147" s="13">
        <v>20064</v>
      </c>
      <c r="Z147" s="13">
        <v>0</v>
      </c>
      <c r="AA147" s="13">
        <v>0</v>
      </c>
      <c r="AB147" s="13">
        <v>17.399999999999999</v>
      </c>
    </row>
    <row r="148" spans="1:28" s="15" customFormat="1" ht="12.75" x14ac:dyDescent="0.2">
      <c r="A148" s="11">
        <v>43009</v>
      </c>
      <c r="B148" s="321"/>
      <c r="C148" s="245">
        <f t="shared" si="7"/>
        <v>143.54400000000001</v>
      </c>
      <c r="D148" s="13">
        <v>127</v>
      </c>
      <c r="E148" s="13">
        <v>16.544</v>
      </c>
      <c r="F148" s="247">
        <f t="shared" si="8"/>
        <v>4.3499999999999996</v>
      </c>
      <c r="G148" s="13">
        <v>1.42</v>
      </c>
      <c r="H148" s="13">
        <v>0</v>
      </c>
      <c r="I148" s="13">
        <v>2.93</v>
      </c>
      <c r="J148" s="249">
        <v>521.34730500000001</v>
      </c>
      <c r="K148" s="251">
        <f t="shared" si="9"/>
        <v>295.71644550000002</v>
      </c>
      <c r="L148" s="13">
        <v>201.8047875</v>
      </c>
      <c r="M148" s="13">
        <v>81.758499999999984</v>
      </c>
      <c r="N148" s="13">
        <v>12.153157999999999</v>
      </c>
      <c r="O148" s="13"/>
      <c r="P148" s="13">
        <v>15.97796525</v>
      </c>
      <c r="Q148" s="13">
        <v>12.5337529793337</v>
      </c>
      <c r="R148" s="13">
        <v>533.77809999999999</v>
      </c>
      <c r="S148" s="13">
        <v>349.59755000000001</v>
      </c>
      <c r="T148" s="13">
        <v>190.99790000000002</v>
      </c>
      <c r="U148" s="13">
        <v>40.9157647493167</v>
      </c>
      <c r="V148" s="13">
        <v>16.20758</v>
      </c>
      <c r="W148" s="13">
        <v>16995</v>
      </c>
      <c r="X148" s="13">
        <v>3128</v>
      </c>
      <c r="Y148" s="13">
        <v>13867</v>
      </c>
      <c r="Z148" s="13">
        <v>0</v>
      </c>
      <c r="AA148" s="13">
        <v>0</v>
      </c>
      <c r="AB148" s="13">
        <v>91.453000000000003</v>
      </c>
    </row>
    <row r="149" spans="1:28" s="15" customFormat="1" ht="12.75" x14ac:dyDescent="0.2">
      <c r="A149" s="11">
        <v>43040</v>
      </c>
      <c r="B149" s="321"/>
      <c r="C149" s="245">
        <f t="shared" si="7"/>
        <v>160.786</v>
      </c>
      <c r="D149" s="13">
        <v>142</v>
      </c>
      <c r="E149" s="13">
        <v>18.786000000000001</v>
      </c>
      <c r="F149" s="247">
        <f t="shared" si="8"/>
        <v>1.5569999999999999</v>
      </c>
      <c r="G149" s="13">
        <v>0.44600000000000001</v>
      </c>
      <c r="H149" s="13">
        <v>0</v>
      </c>
      <c r="I149" s="13">
        <v>1.111</v>
      </c>
      <c r="J149" s="249">
        <v>893.63293899999996</v>
      </c>
      <c r="K149" s="251">
        <f t="shared" si="9"/>
        <v>293.22926180000036</v>
      </c>
      <c r="L149" s="13">
        <v>193.01927280000041</v>
      </c>
      <c r="M149" s="13">
        <v>87.03698</v>
      </c>
      <c r="N149" s="13">
        <v>13.173009</v>
      </c>
      <c r="O149" s="13"/>
      <c r="P149" s="13">
        <v>15.521330300000001</v>
      </c>
      <c r="Q149" s="13">
        <v>12.3212440520713</v>
      </c>
      <c r="R149" s="13">
        <v>491.19683999999995</v>
      </c>
      <c r="S149" s="13">
        <v>316.65823999999998</v>
      </c>
      <c r="T149" s="13">
        <v>180.48415000000003</v>
      </c>
      <c r="U149" s="13">
        <v>40.710443770406251</v>
      </c>
      <c r="V149" s="13">
        <v>22.068349999999999</v>
      </c>
      <c r="W149" s="13">
        <v>22240</v>
      </c>
      <c r="X149" s="13">
        <v>4118</v>
      </c>
      <c r="Y149" s="13">
        <v>16122</v>
      </c>
      <c r="Z149" s="13">
        <v>0</v>
      </c>
      <c r="AA149" s="13">
        <v>0</v>
      </c>
      <c r="AB149" s="13">
        <v>0</v>
      </c>
    </row>
    <row r="150" spans="1:28" s="15" customFormat="1" ht="12.75" x14ac:dyDescent="0.2">
      <c r="A150" s="11">
        <v>43070</v>
      </c>
      <c r="B150" s="321"/>
      <c r="C150" s="245">
        <f t="shared" si="7"/>
        <v>163.458</v>
      </c>
      <c r="D150" s="13">
        <v>151</v>
      </c>
      <c r="E150" s="13">
        <v>12.458</v>
      </c>
      <c r="F150" s="247">
        <f t="shared" si="8"/>
        <v>1.2350000000000001</v>
      </c>
      <c r="G150" s="13">
        <v>0.111</v>
      </c>
      <c r="H150" s="13">
        <v>0</v>
      </c>
      <c r="I150" s="13">
        <v>1.1240000000000001</v>
      </c>
      <c r="J150" s="249">
        <v>510.91468900000001</v>
      </c>
      <c r="K150" s="251">
        <f t="shared" si="9"/>
        <v>293.42006019999974</v>
      </c>
      <c r="L150" s="13">
        <v>192.35775019999977</v>
      </c>
      <c r="M150" s="13">
        <v>85.981614000000008</v>
      </c>
      <c r="N150" s="13">
        <v>15.080696</v>
      </c>
      <c r="O150" s="13"/>
      <c r="P150" s="13">
        <v>15.62448936</v>
      </c>
      <c r="Q150" s="13">
        <v>13.729032543155499</v>
      </c>
      <c r="R150" s="13">
        <v>542.58852000000002</v>
      </c>
      <c r="S150" s="13">
        <v>383.08280999999994</v>
      </c>
      <c r="T150" s="13">
        <v>165.16660000000002</v>
      </c>
      <c r="U150" s="13">
        <v>45.326660000000004</v>
      </c>
      <c r="V150" s="13">
        <v>22.408000000000001</v>
      </c>
      <c r="W150" s="13">
        <v>21672</v>
      </c>
      <c r="X150" s="13">
        <v>4349</v>
      </c>
      <c r="Y150" s="13">
        <v>17323</v>
      </c>
      <c r="Z150" s="13">
        <v>6537</v>
      </c>
      <c r="AA150" s="13">
        <v>0</v>
      </c>
      <c r="AB150" s="13">
        <v>818.45600000000002</v>
      </c>
    </row>
    <row r="151" spans="1:28" s="15" customFormat="1" ht="12.75" x14ac:dyDescent="0.2">
      <c r="A151" s="11">
        <v>43101</v>
      </c>
      <c r="B151" s="321"/>
      <c r="C151" s="245">
        <f t="shared" si="7"/>
        <v>165.077</v>
      </c>
      <c r="D151" s="13">
        <v>144</v>
      </c>
      <c r="E151" s="183">
        <v>21.077000000000002</v>
      </c>
      <c r="F151" s="247">
        <f t="shared" si="8"/>
        <v>2.222</v>
      </c>
      <c r="G151" s="13">
        <v>0.79600000000000004</v>
      </c>
      <c r="H151" s="13">
        <v>0</v>
      </c>
      <c r="I151" s="13">
        <v>1.4259999999999999</v>
      </c>
      <c r="J151" s="249">
        <v>856.43953869999996</v>
      </c>
      <c r="K151" s="251">
        <f t="shared" si="9"/>
        <v>265.73959980000001</v>
      </c>
      <c r="L151" s="13">
        <v>168.78892780000001</v>
      </c>
      <c r="M151" s="13">
        <v>82.238156000000004</v>
      </c>
      <c r="N151" s="13">
        <v>14.197506000000001</v>
      </c>
      <c r="O151" s="13">
        <v>0.51500999999999997</v>
      </c>
      <c r="P151" s="13">
        <v>16.59967031</v>
      </c>
      <c r="Q151" s="13">
        <v>13.326107287935274</v>
      </c>
      <c r="R151" s="13">
        <v>601.73549000000003</v>
      </c>
      <c r="S151" s="13">
        <v>419.57342999999997</v>
      </c>
      <c r="T151" s="13">
        <v>195.72499999999999</v>
      </c>
      <c r="U151" s="13">
        <v>44.228000000000002</v>
      </c>
      <c r="V151" s="13">
        <v>19.548999999999999</v>
      </c>
      <c r="W151" s="13">
        <v>26019</v>
      </c>
      <c r="X151" s="13">
        <v>5048</v>
      </c>
      <c r="Y151" s="13">
        <v>20971</v>
      </c>
      <c r="Z151" s="13">
        <v>6400.4380000000001</v>
      </c>
      <c r="AA151" s="13">
        <v>0</v>
      </c>
      <c r="AB151" s="13">
        <v>668.84</v>
      </c>
    </row>
    <row r="152" spans="1:28" s="15" customFormat="1" ht="12.75" x14ac:dyDescent="0.2">
      <c r="A152" s="11">
        <v>43132</v>
      </c>
      <c r="B152" s="321"/>
      <c r="C152" s="245">
        <f t="shared" si="7"/>
        <v>165.245</v>
      </c>
      <c r="D152" s="13">
        <v>144</v>
      </c>
      <c r="E152" s="183">
        <v>21.245000000000001</v>
      </c>
      <c r="F152" s="247">
        <f t="shared" si="8"/>
        <v>5.0960000000000001</v>
      </c>
      <c r="G152" s="13">
        <v>1.7809999999999999</v>
      </c>
      <c r="H152" s="13">
        <v>0</v>
      </c>
      <c r="I152" s="13">
        <v>3.3149999999999999</v>
      </c>
      <c r="J152" s="249">
        <v>764.76184749999993</v>
      </c>
      <c r="K152" s="251">
        <f t="shared" si="9"/>
        <v>227.04611649999998</v>
      </c>
      <c r="L152" s="13">
        <v>138.6520845</v>
      </c>
      <c r="M152" s="13">
        <v>74.811829000000003</v>
      </c>
      <c r="N152" s="13">
        <v>13.087693000000002</v>
      </c>
      <c r="O152" s="13">
        <v>0.49451000000000001</v>
      </c>
      <c r="P152" s="13">
        <v>14.00783251</v>
      </c>
      <c r="Q152" s="13">
        <v>11.31123622228826</v>
      </c>
      <c r="R152" s="13">
        <v>574.47327000000007</v>
      </c>
      <c r="S152" s="13">
        <v>400.54477000000003</v>
      </c>
      <c r="T152" s="13">
        <v>173.39250000000001</v>
      </c>
      <c r="U152" s="13">
        <v>40.258000000000003</v>
      </c>
      <c r="V152" s="13">
        <v>19.164000000000001</v>
      </c>
      <c r="W152" s="13">
        <v>22240</v>
      </c>
      <c r="X152" s="13">
        <v>4893</v>
      </c>
      <c r="Y152" s="13">
        <v>17347</v>
      </c>
      <c r="Z152" s="13">
        <v>2807.99</v>
      </c>
      <c r="AA152" s="13">
        <v>0</v>
      </c>
      <c r="AB152" s="13">
        <v>1512.2560000000001</v>
      </c>
    </row>
    <row r="153" spans="1:28" s="15" customFormat="1" ht="12.75" x14ac:dyDescent="0.2">
      <c r="A153" s="11">
        <v>43160</v>
      </c>
      <c r="B153" s="321"/>
      <c r="C153" s="245">
        <f t="shared" si="7"/>
        <v>155.631</v>
      </c>
      <c r="D153" s="13">
        <v>140</v>
      </c>
      <c r="E153" s="183">
        <v>15.631</v>
      </c>
      <c r="F153" s="247">
        <f t="shared" si="8"/>
        <v>2.298</v>
      </c>
      <c r="G153" s="13">
        <v>1.6359999999999999</v>
      </c>
      <c r="H153" s="13">
        <v>0</v>
      </c>
      <c r="I153" s="13">
        <v>0.66200000000000003</v>
      </c>
      <c r="J153" s="249">
        <v>806.02908990000003</v>
      </c>
      <c r="K153" s="251">
        <f t="shared" si="9"/>
        <v>238.2465942</v>
      </c>
      <c r="L153" s="13">
        <v>146.0958972</v>
      </c>
      <c r="M153" s="13">
        <v>75.618800999999991</v>
      </c>
      <c r="N153" s="13">
        <v>15.856859999999999</v>
      </c>
      <c r="O153" s="13">
        <v>0.67503599999999997</v>
      </c>
      <c r="P153" s="13">
        <v>16.246217810000001</v>
      </c>
      <c r="Q153" s="13">
        <v>12.689621255324115</v>
      </c>
      <c r="R153" s="13">
        <v>655.74267000000009</v>
      </c>
      <c r="S153" s="13">
        <v>458.34841999999998</v>
      </c>
      <c r="T153" s="13">
        <v>195.77324999999999</v>
      </c>
      <c r="U153" s="13">
        <v>41.369</v>
      </c>
      <c r="V153" s="13">
        <v>17.038</v>
      </c>
      <c r="W153" s="13">
        <v>26412</v>
      </c>
      <c r="X153" s="13">
        <v>5144</v>
      </c>
      <c r="Y153" s="13">
        <v>21268</v>
      </c>
      <c r="Z153" s="13">
        <v>17.016999999999999</v>
      </c>
      <c r="AA153" s="13">
        <v>0</v>
      </c>
      <c r="AB153" s="13">
        <v>766.79700000000003</v>
      </c>
    </row>
    <row r="154" spans="1:28" s="15" customFormat="1" ht="12.75" x14ac:dyDescent="0.2">
      <c r="A154" s="11">
        <v>43191</v>
      </c>
      <c r="B154" s="321"/>
      <c r="C154" s="245">
        <f t="shared" si="7"/>
        <v>175.64600000000002</v>
      </c>
      <c r="D154" s="13">
        <v>151</v>
      </c>
      <c r="E154" s="183">
        <v>24.646000000000001</v>
      </c>
      <c r="F154" s="247">
        <f t="shared" si="8"/>
        <v>3.3479999999999999</v>
      </c>
      <c r="G154" s="13">
        <v>1.2110000000000001</v>
      </c>
      <c r="H154" s="13">
        <v>0</v>
      </c>
      <c r="I154" s="13">
        <v>2.137</v>
      </c>
      <c r="J154" s="249">
        <v>1107.4023281</v>
      </c>
      <c r="K154" s="251">
        <f t="shared" si="9"/>
        <v>243.29493829999998</v>
      </c>
      <c r="L154" s="13">
        <v>146.28092430000001</v>
      </c>
      <c r="M154" s="13">
        <v>75.508486999999988</v>
      </c>
      <c r="N154" s="13">
        <v>20.597277000000002</v>
      </c>
      <c r="O154" s="13">
        <v>0.90825</v>
      </c>
      <c r="P154" s="13">
        <v>15.689675810000001</v>
      </c>
      <c r="Q154" s="13">
        <v>12.417334696069002</v>
      </c>
      <c r="R154" s="13">
        <v>596.36788000000001</v>
      </c>
      <c r="S154" s="13">
        <v>410.36538000000002</v>
      </c>
      <c r="T154" s="13">
        <v>182.8965</v>
      </c>
      <c r="U154" s="13">
        <v>31.602</v>
      </c>
      <c r="V154" s="13">
        <v>16.622</v>
      </c>
      <c r="W154" s="13">
        <v>19654</v>
      </c>
      <c r="X154" s="13">
        <v>3839</v>
      </c>
      <c r="Y154" s="13">
        <v>15815</v>
      </c>
      <c r="Z154" s="13">
        <v>0</v>
      </c>
      <c r="AA154" s="13">
        <v>0</v>
      </c>
      <c r="AB154" s="13">
        <v>692.97400000000005</v>
      </c>
    </row>
    <row r="155" spans="1:28" s="15" customFormat="1" ht="12.75" x14ac:dyDescent="0.2">
      <c r="A155" s="11">
        <v>43221</v>
      </c>
      <c r="B155" s="321"/>
      <c r="C155" s="245">
        <f t="shared" si="7"/>
        <v>157.49700000000001</v>
      </c>
      <c r="D155" s="13">
        <v>140</v>
      </c>
      <c r="E155" s="183">
        <v>17.497</v>
      </c>
      <c r="F155" s="247">
        <f t="shared" si="8"/>
        <v>2.7290000000000001</v>
      </c>
      <c r="G155" s="13">
        <v>1.123</v>
      </c>
      <c r="H155" s="13">
        <v>0</v>
      </c>
      <c r="I155" s="13">
        <v>1.6060000000000001</v>
      </c>
      <c r="J155" s="249">
        <v>1151.1982582999999</v>
      </c>
      <c r="K155" s="251">
        <f t="shared" si="9"/>
        <v>255.60492270000046</v>
      </c>
      <c r="L155" s="13">
        <v>154.24128470000048</v>
      </c>
      <c r="M155" s="13">
        <v>82.458347000000003</v>
      </c>
      <c r="N155" s="13">
        <v>17.876117999999998</v>
      </c>
      <c r="O155" s="13">
        <v>1.0291729999999999</v>
      </c>
      <c r="P155" s="13">
        <v>15.697826210000001</v>
      </c>
      <c r="Q155" s="13">
        <v>12.589561392591191</v>
      </c>
      <c r="R155" s="13">
        <v>562.72221999999999</v>
      </c>
      <c r="S155" s="13">
        <v>422.73841999999996</v>
      </c>
      <c r="T155" s="13">
        <v>145.88379999999998</v>
      </c>
      <c r="U155" s="13">
        <v>49.514000000000003</v>
      </c>
      <c r="V155" s="13">
        <v>5.9459999999999997</v>
      </c>
      <c r="W155" s="13">
        <v>20874</v>
      </c>
      <c r="X155" s="13">
        <v>3763</v>
      </c>
      <c r="Y155" s="13">
        <v>17111</v>
      </c>
      <c r="Z155" s="13">
        <v>0</v>
      </c>
      <c r="AA155" s="13">
        <v>0</v>
      </c>
      <c r="AB155" s="13">
        <v>1395.598</v>
      </c>
    </row>
    <row r="156" spans="1:28" s="15" customFormat="1" ht="12.75" x14ac:dyDescent="0.2">
      <c r="A156" s="11">
        <v>43252</v>
      </c>
      <c r="B156" s="321"/>
      <c r="C156" s="245">
        <f t="shared" si="7"/>
        <v>153.78299999999999</v>
      </c>
      <c r="D156" s="13">
        <v>139</v>
      </c>
      <c r="E156" s="183">
        <v>14.782999999999999</v>
      </c>
      <c r="F156" s="247">
        <f t="shared" si="8"/>
        <v>3.5560000000000005</v>
      </c>
      <c r="G156" s="13">
        <v>0.65500000000000003</v>
      </c>
      <c r="H156" s="13">
        <v>2.4630000000000001</v>
      </c>
      <c r="I156" s="13">
        <v>0.438</v>
      </c>
      <c r="J156" s="249">
        <v>939.45725779999998</v>
      </c>
      <c r="K156" s="251">
        <f t="shared" si="9"/>
        <v>263.76473110000057</v>
      </c>
      <c r="L156" s="13">
        <v>165.81805010000059</v>
      </c>
      <c r="M156" s="13">
        <v>81.003509000000008</v>
      </c>
      <c r="N156" s="13">
        <v>15.835772</v>
      </c>
      <c r="O156" s="13">
        <v>1.1074000000000002</v>
      </c>
      <c r="P156" s="13">
        <v>15.411385800000001</v>
      </c>
      <c r="Q156" s="13">
        <v>13.046551124959423</v>
      </c>
      <c r="R156" s="13">
        <v>555.01522</v>
      </c>
      <c r="S156" s="13">
        <v>367.29361999999998</v>
      </c>
      <c r="T156" s="13">
        <v>176.38854999999998</v>
      </c>
      <c r="U156" s="13">
        <v>48.156999999999996</v>
      </c>
      <c r="V156" s="13">
        <v>8.1809999999999992</v>
      </c>
      <c r="W156" s="13">
        <v>12903</v>
      </c>
      <c r="X156" s="13">
        <v>3043</v>
      </c>
      <c r="Y156" s="13">
        <v>9860</v>
      </c>
      <c r="Z156" s="13">
        <v>0</v>
      </c>
      <c r="AA156" s="13">
        <v>0</v>
      </c>
      <c r="AB156" s="13">
        <v>1063.6410000000001</v>
      </c>
    </row>
    <row r="157" spans="1:28" s="15" customFormat="1" ht="12.75" x14ac:dyDescent="0.2">
      <c r="A157" s="11">
        <v>43282</v>
      </c>
      <c r="B157" s="321"/>
      <c r="C157" s="245">
        <f t="shared" si="7"/>
        <v>201.43799999999999</v>
      </c>
      <c r="D157" s="13">
        <v>188</v>
      </c>
      <c r="E157" s="183">
        <v>13.438000000000001</v>
      </c>
      <c r="F157" s="247">
        <f t="shared" si="8"/>
        <v>3.383</v>
      </c>
      <c r="G157" s="13">
        <v>0.95899999999999996</v>
      </c>
      <c r="H157" s="13">
        <v>1.123</v>
      </c>
      <c r="I157" s="13">
        <v>1.3009999999999999</v>
      </c>
      <c r="J157" s="249">
        <v>1070.4217427000001</v>
      </c>
      <c r="K157" s="251">
        <f t="shared" si="9"/>
        <v>287.47338390000135</v>
      </c>
      <c r="L157" s="13">
        <v>183.61905290000132</v>
      </c>
      <c r="M157" s="13">
        <v>85.869045999999997</v>
      </c>
      <c r="N157" s="13">
        <v>17.130555000000001</v>
      </c>
      <c r="O157" s="13">
        <v>0.85472999999999999</v>
      </c>
      <c r="P157" s="13">
        <v>15.917904210000001</v>
      </c>
      <c r="Q157" s="13">
        <v>12.740797800423829</v>
      </c>
      <c r="R157" s="13">
        <v>587.30782000000011</v>
      </c>
      <c r="S157" s="13">
        <v>400.79240499999992</v>
      </c>
      <c r="T157" s="13">
        <v>180.83428000000004</v>
      </c>
      <c r="U157" s="13">
        <v>50.476999999999997</v>
      </c>
      <c r="V157" s="13">
        <v>13.606999999999999</v>
      </c>
      <c r="W157" s="13">
        <v>20322</v>
      </c>
      <c r="X157" s="13">
        <v>4131</v>
      </c>
      <c r="Y157" s="13">
        <v>16191</v>
      </c>
      <c r="Z157" s="13">
        <v>0</v>
      </c>
      <c r="AA157" s="13">
        <v>0</v>
      </c>
      <c r="AB157" s="13">
        <v>403.15699999999998</v>
      </c>
    </row>
    <row r="158" spans="1:28" s="15" customFormat="1" ht="12.75" x14ac:dyDescent="0.2">
      <c r="A158" s="11">
        <v>43313</v>
      </c>
      <c r="B158" s="321"/>
      <c r="C158" s="245">
        <f t="shared" si="7"/>
        <v>20.973000000000003</v>
      </c>
      <c r="D158" s="13">
        <v>1.966</v>
      </c>
      <c r="E158" s="183">
        <v>19.007000000000001</v>
      </c>
      <c r="F158" s="247">
        <f t="shared" si="8"/>
        <v>6.633</v>
      </c>
      <c r="G158" s="13">
        <v>3.4220000000000002</v>
      </c>
      <c r="H158" s="13">
        <v>0.497</v>
      </c>
      <c r="I158" s="13">
        <v>2.714</v>
      </c>
      <c r="J158" s="249">
        <v>968.28725769999994</v>
      </c>
      <c r="K158" s="251">
        <f t="shared" si="9"/>
        <v>296.64669550000053</v>
      </c>
      <c r="L158" s="13">
        <v>189.76031650000056</v>
      </c>
      <c r="M158" s="13">
        <v>88.201132999999999</v>
      </c>
      <c r="N158" s="13">
        <v>17.686021</v>
      </c>
      <c r="O158" s="13">
        <v>0.99922500000000003</v>
      </c>
      <c r="P158" s="13">
        <v>16.523252800000002</v>
      </c>
      <c r="Q158" s="13">
        <v>13.259731057516223</v>
      </c>
      <c r="R158" s="13">
        <v>502.44973999999996</v>
      </c>
      <c r="S158" s="13">
        <v>340.8186199999999</v>
      </c>
      <c r="T158" s="13">
        <v>145.19139999999999</v>
      </c>
      <c r="U158" s="13">
        <v>20.225000000000001</v>
      </c>
      <c r="V158" s="13">
        <v>13.606999999999999</v>
      </c>
      <c r="W158" s="13">
        <v>16775</v>
      </c>
      <c r="X158" s="13"/>
      <c r="Y158" s="13">
        <v>0</v>
      </c>
      <c r="Z158" s="13">
        <v>0</v>
      </c>
      <c r="AA158" s="13">
        <v>0</v>
      </c>
      <c r="AB158" s="12" t="s">
        <v>105</v>
      </c>
    </row>
    <row r="159" spans="1:28" s="15" customFormat="1" ht="12.75" x14ac:dyDescent="0.2">
      <c r="A159" s="11">
        <v>43344</v>
      </c>
      <c r="B159" s="321"/>
      <c r="C159" s="245">
        <f t="shared" si="7"/>
        <v>143.916</v>
      </c>
      <c r="D159" s="13">
        <v>133</v>
      </c>
      <c r="E159" s="183">
        <v>10.916</v>
      </c>
      <c r="F159" s="247">
        <f t="shared" si="8"/>
        <v>1.573</v>
      </c>
      <c r="G159" s="13">
        <v>0.998</v>
      </c>
      <c r="H159" s="13">
        <v>0</v>
      </c>
      <c r="I159" s="13">
        <v>0.57499999999999996</v>
      </c>
      <c r="J159" s="249">
        <v>950.37198599999999</v>
      </c>
      <c r="K159" s="251">
        <f t="shared" si="9"/>
        <v>312.76473690000068</v>
      </c>
      <c r="L159" s="13">
        <v>204.38954790000071</v>
      </c>
      <c r="M159" s="13">
        <v>90.28028599999999</v>
      </c>
      <c r="N159" s="13">
        <v>17.123965999999999</v>
      </c>
      <c r="O159" s="13">
        <v>0.97093700000000005</v>
      </c>
      <c r="P159" s="13">
        <v>16.034264050000001</v>
      </c>
      <c r="Q159" s="13">
        <v>12.900384556420907</v>
      </c>
      <c r="R159" s="13">
        <v>450.27297000000004</v>
      </c>
      <c r="S159" s="13">
        <v>330.86867999999998</v>
      </c>
      <c r="T159" s="13">
        <v>127.7264</v>
      </c>
      <c r="U159" s="13">
        <v>47.286999999999999</v>
      </c>
      <c r="V159" s="13">
        <v>0</v>
      </c>
      <c r="W159" s="13">
        <v>16975</v>
      </c>
      <c r="X159" s="13">
        <v>3438</v>
      </c>
      <c r="Y159" s="13">
        <v>13537</v>
      </c>
      <c r="Z159" s="13">
        <v>0</v>
      </c>
      <c r="AA159" s="13">
        <v>0</v>
      </c>
      <c r="AB159" s="12">
        <v>253.62</v>
      </c>
    </row>
    <row r="160" spans="1:28" s="15" customFormat="1" ht="12.75" x14ac:dyDescent="0.2">
      <c r="A160" s="11">
        <v>43374</v>
      </c>
      <c r="B160" s="321"/>
      <c r="C160" s="245">
        <f t="shared" si="7"/>
        <v>174.95099999999999</v>
      </c>
      <c r="D160" s="13">
        <v>166</v>
      </c>
      <c r="E160" s="183">
        <v>8.9510000000000005</v>
      </c>
      <c r="F160" s="247">
        <f t="shared" si="8"/>
        <v>10.651</v>
      </c>
      <c r="G160" s="13">
        <v>3.2770000000000001</v>
      </c>
      <c r="H160" s="13">
        <v>0</v>
      </c>
      <c r="I160" s="13">
        <v>7.3739999999999997</v>
      </c>
      <c r="J160" s="249">
        <v>1131.0373376</v>
      </c>
      <c r="K160" s="251">
        <f t="shared" si="9"/>
        <v>322.6184508000008</v>
      </c>
      <c r="L160" s="13">
        <v>208.18311180000077</v>
      </c>
      <c r="M160" s="13">
        <v>95.683216000000002</v>
      </c>
      <c r="N160" s="13">
        <v>17.674997999999999</v>
      </c>
      <c r="O160" s="13">
        <v>1.0771250000000001</v>
      </c>
      <c r="P160" s="13">
        <v>16.647133350000001</v>
      </c>
      <c r="Q160" s="13">
        <v>13.656409148364531</v>
      </c>
      <c r="R160" s="13">
        <v>526.36288000000002</v>
      </c>
      <c r="S160" s="13">
        <v>366.43245000000002</v>
      </c>
      <c r="T160" s="13">
        <v>177.94090000000003</v>
      </c>
      <c r="U160" s="13">
        <v>47.136000000000003</v>
      </c>
      <c r="V160" s="13">
        <v>4.8819999999999997</v>
      </c>
      <c r="W160" s="13">
        <v>18996</v>
      </c>
      <c r="X160" s="13">
        <v>4336</v>
      </c>
      <c r="Y160" s="13">
        <v>14660</v>
      </c>
      <c r="Z160" s="13">
        <v>0</v>
      </c>
      <c r="AA160" s="13">
        <v>0</v>
      </c>
      <c r="AB160" s="12" t="s">
        <v>105</v>
      </c>
    </row>
    <row r="161" spans="1:28" s="15" customFormat="1" ht="12.75" x14ac:dyDescent="0.2">
      <c r="A161" s="11">
        <v>43405</v>
      </c>
      <c r="B161" s="321"/>
      <c r="C161" s="245">
        <f t="shared" si="7"/>
        <v>166.721</v>
      </c>
      <c r="D161" s="13">
        <v>151</v>
      </c>
      <c r="E161" s="183">
        <v>15.721</v>
      </c>
      <c r="F161" s="247">
        <f t="shared" si="8"/>
        <v>10.586</v>
      </c>
      <c r="G161" s="13">
        <v>2.8090000000000002</v>
      </c>
      <c r="H161" s="13">
        <v>0</v>
      </c>
      <c r="I161" s="13">
        <v>7.7770000000000001</v>
      </c>
      <c r="J161" s="249">
        <v>1078.305472</v>
      </c>
      <c r="K161" s="251">
        <f t="shared" si="9"/>
        <v>307.32242960000002</v>
      </c>
      <c r="L161" s="13">
        <v>195.21064459999999</v>
      </c>
      <c r="M161" s="13">
        <v>93.308883000000009</v>
      </c>
      <c r="N161" s="13">
        <v>17.737178</v>
      </c>
      <c r="O161" s="13">
        <v>1.0657239999999999</v>
      </c>
      <c r="P161" s="13">
        <v>16.26356165</v>
      </c>
      <c r="Q161" s="13">
        <v>13.124165940390666</v>
      </c>
      <c r="R161" s="13">
        <v>553.61320000000001</v>
      </c>
      <c r="S161" s="13">
        <v>387.6622999999999</v>
      </c>
      <c r="T161" s="13">
        <v>159.37970000000001</v>
      </c>
      <c r="U161" s="13">
        <v>45.96</v>
      </c>
      <c r="V161" s="13">
        <v>15.214</v>
      </c>
      <c r="W161" s="13">
        <v>24071</v>
      </c>
      <c r="X161" s="13">
        <v>4024</v>
      </c>
      <c r="Y161" s="13">
        <v>20047</v>
      </c>
      <c r="Z161" s="13">
        <v>0</v>
      </c>
      <c r="AA161" s="13">
        <v>0</v>
      </c>
      <c r="AB161" s="12">
        <v>509.47300000000001</v>
      </c>
    </row>
    <row r="162" spans="1:28" s="15" customFormat="1" ht="12.75" x14ac:dyDescent="0.2">
      <c r="A162" s="11">
        <v>43435</v>
      </c>
      <c r="B162" s="321"/>
      <c r="C162" s="245">
        <f t="shared" si="7"/>
        <v>148.148</v>
      </c>
      <c r="D162" s="13">
        <v>138</v>
      </c>
      <c r="E162" s="183">
        <v>10.148</v>
      </c>
      <c r="F162" s="247">
        <f t="shared" si="8"/>
        <v>3.0369999999999999</v>
      </c>
      <c r="G162" s="13">
        <v>1.387</v>
      </c>
      <c r="H162" s="13">
        <v>0</v>
      </c>
      <c r="I162" s="13">
        <v>1.65</v>
      </c>
      <c r="J162" s="249">
        <v>1009.8132224000001</v>
      </c>
      <c r="K162" s="251">
        <f t="shared" si="9"/>
        <v>304.48220590000005</v>
      </c>
      <c r="L162" s="13">
        <v>194.57090390000002</v>
      </c>
      <c r="M162" s="13">
        <v>90.04549999999999</v>
      </c>
      <c r="N162" s="13">
        <v>18.900479999999998</v>
      </c>
      <c r="O162" s="13">
        <v>0.96532200000000001</v>
      </c>
      <c r="P162" s="13">
        <v>16.162171490000009</v>
      </c>
      <c r="Q162" s="13">
        <v>13.327961517716586</v>
      </c>
      <c r="R162" s="13">
        <v>616.42967999999996</v>
      </c>
      <c r="S162" s="13">
        <v>435.58481</v>
      </c>
      <c r="T162" s="13">
        <v>172.37004999999999</v>
      </c>
      <c r="U162" s="13">
        <v>51.743000000000002</v>
      </c>
      <c r="V162" s="13">
        <v>15.196</v>
      </c>
      <c r="W162" s="13">
        <v>20225</v>
      </c>
      <c r="X162" s="183">
        <v>1966</v>
      </c>
      <c r="Y162" s="183">
        <v>18259</v>
      </c>
      <c r="Z162" s="13">
        <v>5387.45</v>
      </c>
      <c r="AA162" s="13">
        <v>0</v>
      </c>
      <c r="AB162" s="12">
        <v>488.24599999999998</v>
      </c>
    </row>
    <row r="163" spans="1:28" s="15" customFormat="1" x14ac:dyDescent="0.25">
      <c r="A163" s="11">
        <v>43466</v>
      </c>
      <c r="B163" s="321"/>
      <c r="C163" s="245">
        <f t="shared" si="7"/>
        <v>157.506</v>
      </c>
      <c r="D163" s="13">
        <v>143</v>
      </c>
      <c r="E163" s="183">
        <v>14.506</v>
      </c>
      <c r="F163" s="247">
        <f t="shared" ref="F163:F169" si="10">G163+H163+I163</f>
        <v>5.577</v>
      </c>
      <c r="G163" s="13">
        <v>1.9350000000000001</v>
      </c>
      <c r="H163" s="13">
        <v>0.82699999999999996</v>
      </c>
      <c r="I163" s="13">
        <v>2.8149999999999999</v>
      </c>
      <c r="J163" s="249">
        <v>1188.2384384000002</v>
      </c>
      <c r="K163" s="251">
        <f t="shared" ref="K163:K169" si="11">SUM(L163:O163)</f>
        <v>293.5849862</v>
      </c>
      <c r="L163" s="190">
        <v>177.78290319999999</v>
      </c>
      <c r="M163" s="190">
        <v>95.720627999999991</v>
      </c>
      <c r="N163" s="190">
        <v>19.116596000000001</v>
      </c>
      <c r="O163" s="190">
        <v>0.96485900000000002</v>
      </c>
      <c r="P163" s="13">
        <v>17.479306149999999</v>
      </c>
      <c r="Q163" s="13">
        <v>13.798779636122203</v>
      </c>
      <c r="R163" s="185">
        <v>646.01834999999994</v>
      </c>
      <c r="S163" s="185">
        <v>483.32746999999983</v>
      </c>
      <c r="T163" s="185">
        <v>161.12</v>
      </c>
      <c r="U163" s="183">
        <v>51.194000000000003</v>
      </c>
      <c r="V163" s="183">
        <v>10.606999999999999</v>
      </c>
      <c r="W163" s="183">
        <v>25874</v>
      </c>
      <c r="X163" s="233">
        <v>4354</v>
      </c>
      <c r="Y163" s="233">
        <v>21520</v>
      </c>
      <c r="Z163" s="13">
        <v>6000.3</v>
      </c>
      <c r="AA163" s="13">
        <v>0</v>
      </c>
      <c r="AB163" s="12">
        <v>990.1</v>
      </c>
    </row>
    <row r="164" spans="1:28" s="15" customFormat="1" x14ac:dyDescent="0.25">
      <c r="A164" s="11">
        <v>43497</v>
      </c>
      <c r="B164" s="321"/>
      <c r="C164" s="245">
        <f t="shared" ref="C164:C169" si="12">D164+E164</f>
        <v>132.524</v>
      </c>
      <c r="D164" s="13">
        <v>116</v>
      </c>
      <c r="E164" s="183">
        <v>16.524000000000001</v>
      </c>
      <c r="F164" s="247">
        <f t="shared" si="10"/>
        <v>7.4269999999999996</v>
      </c>
      <c r="G164" s="13">
        <v>1.7010000000000001</v>
      </c>
      <c r="H164" s="13">
        <v>3.238</v>
      </c>
      <c r="I164" s="13">
        <v>2.488</v>
      </c>
      <c r="J164" s="249">
        <v>1167.3685823999999</v>
      </c>
      <c r="K164" s="251">
        <f t="shared" si="11"/>
        <v>258.71139450000004</v>
      </c>
      <c r="L164" s="190">
        <v>155.79968650000001</v>
      </c>
      <c r="M164" s="190">
        <v>84.254403000000011</v>
      </c>
      <c r="N164" s="190">
        <v>17.649103</v>
      </c>
      <c r="O164" s="190">
        <v>1.008202</v>
      </c>
      <c r="P164" s="13">
        <v>15.353548400000001</v>
      </c>
      <c r="Q164" s="13">
        <v>12.666687876377438</v>
      </c>
      <c r="R164" s="185">
        <v>559.47708</v>
      </c>
      <c r="S164" s="185">
        <v>406.78167999999999</v>
      </c>
      <c r="T164" s="185">
        <v>154.9924</v>
      </c>
      <c r="U164" s="183">
        <v>46.651000000000003</v>
      </c>
      <c r="V164" s="183">
        <v>16.757999999999999</v>
      </c>
      <c r="W164" s="183">
        <v>24689</v>
      </c>
      <c r="X164" s="233">
        <v>4087</v>
      </c>
      <c r="Y164" s="233">
        <v>20602</v>
      </c>
      <c r="Z164" s="12">
        <v>2938</v>
      </c>
      <c r="AA164" s="13">
        <v>0</v>
      </c>
      <c r="AB164" s="12">
        <v>1714.075</v>
      </c>
    </row>
    <row r="165" spans="1:28" x14ac:dyDescent="0.25">
      <c r="A165" s="11">
        <v>43525</v>
      </c>
      <c r="B165" s="321"/>
      <c r="C165" s="245">
        <f t="shared" si="12"/>
        <v>180.68799999999999</v>
      </c>
      <c r="D165" s="13">
        <v>162</v>
      </c>
      <c r="E165" s="183">
        <v>18.687999999999999</v>
      </c>
      <c r="F165" s="247">
        <f t="shared" si="10"/>
        <v>5.9580140000000004</v>
      </c>
      <c r="G165" s="184">
        <v>3.131529</v>
      </c>
      <c r="H165" s="13">
        <v>0.15810099999999999</v>
      </c>
      <c r="I165" s="13">
        <v>2.6683840000000001</v>
      </c>
      <c r="J165" s="249">
        <v>1121.1093056</v>
      </c>
      <c r="K165" s="251">
        <f t="shared" si="11"/>
        <v>269.94268949999997</v>
      </c>
      <c r="L165" s="190">
        <v>165.16350249999999</v>
      </c>
      <c r="M165" s="190">
        <v>83.782910000000001</v>
      </c>
      <c r="N165" s="190">
        <v>19.800215999999999</v>
      </c>
      <c r="O165" s="190">
        <v>1.1960609999999998</v>
      </c>
      <c r="P165" s="13">
        <v>17.442145450000002</v>
      </c>
      <c r="Q165" s="13">
        <v>13.458532487500358</v>
      </c>
      <c r="R165" s="185">
        <v>590.74387999999999</v>
      </c>
      <c r="S165" s="185">
        <v>458.80632999999995</v>
      </c>
      <c r="T165" s="185">
        <v>140.07454999999999</v>
      </c>
      <c r="U165" s="183">
        <v>33.301000000000002</v>
      </c>
      <c r="V165" s="183">
        <v>22.071000000000002</v>
      </c>
      <c r="W165" s="183">
        <v>26265</v>
      </c>
      <c r="X165" s="233">
        <v>4260</v>
      </c>
      <c r="Y165" s="233">
        <v>22005</v>
      </c>
      <c r="Z165" s="13">
        <v>0</v>
      </c>
      <c r="AA165" s="13">
        <v>0</v>
      </c>
      <c r="AB165" s="13">
        <v>208.18299999999999</v>
      </c>
    </row>
    <row r="166" spans="1:28" x14ac:dyDescent="0.25">
      <c r="A166" s="11">
        <v>43556</v>
      </c>
      <c r="B166" s="321"/>
      <c r="C166" s="245">
        <f t="shared" si="12"/>
        <v>120.367</v>
      </c>
      <c r="D166" s="13">
        <v>102</v>
      </c>
      <c r="E166" s="183">
        <v>18.367000000000001</v>
      </c>
      <c r="F166" s="247">
        <f t="shared" si="10"/>
        <v>5.9174550000000021</v>
      </c>
      <c r="G166" s="184">
        <v>2.8732210000000014</v>
      </c>
      <c r="H166" s="190">
        <v>1.1853579999999999</v>
      </c>
      <c r="I166" s="190">
        <v>1.858876</v>
      </c>
      <c r="J166" s="249">
        <v>1068.7860608000001</v>
      </c>
      <c r="K166" s="251">
        <f t="shared" si="11"/>
        <v>272.08534900000001</v>
      </c>
      <c r="L166" s="190">
        <v>166.32342499999999</v>
      </c>
      <c r="M166" s="190">
        <v>84.903960000000012</v>
      </c>
      <c r="N166" s="190">
        <v>19.537075999999999</v>
      </c>
      <c r="O166" s="190">
        <v>1.3208879999999998</v>
      </c>
      <c r="P166" s="13">
        <v>16.754425999999999</v>
      </c>
      <c r="Q166" s="13">
        <v>13.313475290894546</v>
      </c>
      <c r="R166" s="185">
        <v>566.92668999999989</v>
      </c>
      <c r="S166" s="185">
        <v>443.78429000000006</v>
      </c>
      <c r="T166" s="185">
        <v>121.00439999999999</v>
      </c>
      <c r="U166" s="183">
        <v>32.665999999999997</v>
      </c>
      <c r="V166" s="183">
        <v>16.181000000000001</v>
      </c>
      <c r="W166" s="233">
        <v>23749</v>
      </c>
      <c r="X166" s="233">
        <v>4361</v>
      </c>
      <c r="Y166" s="233">
        <v>19388</v>
      </c>
      <c r="Z166" s="13">
        <v>0</v>
      </c>
      <c r="AA166" s="13">
        <v>0</v>
      </c>
      <c r="AB166" s="13">
        <v>1031.635</v>
      </c>
    </row>
    <row r="167" spans="1:28" x14ac:dyDescent="0.25">
      <c r="A167" s="11">
        <v>43586</v>
      </c>
      <c r="B167" s="321"/>
      <c r="C167" s="245">
        <f t="shared" si="12"/>
        <v>183.34800000000001</v>
      </c>
      <c r="D167" s="13">
        <v>170</v>
      </c>
      <c r="E167" s="190">
        <v>13.348000000000001</v>
      </c>
      <c r="F167" s="247">
        <f t="shared" si="10"/>
        <v>2.881000000000002</v>
      </c>
      <c r="G167" s="184">
        <v>1.9128280000000013</v>
      </c>
      <c r="H167" s="190">
        <v>0</v>
      </c>
      <c r="I167" s="190">
        <v>0.96817200000000048</v>
      </c>
      <c r="J167" s="249">
        <v>1198.9209919999998</v>
      </c>
      <c r="K167" s="251">
        <f t="shared" si="11"/>
        <v>257.72618638333302</v>
      </c>
      <c r="L167" s="190">
        <v>152.50188338333302</v>
      </c>
      <c r="M167" s="190">
        <v>81.676123000000004</v>
      </c>
      <c r="N167" s="190">
        <v>21.786861999999999</v>
      </c>
      <c r="O167" s="190">
        <v>1.7613179999999999</v>
      </c>
      <c r="P167" s="13">
        <v>17.788527899999998</v>
      </c>
      <c r="Q167" s="13">
        <v>14.181624690247791</v>
      </c>
      <c r="R167" s="185">
        <v>594.71861000000001</v>
      </c>
      <c r="S167" s="185">
        <v>485.19731000000002</v>
      </c>
      <c r="T167" s="185">
        <v>109.0698</v>
      </c>
      <c r="U167" s="233">
        <v>44.161749999999998</v>
      </c>
      <c r="V167" s="233">
        <v>19.477</v>
      </c>
      <c r="W167" s="233">
        <v>25681</v>
      </c>
      <c r="X167" s="233">
        <v>6250</v>
      </c>
      <c r="Y167" s="233">
        <v>19431</v>
      </c>
      <c r="Z167" s="13">
        <v>0</v>
      </c>
      <c r="AA167" s="13">
        <v>0</v>
      </c>
      <c r="AB167" s="13">
        <v>1044.182</v>
      </c>
    </row>
    <row r="168" spans="1:28" x14ac:dyDescent="0.25">
      <c r="A168" s="11">
        <v>43617</v>
      </c>
      <c r="B168" s="321"/>
      <c r="C168" s="245">
        <f t="shared" si="12"/>
        <v>163.49600000000001</v>
      </c>
      <c r="D168" s="13">
        <v>151</v>
      </c>
      <c r="E168" s="190">
        <v>12.496</v>
      </c>
      <c r="F168" s="247">
        <f t="shared" si="10"/>
        <v>14.935715999999999</v>
      </c>
      <c r="G168" s="184">
        <v>3.2917740000000002</v>
      </c>
      <c r="H168" s="190">
        <v>0</v>
      </c>
      <c r="I168" s="184">
        <v>11.643941999999999</v>
      </c>
      <c r="J168" s="281">
        <v>1013.0678144</v>
      </c>
      <c r="K168" s="251">
        <f t="shared" si="11"/>
        <v>286.26194428333298</v>
      </c>
      <c r="L168" s="190">
        <v>181.01918828333299</v>
      </c>
      <c r="M168" s="190">
        <v>82.029066999999998</v>
      </c>
      <c r="N168" s="190">
        <v>21.786861999999999</v>
      </c>
      <c r="O168" s="190">
        <v>1.4268270000000001</v>
      </c>
      <c r="P168" s="13">
        <v>17.066046100000001</v>
      </c>
      <c r="Q168" s="13">
        <v>14.4439000188577</v>
      </c>
      <c r="R168" s="185">
        <v>588.14659999999992</v>
      </c>
      <c r="S168" s="185">
        <v>427.03434999999996</v>
      </c>
      <c r="T168" s="185">
        <v>159.79575</v>
      </c>
      <c r="U168" s="233">
        <v>34.979999999999997</v>
      </c>
      <c r="V168" s="233">
        <v>19.138999999999999</v>
      </c>
      <c r="W168" s="233">
        <v>20640</v>
      </c>
      <c r="X168" s="233">
        <v>4310</v>
      </c>
      <c r="Y168" s="233">
        <v>16330</v>
      </c>
      <c r="Z168" s="13">
        <v>0</v>
      </c>
      <c r="AA168" s="13">
        <v>0</v>
      </c>
      <c r="AB168" s="13">
        <v>101.38800000000001</v>
      </c>
    </row>
    <row r="169" spans="1:28" x14ac:dyDescent="0.25">
      <c r="A169" s="11">
        <v>43647</v>
      </c>
      <c r="B169" s="321"/>
      <c r="C169" s="245">
        <f t="shared" si="12"/>
        <v>174.43799999999999</v>
      </c>
      <c r="D169" s="13">
        <v>157</v>
      </c>
      <c r="E169" s="190">
        <v>17.437999999999999</v>
      </c>
      <c r="F169" s="247">
        <f t="shared" si="10"/>
        <v>7.1600729999999997</v>
      </c>
      <c r="G169" s="184">
        <v>3.711703</v>
      </c>
      <c r="H169" s="190">
        <v>9.0082999999999996E-2</v>
      </c>
      <c r="I169" s="184">
        <v>3.3582869999999998</v>
      </c>
      <c r="J169" s="281">
        <v>961.64154239999993</v>
      </c>
      <c r="K169" s="251">
        <f t="shared" si="11"/>
        <v>327.78225228333292</v>
      </c>
      <c r="L169" s="190">
        <v>208.08680728333297</v>
      </c>
      <c r="M169" s="190">
        <v>98.065319000000002</v>
      </c>
      <c r="N169" s="190">
        <v>20.244224000000003</v>
      </c>
      <c r="O169" s="190">
        <v>1.385902</v>
      </c>
      <c r="P169" s="13">
        <v>17.777548849999999</v>
      </c>
      <c r="Q169" s="13">
        <v>14.203745621451301</v>
      </c>
      <c r="R169" s="185">
        <v>608.79215999999997</v>
      </c>
      <c r="S169" s="185">
        <v>460.07206000000002</v>
      </c>
      <c r="T169" s="185">
        <v>150.53210000000001</v>
      </c>
      <c r="U169" s="233">
        <v>55.07</v>
      </c>
      <c r="V169" s="233">
        <v>18.251999999999999</v>
      </c>
      <c r="W169" s="233">
        <v>22892</v>
      </c>
      <c r="X169" s="233">
        <v>5509</v>
      </c>
      <c r="Y169" s="233">
        <v>17383</v>
      </c>
      <c r="Z169" s="13">
        <v>0</v>
      </c>
      <c r="AA169" s="13">
        <v>0</v>
      </c>
      <c r="AB169" s="13">
        <v>254.14699999999999</v>
      </c>
    </row>
    <row r="170" spans="1:28" x14ac:dyDescent="0.25">
      <c r="A170" s="11">
        <v>43678</v>
      </c>
      <c r="B170" s="321"/>
      <c r="C170" s="245">
        <f t="shared" ref="C170:C201" si="13">D170+E170</f>
        <v>155.499</v>
      </c>
      <c r="D170" s="13">
        <v>140</v>
      </c>
      <c r="E170" s="190">
        <v>15.499000000000001</v>
      </c>
      <c r="F170" s="247">
        <f t="shared" ref="F170:F181" si="14">G170+H170+I170</f>
        <v>7.5541289999999996</v>
      </c>
      <c r="G170" s="184">
        <v>3.7504559999999998</v>
      </c>
      <c r="H170" s="190">
        <v>0</v>
      </c>
      <c r="I170" s="184">
        <v>3.8036729999999999</v>
      </c>
      <c r="J170" s="281">
        <v>870.42955839999991</v>
      </c>
      <c r="K170" s="251">
        <f t="shared" ref="K170:K201" si="15">SUM(L170:O170)</f>
        <v>336.477031183333</v>
      </c>
      <c r="L170" s="190">
        <v>217.321883183333</v>
      </c>
      <c r="M170" s="190">
        <v>97.252604000000005</v>
      </c>
      <c r="N170" s="190">
        <v>20.509391999999998</v>
      </c>
      <c r="O170" s="190">
        <v>1.3931519999999999</v>
      </c>
      <c r="P170" s="13">
        <v>17.706586000000001</v>
      </c>
      <c r="Q170" s="13">
        <v>14.149302</v>
      </c>
      <c r="R170" s="185">
        <v>526.31736999999998</v>
      </c>
      <c r="S170" s="185">
        <v>382.35967000000005</v>
      </c>
      <c r="T170" s="185">
        <v>139.76570000000001</v>
      </c>
      <c r="U170" s="233">
        <v>55.161000000000001</v>
      </c>
      <c r="V170" s="233">
        <v>11.241</v>
      </c>
      <c r="W170" s="233">
        <v>24421</v>
      </c>
      <c r="X170" s="233">
        <v>4586</v>
      </c>
      <c r="Y170" s="233">
        <v>19835</v>
      </c>
      <c r="Z170" s="13">
        <v>0</v>
      </c>
      <c r="AA170" s="13">
        <v>0</v>
      </c>
      <c r="AB170" s="13">
        <v>477.52</v>
      </c>
    </row>
    <row r="171" spans="1:28" x14ac:dyDescent="0.25">
      <c r="A171" s="11">
        <v>43709</v>
      </c>
      <c r="B171" s="321"/>
      <c r="C171" s="245">
        <f t="shared" si="13"/>
        <v>141</v>
      </c>
      <c r="D171" s="13">
        <v>141</v>
      </c>
      <c r="E171" s="190">
        <v>0</v>
      </c>
      <c r="F171" s="247">
        <f t="shared" si="14"/>
        <v>5.4790000000000001</v>
      </c>
      <c r="G171" s="184">
        <v>1.8180000000000001</v>
      </c>
      <c r="H171" s="190">
        <v>1.268</v>
      </c>
      <c r="I171" s="184">
        <v>2.3929999999999998</v>
      </c>
      <c r="J171" s="281">
        <v>998.29265280000004</v>
      </c>
      <c r="K171" s="251">
        <f t="shared" si="15"/>
        <v>328.13412218333298</v>
      </c>
      <c r="L171" s="190">
        <v>214.90142018333299</v>
      </c>
      <c r="M171" s="190">
        <v>93.587236000000004</v>
      </c>
      <c r="N171" s="190">
        <v>18.325227999999999</v>
      </c>
      <c r="O171" s="190">
        <v>1.320238</v>
      </c>
      <c r="P171" s="13">
        <v>17.0648655</v>
      </c>
      <c r="Q171" s="13">
        <v>14.3869522453914</v>
      </c>
      <c r="R171" s="185">
        <v>424.05408999999997</v>
      </c>
      <c r="S171" s="185">
        <v>287.22583999999995</v>
      </c>
      <c r="T171" s="185">
        <v>141.44524999999999</v>
      </c>
      <c r="U171" s="233">
        <v>49.618000000000002</v>
      </c>
      <c r="V171" s="233">
        <v>11.228</v>
      </c>
      <c r="W171" s="233">
        <v>21958</v>
      </c>
      <c r="X171" s="233">
        <v>5266</v>
      </c>
      <c r="Y171" s="233">
        <v>16692</v>
      </c>
      <c r="Z171" s="13">
        <v>0</v>
      </c>
      <c r="AA171" s="13">
        <v>0</v>
      </c>
      <c r="AB171" s="13">
        <v>126.81399999999999</v>
      </c>
    </row>
    <row r="172" spans="1:28" x14ac:dyDescent="0.25">
      <c r="A172" s="11">
        <v>43739</v>
      </c>
      <c r="B172" s="321"/>
      <c r="C172" s="245">
        <f t="shared" si="13"/>
        <v>168.535</v>
      </c>
      <c r="D172" s="13">
        <v>163</v>
      </c>
      <c r="E172" s="190">
        <v>5.5350000000000001</v>
      </c>
      <c r="F172" s="247">
        <f t="shared" si="14"/>
        <v>5.5035219999999896</v>
      </c>
      <c r="G172" s="184">
        <v>1.86639299999999</v>
      </c>
      <c r="H172" s="190">
        <v>0.705646</v>
      </c>
      <c r="I172" s="184">
        <v>2.9314830000000001</v>
      </c>
      <c r="J172" s="281">
        <v>820.76911999999993</v>
      </c>
      <c r="K172" s="251">
        <f t="shared" si="15"/>
        <v>326.05880644999962</v>
      </c>
      <c r="L172" s="190">
        <v>220.47603778333297</v>
      </c>
      <c r="M172" s="190">
        <v>85.161123000000003</v>
      </c>
      <c r="N172" s="190">
        <v>19.055215</v>
      </c>
      <c r="O172" s="190">
        <v>1.3664306666666668</v>
      </c>
      <c r="P172" s="13">
        <v>17.442837149999999</v>
      </c>
      <c r="Q172" s="13">
        <v>13.8491588990292</v>
      </c>
      <c r="R172" s="185">
        <v>505.59114</v>
      </c>
      <c r="S172" s="185">
        <v>365.71300000000002</v>
      </c>
      <c r="T172" s="185">
        <v>128.74700000000001</v>
      </c>
      <c r="U172" s="233">
        <v>53.165999999999997</v>
      </c>
      <c r="V172" s="233">
        <v>7.7450000000000001</v>
      </c>
      <c r="W172" s="233">
        <v>23715</v>
      </c>
      <c r="X172" s="233">
        <v>6028</v>
      </c>
      <c r="Y172" s="233">
        <v>17687</v>
      </c>
      <c r="Z172" s="13">
        <v>0</v>
      </c>
      <c r="AA172" s="13">
        <v>0</v>
      </c>
      <c r="AB172" s="13">
        <v>395.77499999999998</v>
      </c>
    </row>
    <row r="173" spans="1:28" x14ac:dyDescent="0.25">
      <c r="A173" s="11">
        <v>43770</v>
      </c>
      <c r="B173" s="321"/>
      <c r="C173" s="245">
        <f t="shared" si="13"/>
        <v>184.45099999999999</v>
      </c>
      <c r="D173" s="13">
        <v>170</v>
      </c>
      <c r="E173" s="190">
        <v>14.451000000000001</v>
      </c>
      <c r="F173" s="247">
        <f t="shared" si="14"/>
        <v>2.7678070000000012</v>
      </c>
      <c r="G173" s="184">
        <v>1.735311</v>
      </c>
      <c r="H173" s="190">
        <v>0.732132000000001</v>
      </c>
      <c r="I173" s="184">
        <v>0.30036400000000002</v>
      </c>
      <c r="J173" s="281">
        <v>986.45372799999996</v>
      </c>
      <c r="K173" s="251">
        <f t="shared" si="15"/>
        <v>337.77708309999997</v>
      </c>
      <c r="L173" s="190">
        <v>215.19331009999999</v>
      </c>
      <c r="M173" s="190">
        <v>101.143113</v>
      </c>
      <c r="N173" s="190">
        <v>20.219989999999999</v>
      </c>
      <c r="O173" s="190">
        <v>1.2206700000000001</v>
      </c>
      <c r="P173" s="13">
        <v>17.812253599999998</v>
      </c>
      <c r="Q173" s="13">
        <v>14.6727383285518</v>
      </c>
      <c r="R173" s="185">
        <v>527.62201000000005</v>
      </c>
      <c r="S173" s="185">
        <v>398.12565000000001</v>
      </c>
      <c r="T173" s="185">
        <v>129.31789999999998</v>
      </c>
      <c r="U173" s="233">
        <v>51.301000000000002</v>
      </c>
      <c r="V173" s="233">
        <v>0</v>
      </c>
      <c r="W173" s="233">
        <v>20818</v>
      </c>
      <c r="X173" s="233">
        <v>6090</v>
      </c>
      <c r="Y173" s="233">
        <v>14728</v>
      </c>
      <c r="Z173" s="13">
        <v>0</v>
      </c>
      <c r="AA173" s="13">
        <v>0</v>
      </c>
      <c r="AB173" s="13">
        <v>280.30099999999999</v>
      </c>
    </row>
    <row r="174" spans="1:28" x14ac:dyDescent="0.25">
      <c r="A174" s="11">
        <v>43800</v>
      </c>
      <c r="B174" s="321"/>
      <c r="C174" s="245">
        <f t="shared" si="13"/>
        <v>148.11699999999999</v>
      </c>
      <c r="D174" s="13">
        <v>133</v>
      </c>
      <c r="E174" s="190">
        <v>15.117000000000001</v>
      </c>
      <c r="F174" s="247">
        <f t="shared" si="14"/>
        <v>4.5315629999999993</v>
      </c>
      <c r="G174" s="184">
        <v>0.81926399999999899</v>
      </c>
      <c r="H174" s="190">
        <v>0.35169400000000001</v>
      </c>
      <c r="I174" s="184">
        <v>3.3606050000000001</v>
      </c>
      <c r="J174" s="281">
        <v>1076.2965088000001</v>
      </c>
      <c r="K174" s="251">
        <f t="shared" si="15"/>
        <v>321.8922761</v>
      </c>
      <c r="L174" s="190">
        <v>206.24307210000001</v>
      </c>
      <c r="M174" s="190">
        <v>95.022217999999995</v>
      </c>
      <c r="N174" s="190">
        <v>19.435379000000005</v>
      </c>
      <c r="O174" s="190">
        <v>1.1916069999999999</v>
      </c>
      <c r="P174" s="13">
        <v>17.632059999999999</v>
      </c>
      <c r="Q174" s="13">
        <v>12.837103000000001</v>
      </c>
      <c r="R174" s="185">
        <v>636.60116999999991</v>
      </c>
      <c r="S174" s="185">
        <v>470.99493000000001</v>
      </c>
      <c r="T174" s="185">
        <v>151.9332</v>
      </c>
      <c r="U174" s="233">
        <v>52.863999999999997</v>
      </c>
      <c r="V174" s="233">
        <v>9.4949999999999992</v>
      </c>
      <c r="W174" s="233">
        <v>25401</v>
      </c>
      <c r="X174" s="233">
        <v>5480</v>
      </c>
      <c r="Y174" s="233">
        <v>19921</v>
      </c>
      <c r="Z174" s="13">
        <v>3968.375</v>
      </c>
      <c r="AA174" s="13">
        <v>0</v>
      </c>
      <c r="AB174" s="13">
        <v>1402.79</v>
      </c>
    </row>
    <row r="175" spans="1:28" x14ac:dyDescent="0.25">
      <c r="A175" s="11">
        <v>43831</v>
      </c>
      <c r="B175" s="321"/>
      <c r="C175" s="245">
        <f t="shared" si="13"/>
        <v>139.15199999999999</v>
      </c>
      <c r="D175" s="13">
        <v>121</v>
      </c>
      <c r="E175" s="190">
        <v>18.152000000000001</v>
      </c>
      <c r="F175" s="247">
        <f t="shared" si="14"/>
        <v>2.3330000000000002</v>
      </c>
      <c r="G175" s="184">
        <v>0.79500000000000004</v>
      </c>
      <c r="H175" s="190">
        <v>0.56399999999999995</v>
      </c>
      <c r="I175" s="184">
        <v>0.97399999999999998</v>
      </c>
      <c r="J175" s="281">
        <v>830.24215679999998</v>
      </c>
      <c r="K175" s="251">
        <f t="shared" si="15"/>
        <v>273.62799199999995</v>
      </c>
      <c r="L175" s="190">
        <v>170.78283699999997</v>
      </c>
      <c r="M175" s="190">
        <v>81.272489000000007</v>
      </c>
      <c r="N175" s="190">
        <v>20.368815999999999</v>
      </c>
      <c r="O175" s="190">
        <v>1.2038499999999999</v>
      </c>
      <c r="P175" s="13">
        <v>18.57224785</v>
      </c>
      <c r="Q175" s="13">
        <v>14.81514</v>
      </c>
      <c r="R175" s="185">
        <v>645.61717999999996</v>
      </c>
      <c r="S175" s="185">
        <v>511.46544</v>
      </c>
      <c r="T175" s="185">
        <v>145.77420000000001</v>
      </c>
      <c r="U175" s="233">
        <v>34.545999999999999</v>
      </c>
      <c r="V175" s="233">
        <v>22.236000000000001</v>
      </c>
      <c r="W175" s="233">
        <v>26604</v>
      </c>
      <c r="X175" s="233">
        <v>4784</v>
      </c>
      <c r="Y175" s="233">
        <v>21820</v>
      </c>
      <c r="Z175" s="13">
        <v>3976.45</v>
      </c>
      <c r="AA175" s="13">
        <v>0</v>
      </c>
      <c r="AB175" s="13">
        <v>1399.694</v>
      </c>
    </row>
    <row r="176" spans="1:28" x14ac:dyDescent="0.25">
      <c r="A176" s="11">
        <v>43862</v>
      </c>
      <c r="B176" s="321"/>
      <c r="C176" s="245">
        <f t="shared" si="13"/>
        <v>124.962</v>
      </c>
      <c r="D176" s="13">
        <v>104</v>
      </c>
      <c r="E176" s="190">
        <v>20.962</v>
      </c>
      <c r="F176" s="247">
        <f t="shared" si="14"/>
        <v>2.5940080000000001</v>
      </c>
      <c r="G176" s="184">
        <v>0.78352500000000003</v>
      </c>
      <c r="H176" s="190">
        <v>0.23041800000000001</v>
      </c>
      <c r="I176" s="184">
        <v>1.5800650000000001</v>
      </c>
      <c r="J176" s="281">
        <v>751.3209088000001</v>
      </c>
      <c r="K176" s="251">
        <f t="shared" si="15"/>
        <v>271.10919449999989</v>
      </c>
      <c r="L176" s="190">
        <v>170.68903249999997</v>
      </c>
      <c r="M176" s="190">
        <v>78.033883999999986</v>
      </c>
      <c r="N176" s="190">
        <v>21.149259999999998</v>
      </c>
      <c r="O176" s="190">
        <v>1.237018</v>
      </c>
      <c r="P176" s="13">
        <v>17.229203500000001</v>
      </c>
      <c r="Q176" s="13">
        <v>13.698456999999999</v>
      </c>
      <c r="R176" s="185">
        <v>602.14462000000003</v>
      </c>
      <c r="S176" s="185">
        <v>462.03757000000002</v>
      </c>
      <c r="T176" s="185">
        <v>144.29904999999999</v>
      </c>
      <c r="U176" s="233">
        <v>49.853999999999999</v>
      </c>
      <c r="V176" s="233">
        <v>22.233000000000001</v>
      </c>
      <c r="W176" s="233">
        <v>25983</v>
      </c>
      <c r="X176" s="233">
        <v>4150</v>
      </c>
      <c r="Y176" s="233">
        <v>21833</v>
      </c>
      <c r="Z176" s="13">
        <v>3953.7029999999995</v>
      </c>
      <c r="AA176" s="13">
        <v>0</v>
      </c>
      <c r="AB176" s="13">
        <v>590.23699999999997</v>
      </c>
    </row>
    <row r="177" spans="1:28" x14ac:dyDescent="0.25">
      <c r="A177" s="11">
        <v>43891</v>
      </c>
      <c r="B177" s="321"/>
      <c r="C177" s="245">
        <f t="shared" si="13"/>
        <v>133.31899999999999</v>
      </c>
      <c r="D177" s="13">
        <v>114</v>
      </c>
      <c r="E177" s="190">
        <v>19.318999999999999</v>
      </c>
      <c r="F177" s="247">
        <f t="shared" si="14"/>
        <v>2.0486440000000004</v>
      </c>
      <c r="G177" s="184">
        <v>0.61347600000000002</v>
      </c>
      <c r="H177" s="190">
        <v>0.38880300000000001</v>
      </c>
      <c r="I177" s="184">
        <v>1.046365</v>
      </c>
      <c r="J177" s="281">
        <v>864.74716799999999</v>
      </c>
      <c r="K177" s="251">
        <f t="shared" si="15"/>
        <v>306.17522739999998</v>
      </c>
      <c r="L177" s="190">
        <v>183.10841139999997</v>
      </c>
      <c r="M177" s="190">
        <v>100.601505</v>
      </c>
      <c r="N177" s="190">
        <v>21.490359000000002</v>
      </c>
      <c r="O177" s="190">
        <v>0.97495200000000004</v>
      </c>
      <c r="P177" s="13">
        <v>18.62386725</v>
      </c>
      <c r="Q177" s="13">
        <v>13.909328</v>
      </c>
      <c r="R177" s="185">
        <v>544.98387000000002</v>
      </c>
      <c r="S177" s="185">
        <v>459.62971999999996</v>
      </c>
      <c r="T177" s="185">
        <v>83.313149999999993</v>
      </c>
      <c r="U177" s="233">
        <v>51.677</v>
      </c>
      <c r="V177" s="233">
        <v>25.106000000000002</v>
      </c>
      <c r="W177" s="233">
        <v>23284</v>
      </c>
      <c r="X177" s="233">
        <v>4729</v>
      </c>
      <c r="Y177" s="233">
        <v>18555</v>
      </c>
      <c r="Z177" s="13">
        <v>1559.7520000000002</v>
      </c>
      <c r="AA177" s="13">
        <v>0</v>
      </c>
      <c r="AB177" s="13">
        <v>143.42699999999999</v>
      </c>
    </row>
    <row r="178" spans="1:28" x14ac:dyDescent="0.25">
      <c r="A178" s="11">
        <v>43922</v>
      </c>
      <c r="B178" s="321"/>
      <c r="C178" s="245">
        <f t="shared" si="13"/>
        <v>111.34950000000001</v>
      </c>
      <c r="D178" s="13">
        <v>95</v>
      </c>
      <c r="E178" s="190">
        <v>16.349499999999999</v>
      </c>
      <c r="F178" s="247">
        <f t="shared" si="14"/>
        <v>0.28396199999999999</v>
      </c>
      <c r="G178" s="184">
        <v>0</v>
      </c>
      <c r="H178" s="190">
        <v>0.28396199999999999</v>
      </c>
      <c r="I178" s="184">
        <v>0</v>
      </c>
      <c r="J178" s="281">
        <v>725.2106976</v>
      </c>
      <c r="K178" s="251">
        <f t="shared" si="15"/>
        <v>315.73449849999997</v>
      </c>
      <c r="L178" s="190">
        <v>189.79876549999997</v>
      </c>
      <c r="M178" s="190">
        <v>101.072005</v>
      </c>
      <c r="N178" s="190">
        <v>23.218623999999998</v>
      </c>
      <c r="O178" s="190">
        <v>1.6451040000000001</v>
      </c>
      <c r="P178" s="13">
        <v>18.033889850000001</v>
      </c>
      <c r="Q178" s="13">
        <v>14.6245856092004</v>
      </c>
      <c r="R178" s="185">
        <v>570.11649999999997</v>
      </c>
      <c r="S178" s="185">
        <v>465.79153000000002</v>
      </c>
      <c r="T178" s="185">
        <v>103.74097</v>
      </c>
      <c r="U178" s="233">
        <v>40.259</v>
      </c>
      <c r="V178" s="233">
        <v>0.106</v>
      </c>
      <c r="W178" s="233">
        <v>23579</v>
      </c>
      <c r="X178" s="233">
        <v>4903</v>
      </c>
      <c r="Y178" s="233">
        <v>18676</v>
      </c>
      <c r="Z178" s="13">
        <v>0</v>
      </c>
      <c r="AA178" s="13">
        <v>0</v>
      </c>
      <c r="AB178" s="13">
        <v>1200.5609999999999</v>
      </c>
    </row>
    <row r="179" spans="1:28" x14ac:dyDescent="0.25">
      <c r="A179" s="11">
        <v>43952</v>
      </c>
      <c r="B179" s="321"/>
      <c r="C179" s="245">
        <f t="shared" si="13"/>
        <v>181.97300000000001</v>
      </c>
      <c r="D179" s="13">
        <v>160</v>
      </c>
      <c r="E179" s="190">
        <v>21.972999999999999</v>
      </c>
      <c r="F179" s="247">
        <f t="shared" si="14"/>
        <v>0.54458099999999998</v>
      </c>
      <c r="G179" s="184">
        <v>0</v>
      </c>
      <c r="H179" s="190">
        <v>0.54458099999999998</v>
      </c>
      <c r="I179" s="184">
        <v>0</v>
      </c>
      <c r="J179" s="281">
        <v>907.0605888</v>
      </c>
      <c r="K179" s="251">
        <f t="shared" si="15"/>
        <v>345.82371010000008</v>
      </c>
      <c r="L179" s="190">
        <v>242.44619110000014</v>
      </c>
      <c r="M179" s="190">
        <v>81.969633999999999</v>
      </c>
      <c r="N179" s="190">
        <v>19.998747999999999</v>
      </c>
      <c r="O179" s="190">
        <v>1.4091369999999999</v>
      </c>
      <c r="P179" s="13">
        <v>18.557570090554201</v>
      </c>
      <c r="Q179" s="13">
        <v>14.8830494713996</v>
      </c>
      <c r="R179" s="185">
        <v>550.58182999999997</v>
      </c>
      <c r="S179" s="185">
        <v>444.49824999999998</v>
      </c>
      <c r="T179" s="185">
        <v>102.21758</v>
      </c>
      <c r="U179" s="233">
        <v>43.625999999999998</v>
      </c>
      <c r="V179" s="233">
        <v>14.476000000000001</v>
      </c>
      <c r="W179" s="233">
        <v>23052</v>
      </c>
      <c r="X179" s="233">
        <v>4943</v>
      </c>
      <c r="Y179" s="233">
        <v>18109</v>
      </c>
      <c r="Z179" s="13">
        <v>0</v>
      </c>
      <c r="AA179" s="13">
        <v>0</v>
      </c>
      <c r="AB179" s="13">
        <v>21.244</v>
      </c>
    </row>
    <row r="180" spans="1:28" x14ac:dyDescent="0.25">
      <c r="A180" s="11">
        <v>43983</v>
      </c>
      <c r="B180" s="321"/>
      <c r="C180" s="245">
        <f t="shared" si="13"/>
        <v>184.828</v>
      </c>
      <c r="D180" s="13">
        <v>170</v>
      </c>
      <c r="E180" s="190">
        <v>14.827999999999999</v>
      </c>
      <c r="F180" s="247">
        <f t="shared" si="14"/>
        <v>0.75</v>
      </c>
      <c r="G180" s="184">
        <v>0.26300000000000001</v>
      </c>
      <c r="H180" s="190">
        <v>0</v>
      </c>
      <c r="I180" s="184">
        <v>0.48699999999999999</v>
      </c>
      <c r="J180" s="281">
        <v>1019.2053152000001</v>
      </c>
      <c r="K180" s="251">
        <f t="shared" si="15"/>
        <v>296.17389650000001</v>
      </c>
      <c r="L180" s="190">
        <v>193.36046450000001</v>
      </c>
      <c r="M180" s="190">
        <v>80.667417</v>
      </c>
      <c r="N180" s="190">
        <v>20.593793000000002</v>
      </c>
      <c r="O180" s="190">
        <v>1.552222</v>
      </c>
      <c r="P180" s="13">
        <v>18.129278139617</v>
      </c>
      <c r="Q180" s="13">
        <v>14.2948249194</v>
      </c>
      <c r="R180" s="185">
        <v>647.49274000000003</v>
      </c>
      <c r="S180" s="185">
        <v>510.22820999999999</v>
      </c>
      <c r="T180" s="185">
        <v>141.29245</v>
      </c>
      <c r="U180" s="233">
        <v>41.524999999999999</v>
      </c>
      <c r="V180" s="233">
        <v>33.920999999999999</v>
      </c>
      <c r="W180" s="233">
        <v>25563</v>
      </c>
      <c r="X180" s="233">
        <v>4831</v>
      </c>
      <c r="Y180" s="233">
        <v>20732</v>
      </c>
      <c r="Z180" s="13">
        <v>0</v>
      </c>
      <c r="AA180" s="13">
        <v>0</v>
      </c>
      <c r="AB180" s="13">
        <v>524.40499999999997</v>
      </c>
    </row>
    <row r="181" spans="1:28" x14ac:dyDescent="0.25">
      <c r="A181" s="11">
        <v>44013</v>
      </c>
      <c r="B181" s="321"/>
      <c r="C181" s="245">
        <f t="shared" si="13"/>
        <v>144.30600000000001</v>
      </c>
      <c r="D181" s="13">
        <v>133</v>
      </c>
      <c r="E181" s="190">
        <v>11.305999999999999</v>
      </c>
      <c r="F181" s="247">
        <f t="shared" si="14"/>
        <v>0.20908299999999999</v>
      </c>
      <c r="G181" s="184">
        <v>7.3236999999999997E-2</v>
      </c>
      <c r="H181" s="190">
        <v>0</v>
      </c>
      <c r="I181" s="184">
        <v>0.13584599999999999</v>
      </c>
      <c r="J181" s="281">
        <v>1026.82032</v>
      </c>
      <c r="K181" s="251">
        <f t="shared" si="15"/>
        <v>323.95118539999999</v>
      </c>
      <c r="L181" s="190">
        <v>212.37790139999998</v>
      </c>
      <c r="M181" s="190">
        <v>88.615857999999989</v>
      </c>
      <c r="N181" s="190">
        <v>21.537493999999999</v>
      </c>
      <c r="O181" s="190">
        <v>1.419932</v>
      </c>
      <c r="P181" s="13">
        <v>18.4517795174614</v>
      </c>
      <c r="Q181" s="13">
        <v>14.9344254095913</v>
      </c>
      <c r="R181" s="185">
        <v>612.48978</v>
      </c>
      <c r="S181" s="185">
        <v>461.65363000000002</v>
      </c>
      <c r="T181" s="185">
        <v>142.82515000000001</v>
      </c>
      <c r="U181" s="233">
        <v>41.177999999999997</v>
      </c>
      <c r="V181" s="233">
        <v>20.896000000000001</v>
      </c>
      <c r="W181" s="233">
        <v>20639</v>
      </c>
      <c r="X181" s="233">
        <v>5593</v>
      </c>
      <c r="Y181" s="233">
        <v>15046</v>
      </c>
      <c r="Z181" s="13">
        <v>0</v>
      </c>
      <c r="AA181" s="13">
        <v>0</v>
      </c>
      <c r="AB181" s="13">
        <v>28.029</v>
      </c>
    </row>
    <row r="182" spans="1:28" x14ac:dyDescent="0.25">
      <c r="A182" s="11">
        <v>44044</v>
      </c>
      <c r="B182" s="321"/>
      <c r="C182" s="245">
        <f t="shared" si="13"/>
        <v>139.679</v>
      </c>
      <c r="D182" s="13">
        <v>125</v>
      </c>
      <c r="E182" s="190">
        <v>14.679</v>
      </c>
      <c r="F182" s="247">
        <f t="shared" ref="F182:F202" si="16">G182+H182+I182</f>
        <v>0</v>
      </c>
      <c r="G182" s="184">
        <v>0</v>
      </c>
      <c r="H182" s="190">
        <v>0</v>
      </c>
      <c r="I182" s="184">
        <v>0</v>
      </c>
      <c r="J182" s="281">
        <v>1056.8512448000001</v>
      </c>
      <c r="K182" s="251">
        <f t="shared" si="15"/>
        <v>337.84429439999968</v>
      </c>
      <c r="L182" s="190">
        <v>220.44098639999984</v>
      </c>
      <c r="M182" s="190">
        <v>94.22592499999989</v>
      </c>
      <c r="N182" s="190">
        <v>21.486205000000002</v>
      </c>
      <c r="O182" s="190">
        <v>1.6911780000000001</v>
      </c>
      <c r="P182" s="13">
        <v>18.33698768</v>
      </c>
      <c r="Q182" s="13">
        <v>14.696812106052899</v>
      </c>
      <c r="R182" s="185">
        <v>479.30475000000001</v>
      </c>
      <c r="S182" s="185">
        <v>376.05973</v>
      </c>
      <c r="T182" s="185">
        <v>108.2671</v>
      </c>
      <c r="U182" s="233">
        <v>43.357999999999997</v>
      </c>
      <c r="V182" s="233">
        <v>18.042999999999999</v>
      </c>
      <c r="W182" s="233">
        <v>25092</v>
      </c>
      <c r="X182" s="233">
        <v>6265</v>
      </c>
      <c r="Y182" s="233">
        <v>18827</v>
      </c>
      <c r="Z182" s="13">
        <v>0</v>
      </c>
      <c r="AA182" s="13">
        <v>0</v>
      </c>
      <c r="AB182" s="13">
        <v>593.053</v>
      </c>
    </row>
    <row r="183" spans="1:28" x14ac:dyDescent="0.25">
      <c r="A183" s="11">
        <v>44075</v>
      </c>
      <c r="B183" s="321"/>
      <c r="C183" s="245">
        <f t="shared" si="13"/>
        <v>133.78200000000001</v>
      </c>
      <c r="D183" s="13">
        <v>111</v>
      </c>
      <c r="E183" s="190">
        <v>22.782</v>
      </c>
      <c r="F183" s="247">
        <f t="shared" si="16"/>
        <v>0</v>
      </c>
      <c r="G183" s="184">
        <v>0</v>
      </c>
      <c r="H183" s="190">
        <v>0</v>
      </c>
      <c r="I183" s="184">
        <v>0</v>
      </c>
      <c r="J183" s="281">
        <v>1179.6159072</v>
      </c>
      <c r="K183" s="251">
        <f t="shared" si="15"/>
        <v>340.56049770000004</v>
      </c>
      <c r="L183" s="190">
        <v>228.4197767</v>
      </c>
      <c r="M183" s="190">
        <v>89.816426000000007</v>
      </c>
      <c r="N183" s="190">
        <v>20.935624999999995</v>
      </c>
      <c r="O183" s="190">
        <v>1.3886700000000001</v>
      </c>
      <c r="P183" s="13">
        <v>17.443078399786799</v>
      </c>
      <c r="Q183" s="13">
        <v>14.2454945450915</v>
      </c>
      <c r="R183" s="185">
        <v>566.69623999999999</v>
      </c>
      <c r="S183" s="185">
        <v>430.11992000000004</v>
      </c>
      <c r="T183" s="185">
        <v>139.45150000000001</v>
      </c>
      <c r="U183" s="233">
        <v>38.088000000000001</v>
      </c>
      <c r="V183" s="233">
        <v>9.2249999999999996</v>
      </c>
      <c r="W183" s="233">
        <v>25015</v>
      </c>
      <c r="X183" s="233">
        <v>5952</v>
      </c>
      <c r="Y183" s="233">
        <v>19063</v>
      </c>
      <c r="Z183" s="13">
        <v>0</v>
      </c>
      <c r="AA183" s="13">
        <v>0</v>
      </c>
      <c r="AB183" s="13">
        <v>137.46600000000001</v>
      </c>
    </row>
    <row r="184" spans="1:28" x14ac:dyDescent="0.25">
      <c r="A184" s="11">
        <v>44105</v>
      </c>
      <c r="B184" s="321"/>
      <c r="C184" s="245">
        <f t="shared" si="13"/>
        <v>176.39813000000001</v>
      </c>
      <c r="D184" s="13">
        <v>171</v>
      </c>
      <c r="E184" s="190">
        <v>5.3981300000000001</v>
      </c>
      <c r="F184" s="247">
        <f t="shared" si="16"/>
        <v>0</v>
      </c>
      <c r="G184" s="184">
        <v>0</v>
      </c>
      <c r="H184" s="190">
        <v>0</v>
      </c>
      <c r="I184" s="184">
        <v>0</v>
      </c>
      <c r="J184" s="281">
        <v>1215.6368384</v>
      </c>
      <c r="K184" s="251">
        <f t="shared" si="15"/>
        <v>349.22978899999976</v>
      </c>
      <c r="L184" s="190">
        <v>237.65186699999975</v>
      </c>
      <c r="M184" s="190">
        <v>89.538085000000009</v>
      </c>
      <c r="N184" s="190">
        <v>20.179621000000001</v>
      </c>
      <c r="O184" s="190">
        <v>1.8602159999999999</v>
      </c>
      <c r="P184" s="13">
        <v>18.1662403275065</v>
      </c>
      <c r="Q184" s="13">
        <v>14.3093457643759</v>
      </c>
      <c r="R184" s="185">
        <v>585.49861999999996</v>
      </c>
      <c r="S184" s="185">
        <v>398.79647</v>
      </c>
      <c r="T184" s="185">
        <v>163.12129999999999</v>
      </c>
      <c r="U184" s="233">
        <v>39.883000000000003</v>
      </c>
      <c r="V184" s="233">
        <v>16.34</v>
      </c>
      <c r="W184" s="233">
        <v>21037</v>
      </c>
      <c r="X184" s="233">
        <v>4879</v>
      </c>
      <c r="Y184" s="233">
        <v>16158</v>
      </c>
      <c r="Z184" s="13">
        <v>0</v>
      </c>
      <c r="AA184" s="13">
        <v>0</v>
      </c>
      <c r="AB184" s="13">
        <v>1807.704</v>
      </c>
    </row>
    <row r="185" spans="1:28" x14ac:dyDescent="0.25">
      <c r="A185" s="11">
        <v>44136</v>
      </c>
      <c r="B185" s="321"/>
      <c r="C185" s="245">
        <f t="shared" si="13"/>
        <v>185.42365000000001</v>
      </c>
      <c r="D185" s="13">
        <v>165</v>
      </c>
      <c r="E185" s="190">
        <v>20.423649999999999</v>
      </c>
      <c r="F185" s="247">
        <f t="shared" si="16"/>
        <v>0.43399999999999994</v>
      </c>
      <c r="G185" s="184">
        <v>0.152</v>
      </c>
      <c r="H185" s="190">
        <v>0</v>
      </c>
      <c r="I185" s="184">
        <v>0.28199999999999997</v>
      </c>
      <c r="J185" s="281">
        <v>1144.7644064000001</v>
      </c>
      <c r="K185" s="251">
        <f t="shared" si="15"/>
        <v>349.26972009999901</v>
      </c>
      <c r="L185" s="190">
        <v>231.274956099999</v>
      </c>
      <c r="M185" s="190">
        <v>97.168666999999999</v>
      </c>
      <c r="N185" s="190">
        <v>19.417213</v>
      </c>
      <c r="O185" s="190">
        <v>1.408884</v>
      </c>
      <c r="P185" s="13">
        <v>18.1940682158531</v>
      </c>
      <c r="Q185" s="13">
        <v>14.2454945450915</v>
      </c>
      <c r="R185" s="185">
        <v>590.09764000000007</v>
      </c>
      <c r="S185" s="185">
        <v>471.34091000000001</v>
      </c>
      <c r="T185" s="185">
        <v>138.93950000000001</v>
      </c>
      <c r="U185" s="233">
        <v>37.319000000000003</v>
      </c>
      <c r="V185" s="233">
        <v>12.2</v>
      </c>
      <c r="W185" s="233">
        <v>25541</v>
      </c>
      <c r="X185" s="233">
        <v>5815</v>
      </c>
      <c r="Y185" s="233">
        <v>19726</v>
      </c>
      <c r="Z185" s="13">
        <v>0</v>
      </c>
      <c r="AA185" s="13">
        <v>0</v>
      </c>
      <c r="AB185" s="13">
        <v>121.292</v>
      </c>
    </row>
    <row r="186" spans="1:28" x14ac:dyDescent="0.25">
      <c r="A186" s="11">
        <v>44166</v>
      </c>
      <c r="B186" s="321"/>
      <c r="C186" s="245">
        <f t="shared" si="13"/>
        <v>165.28375</v>
      </c>
      <c r="D186" s="13">
        <v>153</v>
      </c>
      <c r="E186" s="190">
        <v>12.28375</v>
      </c>
      <c r="F186" s="247">
        <f t="shared" si="16"/>
        <v>2.0640000000000001</v>
      </c>
      <c r="G186" s="184">
        <v>0.7</v>
      </c>
      <c r="H186" s="190">
        <v>0</v>
      </c>
      <c r="I186" s="184">
        <v>1.3640000000000001</v>
      </c>
      <c r="J186" s="281">
        <v>1453.7431200000001</v>
      </c>
      <c r="K186" s="251">
        <f t="shared" si="15"/>
        <v>344.77202750000004</v>
      </c>
      <c r="L186" s="190">
        <v>224.1607735</v>
      </c>
      <c r="M186" s="190">
        <v>98.632156000000009</v>
      </c>
      <c r="N186" s="190">
        <v>20.666201000000001</v>
      </c>
      <c r="O186" s="190">
        <v>1.312897</v>
      </c>
      <c r="P186" s="13">
        <v>18.435342760000001</v>
      </c>
      <c r="Q186" s="13">
        <v>14.2751307984619</v>
      </c>
      <c r="R186" s="185">
        <v>642.50334999999995</v>
      </c>
      <c r="S186" s="185">
        <v>470.84859999999998</v>
      </c>
      <c r="T186" s="185">
        <v>126.15085000000001</v>
      </c>
      <c r="U186" s="233">
        <v>39.497</v>
      </c>
      <c r="V186" s="233">
        <v>6.1360000000000001</v>
      </c>
      <c r="W186" s="233">
        <v>25484</v>
      </c>
      <c r="X186" s="233">
        <v>5328</v>
      </c>
      <c r="Y186" s="233">
        <v>20156</v>
      </c>
      <c r="Z186" s="13">
        <v>4360.55</v>
      </c>
      <c r="AA186" s="13">
        <v>0</v>
      </c>
      <c r="AB186" s="13">
        <v>147.90600000000001</v>
      </c>
    </row>
    <row r="187" spans="1:28" x14ac:dyDescent="0.25">
      <c r="A187" s="11">
        <v>44197</v>
      </c>
      <c r="B187" s="321"/>
      <c r="C187" s="245">
        <f t="shared" si="13"/>
        <v>174.68525</v>
      </c>
      <c r="D187" s="13">
        <v>163</v>
      </c>
      <c r="E187" s="190">
        <v>11.68525</v>
      </c>
      <c r="F187" s="247">
        <f t="shared" si="16"/>
        <v>0.82899999999999996</v>
      </c>
      <c r="G187" s="184">
        <v>0.33900000000000002</v>
      </c>
      <c r="H187" s="190">
        <v>0</v>
      </c>
      <c r="I187" s="184">
        <v>0.49</v>
      </c>
      <c r="J187" s="281">
        <v>1125.84629376</v>
      </c>
      <c r="K187" s="251">
        <f t="shared" si="15"/>
        <v>303.4310387000001</v>
      </c>
      <c r="L187" s="190">
        <v>187.76986470000011</v>
      </c>
      <c r="M187" s="190">
        <v>91.229211000000006</v>
      </c>
      <c r="N187" s="190">
        <v>22.764775</v>
      </c>
      <c r="O187" s="190">
        <v>1.6671880000000001</v>
      </c>
      <c r="P187" s="13">
        <v>19.544231587451399</v>
      </c>
      <c r="Q187" s="13">
        <v>15.6353852699611</v>
      </c>
      <c r="R187" s="185">
        <v>664.19577000000004</v>
      </c>
      <c r="S187" s="185">
        <v>564.94342000000006</v>
      </c>
      <c r="T187" s="185">
        <v>150.70625000000001</v>
      </c>
      <c r="U187" s="233">
        <v>24.997</v>
      </c>
      <c r="V187" s="233">
        <v>6.1139999999999999</v>
      </c>
      <c r="W187" s="233">
        <v>24281</v>
      </c>
      <c r="X187" s="233">
        <v>4949</v>
      </c>
      <c r="Y187" s="233">
        <v>19332</v>
      </c>
      <c r="Z187" s="13">
        <v>3852.1089999999999</v>
      </c>
      <c r="AA187" s="13">
        <v>0</v>
      </c>
      <c r="AB187" s="13">
        <v>1573.847</v>
      </c>
    </row>
    <row r="188" spans="1:28" x14ac:dyDescent="0.25">
      <c r="A188" s="11">
        <v>44228</v>
      </c>
      <c r="B188" s="321"/>
      <c r="C188" s="245">
        <f t="shared" si="13"/>
        <v>143.84675999999999</v>
      </c>
      <c r="D188" s="13">
        <v>131</v>
      </c>
      <c r="E188" s="190">
        <v>12.84676</v>
      </c>
      <c r="F188" s="247">
        <f t="shared" si="16"/>
        <v>5.0439499999999997</v>
      </c>
      <c r="G188" s="184">
        <v>1.436329</v>
      </c>
      <c r="H188" s="190">
        <v>1.679848</v>
      </c>
      <c r="I188" s="184">
        <v>1.927773</v>
      </c>
      <c r="J188" s="281">
        <v>1044.1839859199999</v>
      </c>
      <c r="K188" s="251">
        <f t="shared" si="15"/>
        <v>285.32308550000027</v>
      </c>
      <c r="L188" s="190">
        <v>173.02782450000029</v>
      </c>
      <c r="M188" s="190">
        <v>83.990651</v>
      </c>
      <c r="N188" s="190">
        <v>26.869178999999995</v>
      </c>
      <c r="O188" s="190">
        <v>1.4354310000000001</v>
      </c>
      <c r="P188" s="13">
        <v>16.976696659874101</v>
      </c>
      <c r="Q188" s="13">
        <v>13.398752686662601</v>
      </c>
      <c r="R188" s="185">
        <v>620.92330000000004</v>
      </c>
      <c r="S188" s="185">
        <v>519.86613999999997</v>
      </c>
      <c r="T188" s="185">
        <v>97.541399999999996</v>
      </c>
      <c r="U188" s="233">
        <v>34.012999999999998</v>
      </c>
      <c r="V188" s="233">
        <v>18.565000000000001</v>
      </c>
      <c r="W188" s="233">
        <v>29185</v>
      </c>
      <c r="X188" s="233">
        <v>5083.6000000000004</v>
      </c>
      <c r="Y188" s="233">
        <v>24101</v>
      </c>
      <c r="Z188" s="13">
        <v>8296.34</v>
      </c>
      <c r="AA188" s="13">
        <v>0</v>
      </c>
      <c r="AB188" s="13">
        <v>1109.9780000000001</v>
      </c>
    </row>
    <row r="189" spans="1:28" x14ac:dyDescent="0.25">
      <c r="A189" s="11">
        <v>44256</v>
      </c>
      <c r="B189" s="321"/>
      <c r="C189" s="245">
        <f t="shared" si="13"/>
        <v>164.43916999999999</v>
      </c>
      <c r="D189" s="13">
        <v>150</v>
      </c>
      <c r="E189" s="190">
        <v>14.439170000000001</v>
      </c>
      <c r="F189" s="247">
        <f t="shared" si="16"/>
        <v>4.2367340000000002</v>
      </c>
      <c r="G189" s="184">
        <v>0.98015300000000005</v>
      </c>
      <c r="H189" s="190">
        <v>2.3199040000000002</v>
      </c>
      <c r="I189" s="184">
        <v>0.93667699999999998</v>
      </c>
      <c r="J189" s="281">
        <v>1140.09441408</v>
      </c>
      <c r="K189" s="251">
        <f t="shared" si="15"/>
        <v>286.32183309999959</v>
      </c>
      <c r="L189" s="190">
        <v>171.52101209999961</v>
      </c>
      <c r="M189" s="190">
        <v>84.591256999999999</v>
      </c>
      <c r="N189" s="190">
        <v>28.601783000000001</v>
      </c>
      <c r="O189" s="190">
        <v>1.6077809999999999</v>
      </c>
      <c r="P189" s="13">
        <v>18.953544785444599</v>
      </c>
      <c r="Q189" s="13">
        <v>15.0132809779738</v>
      </c>
      <c r="R189" s="185">
        <v>764.85014999999999</v>
      </c>
      <c r="S189" s="185">
        <v>623.80001000000004</v>
      </c>
      <c r="T189" s="185">
        <v>141.0359</v>
      </c>
      <c r="U189" s="233">
        <v>40.07</v>
      </c>
      <c r="V189" s="233">
        <v>16.257000000000001</v>
      </c>
      <c r="W189" s="233">
        <v>30431</v>
      </c>
      <c r="X189" s="233">
        <v>5980</v>
      </c>
      <c r="Y189" s="233">
        <v>24451</v>
      </c>
      <c r="Z189" s="13">
        <v>3200.2039999999997</v>
      </c>
      <c r="AA189" s="13">
        <v>0</v>
      </c>
      <c r="AB189" s="13">
        <v>751.56600000000003</v>
      </c>
    </row>
    <row r="190" spans="1:28" x14ac:dyDescent="0.25">
      <c r="A190" s="11">
        <v>44287</v>
      </c>
      <c r="B190" s="321"/>
      <c r="C190" s="245">
        <f t="shared" si="13"/>
        <v>181.10199</v>
      </c>
      <c r="D190" s="13">
        <v>159</v>
      </c>
      <c r="E190" s="190">
        <v>22.101990000000001</v>
      </c>
      <c r="F190" s="247">
        <f t="shared" si="16"/>
        <v>3.5129999999999999</v>
      </c>
      <c r="G190" s="184">
        <v>1.1890000000000001</v>
      </c>
      <c r="H190" s="190">
        <v>0</v>
      </c>
      <c r="I190" s="184">
        <v>2.3239999999999998</v>
      </c>
      <c r="J190" s="281">
        <v>1268.3890828799999</v>
      </c>
      <c r="K190" s="251">
        <f t="shared" si="15"/>
        <v>300.1268705999999</v>
      </c>
      <c r="L190" s="190">
        <v>180.68699859999987</v>
      </c>
      <c r="M190" s="190">
        <v>79.758645000000001</v>
      </c>
      <c r="N190" s="190">
        <v>37.842820000000003</v>
      </c>
      <c r="O190" s="190">
        <v>1.8384069999999999</v>
      </c>
      <c r="P190" s="13">
        <v>18.549322624555401</v>
      </c>
      <c r="Q190" s="13">
        <v>14.728391995975301</v>
      </c>
      <c r="R190" s="185">
        <v>689.02567999999997</v>
      </c>
      <c r="S190" s="185">
        <v>575.48903000000007</v>
      </c>
      <c r="T190" s="185">
        <v>113.08964999999999</v>
      </c>
      <c r="U190" s="233">
        <v>49.54</v>
      </c>
      <c r="V190" s="233">
        <v>16.728000000000002</v>
      </c>
      <c r="W190" s="233">
        <v>27624</v>
      </c>
      <c r="X190" s="233">
        <v>5057</v>
      </c>
      <c r="Y190" s="233">
        <v>22567</v>
      </c>
      <c r="Z190" s="13">
        <v>0</v>
      </c>
      <c r="AA190" s="13">
        <v>0</v>
      </c>
      <c r="AB190" s="13">
        <v>992.97699999999998</v>
      </c>
    </row>
    <row r="191" spans="1:28" x14ac:dyDescent="0.25">
      <c r="A191" s="11">
        <v>44317</v>
      </c>
      <c r="B191" s="321"/>
      <c r="C191" s="245">
        <f t="shared" si="13"/>
        <v>103.7068</v>
      </c>
      <c r="D191" s="13">
        <v>97</v>
      </c>
      <c r="E191" s="190">
        <v>6.7068000000000003</v>
      </c>
      <c r="F191" s="247">
        <f t="shared" si="16"/>
        <v>1.9829999999999999</v>
      </c>
      <c r="G191" s="184">
        <v>7.6999999999999999E-2</v>
      </c>
      <c r="H191" s="190">
        <v>1.748</v>
      </c>
      <c r="I191" s="184">
        <v>0.158</v>
      </c>
      <c r="J191" s="281">
        <v>1298.7257472000001</v>
      </c>
      <c r="K191" s="251">
        <f t="shared" si="15"/>
        <v>320.55290919999987</v>
      </c>
      <c r="L191" s="190">
        <v>198.23886219999989</v>
      </c>
      <c r="M191" s="190">
        <v>88.852621000000013</v>
      </c>
      <c r="N191" s="190">
        <v>31.626718</v>
      </c>
      <c r="O191" s="190">
        <v>1.834708</v>
      </c>
      <c r="P191" s="13">
        <v>20.667406435884999</v>
      </c>
      <c r="Q191" s="13">
        <v>16.406126528708199</v>
      </c>
      <c r="R191" s="185">
        <v>714.15918999999997</v>
      </c>
      <c r="S191" s="185">
        <v>551.58166000000017</v>
      </c>
      <c r="T191" s="185">
        <v>152.09147999999999</v>
      </c>
      <c r="U191" s="233">
        <v>57.003</v>
      </c>
      <c r="V191" s="233">
        <v>14.522</v>
      </c>
      <c r="W191" s="233">
        <v>24639</v>
      </c>
      <c r="X191" s="233">
        <v>3858</v>
      </c>
      <c r="Y191" s="233">
        <v>20781</v>
      </c>
      <c r="Z191" s="13">
        <v>0</v>
      </c>
      <c r="AA191" s="13">
        <v>0</v>
      </c>
      <c r="AB191" s="13">
        <v>1148.037</v>
      </c>
    </row>
    <row r="192" spans="1:28" x14ac:dyDescent="0.25">
      <c r="A192" s="11">
        <v>44348</v>
      </c>
      <c r="B192" s="321"/>
      <c r="C192" s="245">
        <f t="shared" si="13"/>
        <v>144.423</v>
      </c>
      <c r="D192" s="13">
        <v>130</v>
      </c>
      <c r="E192" s="190">
        <v>14.423</v>
      </c>
      <c r="F192" s="247">
        <f t="shared" si="16"/>
        <v>3.4219999999999997</v>
      </c>
      <c r="G192" s="184">
        <v>0.47199999999999998</v>
      </c>
      <c r="H192" s="190">
        <v>2.19</v>
      </c>
      <c r="I192" s="184">
        <v>0.76</v>
      </c>
      <c r="J192" s="281">
        <v>1433.37403008</v>
      </c>
      <c r="K192" s="251">
        <f t="shared" si="15"/>
        <v>338.43055729999884</v>
      </c>
      <c r="L192" s="190">
        <v>217.80945029999882</v>
      </c>
      <c r="M192" s="190">
        <v>85.952434999999994</v>
      </c>
      <c r="N192" s="190">
        <v>33.002635999999995</v>
      </c>
      <c r="O192" s="190">
        <v>1.6660360000000001</v>
      </c>
      <c r="P192" s="13">
        <v>20.883721554390299</v>
      </c>
      <c r="Q192" s="13">
        <v>15.9759730044186</v>
      </c>
      <c r="R192" s="185">
        <v>633.73838000000001</v>
      </c>
      <c r="S192" s="185">
        <v>520.73003000000006</v>
      </c>
      <c r="T192" s="185">
        <v>124.55035000000001</v>
      </c>
      <c r="U192" s="233">
        <v>54.088999999999999</v>
      </c>
      <c r="V192" s="233">
        <v>14.552</v>
      </c>
      <c r="W192" s="233">
        <v>28129</v>
      </c>
      <c r="X192" s="233">
        <v>4685</v>
      </c>
      <c r="Y192" s="233">
        <v>23344</v>
      </c>
      <c r="Z192" s="13">
        <v>0</v>
      </c>
      <c r="AA192" s="13">
        <v>0</v>
      </c>
      <c r="AB192" s="13">
        <v>1049.192</v>
      </c>
    </row>
    <row r="193" spans="1:28" x14ac:dyDescent="0.25">
      <c r="A193" s="11">
        <v>44378</v>
      </c>
      <c r="B193" s="321"/>
      <c r="C193" s="245">
        <f t="shared" si="13"/>
        <v>180.09174999999999</v>
      </c>
      <c r="D193" s="13">
        <v>163</v>
      </c>
      <c r="E193" s="190">
        <v>17.091750000000001</v>
      </c>
      <c r="F193" s="247">
        <f t="shared" si="16"/>
        <v>2.8209999999999997</v>
      </c>
      <c r="G193" s="184">
        <v>0.54700000000000004</v>
      </c>
      <c r="H193" s="190">
        <v>1.4059999999999999</v>
      </c>
      <c r="I193" s="184">
        <v>0.86799999999999999</v>
      </c>
      <c r="J193" s="281">
        <v>1599.764007168</v>
      </c>
      <c r="K193" s="251">
        <f t="shared" si="15"/>
        <v>364.52332689999992</v>
      </c>
      <c r="L193" s="190">
        <v>231.74628389999992</v>
      </c>
      <c r="M193" s="190">
        <v>97.833353000000002</v>
      </c>
      <c r="N193" s="190">
        <v>33.204672999999993</v>
      </c>
      <c r="O193" s="190">
        <v>1.739017</v>
      </c>
      <c r="P193" s="13">
        <v>21.240260220588599</v>
      </c>
      <c r="Q193" s="13">
        <v>16.7529225052124</v>
      </c>
      <c r="R193" s="185">
        <v>675.28867000000002</v>
      </c>
      <c r="S193" s="185">
        <v>514.87429999999995</v>
      </c>
      <c r="T193" s="185">
        <v>144.87220000000002</v>
      </c>
      <c r="U193" s="233">
        <v>50.304000000000002</v>
      </c>
      <c r="V193" s="233">
        <v>18.922000000000001</v>
      </c>
      <c r="W193" s="233">
        <v>23696</v>
      </c>
      <c r="X193" s="233">
        <v>4859</v>
      </c>
      <c r="Y193" s="233">
        <v>18837</v>
      </c>
      <c r="Z193" s="13">
        <v>0</v>
      </c>
      <c r="AA193" s="13">
        <v>0</v>
      </c>
      <c r="AB193" s="13">
        <v>523.12199999999996</v>
      </c>
    </row>
    <row r="194" spans="1:28" x14ac:dyDescent="0.25">
      <c r="A194" s="11">
        <v>44409</v>
      </c>
      <c r="B194" s="321"/>
      <c r="C194" s="245">
        <f t="shared" si="13"/>
        <v>148</v>
      </c>
      <c r="D194" s="13">
        <v>148</v>
      </c>
      <c r="E194" s="190">
        <v>0</v>
      </c>
      <c r="F194" s="247">
        <f t="shared" si="16"/>
        <v>0.47900000000000004</v>
      </c>
      <c r="G194" s="184">
        <v>2.3E-2</v>
      </c>
      <c r="H194" s="190">
        <v>0.377</v>
      </c>
      <c r="I194" s="184">
        <v>7.9000000000000001E-2</v>
      </c>
      <c r="J194" s="281">
        <v>1493.5505345280001</v>
      </c>
      <c r="K194" s="251">
        <f t="shared" si="15"/>
        <v>379.44286279999989</v>
      </c>
      <c r="L194" s="190">
        <v>247.71699779999989</v>
      </c>
      <c r="M194" s="190">
        <v>99.556849</v>
      </c>
      <c r="N194" s="190">
        <v>30.466376</v>
      </c>
      <c r="O194" s="190">
        <v>1.7026400000000002</v>
      </c>
      <c r="P194" s="13">
        <v>20.712337059060701</v>
      </c>
      <c r="Q194" s="13">
        <v>14.9852998648797</v>
      </c>
      <c r="R194" s="185">
        <v>599.71068000000002</v>
      </c>
      <c r="S194" s="185">
        <v>463.94506999999993</v>
      </c>
      <c r="T194" s="185">
        <v>139.1026</v>
      </c>
      <c r="U194" s="233">
        <v>49.634999999999998</v>
      </c>
      <c r="V194" s="233">
        <v>15.454000000000001</v>
      </c>
      <c r="W194" s="233">
        <v>17585</v>
      </c>
      <c r="X194" s="233">
        <v>4208</v>
      </c>
      <c r="Y194" s="233">
        <v>13220</v>
      </c>
      <c r="Z194" s="13">
        <v>0</v>
      </c>
      <c r="AA194" s="13">
        <v>0</v>
      </c>
      <c r="AB194" s="13">
        <v>547.34500000000003</v>
      </c>
    </row>
    <row r="195" spans="1:28" x14ac:dyDescent="0.25">
      <c r="A195" s="11">
        <v>44440</v>
      </c>
      <c r="B195" s="321"/>
      <c r="C195" s="245">
        <f t="shared" si="13"/>
        <v>143.32</v>
      </c>
      <c r="D195" s="13">
        <v>143</v>
      </c>
      <c r="E195" s="190">
        <v>0.32</v>
      </c>
      <c r="F195" s="247">
        <f t="shared" si="16"/>
        <v>1.3109999999999999</v>
      </c>
      <c r="G195" s="184">
        <v>3.4000000000000002E-2</v>
      </c>
      <c r="H195" s="190">
        <v>1.2</v>
      </c>
      <c r="I195" s="184">
        <v>7.6999999999999999E-2</v>
      </c>
      <c r="J195" s="281">
        <v>1021.3181913599999</v>
      </c>
      <c r="K195" s="251">
        <f t="shared" si="15"/>
        <v>380.15635189999932</v>
      </c>
      <c r="L195" s="190">
        <v>255.03618289999935</v>
      </c>
      <c r="M195" s="190">
        <v>87.962163000000004</v>
      </c>
      <c r="N195" s="190">
        <v>35.800538000000003</v>
      </c>
      <c r="O195" s="190">
        <v>1.3574680000000001</v>
      </c>
      <c r="P195" s="13">
        <v>20.135483763210701</v>
      </c>
      <c r="Q195" s="13">
        <v>13.853534147848601</v>
      </c>
      <c r="R195" s="185">
        <v>588.75453000000005</v>
      </c>
      <c r="S195" s="185">
        <v>434.27411000000001</v>
      </c>
      <c r="T195" s="185">
        <v>157.98295000000002</v>
      </c>
      <c r="U195" s="233">
        <v>46.01</v>
      </c>
      <c r="V195" s="233">
        <v>14.922000000000001</v>
      </c>
      <c r="W195" s="233">
        <v>27638.2</v>
      </c>
      <c r="X195" s="233">
        <v>5269</v>
      </c>
      <c r="Y195" s="233">
        <v>22369</v>
      </c>
      <c r="Z195" s="13">
        <v>0</v>
      </c>
      <c r="AA195" s="13">
        <v>0</v>
      </c>
      <c r="AB195" s="13">
        <v>312.404</v>
      </c>
    </row>
    <row r="196" spans="1:28" x14ac:dyDescent="0.25">
      <c r="A196" s="11">
        <v>44470</v>
      </c>
      <c r="B196" s="321"/>
      <c r="C196" s="245">
        <f t="shared" si="13"/>
        <v>174.97399999999999</v>
      </c>
      <c r="D196" s="13">
        <v>169</v>
      </c>
      <c r="E196" s="190">
        <v>5.9740000000000002</v>
      </c>
      <c r="F196" s="247">
        <f t="shared" si="16"/>
        <v>4.2890000000000006</v>
      </c>
      <c r="G196" s="184">
        <v>7.8E-2</v>
      </c>
      <c r="H196" s="190">
        <v>4.1310000000000002</v>
      </c>
      <c r="I196" s="184">
        <v>0.08</v>
      </c>
      <c r="J196" s="281">
        <v>1561.23293184</v>
      </c>
      <c r="K196" s="251">
        <f t="shared" si="15"/>
        <v>402.53503219999811</v>
      </c>
      <c r="L196" s="190">
        <v>266.61347819999804</v>
      </c>
      <c r="M196" s="190">
        <v>100.373929</v>
      </c>
      <c r="N196" s="190">
        <v>34.468649999999997</v>
      </c>
      <c r="O196" s="190">
        <v>1.078975</v>
      </c>
      <c r="P196" s="13">
        <v>22.0579104245104</v>
      </c>
      <c r="Q196" s="13">
        <v>16.978278117710001</v>
      </c>
      <c r="R196" s="185">
        <v>653.37877000000003</v>
      </c>
      <c r="S196" s="185">
        <v>468.12961999999999</v>
      </c>
      <c r="T196" s="185">
        <v>190.78579999999999</v>
      </c>
      <c r="U196" s="233">
        <v>49.018000000000001</v>
      </c>
      <c r="V196" s="233">
        <v>13.414999999999999</v>
      </c>
      <c r="W196" s="233">
        <v>26065.599999999999</v>
      </c>
      <c r="X196" s="233">
        <v>5222.6000000000004</v>
      </c>
      <c r="Y196" s="233">
        <v>20843</v>
      </c>
      <c r="Z196" s="13">
        <v>0</v>
      </c>
      <c r="AA196" s="13">
        <v>0</v>
      </c>
      <c r="AB196" s="13">
        <v>595.93299999999999</v>
      </c>
    </row>
    <row r="197" spans="1:28" x14ac:dyDescent="0.25">
      <c r="A197" s="11">
        <v>44501</v>
      </c>
      <c r="B197" s="321"/>
      <c r="C197" s="245">
        <f t="shared" si="13"/>
        <v>174.21010000000001</v>
      </c>
      <c r="D197" s="13">
        <v>165</v>
      </c>
      <c r="E197" s="190">
        <v>9.2101000000000006</v>
      </c>
      <c r="F197" s="247">
        <f t="shared" si="16"/>
        <v>2.6869999999999998</v>
      </c>
      <c r="G197" s="184">
        <v>0</v>
      </c>
      <c r="H197" s="190">
        <v>2.6869999999999998</v>
      </c>
      <c r="I197" s="184">
        <v>0</v>
      </c>
      <c r="J197" s="281">
        <v>1622.70687744</v>
      </c>
      <c r="K197" s="251">
        <f t="shared" si="15"/>
        <v>394.48007839999912</v>
      </c>
      <c r="L197" s="190">
        <v>257.02874839999913</v>
      </c>
      <c r="M197" s="190">
        <v>100.540689</v>
      </c>
      <c r="N197" s="190">
        <v>36.460227000000003</v>
      </c>
      <c r="O197" s="190">
        <v>0.45041399999999998</v>
      </c>
      <c r="P197" s="13">
        <v>20.932626089999999</v>
      </c>
      <c r="Q197" s="13">
        <v>17.0697239883675</v>
      </c>
      <c r="R197" s="185">
        <v>712.41755000000001</v>
      </c>
      <c r="S197" s="185">
        <v>527.51489000000004</v>
      </c>
      <c r="T197" s="185">
        <v>180.01935</v>
      </c>
      <c r="U197" s="233">
        <v>50.584000000000003</v>
      </c>
      <c r="V197" s="233">
        <v>13.542999999999999</v>
      </c>
      <c r="W197" s="233">
        <v>21325.4</v>
      </c>
      <c r="X197" s="233">
        <v>6563.4</v>
      </c>
      <c r="Y197" s="233">
        <v>14660</v>
      </c>
      <c r="Z197" s="13"/>
      <c r="AA197" s="13">
        <v>0</v>
      </c>
      <c r="AB197" s="13">
        <v>2.4049999999999998</v>
      </c>
    </row>
    <row r="198" spans="1:28" x14ac:dyDescent="0.25">
      <c r="A198" s="11">
        <v>44531</v>
      </c>
      <c r="B198" s="321"/>
      <c r="C198" s="245">
        <f t="shared" si="13"/>
        <v>155.68869000000001</v>
      </c>
      <c r="D198" s="13">
        <v>151</v>
      </c>
      <c r="E198" s="190">
        <v>4.6886900000000002</v>
      </c>
      <c r="F198" s="247">
        <f t="shared" si="16"/>
        <v>3.794</v>
      </c>
      <c r="G198" s="184">
        <v>0</v>
      </c>
      <c r="H198" s="190">
        <v>3.548</v>
      </c>
      <c r="I198" s="184">
        <v>0.246</v>
      </c>
      <c r="J198" s="281">
        <v>1178.6218687663199</v>
      </c>
      <c r="K198" s="251">
        <f t="shared" si="15"/>
        <v>386.26865070000008</v>
      </c>
      <c r="L198" s="190">
        <v>238.94713170000006</v>
      </c>
      <c r="M198" s="190">
        <v>112.73813899999999</v>
      </c>
      <c r="N198" s="190">
        <v>34.154828000000002</v>
      </c>
      <c r="O198" s="190">
        <v>0.42855200000000004</v>
      </c>
      <c r="P198" s="13">
        <v>20.676199189156002</v>
      </c>
      <c r="Q198" s="13">
        <v>16.4427039737717</v>
      </c>
      <c r="R198" s="185">
        <v>731.80430000000001</v>
      </c>
      <c r="S198" s="185">
        <v>550.86792999999989</v>
      </c>
      <c r="T198" s="185">
        <v>180.74960000000002</v>
      </c>
      <c r="U198" s="233">
        <v>52.034999999999997</v>
      </c>
      <c r="V198" s="233">
        <v>3.96</v>
      </c>
      <c r="W198" s="233">
        <v>25748</v>
      </c>
      <c r="X198" s="233">
        <v>5709</v>
      </c>
      <c r="Y198" s="233">
        <v>20039</v>
      </c>
      <c r="Z198" s="13">
        <v>4231</v>
      </c>
      <c r="AA198" s="13">
        <v>0</v>
      </c>
      <c r="AB198" s="13">
        <v>532.702</v>
      </c>
    </row>
    <row r="199" spans="1:28" x14ac:dyDescent="0.25">
      <c r="A199" s="11">
        <v>44562</v>
      </c>
      <c r="B199" s="321"/>
      <c r="C199" s="245">
        <f t="shared" si="13"/>
        <v>161.54969</v>
      </c>
      <c r="D199" s="13">
        <v>152</v>
      </c>
      <c r="E199" s="190">
        <v>9.54969</v>
      </c>
      <c r="F199" s="247">
        <f t="shared" si="16"/>
        <v>4.0819999999999999</v>
      </c>
      <c r="G199" s="184">
        <v>0</v>
      </c>
      <c r="H199" s="190">
        <v>4.0819999999999999</v>
      </c>
      <c r="I199" s="184">
        <v>0</v>
      </c>
      <c r="J199" s="281">
        <v>1421.7648084</v>
      </c>
      <c r="K199" s="251">
        <f t="shared" si="15"/>
        <v>347.39878639999915</v>
      </c>
      <c r="L199" s="190">
        <v>217.73918539999912</v>
      </c>
      <c r="M199" s="190">
        <v>92.857466000000002</v>
      </c>
      <c r="N199" s="190">
        <v>36.380674999999997</v>
      </c>
      <c r="O199" s="190">
        <v>0.42146</v>
      </c>
      <c r="P199" s="13">
        <v>22.12435511</v>
      </c>
      <c r="Q199" s="13">
        <v>16.549183741861398</v>
      </c>
      <c r="R199" s="185">
        <v>722.99417999999991</v>
      </c>
      <c r="S199" s="185">
        <v>600.00972000000002</v>
      </c>
      <c r="T199" s="185">
        <v>123.45159999999998</v>
      </c>
      <c r="U199" s="233">
        <v>50.418999999999997</v>
      </c>
      <c r="V199" s="233">
        <v>20.890999999999998</v>
      </c>
      <c r="W199" s="233">
        <v>27547.8</v>
      </c>
      <c r="X199" s="233">
        <v>4970.8</v>
      </c>
      <c r="Y199" s="233">
        <v>22577</v>
      </c>
      <c r="Z199" s="13">
        <v>6069.2000000000007</v>
      </c>
      <c r="AA199" s="13">
        <v>0</v>
      </c>
      <c r="AB199" s="13">
        <v>828.08799999999997</v>
      </c>
    </row>
    <row r="200" spans="1:28" x14ac:dyDescent="0.25">
      <c r="A200" s="11">
        <v>44593</v>
      </c>
      <c r="B200" s="321"/>
      <c r="C200" s="245">
        <f t="shared" si="13"/>
        <v>150.15854999999999</v>
      </c>
      <c r="D200" s="13">
        <v>136</v>
      </c>
      <c r="E200" s="190">
        <v>14.15855</v>
      </c>
      <c r="F200" s="247">
        <f t="shared" si="16"/>
        <v>1.1749999999999998</v>
      </c>
      <c r="G200" s="184">
        <v>4.7E-2</v>
      </c>
      <c r="H200" s="184">
        <v>1.0469999999999999</v>
      </c>
      <c r="I200" s="184">
        <v>8.1000000000000003E-2</v>
      </c>
      <c r="J200" s="281">
        <v>1260.3756038399999</v>
      </c>
      <c r="K200" s="251">
        <f t="shared" si="15"/>
        <v>335.68651769999826</v>
      </c>
      <c r="L200" s="190">
        <v>207.73913069999833</v>
      </c>
      <c r="M200" s="190">
        <v>96.194626999999997</v>
      </c>
      <c r="N200" s="190">
        <v>31.364718999999997</v>
      </c>
      <c r="O200" s="190">
        <v>0.38804099999999997</v>
      </c>
      <c r="P200" s="13">
        <v>19.3049803</v>
      </c>
      <c r="Q200" s="13">
        <v>15.428010650453199</v>
      </c>
      <c r="R200" s="185">
        <v>616.86347000000012</v>
      </c>
      <c r="S200" s="185">
        <v>546.18254000000002</v>
      </c>
      <c r="T200" s="185">
        <v>78.015050000000002</v>
      </c>
      <c r="U200" s="233">
        <v>43.97</v>
      </c>
      <c r="V200" s="233">
        <v>15.366</v>
      </c>
      <c r="W200" s="233">
        <v>25235.4</v>
      </c>
      <c r="X200" s="233">
        <v>4756.3999999999996</v>
      </c>
      <c r="Y200" s="233">
        <v>20479</v>
      </c>
      <c r="Z200" s="13">
        <v>5604</v>
      </c>
      <c r="AA200" s="13">
        <v>0</v>
      </c>
      <c r="AB200" s="13">
        <v>1378.86</v>
      </c>
    </row>
    <row r="201" spans="1:28" x14ac:dyDescent="0.25">
      <c r="A201" s="11">
        <v>44621</v>
      </c>
      <c r="B201" s="321"/>
      <c r="C201" s="245">
        <f t="shared" si="13"/>
        <v>166.89386999999999</v>
      </c>
      <c r="D201" s="13">
        <v>157</v>
      </c>
      <c r="E201" s="190">
        <v>9.8938699999999997</v>
      </c>
      <c r="F201" s="247">
        <f t="shared" si="16"/>
        <v>2.2240000000000002</v>
      </c>
      <c r="G201" s="184">
        <v>0.80500000000000005</v>
      </c>
      <c r="H201" s="184">
        <v>0</v>
      </c>
      <c r="I201" s="184">
        <v>1.419</v>
      </c>
      <c r="J201" s="281">
        <v>1282.1368020479999</v>
      </c>
      <c r="K201" s="251">
        <f t="shared" si="15"/>
        <v>327.14190039999949</v>
      </c>
      <c r="L201" s="190">
        <v>200.95447739999949</v>
      </c>
      <c r="M201" s="190">
        <v>92.154780999999986</v>
      </c>
      <c r="N201" s="190">
        <v>33.644601000000002</v>
      </c>
      <c r="O201" s="190">
        <v>0.38804099999999997</v>
      </c>
      <c r="P201" s="13">
        <v>21.489440030398399</v>
      </c>
      <c r="Q201" s="13">
        <v>17.099450451196201</v>
      </c>
      <c r="R201" s="185">
        <v>725.54438000000005</v>
      </c>
      <c r="S201" s="185">
        <v>662.53503000000001</v>
      </c>
      <c r="T201" s="185">
        <v>70.128649999999993</v>
      </c>
      <c r="U201" s="233">
        <v>30.01</v>
      </c>
      <c r="V201" s="233">
        <v>19.2</v>
      </c>
      <c r="W201" s="233">
        <v>29771</v>
      </c>
      <c r="X201" s="233">
        <v>4571</v>
      </c>
      <c r="Y201" s="233">
        <v>25200</v>
      </c>
      <c r="Z201" s="13">
        <v>4670</v>
      </c>
      <c r="AA201" s="13">
        <v>0</v>
      </c>
      <c r="AB201" s="13">
        <v>1278.396</v>
      </c>
    </row>
    <row r="202" spans="1:28" x14ac:dyDescent="0.25">
      <c r="A202" s="11">
        <v>44652</v>
      </c>
      <c r="B202" s="321"/>
      <c r="C202" s="245">
        <f>D202+E202</f>
        <v>168.65899999999999</v>
      </c>
      <c r="D202" s="13">
        <v>157</v>
      </c>
      <c r="E202" s="190">
        <v>11.659000000000001</v>
      </c>
      <c r="F202" s="247">
        <f t="shared" si="16"/>
        <v>5.4530000000000003</v>
      </c>
      <c r="G202" s="184">
        <v>1.9259999999999999</v>
      </c>
      <c r="H202" s="184">
        <v>0</v>
      </c>
      <c r="I202" s="184">
        <v>3.5270000000000001</v>
      </c>
      <c r="J202" s="281">
        <v>1231.4073600000002</v>
      </c>
      <c r="K202" s="251">
        <f t="shared" ref="K202:K207" si="17">SUM(L202:O202)</f>
        <v>360.75771799999944</v>
      </c>
      <c r="L202" s="190">
        <v>211.78052599999947</v>
      </c>
      <c r="M202" s="190">
        <v>94.292957999999999</v>
      </c>
      <c r="N202" s="190">
        <v>42.0077</v>
      </c>
      <c r="O202" s="190">
        <v>12.676534</v>
      </c>
      <c r="P202" s="13">
        <v>20.8864486687016</v>
      </c>
      <c r="Q202" s="13">
        <v>16.291429961587301</v>
      </c>
      <c r="R202" s="185">
        <v>667.16796999999997</v>
      </c>
      <c r="S202" s="185">
        <v>587.23215000000005</v>
      </c>
      <c r="T202" s="185">
        <v>63.983049999999999</v>
      </c>
      <c r="U202" s="233">
        <v>47.637</v>
      </c>
      <c r="V202" s="233">
        <v>13.15</v>
      </c>
      <c r="W202" s="233">
        <v>22549.8</v>
      </c>
      <c r="X202" s="233">
        <v>4696.2</v>
      </c>
      <c r="Y202" s="233">
        <v>17853.599999999999</v>
      </c>
      <c r="Z202" s="13">
        <v>0</v>
      </c>
      <c r="AA202" s="13">
        <v>0</v>
      </c>
      <c r="AB202" s="13">
        <v>1599.23</v>
      </c>
    </row>
    <row r="203" spans="1:28" x14ac:dyDescent="0.25">
      <c r="A203" s="11">
        <v>44682</v>
      </c>
      <c r="B203" s="321"/>
      <c r="C203" s="245">
        <f>D203+E203</f>
        <v>156.69300000000001</v>
      </c>
      <c r="D203" s="13">
        <v>136</v>
      </c>
      <c r="E203" s="190">
        <v>20.693000000000001</v>
      </c>
      <c r="F203" s="247">
        <f t="shared" ref="F203:F226" si="18">G203+H203+I203</f>
        <v>4.2709999999999999</v>
      </c>
      <c r="G203" s="184">
        <v>1.2629999999999999</v>
      </c>
      <c r="H203" s="184">
        <v>0.38900000000000001</v>
      </c>
      <c r="I203" s="184">
        <v>2.6190000000000002</v>
      </c>
      <c r="J203" s="281">
        <v>1051.0152330239998</v>
      </c>
      <c r="K203" s="251">
        <f t="shared" si="17"/>
        <v>379.36212749999925</v>
      </c>
      <c r="L203" s="190">
        <v>221.56410449999922</v>
      </c>
      <c r="M203" s="190">
        <v>95.147388000000007</v>
      </c>
      <c r="N203" s="190">
        <v>42.337471000000001</v>
      </c>
      <c r="O203" s="190">
        <v>20.313164</v>
      </c>
      <c r="P203" s="13">
        <v>22.253318820698603</v>
      </c>
      <c r="Q203" s="13">
        <v>16.297003250846924</v>
      </c>
      <c r="R203" s="185">
        <v>646.64035000000001</v>
      </c>
      <c r="S203" s="185">
        <v>530.27639999999997</v>
      </c>
      <c r="T203" s="185">
        <v>127.29054999999998</v>
      </c>
      <c r="U203" s="233">
        <v>45.026000000000003</v>
      </c>
      <c r="V203" s="233">
        <v>1.61</v>
      </c>
      <c r="W203" s="233">
        <v>27278</v>
      </c>
      <c r="X203" s="233">
        <v>4448</v>
      </c>
      <c r="Y203" s="233">
        <v>22830</v>
      </c>
      <c r="Z203" s="13">
        <v>0</v>
      </c>
      <c r="AA203" s="13">
        <v>0</v>
      </c>
      <c r="AB203" s="13">
        <v>2406.7820000000002</v>
      </c>
    </row>
    <row r="204" spans="1:28" x14ac:dyDescent="0.25">
      <c r="A204" s="11">
        <v>44713</v>
      </c>
      <c r="B204" s="321"/>
      <c r="C204" s="245">
        <f>D204+E204</f>
        <v>139.84200000000001</v>
      </c>
      <c r="D204" s="13">
        <v>133</v>
      </c>
      <c r="E204" s="190">
        <v>6.8419999999999996</v>
      </c>
      <c r="F204" s="247">
        <f t="shared" si="18"/>
        <v>5.5449999999999999</v>
      </c>
      <c r="G204" s="184">
        <v>1.079</v>
      </c>
      <c r="H204" s="184">
        <v>2.4849999999999999</v>
      </c>
      <c r="I204" s="184">
        <v>1.9810000000000001</v>
      </c>
      <c r="J204" s="281">
        <v>1000.2636449280001</v>
      </c>
      <c r="K204" s="251">
        <f t="shared" si="17"/>
        <v>414.83767719999889</v>
      </c>
      <c r="L204" s="190">
        <v>251.20481019999892</v>
      </c>
      <c r="M204" s="190">
        <v>98.509494000000004</v>
      </c>
      <c r="N204" s="190">
        <v>44.810209</v>
      </c>
      <c r="O204" s="190">
        <v>20.313164</v>
      </c>
      <c r="P204" s="13">
        <v>21.237588252000005</v>
      </c>
      <c r="Q204" s="13">
        <v>13.807020330404029</v>
      </c>
      <c r="R204" s="185">
        <v>635.77002000000005</v>
      </c>
      <c r="S204" s="185">
        <v>551.0114299999999</v>
      </c>
      <c r="T204" s="185">
        <v>83.506299999999996</v>
      </c>
      <c r="U204" s="233">
        <v>45.16</v>
      </c>
      <c r="V204" s="233">
        <v>7.109</v>
      </c>
      <c r="W204" s="233">
        <v>25413.7</v>
      </c>
      <c r="X204" s="233">
        <v>4046.8</v>
      </c>
      <c r="Y204" s="233">
        <v>21366.9</v>
      </c>
      <c r="Z204" s="13">
        <v>0</v>
      </c>
      <c r="AA204" s="13">
        <v>0</v>
      </c>
      <c r="AB204" s="13">
        <v>1068.2909999999999</v>
      </c>
    </row>
    <row r="205" spans="1:28" x14ac:dyDescent="0.25">
      <c r="A205" s="11">
        <v>44743</v>
      </c>
      <c r="B205" s="321"/>
      <c r="C205" s="245">
        <f>D205+E205</f>
        <v>158.71299999999999</v>
      </c>
      <c r="D205" s="13">
        <v>145</v>
      </c>
      <c r="E205" s="190">
        <v>13.712999999999999</v>
      </c>
      <c r="F205" s="247">
        <f t="shared" si="18"/>
        <v>7.2720000000000002</v>
      </c>
      <c r="G205" s="184">
        <v>2.113</v>
      </c>
      <c r="H205" s="184">
        <v>1.103</v>
      </c>
      <c r="I205" s="184">
        <v>4.056</v>
      </c>
      <c r="J205" s="281">
        <v>1214.6665962239999</v>
      </c>
      <c r="K205" s="251">
        <f t="shared" si="17"/>
        <v>431.82497849999936</v>
      </c>
      <c r="L205" s="190">
        <v>263.45381349999928</v>
      </c>
      <c r="M205" s="190">
        <v>105.57070899999999</v>
      </c>
      <c r="N205" s="190">
        <v>42.487292000000004</v>
      </c>
      <c r="O205" s="190">
        <v>20.313164</v>
      </c>
      <c r="P205" s="13">
        <v>21.753082607679801</v>
      </c>
      <c r="Q205" s="13">
        <v>16.792009624630229</v>
      </c>
      <c r="R205" s="185">
        <v>613.05234999999993</v>
      </c>
      <c r="S205" s="185">
        <v>502.04653999999994</v>
      </c>
      <c r="T205" s="185">
        <v>103.59137000000001</v>
      </c>
      <c r="U205" s="233">
        <v>52.801000000000002</v>
      </c>
      <c r="V205" s="233">
        <v>0.14499999999999999</v>
      </c>
      <c r="W205" s="233">
        <v>22758.400000000001</v>
      </c>
      <c r="X205" s="233">
        <v>3798.4</v>
      </c>
      <c r="Y205" s="233">
        <v>18960</v>
      </c>
      <c r="Z205" s="13">
        <v>0</v>
      </c>
      <c r="AA205" s="13">
        <v>0</v>
      </c>
      <c r="AB205" s="13">
        <v>204.00700000000001</v>
      </c>
    </row>
    <row r="206" spans="1:28" x14ac:dyDescent="0.25">
      <c r="A206" s="11">
        <v>44774</v>
      </c>
      <c r="B206" s="321"/>
      <c r="C206" s="245">
        <f t="shared" ref="C206:C216" si="19">D206+E206</f>
        <v>160.59399999999999</v>
      </c>
      <c r="D206" s="13">
        <v>148</v>
      </c>
      <c r="E206" s="190">
        <v>12.593999999999999</v>
      </c>
      <c r="F206" s="247">
        <f t="shared" si="18"/>
        <v>7.4401449999999993</v>
      </c>
      <c r="G206" s="184">
        <v>1.4593240000000001</v>
      </c>
      <c r="H206" s="184">
        <v>2.7082649999999999</v>
      </c>
      <c r="I206" s="184">
        <v>3.2725560000000002</v>
      </c>
      <c r="J206" s="281">
        <v>1216.889661312</v>
      </c>
      <c r="K206" s="251">
        <f t="shared" si="17"/>
        <v>450.31134019999917</v>
      </c>
      <c r="L206" s="190">
        <v>280.60368119999919</v>
      </c>
      <c r="M206" s="190">
        <v>107.197361</v>
      </c>
      <c r="N206" s="190">
        <v>41.467134000000001</v>
      </c>
      <c r="O206" s="190">
        <v>21.043164000000001</v>
      </c>
      <c r="P206" s="13">
        <v>21.366863313301383</v>
      </c>
      <c r="Q206" s="13">
        <v>17.724179104429975</v>
      </c>
      <c r="R206" s="185">
        <v>616.21180000000004</v>
      </c>
      <c r="S206" s="185">
        <v>480.60407999999995</v>
      </c>
      <c r="T206" s="185">
        <v>141.96174999999999</v>
      </c>
      <c r="U206" s="233">
        <v>52.231999999999999</v>
      </c>
      <c r="V206" s="233">
        <v>9.4E-2</v>
      </c>
      <c r="W206" s="233">
        <v>24702</v>
      </c>
      <c r="X206" s="233">
        <v>5313</v>
      </c>
      <c r="Y206" s="233">
        <v>19389</v>
      </c>
      <c r="Z206" s="13">
        <v>0</v>
      </c>
      <c r="AA206" s="13">
        <v>0</v>
      </c>
      <c r="AB206" s="13">
        <v>71.795000000000002</v>
      </c>
    </row>
    <row r="207" spans="1:28" x14ac:dyDescent="0.25">
      <c r="A207" s="11">
        <v>44805</v>
      </c>
      <c r="B207" s="321"/>
      <c r="C207" s="245">
        <f t="shared" si="19"/>
        <v>147.00700000000001</v>
      </c>
      <c r="D207" s="13">
        <v>138</v>
      </c>
      <c r="E207" s="190">
        <v>9.0069999999999997</v>
      </c>
      <c r="F207" s="247">
        <f t="shared" si="18"/>
        <v>5.5318000000000005</v>
      </c>
      <c r="G207" s="184">
        <v>1.061814</v>
      </c>
      <c r="H207" s="184">
        <v>2.7994270000000001</v>
      </c>
      <c r="I207" s="184">
        <v>1.6705589999999999</v>
      </c>
      <c r="J207" s="281">
        <v>1143.8489468160001</v>
      </c>
      <c r="K207" s="251">
        <f t="shared" si="17"/>
        <v>443.43837429999888</v>
      </c>
      <c r="L207" s="190">
        <v>276.51034129999886</v>
      </c>
      <c r="M207" s="190">
        <v>105.14156400000002</v>
      </c>
      <c r="N207" s="190">
        <v>42.409482000000004</v>
      </c>
      <c r="O207" s="190">
        <v>19.376987</v>
      </c>
      <c r="P207" s="13">
        <v>20.927842882070461</v>
      </c>
      <c r="Q207" s="13">
        <v>15.935967383907794</v>
      </c>
      <c r="R207" s="185">
        <v>547.4949499999999</v>
      </c>
      <c r="S207" s="185">
        <v>406.20572999999996</v>
      </c>
      <c r="T207" s="185">
        <v>142.14920000000001</v>
      </c>
      <c r="U207" s="233">
        <v>46.591000000000001</v>
      </c>
      <c r="V207" s="233">
        <v>5.3999999999999999E-2</v>
      </c>
      <c r="W207" s="233">
        <v>24992.2</v>
      </c>
      <c r="X207" s="233">
        <v>4317.2</v>
      </c>
      <c r="Y207" s="233">
        <v>20675</v>
      </c>
      <c r="Z207" s="13">
        <v>0</v>
      </c>
      <c r="AA207" s="13">
        <v>0</v>
      </c>
      <c r="AB207" s="13">
        <v>45.3</v>
      </c>
    </row>
    <row r="208" spans="1:28" x14ac:dyDescent="0.25">
      <c r="A208" s="11">
        <v>44835</v>
      </c>
      <c r="B208" s="321"/>
      <c r="C208" s="245">
        <f t="shared" si="19"/>
        <v>156.77133333333333</v>
      </c>
      <c r="D208" s="13">
        <v>145</v>
      </c>
      <c r="E208" s="190">
        <v>11.771333333333333</v>
      </c>
      <c r="F208" s="247">
        <f t="shared" si="18"/>
        <v>4.359</v>
      </c>
      <c r="G208" s="184">
        <v>1.1819999999999999</v>
      </c>
      <c r="H208" s="184">
        <v>0.66200000000000003</v>
      </c>
      <c r="I208" s="184">
        <v>2.5150000000000001</v>
      </c>
      <c r="J208" s="281">
        <v>1218.4438037759999</v>
      </c>
      <c r="K208" s="251">
        <f t="shared" ref="K208:K231" si="20">SUM(L208:O208)</f>
        <v>451.2126513</v>
      </c>
      <c r="L208" s="190">
        <v>289.32319430000001</v>
      </c>
      <c r="M208" s="190">
        <v>99.367274999999992</v>
      </c>
      <c r="N208" s="190">
        <v>40.702671000000002</v>
      </c>
      <c r="O208" s="190">
        <v>21.819510999999999</v>
      </c>
      <c r="P208" s="13">
        <v>22.139146399999998</v>
      </c>
      <c r="Q208" s="13">
        <v>16.604359799999997</v>
      </c>
      <c r="R208" s="185">
        <v>665.55561</v>
      </c>
      <c r="S208" s="185">
        <v>480.81981999999999</v>
      </c>
      <c r="T208" s="185">
        <v>170.70845</v>
      </c>
      <c r="U208" s="233">
        <v>50.107999999999997</v>
      </c>
      <c r="V208" s="233">
        <v>3.26</v>
      </c>
      <c r="W208" s="233">
        <v>26400</v>
      </c>
      <c r="X208" s="233">
        <v>6160</v>
      </c>
      <c r="Y208" s="233">
        <v>20240</v>
      </c>
      <c r="Z208" s="13">
        <v>0</v>
      </c>
      <c r="AA208" s="13">
        <v>0</v>
      </c>
      <c r="AB208" s="13">
        <v>39.704999999999998</v>
      </c>
    </row>
    <row r="209" spans="1:28" x14ac:dyDescent="0.25">
      <c r="A209" s="11">
        <v>44866</v>
      </c>
      <c r="B209" s="321"/>
      <c r="C209" s="245">
        <f t="shared" si="19"/>
        <v>170.14783346724695</v>
      </c>
      <c r="D209" s="13">
        <v>152</v>
      </c>
      <c r="E209" s="190">
        <v>18.147833467246958</v>
      </c>
      <c r="F209" s="247">
        <f t="shared" si="18"/>
        <v>5.2890810000000004</v>
      </c>
      <c r="G209" s="184">
        <v>1.4630779999999999</v>
      </c>
      <c r="H209" s="184">
        <v>0.96927200000000002</v>
      </c>
      <c r="I209" s="184">
        <v>2.8567310000000004</v>
      </c>
      <c r="J209" s="281">
        <v>1324.4767176959999</v>
      </c>
      <c r="K209" s="251">
        <f t="shared" si="20"/>
        <v>438.52256839999922</v>
      </c>
      <c r="L209" s="190">
        <v>272.80626939999928</v>
      </c>
      <c r="M209" s="190">
        <v>105.789227</v>
      </c>
      <c r="N209" s="190">
        <v>38.107561000000004</v>
      </c>
      <c r="O209" s="190">
        <v>21.819510999999999</v>
      </c>
      <c r="P209" s="13">
        <v>21.689721670000001</v>
      </c>
      <c r="Q209" s="13">
        <v>16.267291252500002</v>
      </c>
      <c r="R209" s="185">
        <v>682.20500000000004</v>
      </c>
      <c r="S209" s="185">
        <v>507.23624000000001</v>
      </c>
      <c r="T209" s="185">
        <v>187.97229999999999</v>
      </c>
      <c r="U209" s="233">
        <v>47.323999999999998</v>
      </c>
      <c r="V209" s="233">
        <v>3.444</v>
      </c>
      <c r="W209" s="233">
        <v>37007.4</v>
      </c>
      <c r="X209" s="233">
        <v>7267</v>
      </c>
      <c r="Y209" s="233">
        <v>26739</v>
      </c>
      <c r="Z209" s="13">
        <v>0</v>
      </c>
      <c r="AA209" s="13">
        <v>0</v>
      </c>
      <c r="AB209" s="12" t="s">
        <v>105</v>
      </c>
    </row>
    <row r="210" spans="1:28" x14ac:dyDescent="0.25">
      <c r="A210" s="11">
        <v>44896</v>
      </c>
      <c r="B210" s="321"/>
      <c r="C210" s="245">
        <f t="shared" si="19"/>
        <v>167.04900000000001</v>
      </c>
      <c r="D210" s="13">
        <v>163</v>
      </c>
      <c r="E210" s="190">
        <v>4.0490000000000004</v>
      </c>
      <c r="F210" s="247">
        <f t="shared" si="18"/>
        <v>5.95</v>
      </c>
      <c r="G210" s="184">
        <v>0.66400000000000003</v>
      </c>
      <c r="H210" s="184">
        <v>2.0510000000000002</v>
      </c>
      <c r="I210" s="184">
        <v>3.2349999999999999</v>
      </c>
      <c r="J210" s="281">
        <v>1607.1035558400001</v>
      </c>
      <c r="K210" s="251">
        <f t="shared" si="20"/>
        <v>423.72001759999921</v>
      </c>
      <c r="L210" s="190">
        <v>261.19052459999921</v>
      </c>
      <c r="M210" s="190">
        <v>106.40729399999999</v>
      </c>
      <c r="N210" s="190">
        <v>38.107561000000004</v>
      </c>
      <c r="O210" s="190">
        <v>18.014638000000009</v>
      </c>
      <c r="P210" s="13">
        <v>21.793930060000001</v>
      </c>
      <c r="Q210" s="13">
        <v>16.345447545000003</v>
      </c>
      <c r="R210" s="185">
        <v>850.60473000000002</v>
      </c>
      <c r="S210" s="185">
        <v>605.87891999999999</v>
      </c>
      <c r="T210" s="185">
        <v>209.86449999999999</v>
      </c>
      <c r="U210" s="233">
        <v>50.77</v>
      </c>
      <c r="V210" s="233">
        <v>2.282</v>
      </c>
      <c r="W210" s="233">
        <v>26972</v>
      </c>
      <c r="X210" s="233">
        <v>6520</v>
      </c>
      <c r="Y210" s="233">
        <v>20452</v>
      </c>
      <c r="Z210" s="307">
        <v>2253.7379999999998</v>
      </c>
      <c r="AA210" s="307">
        <v>0</v>
      </c>
      <c r="AB210" s="308" t="s">
        <v>105</v>
      </c>
    </row>
    <row r="211" spans="1:28" x14ac:dyDescent="0.25">
      <c r="A211" s="11">
        <v>44927</v>
      </c>
      <c r="B211" s="321"/>
      <c r="C211" s="245">
        <f t="shared" si="19"/>
        <v>188.67699999999999</v>
      </c>
      <c r="D211" s="13">
        <v>173</v>
      </c>
      <c r="E211" s="190">
        <v>15.677</v>
      </c>
      <c r="F211" s="247">
        <f t="shared" si="18"/>
        <v>0.80900000000000005</v>
      </c>
      <c r="G211" s="184">
        <v>0.19400000000000001</v>
      </c>
      <c r="H211" s="184">
        <v>0.27900000000000003</v>
      </c>
      <c r="I211" s="184">
        <v>0.33600000000000002</v>
      </c>
      <c r="J211" s="281">
        <v>1053.1496517119999</v>
      </c>
      <c r="K211" s="251">
        <f t="shared" si="20"/>
        <v>403.43586919999842</v>
      </c>
      <c r="L211" s="190">
        <v>233.27664719999845</v>
      </c>
      <c r="M211" s="190">
        <v>105.48416499999999</v>
      </c>
      <c r="N211" s="190">
        <v>46.660419000000005</v>
      </c>
      <c r="O211" s="190">
        <v>18.014637999999998</v>
      </c>
      <c r="P211" s="13">
        <v>23.328889522033901</v>
      </c>
      <c r="Q211" s="13">
        <v>16.595113693290735</v>
      </c>
      <c r="R211" s="185">
        <v>803.19163000000003</v>
      </c>
      <c r="S211" s="185">
        <v>645.26688999999999</v>
      </c>
      <c r="T211" s="185">
        <v>195.25565</v>
      </c>
      <c r="U211" s="233">
        <v>52.156999999999996</v>
      </c>
      <c r="V211" s="233">
        <v>11.821999999999999</v>
      </c>
      <c r="W211" s="233">
        <v>28627.8</v>
      </c>
      <c r="X211" s="233">
        <v>5576.8</v>
      </c>
      <c r="Y211" s="233">
        <v>23051</v>
      </c>
      <c r="Z211" s="307">
        <v>5830.58</v>
      </c>
      <c r="AA211" s="307">
        <v>0</v>
      </c>
      <c r="AB211" s="308">
        <v>502.34800000000001</v>
      </c>
    </row>
    <row r="212" spans="1:28" x14ac:dyDescent="0.25">
      <c r="A212" s="11">
        <v>44958</v>
      </c>
      <c r="B212" s="321"/>
      <c r="C212" s="245">
        <f t="shared" si="19"/>
        <v>166.77500000000001</v>
      </c>
      <c r="D212" s="13">
        <v>148</v>
      </c>
      <c r="E212" s="190">
        <v>18.774999999999999</v>
      </c>
      <c r="F212" s="247">
        <f t="shared" si="18"/>
        <v>1.054</v>
      </c>
      <c r="G212" s="184">
        <v>0.23400000000000001</v>
      </c>
      <c r="H212" s="184">
        <v>0.27900000000000003</v>
      </c>
      <c r="I212" s="184">
        <v>0.54100000000000004</v>
      </c>
      <c r="J212" s="281">
        <v>843.43292236800005</v>
      </c>
      <c r="K212" s="251">
        <f t="shared" si="20"/>
        <v>375.84059789999969</v>
      </c>
      <c r="L212" s="190">
        <v>212.73679989999968</v>
      </c>
      <c r="M212" s="190">
        <v>100.03018800000001</v>
      </c>
      <c r="N212" s="190">
        <v>43.839191</v>
      </c>
      <c r="O212" s="190">
        <v>19.234419000000003</v>
      </c>
      <c r="P212" s="13">
        <v>20.349376969999998</v>
      </c>
      <c r="Q212" s="13">
        <v>15.292592415012532</v>
      </c>
      <c r="R212" s="185">
        <v>793.84303</v>
      </c>
      <c r="S212" s="185">
        <v>609.56663000000003</v>
      </c>
      <c r="T212" s="185">
        <v>181.98820000000001</v>
      </c>
      <c r="U212" s="233">
        <v>44.713999999999999</v>
      </c>
      <c r="V212" s="233">
        <v>18.510000000000002</v>
      </c>
      <c r="W212" s="233">
        <v>25644.14</v>
      </c>
      <c r="X212" s="233">
        <v>5917.14</v>
      </c>
      <c r="Y212" s="233">
        <v>19727</v>
      </c>
      <c r="Z212" s="307">
        <v>3459.2219999999998</v>
      </c>
      <c r="AA212" s="307">
        <v>0</v>
      </c>
      <c r="AB212" s="308">
        <v>40.83</v>
      </c>
    </row>
    <row r="213" spans="1:28" x14ac:dyDescent="0.25">
      <c r="A213" s="11">
        <v>44986</v>
      </c>
      <c r="B213" s="321"/>
      <c r="C213" s="245">
        <f t="shared" si="19"/>
        <v>168.40299999999999</v>
      </c>
      <c r="D213" s="13">
        <v>156</v>
      </c>
      <c r="E213" s="190">
        <v>12.403</v>
      </c>
      <c r="F213" s="247">
        <f t="shared" si="18"/>
        <v>0.12</v>
      </c>
      <c r="G213" s="184">
        <v>0</v>
      </c>
      <c r="H213" s="184">
        <v>0</v>
      </c>
      <c r="I213" s="184">
        <v>0.12</v>
      </c>
      <c r="J213" s="281">
        <v>1034.5065984</v>
      </c>
      <c r="K213" s="251">
        <f t="shared" si="20"/>
        <v>368.10847793699918</v>
      </c>
      <c r="L213" s="190">
        <v>225.00435993699912</v>
      </c>
      <c r="M213" s="190">
        <v>86.176091999999983</v>
      </c>
      <c r="N213" s="190">
        <v>43.550646</v>
      </c>
      <c r="O213" s="190">
        <v>13.377379999999999</v>
      </c>
      <c r="P213" s="13">
        <v>22.704040249999998</v>
      </c>
      <c r="Q213" s="13">
        <v>17.288011604317806</v>
      </c>
      <c r="R213" s="185">
        <v>849.56798000000003</v>
      </c>
      <c r="S213" s="185">
        <v>674.30325000000005</v>
      </c>
      <c r="T213" s="185">
        <v>193.18279999999999</v>
      </c>
      <c r="U213" s="233">
        <v>46.44</v>
      </c>
      <c r="V213" s="233">
        <v>16.849</v>
      </c>
      <c r="W213" s="233">
        <v>29551</v>
      </c>
      <c r="X213" s="233">
        <v>6439</v>
      </c>
      <c r="Y213" s="233">
        <v>23112</v>
      </c>
      <c r="Z213" s="307">
        <v>237.54300000000001</v>
      </c>
      <c r="AA213" s="307">
        <v>0</v>
      </c>
      <c r="AB213" s="308">
        <v>1119.675</v>
      </c>
    </row>
    <row r="214" spans="1:28" x14ac:dyDescent="0.25">
      <c r="A214" s="11">
        <v>45017</v>
      </c>
      <c r="B214" s="321"/>
      <c r="C214" s="245">
        <f t="shared" si="19"/>
        <v>177.34199999999998</v>
      </c>
      <c r="D214" s="13">
        <v>159</v>
      </c>
      <c r="E214" s="190">
        <v>18.341999999999999</v>
      </c>
      <c r="F214" s="247">
        <f t="shared" si="18"/>
        <v>0</v>
      </c>
      <c r="G214" s="184">
        <v>0</v>
      </c>
      <c r="H214" s="184">
        <v>0</v>
      </c>
      <c r="I214" s="184">
        <v>0</v>
      </c>
      <c r="J214" s="281">
        <v>1121.7455424</v>
      </c>
      <c r="K214" s="251">
        <f t="shared" si="20"/>
        <v>408.09990049999931</v>
      </c>
      <c r="L214" s="190">
        <v>244.12740649999932</v>
      </c>
      <c r="M214" s="190">
        <v>104.989132</v>
      </c>
      <c r="N214" s="190">
        <v>44.872990000000001</v>
      </c>
      <c r="O214" s="190">
        <v>14.110372</v>
      </c>
      <c r="P214" s="13">
        <v>22.3101728</v>
      </c>
      <c r="Q214" s="13">
        <v>16.730333810630139</v>
      </c>
      <c r="R214" s="185">
        <v>693.52755000000002</v>
      </c>
      <c r="S214" s="185">
        <v>525.10066000000006</v>
      </c>
      <c r="T214" s="185">
        <v>159.18210000000002</v>
      </c>
      <c r="U214" s="233">
        <v>46.484999999999999</v>
      </c>
      <c r="V214" s="233">
        <v>16.404</v>
      </c>
      <c r="W214" s="233">
        <v>22348.22</v>
      </c>
      <c r="X214" s="233">
        <v>4933.22</v>
      </c>
      <c r="Y214" s="233">
        <v>17415</v>
      </c>
      <c r="Z214" s="307">
        <v>192.572</v>
      </c>
      <c r="AA214" s="307">
        <v>0</v>
      </c>
      <c r="AB214" s="308">
        <v>515.45500000000004</v>
      </c>
    </row>
    <row r="215" spans="1:28" x14ac:dyDescent="0.25">
      <c r="A215" s="11">
        <v>45047</v>
      </c>
      <c r="B215" s="321"/>
      <c r="C215" s="245">
        <f t="shared" si="19"/>
        <v>173.43199999999999</v>
      </c>
      <c r="D215" s="13">
        <v>156</v>
      </c>
      <c r="E215" s="190">
        <v>17.431999999999999</v>
      </c>
      <c r="F215" s="247">
        <f t="shared" si="18"/>
        <v>0</v>
      </c>
      <c r="G215" s="184">
        <v>0</v>
      </c>
      <c r="H215" s="184">
        <v>0</v>
      </c>
      <c r="I215" s="184">
        <v>0</v>
      </c>
      <c r="J215" s="281">
        <v>1275.1170024959999</v>
      </c>
      <c r="K215" s="251">
        <f t="shared" si="20"/>
        <v>421.33322349999901</v>
      </c>
      <c r="L215" s="190">
        <v>258.48246349999903</v>
      </c>
      <c r="M215" s="190">
        <v>99.165846000000002</v>
      </c>
      <c r="N215" s="190">
        <v>43.795059999999992</v>
      </c>
      <c r="O215" s="190">
        <v>19.889854</v>
      </c>
      <c r="P215" s="13">
        <v>23.049266700000004</v>
      </c>
      <c r="Q215" s="13">
        <v>17.823508342100741</v>
      </c>
      <c r="R215" s="185">
        <v>840.63111000000004</v>
      </c>
      <c r="S215" s="185">
        <v>670.73407999999995</v>
      </c>
      <c r="T215" s="185">
        <v>181.2997</v>
      </c>
      <c r="U215" s="233">
        <v>35.100999999999999</v>
      </c>
      <c r="V215" s="233">
        <v>17.251000000000001</v>
      </c>
      <c r="W215" s="233">
        <v>27940.2</v>
      </c>
      <c r="X215" s="233">
        <v>4090.2</v>
      </c>
      <c r="Y215" s="233">
        <v>23850</v>
      </c>
      <c r="Z215" s="13">
        <v>0</v>
      </c>
      <c r="AA215" s="307">
        <v>0</v>
      </c>
      <c r="AB215" s="308">
        <v>1666.3720000000001</v>
      </c>
    </row>
    <row r="216" spans="1:28" x14ac:dyDescent="0.25">
      <c r="A216" s="11">
        <v>45078</v>
      </c>
      <c r="B216" s="321"/>
      <c r="C216" s="245">
        <f t="shared" si="19"/>
        <v>113.965</v>
      </c>
      <c r="D216" s="13">
        <v>96</v>
      </c>
      <c r="E216" s="190">
        <v>17.965</v>
      </c>
      <c r="F216" s="247">
        <f t="shared" si="18"/>
        <v>0</v>
      </c>
      <c r="G216" s="184">
        <v>0</v>
      </c>
      <c r="H216" s="184">
        <v>0</v>
      </c>
      <c r="I216" s="184">
        <v>0</v>
      </c>
      <c r="J216" s="281">
        <v>1009.5611904</v>
      </c>
      <c r="K216" s="251">
        <f t="shared" si="20"/>
        <v>460.89470499999879</v>
      </c>
      <c r="L216" s="190">
        <v>282.70325499999882</v>
      </c>
      <c r="M216" s="190">
        <v>112.36688599999999</v>
      </c>
      <c r="N216" s="190">
        <v>48.523857000000007</v>
      </c>
      <c r="O216" s="190">
        <v>17.300707000000003</v>
      </c>
      <c r="P216" s="13">
        <v>22.403152345947877</v>
      </c>
      <c r="Q216" s="13">
        <v>16.990249661379586</v>
      </c>
      <c r="R216" s="185">
        <v>781.00209000000007</v>
      </c>
      <c r="S216" s="185">
        <v>597.95242999999994</v>
      </c>
      <c r="T216" s="185">
        <v>150.92779999999999</v>
      </c>
      <c r="U216" s="233">
        <v>32.109000000000002</v>
      </c>
      <c r="V216" s="233">
        <v>11.446999999999999</v>
      </c>
      <c r="W216" s="233">
        <v>25640.2</v>
      </c>
      <c r="X216" s="233">
        <v>3838.2</v>
      </c>
      <c r="Y216" s="233">
        <v>21811</v>
      </c>
      <c r="Z216" s="13">
        <v>0</v>
      </c>
      <c r="AA216" s="307">
        <v>0</v>
      </c>
      <c r="AB216" s="308">
        <v>103.842</v>
      </c>
    </row>
    <row r="217" spans="1:28" x14ac:dyDescent="0.25">
      <c r="A217" s="11">
        <v>45108</v>
      </c>
      <c r="B217" s="321"/>
      <c r="C217" s="245">
        <f t="shared" ref="C217:C244" si="21">D217+E217</f>
        <v>161.07900000000001</v>
      </c>
      <c r="D217" s="13">
        <v>158</v>
      </c>
      <c r="E217" s="190">
        <v>3.0790000000000002</v>
      </c>
      <c r="F217" s="247">
        <f t="shared" si="18"/>
        <v>0</v>
      </c>
      <c r="G217" s="184">
        <v>0</v>
      </c>
      <c r="H217" s="184">
        <v>0</v>
      </c>
      <c r="I217" s="184">
        <v>0</v>
      </c>
      <c r="J217" s="281">
        <v>859.85682969599998</v>
      </c>
      <c r="K217" s="251">
        <f t="shared" si="20"/>
        <v>465.69851440000002</v>
      </c>
      <c r="L217" s="190">
        <v>290.38622040000007</v>
      </c>
      <c r="M217" s="190">
        <v>111.30038999999998</v>
      </c>
      <c r="N217" s="190">
        <v>42.266778000000002</v>
      </c>
      <c r="O217" s="190">
        <v>21.745125999999999</v>
      </c>
      <c r="P217" s="13">
        <v>23.080742000000001</v>
      </c>
      <c r="Q217" s="13">
        <v>18.333119364708235</v>
      </c>
      <c r="R217" s="185">
        <v>711.00112000000001</v>
      </c>
      <c r="S217" s="185">
        <v>573.17860000000007</v>
      </c>
      <c r="T217" s="185">
        <v>142.35013999999998</v>
      </c>
      <c r="U217" s="233">
        <v>47.249000000000002</v>
      </c>
      <c r="V217" s="233">
        <v>18.065999999999999</v>
      </c>
      <c r="W217" s="233">
        <v>21855.23</v>
      </c>
      <c r="X217" s="233">
        <v>3908.23</v>
      </c>
      <c r="Y217" s="233">
        <v>17947</v>
      </c>
      <c r="Z217" s="13">
        <v>0</v>
      </c>
      <c r="AA217" s="307">
        <v>0</v>
      </c>
      <c r="AB217" s="308">
        <v>184.39500000000001</v>
      </c>
    </row>
    <row r="218" spans="1:28" x14ac:dyDescent="0.25">
      <c r="A218" s="11">
        <v>45139</v>
      </c>
      <c r="B218" s="321"/>
      <c r="C218" s="245">
        <f t="shared" si="21"/>
        <v>150.82774928899585</v>
      </c>
      <c r="D218" s="13">
        <v>148</v>
      </c>
      <c r="E218" s="190">
        <v>2.8277492889958435</v>
      </c>
      <c r="F218" s="247">
        <f t="shared" si="18"/>
        <v>0</v>
      </c>
      <c r="G218" s="184">
        <v>0</v>
      </c>
      <c r="H218" s="184">
        <v>0</v>
      </c>
      <c r="I218" s="184">
        <v>0</v>
      </c>
      <c r="J218" s="281">
        <v>962.76030796800001</v>
      </c>
      <c r="K218" s="251">
        <f t="shared" si="20"/>
        <v>495.5732579999999</v>
      </c>
      <c r="L218" s="190">
        <v>317.18488799999994</v>
      </c>
      <c r="M218" s="190">
        <v>109.12169299999999</v>
      </c>
      <c r="N218" s="190">
        <v>47.849570999999997</v>
      </c>
      <c r="O218" s="190">
        <v>21.417106</v>
      </c>
      <c r="P218" s="13">
        <v>23.221249338173731</v>
      </c>
      <c r="Q218" s="13">
        <v>17.640140104519165</v>
      </c>
      <c r="R218" s="185">
        <v>738.93418999999994</v>
      </c>
      <c r="S218" s="185">
        <v>583.14445599999988</v>
      </c>
      <c r="T218" s="185">
        <v>149.40367999999998</v>
      </c>
      <c r="U218" s="233">
        <v>51.911999999999999</v>
      </c>
      <c r="V218" s="233">
        <v>17.52</v>
      </c>
      <c r="W218" s="233">
        <v>22924.99</v>
      </c>
      <c r="X218" s="233">
        <v>4336.16</v>
      </c>
      <c r="Y218" s="233">
        <v>18717.003000000001</v>
      </c>
      <c r="Z218" s="13">
        <v>0</v>
      </c>
      <c r="AA218" s="307">
        <v>0</v>
      </c>
      <c r="AB218" s="308">
        <v>451.19200000000001</v>
      </c>
    </row>
    <row r="219" spans="1:28" x14ac:dyDescent="0.25">
      <c r="A219" s="11">
        <v>45170</v>
      </c>
      <c r="B219" s="321"/>
      <c r="C219" s="245">
        <f t="shared" si="21"/>
        <v>172.34299999999999</v>
      </c>
      <c r="D219" s="13">
        <v>160</v>
      </c>
      <c r="E219" s="190">
        <v>12.343</v>
      </c>
      <c r="F219" s="247">
        <f t="shared" si="18"/>
        <v>0.92217900000000008</v>
      </c>
      <c r="G219" s="184">
        <v>0.34854000000000002</v>
      </c>
      <c r="H219" s="184">
        <v>0</v>
      </c>
      <c r="I219" s="184">
        <v>0.57363900000000001</v>
      </c>
      <c r="J219" s="281">
        <v>1243.2704256</v>
      </c>
      <c r="K219" s="251">
        <f t="shared" si="20"/>
        <v>493.27276284999988</v>
      </c>
      <c r="L219" s="190">
        <v>311.77253984999987</v>
      </c>
      <c r="M219" s="190">
        <v>114.10433999999999</v>
      </c>
      <c r="N219" s="190">
        <v>43.591139000000005</v>
      </c>
      <c r="O219" s="190">
        <v>23.804744000000003</v>
      </c>
      <c r="P219" s="13">
        <v>22.117861344999998</v>
      </c>
      <c r="Q219" s="13">
        <v>17.093837613389802</v>
      </c>
      <c r="R219" s="185">
        <v>534.29683999999997</v>
      </c>
      <c r="S219" s="185">
        <v>409.28001999999998</v>
      </c>
      <c r="T219" s="185">
        <v>119.75809</v>
      </c>
      <c r="U219" s="233">
        <v>45.688000000000002</v>
      </c>
      <c r="V219" s="233">
        <v>0.44600000000000001</v>
      </c>
      <c r="W219" s="233">
        <v>16625.169999999998</v>
      </c>
      <c r="X219" s="233">
        <v>3255.17</v>
      </c>
      <c r="Y219" s="233">
        <v>13370</v>
      </c>
      <c r="Z219" s="13">
        <v>0</v>
      </c>
      <c r="AA219" s="307">
        <v>0</v>
      </c>
      <c r="AB219" s="308">
        <v>764.62800000000004</v>
      </c>
    </row>
    <row r="220" spans="1:28" x14ac:dyDescent="0.25">
      <c r="A220" s="11">
        <v>45200</v>
      </c>
      <c r="B220" s="321"/>
      <c r="C220" s="245">
        <f t="shared" si="21"/>
        <v>190.05099999999999</v>
      </c>
      <c r="D220" s="13">
        <v>173</v>
      </c>
      <c r="E220" s="190">
        <v>17.050999999999998</v>
      </c>
      <c r="F220" s="247">
        <f t="shared" si="18"/>
        <v>1.7756190000000001</v>
      </c>
      <c r="G220" s="184">
        <v>0.67110000000000003</v>
      </c>
      <c r="H220" s="184">
        <v>0</v>
      </c>
      <c r="I220" s="184">
        <v>1.104519</v>
      </c>
      <c r="J220" s="281">
        <v>1200.996605952</v>
      </c>
      <c r="K220" s="251">
        <f t="shared" si="20"/>
        <v>495.12950349999903</v>
      </c>
      <c r="L220" s="190">
        <v>324.02245444999909</v>
      </c>
      <c r="M220" s="190">
        <v>110.759398</v>
      </c>
      <c r="N220" s="190">
        <v>33.434739</v>
      </c>
      <c r="O220" s="190">
        <v>26.912912049999999</v>
      </c>
      <c r="P220" s="13">
        <v>23.388097565000002</v>
      </c>
      <c r="Q220" s="13">
        <v>17.492857760470862</v>
      </c>
      <c r="R220" s="185">
        <v>641.56860000000006</v>
      </c>
      <c r="S220" s="185">
        <v>517.93568000000005</v>
      </c>
      <c r="T220" s="185">
        <v>135.36639000000002</v>
      </c>
      <c r="U220" s="233">
        <v>49.076000000000001</v>
      </c>
      <c r="V220" s="233">
        <v>0</v>
      </c>
      <c r="W220" s="233">
        <v>24979.14</v>
      </c>
      <c r="X220" s="233">
        <v>4345.1400000000003</v>
      </c>
      <c r="Y220" s="233">
        <v>20634</v>
      </c>
      <c r="Z220" s="13">
        <v>0</v>
      </c>
      <c r="AA220" s="307">
        <v>0</v>
      </c>
      <c r="AB220" s="308">
        <v>509.904</v>
      </c>
    </row>
    <row r="221" spans="1:28" x14ac:dyDescent="0.25">
      <c r="A221" s="11">
        <v>45231</v>
      </c>
      <c r="B221" s="321"/>
      <c r="C221" s="245">
        <f t="shared" si="21"/>
        <v>178.32599999999999</v>
      </c>
      <c r="D221" s="13">
        <v>164</v>
      </c>
      <c r="E221" s="190">
        <v>14.326000000000001</v>
      </c>
      <c r="F221" s="247">
        <f t="shared" si="18"/>
        <v>0.31946600000000003</v>
      </c>
      <c r="G221" s="184">
        <v>0.31946600000000003</v>
      </c>
      <c r="H221" s="184">
        <v>0</v>
      </c>
      <c r="I221" s="184">
        <v>0</v>
      </c>
      <c r="J221" s="281">
        <v>1068.53888448</v>
      </c>
      <c r="K221" s="251">
        <f t="shared" si="20"/>
        <v>510.65710171000001</v>
      </c>
      <c r="L221" s="190">
        <v>306.32483870999999</v>
      </c>
      <c r="M221" s="190">
        <v>124.513201</v>
      </c>
      <c r="N221" s="190">
        <v>47.385281999999997</v>
      </c>
      <c r="O221" s="190">
        <v>32.433779999999999</v>
      </c>
      <c r="P221" s="13">
        <v>23.46261612</v>
      </c>
      <c r="Q221" s="13">
        <v>16.928572026262128</v>
      </c>
      <c r="R221" s="185">
        <v>782.33222999999998</v>
      </c>
      <c r="S221" s="185">
        <v>599.26643999999999</v>
      </c>
      <c r="T221" s="185">
        <v>166.24820000000003</v>
      </c>
      <c r="U221" s="233">
        <v>49.841999999999999</v>
      </c>
      <c r="V221" s="233">
        <v>3.7869999999999999</v>
      </c>
      <c r="W221" s="233">
        <v>26478.54</v>
      </c>
      <c r="X221" s="233">
        <v>4199.54</v>
      </c>
      <c r="Y221" s="233">
        <v>22279</v>
      </c>
      <c r="Z221" s="13">
        <v>0</v>
      </c>
      <c r="AA221" s="307">
        <v>0</v>
      </c>
      <c r="AB221" s="308">
        <v>25.763999999999999</v>
      </c>
    </row>
    <row r="222" spans="1:28" x14ac:dyDescent="0.25">
      <c r="A222" s="11">
        <v>45261</v>
      </c>
      <c r="B222" s="321"/>
      <c r="C222" s="245">
        <f t="shared" si="21"/>
        <v>186.46799999999999</v>
      </c>
      <c r="D222" s="13">
        <v>174</v>
      </c>
      <c r="E222" s="190">
        <v>12.468</v>
      </c>
      <c r="F222" s="247">
        <f t="shared" si="18"/>
        <v>1.0799E-2</v>
      </c>
      <c r="G222" s="184">
        <v>1.0799E-2</v>
      </c>
      <c r="H222" s="184">
        <v>0</v>
      </c>
      <c r="I222" s="184">
        <v>0</v>
      </c>
      <c r="J222" s="281">
        <v>1189.3734144</v>
      </c>
      <c r="K222" s="251">
        <f t="shared" si="20"/>
        <v>473.74382248000018</v>
      </c>
      <c r="L222" s="190">
        <v>285.00200148000016</v>
      </c>
      <c r="M222" s="190">
        <v>117.53294199999999</v>
      </c>
      <c r="N222" s="190">
        <v>42.875197000000007</v>
      </c>
      <c r="O222" s="190">
        <v>28.333682</v>
      </c>
      <c r="P222" s="13">
        <v>23.313831362495161</v>
      </c>
      <c r="Q222" s="13">
        <v>17.585224972418526</v>
      </c>
      <c r="R222" s="185">
        <v>847.32692000000009</v>
      </c>
      <c r="S222" s="185">
        <v>638.10263300000008</v>
      </c>
      <c r="T222" s="185">
        <v>213.05252000000002</v>
      </c>
      <c r="U222" s="233">
        <v>42.456000000000003</v>
      </c>
      <c r="V222" s="233">
        <v>14.292999999999999</v>
      </c>
      <c r="W222" s="233">
        <v>23733</v>
      </c>
      <c r="X222" s="233">
        <v>4851</v>
      </c>
      <c r="Y222" s="233">
        <v>18882</v>
      </c>
      <c r="Z222" s="13">
        <v>0</v>
      </c>
      <c r="AA222" s="307">
        <v>0</v>
      </c>
      <c r="AB222" s="308">
        <v>101.887</v>
      </c>
    </row>
    <row r="223" spans="1:28" x14ac:dyDescent="0.25">
      <c r="A223" s="11">
        <v>45292</v>
      </c>
      <c r="B223" s="321"/>
      <c r="C223" s="245">
        <f t="shared" si="21"/>
        <v>163.773</v>
      </c>
      <c r="D223" s="13">
        <v>145</v>
      </c>
      <c r="E223" s="190">
        <v>18.773</v>
      </c>
      <c r="F223" s="247">
        <f t="shared" si="18"/>
        <v>0</v>
      </c>
      <c r="G223" s="184">
        <v>0</v>
      </c>
      <c r="H223" s="184">
        <v>0</v>
      </c>
      <c r="I223" s="184">
        <v>0</v>
      </c>
      <c r="J223" s="281">
        <v>894.30438528000013</v>
      </c>
      <c r="K223" s="251">
        <f t="shared" si="20"/>
        <v>445.12495860000013</v>
      </c>
      <c r="L223" s="190">
        <v>259.43058460000015</v>
      </c>
      <c r="M223" s="190">
        <v>111.250557</v>
      </c>
      <c r="N223" s="190">
        <v>47.397096999999995</v>
      </c>
      <c r="O223" s="190">
        <v>27.046719999999997</v>
      </c>
      <c r="P223" s="13">
        <v>24.718030656000227</v>
      </c>
      <c r="Q223" s="13">
        <v>17.728160722164308</v>
      </c>
      <c r="R223" s="185">
        <v>889.91124000000002</v>
      </c>
      <c r="S223" s="185">
        <v>665.53035499999999</v>
      </c>
      <c r="T223" s="185">
        <v>224.81922999999998</v>
      </c>
      <c r="U223" s="233">
        <v>25.715</v>
      </c>
      <c r="V223" s="233">
        <v>12.48</v>
      </c>
      <c r="W223" s="233">
        <v>26435</v>
      </c>
      <c r="X223" s="233">
        <v>4536</v>
      </c>
      <c r="Y223" s="233">
        <v>21899</v>
      </c>
      <c r="Z223" s="13">
        <v>5878</v>
      </c>
      <c r="AA223" s="307">
        <v>0</v>
      </c>
      <c r="AB223" s="308">
        <v>0.25</v>
      </c>
    </row>
    <row r="224" spans="1:28" x14ac:dyDescent="0.25">
      <c r="A224" s="11">
        <v>45323</v>
      </c>
      <c r="B224" s="321"/>
      <c r="C224" s="245">
        <f t="shared" si="21"/>
        <v>166.65926999999999</v>
      </c>
      <c r="D224" s="13">
        <v>160</v>
      </c>
      <c r="E224" s="190">
        <v>6.6592700000000002</v>
      </c>
      <c r="F224" s="247">
        <f t="shared" si="18"/>
        <v>0</v>
      </c>
      <c r="G224" s="184">
        <v>0</v>
      </c>
      <c r="H224" s="184">
        <v>0</v>
      </c>
      <c r="I224" s="184">
        <v>0</v>
      </c>
      <c r="J224" s="281">
        <v>823.83920639999997</v>
      </c>
      <c r="K224" s="251">
        <f t="shared" si="20"/>
        <v>434.23916709999952</v>
      </c>
      <c r="L224" s="190">
        <v>251.51927309999948</v>
      </c>
      <c r="M224" s="190">
        <v>112.26026600000002</v>
      </c>
      <c r="N224" s="190">
        <v>42.240560000000002</v>
      </c>
      <c r="O224" s="190">
        <v>28.219068</v>
      </c>
      <c r="P224" s="13">
        <v>22.6594646496</v>
      </c>
      <c r="Q224" s="13">
        <v>18.123531552906904</v>
      </c>
      <c r="R224" s="185">
        <v>834.48435400000005</v>
      </c>
      <c r="S224" s="185">
        <v>631.57911000000013</v>
      </c>
      <c r="T224" s="185">
        <v>217.03891000000002</v>
      </c>
      <c r="U224" s="233">
        <v>48.087000000000003</v>
      </c>
      <c r="V224" s="233">
        <v>7.9210000000000003</v>
      </c>
      <c r="W224" s="233">
        <v>22516.6</v>
      </c>
      <c r="X224" s="233">
        <v>4274.6000000000004</v>
      </c>
      <c r="Y224" s="233">
        <v>18242</v>
      </c>
      <c r="Z224" s="13">
        <v>2511.7150000000001</v>
      </c>
      <c r="AA224" s="307">
        <v>0</v>
      </c>
      <c r="AB224" s="308">
        <v>1015.272</v>
      </c>
    </row>
    <row r="225" spans="1:28" x14ac:dyDescent="0.25">
      <c r="A225" s="11">
        <v>45352</v>
      </c>
      <c r="B225" s="321"/>
      <c r="C225" s="245">
        <f t="shared" si="21"/>
        <v>179.547</v>
      </c>
      <c r="D225" s="13">
        <v>163</v>
      </c>
      <c r="E225" s="190">
        <v>16.547000000000001</v>
      </c>
      <c r="F225" s="247">
        <f t="shared" si="18"/>
        <v>0</v>
      </c>
      <c r="G225" s="184">
        <v>0</v>
      </c>
      <c r="H225" s="184">
        <v>0</v>
      </c>
      <c r="I225" s="184">
        <v>0</v>
      </c>
      <c r="J225" s="281">
        <v>741.93926399999998</v>
      </c>
      <c r="K225" s="251">
        <f t="shared" si="20"/>
        <v>434.23916709999952</v>
      </c>
      <c r="L225" s="190">
        <v>251.51927309999948</v>
      </c>
      <c r="M225" s="190">
        <v>112.26026600000002</v>
      </c>
      <c r="N225" s="190">
        <v>42.240560000000002</v>
      </c>
      <c r="O225" s="190">
        <v>28.219068</v>
      </c>
      <c r="P225" s="13">
        <v>24.241995370799998</v>
      </c>
      <c r="Q225" s="13">
        <v>17.904869839945167</v>
      </c>
      <c r="R225" s="185">
        <v>848.11230699999999</v>
      </c>
      <c r="S225" s="185">
        <v>634.95422000000008</v>
      </c>
      <c r="T225" s="185">
        <v>198.10142000000002</v>
      </c>
      <c r="U225" s="233">
        <v>47.612000000000002</v>
      </c>
      <c r="V225" s="233">
        <v>13.536</v>
      </c>
      <c r="W225" s="233">
        <v>22550</v>
      </c>
      <c r="X225" s="233">
        <v>4544</v>
      </c>
      <c r="Y225" s="233">
        <v>18006</v>
      </c>
      <c r="Z225" s="13">
        <v>0</v>
      </c>
      <c r="AA225" s="307">
        <v>0</v>
      </c>
      <c r="AB225" s="308">
        <v>803.601</v>
      </c>
    </row>
    <row r="226" spans="1:28" x14ac:dyDescent="0.25">
      <c r="A226" s="11">
        <v>45383</v>
      </c>
      <c r="B226" s="321"/>
      <c r="C226" s="245">
        <f t="shared" si="21"/>
        <v>155.619</v>
      </c>
      <c r="D226" s="13">
        <v>148</v>
      </c>
      <c r="E226" s="190">
        <v>7.6189999999999998</v>
      </c>
      <c r="F226" s="247">
        <f t="shared" si="18"/>
        <v>0</v>
      </c>
      <c r="G226" s="184">
        <v>0</v>
      </c>
      <c r="H226" s="184">
        <v>0</v>
      </c>
      <c r="I226" s="184">
        <v>0</v>
      </c>
      <c r="J226" s="281">
        <v>765.43906321151985</v>
      </c>
      <c r="K226" s="251">
        <f t="shared" si="20"/>
        <v>456.45664015999989</v>
      </c>
      <c r="L226" s="190">
        <v>266.4611631599999</v>
      </c>
      <c r="M226" s="190">
        <v>113.7123</v>
      </c>
      <c r="N226" s="190">
        <v>46.949677000000001</v>
      </c>
      <c r="O226" s="190">
        <v>29.333500000000001</v>
      </c>
      <c r="P226" s="13">
        <v>23.574804499999999</v>
      </c>
      <c r="Q226" s="13">
        <v>19.498423639151447</v>
      </c>
      <c r="R226" s="185">
        <v>702.81208199999992</v>
      </c>
      <c r="S226" s="185">
        <v>561.974737</v>
      </c>
      <c r="T226" s="185">
        <v>147.43449000000001</v>
      </c>
      <c r="U226" s="233">
        <v>45.98</v>
      </c>
      <c r="V226" s="233">
        <v>15.94</v>
      </c>
      <c r="W226" s="233">
        <v>18953.8</v>
      </c>
      <c r="X226" s="233">
        <v>5111.8</v>
      </c>
      <c r="Y226" s="233">
        <v>13842</v>
      </c>
      <c r="Z226" s="13">
        <v>0</v>
      </c>
      <c r="AA226" s="307">
        <v>0</v>
      </c>
      <c r="AB226" s="308">
        <v>403.637</v>
      </c>
    </row>
    <row r="227" spans="1:28" x14ac:dyDescent="0.25">
      <c r="A227" s="11">
        <v>45413</v>
      </c>
      <c r="B227" s="321"/>
      <c r="C227" s="245">
        <f t="shared" si="21"/>
        <v>150.89099999999999</v>
      </c>
      <c r="D227" s="13">
        <v>133</v>
      </c>
      <c r="E227" s="190">
        <v>17.890999999999998</v>
      </c>
      <c r="F227" s="247">
        <f t="shared" ref="F227:F238" si="22">G227+H227+I227</f>
        <v>0</v>
      </c>
      <c r="G227" s="184">
        <v>0</v>
      </c>
      <c r="H227" s="184">
        <v>0</v>
      </c>
      <c r="I227" s="184">
        <v>0</v>
      </c>
      <c r="J227" s="281">
        <v>902.19386386944007</v>
      </c>
      <c r="K227" s="251">
        <f t="shared" si="20"/>
        <v>475.44990701999905</v>
      </c>
      <c r="L227" s="190">
        <v>280.16840401999906</v>
      </c>
      <c r="M227" s="190">
        <v>113.14957199999999</v>
      </c>
      <c r="N227" s="190">
        <v>38.871229000000007</v>
      </c>
      <c r="O227" s="190">
        <v>43.260702000000002</v>
      </c>
      <c r="P227" s="13">
        <v>24.855336179999998</v>
      </c>
      <c r="Q227" s="13">
        <v>18.126700598697393</v>
      </c>
      <c r="R227" s="185">
        <v>899.00374799999997</v>
      </c>
      <c r="S227" s="185">
        <v>708.62339199999997</v>
      </c>
      <c r="T227" s="185">
        <v>210.89984000000001</v>
      </c>
      <c r="U227" s="233">
        <v>30.888999999999999</v>
      </c>
      <c r="V227" s="233">
        <v>19</v>
      </c>
      <c r="W227" s="233">
        <v>25502.2</v>
      </c>
      <c r="X227" s="233">
        <v>4286.2</v>
      </c>
      <c r="Y227" s="233">
        <v>21216</v>
      </c>
      <c r="Z227" s="13">
        <v>0</v>
      </c>
      <c r="AA227" s="307">
        <v>0</v>
      </c>
      <c r="AB227" s="308">
        <v>552.86</v>
      </c>
    </row>
    <row r="228" spans="1:28" x14ac:dyDescent="0.25">
      <c r="A228" s="11">
        <v>45444</v>
      </c>
      <c r="B228" s="322">
        <v>0.68786499999999995</v>
      </c>
      <c r="C228" s="245">
        <f t="shared" si="21"/>
        <v>120.9615</v>
      </c>
      <c r="D228" s="13">
        <v>103</v>
      </c>
      <c r="E228" s="190">
        <v>17.961500000000001</v>
      </c>
      <c r="F228" s="247">
        <f t="shared" si="22"/>
        <v>1.429</v>
      </c>
      <c r="G228" s="184">
        <v>0</v>
      </c>
      <c r="H228" s="184">
        <v>1.429</v>
      </c>
      <c r="I228" s="184">
        <v>0</v>
      </c>
      <c r="J228" s="281">
        <v>1104.3353381183999</v>
      </c>
      <c r="K228" s="251">
        <f t="shared" si="20"/>
        <v>558.755479699999</v>
      </c>
      <c r="L228" s="190">
        <v>301.99680769999901</v>
      </c>
      <c r="M228" s="190">
        <v>128.44954100000001</v>
      </c>
      <c r="N228" s="190">
        <v>38.869141999999997</v>
      </c>
      <c r="O228" s="190">
        <v>89.439988999999997</v>
      </c>
      <c r="P228" s="13">
        <v>23.94606722</v>
      </c>
      <c r="Q228" s="13">
        <v>19.160317929239557</v>
      </c>
      <c r="R228" s="185">
        <v>699.45599000000004</v>
      </c>
      <c r="S228" s="185">
        <v>522.35920499999986</v>
      </c>
      <c r="T228" s="185">
        <v>142.41638</v>
      </c>
      <c r="U228" s="233">
        <v>42.192</v>
      </c>
      <c r="V228" s="233">
        <v>19.957000000000001</v>
      </c>
      <c r="W228" s="233">
        <v>22824.2</v>
      </c>
      <c r="X228" s="233">
        <v>4991.2</v>
      </c>
      <c r="Y228" s="233">
        <v>17833</v>
      </c>
      <c r="Z228" s="13">
        <v>0</v>
      </c>
      <c r="AA228" s="307">
        <v>0</v>
      </c>
      <c r="AB228" s="308">
        <v>512.92600000000004</v>
      </c>
    </row>
    <row r="229" spans="1:28" x14ac:dyDescent="0.25">
      <c r="A229" s="11">
        <v>45474</v>
      </c>
      <c r="B229" s="322">
        <v>2.104514</v>
      </c>
      <c r="C229" s="245">
        <f t="shared" si="21"/>
        <v>158.43299999999999</v>
      </c>
      <c r="D229" s="13">
        <v>149</v>
      </c>
      <c r="E229" s="190">
        <v>9.4329999999999998</v>
      </c>
      <c r="F229" s="247">
        <f t="shared" si="22"/>
        <v>0.34750300000000001</v>
      </c>
      <c r="G229" s="184">
        <v>0</v>
      </c>
      <c r="H229" s="184">
        <v>0.34750300000000001</v>
      </c>
      <c r="I229" s="184">
        <v>0</v>
      </c>
      <c r="J229" s="281">
        <v>969.89222623394721</v>
      </c>
      <c r="K229" s="251">
        <f t="shared" si="20"/>
        <v>552.72136299999897</v>
      </c>
      <c r="L229" s="190">
        <v>314.07563299999896</v>
      </c>
      <c r="M229" s="190">
        <v>117.22061500000002</v>
      </c>
      <c r="N229" s="190">
        <v>42.869932999999996</v>
      </c>
      <c r="O229" s="190">
        <v>78.555182000000002</v>
      </c>
      <c r="P229" s="13">
        <v>24.641294640000002</v>
      </c>
      <c r="Q229" s="13">
        <v>19.3113556569003</v>
      </c>
      <c r="R229" s="185">
        <v>823.17676300000005</v>
      </c>
      <c r="S229" s="185">
        <v>672.65088900000023</v>
      </c>
      <c r="T229" s="185">
        <v>167.88530000000003</v>
      </c>
      <c r="U229" s="233">
        <v>50.832999999999998</v>
      </c>
      <c r="V229" s="233">
        <v>16.440000000000001</v>
      </c>
      <c r="W229" s="233">
        <v>20131.599999999999</v>
      </c>
      <c r="X229" s="233">
        <v>4465.6000000000004</v>
      </c>
      <c r="Y229" s="233">
        <v>15666</v>
      </c>
      <c r="Z229" s="13">
        <v>0</v>
      </c>
      <c r="AA229" s="307">
        <v>0</v>
      </c>
      <c r="AB229" s="308">
        <v>552.03399999999999</v>
      </c>
    </row>
    <row r="230" spans="1:28" x14ac:dyDescent="0.25">
      <c r="A230" s="11">
        <v>45505</v>
      </c>
      <c r="B230" s="322">
        <v>2.5637599999999998</v>
      </c>
      <c r="C230" s="245">
        <f t="shared" si="21"/>
        <v>169.107</v>
      </c>
      <c r="D230" s="13">
        <v>160</v>
      </c>
      <c r="E230" s="190">
        <v>9.1069999999999993</v>
      </c>
      <c r="F230" s="247">
        <f t="shared" si="22"/>
        <v>0.45171699999999998</v>
      </c>
      <c r="G230" s="184">
        <v>0</v>
      </c>
      <c r="H230" s="184">
        <v>0.45171699999999998</v>
      </c>
      <c r="I230" s="184">
        <v>0</v>
      </c>
      <c r="J230" s="281">
        <v>924.9830978172688</v>
      </c>
      <c r="K230" s="251">
        <f t="shared" si="20"/>
        <v>579.16809760000035</v>
      </c>
      <c r="L230" s="190">
        <v>329.57417060000034</v>
      </c>
      <c r="M230" s="190">
        <v>128.2276</v>
      </c>
      <c r="N230" s="190">
        <v>43.589292999999998</v>
      </c>
      <c r="O230" s="190">
        <v>77.777034</v>
      </c>
      <c r="P230" s="13">
        <v>24.417892249999998</v>
      </c>
      <c r="Q230" s="13">
        <v>18.14208368977642</v>
      </c>
      <c r="R230" s="185">
        <v>646.97307000000012</v>
      </c>
      <c r="S230" s="185">
        <v>505.87122000000005</v>
      </c>
      <c r="T230" s="185">
        <v>138.54179999999999</v>
      </c>
      <c r="U230" s="233">
        <v>49.89</v>
      </c>
      <c r="V230" s="233">
        <v>18.283999999999999</v>
      </c>
      <c r="W230" s="233">
        <v>18651</v>
      </c>
      <c r="X230" s="233">
        <v>3890</v>
      </c>
      <c r="Y230" s="233">
        <v>14761</v>
      </c>
      <c r="Z230" s="13">
        <v>0</v>
      </c>
      <c r="AA230" s="307">
        <v>0</v>
      </c>
      <c r="AB230" s="308">
        <v>509.78699999999998</v>
      </c>
    </row>
    <row r="231" spans="1:28" x14ac:dyDescent="0.25">
      <c r="A231" s="11">
        <v>45536</v>
      </c>
      <c r="B231" s="322">
        <v>2.8202929999999999</v>
      </c>
      <c r="C231" s="245">
        <f t="shared" si="21"/>
        <v>174.7473</v>
      </c>
      <c r="D231" s="13">
        <v>159</v>
      </c>
      <c r="E231" s="190">
        <v>15.747299999999999</v>
      </c>
      <c r="F231" s="247">
        <f t="shared" si="22"/>
        <v>0</v>
      </c>
      <c r="G231" s="184">
        <v>0</v>
      </c>
      <c r="H231" s="184">
        <v>0</v>
      </c>
      <c r="I231" s="184">
        <v>0</v>
      </c>
      <c r="J231" s="281">
        <v>851.96966399999997</v>
      </c>
      <c r="K231" s="251">
        <f t="shared" si="20"/>
        <v>557.39114229999893</v>
      </c>
      <c r="L231" s="190">
        <v>316.12049729999893</v>
      </c>
      <c r="M231" s="190">
        <v>123.58324200000001</v>
      </c>
      <c r="N231" s="190">
        <v>35.879733999999999</v>
      </c>
      <c r="O231" s="190">
        <v>81.80766899999999</v>
      </c>
      <c r="P231" s="13">
        <v>23.01610389</v>
      </c>
      <c r="Q231" s="13">
        <v>17.99218465720141</v>
      </c>
      <c r="R231" s="185">
        <v>613.37424999999996</v>
      </c>
      <c r="S231" s="185">
        <v>480.1669629999999</v>
      </c>
      <c r="T231" s="185">
        <v>108.28638000000001</v>
      </c>
      <c r="U231" s="233">
        <v>45.698</v>
      </c>
      <c r="V231" s="233">
        <v>6.5149999999999997</v>
      </c>
      <c r="W231" s="233">
        <v>19857.8</v>
      </c>
      <c r="X231" s="233">
        <v>4081.8</v>
      </c>
      <c r="Y231" s="233">
        <v>15776</v>
      </c>
      <c r="Z231" s="13">
        <v>0</v>
      </c>
      <c r="AA231" s="307">
        <v>0</v>
      </c>
      <c r="AB231" s="308">
        <v>0.42099999999999999</v>
      </c>
    </row>
    <row r="232" spans="1:28" x14ac:dyDescent="0.25">
      <c r="A232" s="11">
        <v>45566</v>
      </c>
      <c r="B232" s="322">
        <v>2.8223829999999999</v>
      </c>
      <c r="C232" s="245">
        <f t="shared" si="21"/>
        <v>164.697</v>
      </c>
      <c r="D232" s="13">
        <v>149</v>
      </c>
      <c r="E232" s="190">
        <v>15.696999999999999</v>
      </c>
      <c r="F232" s="247">
        <f t="shared" si="22"/>
        <v>2.198</v>
      </c>
      <c r="G232" s="184">
        <v>0.84299999999999997</v>
      </c>
      <c r="H232" s="184">
        <v>0</v>
      </c>
      <c r="I232" s="184">
        <v>1.355</v>
      </c>
      <c r="J232" s="281">
        <v>900.53853107327996</v>
      </c>
      <c r="K232" s="251">
        <f>SUM(L232:O232)</f>
        <v>538.72995740000101</v>
      </c>
      <c r="L232" s="190">
        <v>334.579634400001</v>
      </c>
      <c r="M232" s="190">
        <v>125.03425</v>
      </c>
      <c r="N232" s="190">
        <v>39.369824000000001</v>
      </c>
      <c r="O232" s="190">
        <v>39.746248999999999</v>
      </c>
      <c r="P232" s="13">
        <v>24.34594354</v>
      </c>
      <c r="Q232" s="13">
        <v>19.042466939554721</v>
      </c>
      <c r="R232" s="185">
        <v>618.16654999999992</v>
      </c>
      <c r="S232" s="185">
        <v>536.687456</v>
      </c>
      <c r="T232" s="185">
        <v>109.46366999999999</v>
      </c>
      <c r="U232" s="233">
        <v>31.428999999999998</v>
      </c>
      <c r="V232" s="233">
        <v>7.36</v>
      </c>
      <c r="W232" s="233">
        <v>16343.8</v>
      </c>
      <c r="X232" s="233">
        <v>4654.8</v>
      </c>
      <c r="Y232" s="233">
        <v>11689</v>
      </c>
      <c r="Z232" s="13">
        <v>0</v>
      </c>
      <c r="AA232" s="307">
        <v>0</v>
      </c>
      <c r="AB232" s="307">
        <v>0</v>
      </c>
    </row>
    <row r="233" spans="1:28" x14ac:dyDescent="0.25">
      <c r="A233" s="11">
        <v>45597</v>
      </c>
      <c r="B233" s="322">
        <v>2.9477470000000001</v>
      </c>
      <c r="C233" s="245">
        <f t="shared" si="21"/>
        <v>179.86199999999999</v>
      </c>
      <c r="D233" s="13">
        <v>167</v>
      </c>
      <c r="E233" s="190">
        <v>12.862</v>
      </c>
      <c r="F233" s="247">
        <f t="shared" si="22"/>
        <v>2.7960000000000003</v>
      </c>
      <c r="G233" s="184">
        <v>0.98599999999999999</v>
      </c>
      <c r="H233" s="184">
        <v>0</v>
      </c>
      <c r="I233" s="184">
        <v>1.81</v>
      </c>
      <c r="J233" s="281">
        <v>1018.98484735104</v>
      </c>
      <c r="K233" s="251">
        <f t="shared" ref="K233:K238" si="23">SUM(L233:O233)</f>
        <v>510.25622960000021</v>
      </c>
      <c r="L233" s="190">
        <v>313.66938360000029</v>
      </c>
      <c r="M233" s="190">
        <v>126.778803</v>
      </c>
      <c r="N233" s="190">
        <v>49.481256999999999</v>
      </c>
      <c r="O233" s="190">
        <v>20.326785999999998</v>
      </c>
      <c r="P233" s="13">
        <v>23.900345799999997</v>
      </c>
      <c r="Q233" s="13">
        <v>18.613709119481712</v>
      </c>
      <c r="R233" s="185">
        <v>663.02217999999993</v>
      </c>
      <c r="S233" s="185">
        <v>549.60016999999993</v>
      </c>
      <c r="T233" s="185">
        <v>107.62451</v>
      </c>
      <c r="U233" s="233">
        <v>51.264000000000003</v>
      </c>
      <c r="V233" s="233">
        <v>19.055</v>
      </c>
      <c r="W233" s="233">
        <v>23579.599999999999</v>
      </c>
      <c r="X233" s="233">
        <v>4108.6000000000004</v>
      </c>
      <c r="Y233" s="233">
        <v>19471</v>
      </c>
      <c r="Z233" s="13">
        <v>0</v>
      </c>
      <c r="AA233" s="307">
        <v>0</v>
      </c>
      <c r="AB233" s="307">
        <v>250.17599999999999</v>
      </c>
    </row>
    <row r="234" spans="1:28" x14ac:dyDescent="0.25">
      <c r="A234" s="11">
        <v>45627</v>
      </c>
      <c r="B234" s="322">
        <v>2.9588969999999999</v>
      </c>
      <c r="C234" s="245">
        <f t="shared" si="21"/>
        <v>176.72899999999998</v>
      </c>
      <c r="D234" s="13">
        <v>164</v>
      </c>
      <c r="E234" s="190">
        <v>12.728999999999999</v>
      </c>
      <c r="F234" s="247">
        <f t="shared" si="22"/>
        <v>1.758</v>
      </c>
      <c r="G234" s="184">
        <v>0.69799999999999995</v>
      </c>
      <c r="H234" s="184">
        <v>0</v>
      </c>
      <c r="I234" s="184">
        <v>1.06</v>
      </c>
      <c r="J234" s="281">
        <v>1200.68345585664</v>
      </c>
      <c r="K234" s="251">
        <f t="shared" si="23"/>
        <v>482.51116009999998</v>
      </c>
      <c r="L234" s="190">
        <v>287.71566410000003</v>
      </c>
      <c r="M234" s="190">
        <v>132.44981899999999</v>
      </c>
      <c r="N234" s="190">
        <v>41.701504999999997</v>
      </c>
      <c r="O234" s="190">
        <v>20.644171999999998</v>
      </c>
      <c r="P234" s="13">
        <v>23.66466655</v>
      </c>
      <c r="Q234" s="13">
        <v>17.550497716199011</v>
      </c>
      <c r="R234" s="185">
        <v>767.90183999999999</v>
      </c>
      <c r="S234" s="185">
        <v>603.37614000000008</v>
      </c>
      <c r="T234" s="185">
        <v>125.30110000000001</v>
      </c>
      <c r="U234" s="233">
        <v>53.42</v>
      </c>
      <c r="V234" s="233">
        <v>10.26</v>
      </c>
      <c r="W234" s="233">
        <v>13947.2</v>
      </c>
      <c r="X234" s="233">
        <v>3972.2</v>
      </c>
      <c r="Y234" s="233">
        <v>9975</v>
      </c>
      <c r="Z234" s="13">
        <v>3812</v>
      </c>
      <c r="AA234" s="307">
        <v>0</v>
      </c>
      <c r="AB234" s="307">
        <v>1010.766</v>
      </c>
    </row>
    <row r="235" spans="1:28" x14ac:dyDescent="0.25">
      <c r="A235" s="11">
        <v>45658</v>
      </c>
      <c r="B235" s="322">
        <v>3.1097869999999999</v>
      </c>
      <c r="C235" s="245">
        <f t="shared" si="21"/>
        <v>138.101</v>
      </c>
      <c r="D235" s="13">
        <v>128</v>
      </c>
      <c r="E235" s="190">
        <v>10.101000000000001</v>
      </c>
      <c r="F235" s="247">
        <f t="shared" si="22"/>
        <v>5.6226419999999999</v>
      </c>
      <c r="G235" s="184">
        <v>1.707991</v>
      </c>
      <c r="H235" s="184">
        <v>0</v>
      </c>
      <c r="I235" s="184">
        <v>3.9146509999999997</v>
      </c>
      <c r="J235" s="281">
        <v>917.33112437759996</v>
      </c>
      <c r="K235" s="251">
        <f t="shared" si="23"/>
        <v>480.92506700000001</v>
      </c>
      <c r="L235" s="190">
        <v>259.94748299999998</v>
      </c>
      <c r="M235" s="190">
        <v>120.80523900000001</v>
      </c>
      <c r="N235" s="190">
        <v>47.307325000000006</v>
      </c>
      <c r="O235" s="190">
        <v>52.865020000000001</v>
      </c>
      <c r="P235" s="13">
        <v>25.146011140000002</v>
      </c>
      <c r="Q235" s="13">
        <v>18.89783243699776</v>
      </c>
      <c r="R235" s="185">
        <v>820.86931000000004</v>
      </c>
      <c r="S235" s="185">
        <v>695.81417999999996</v>
      </c>
      <c r="T235" s="185">
        <v>148.50686999999999</v>
      </c>
      <c r="U235" s="233">
        <v>49.057000000000002</v>
      </c>
      <c r="V235" s="233">
        <v>7.97</v>
      </c>
      <c r="W235" s="233">
        <v>21666</v>
      </c>
      <c r="X235" s="233">
        <v>4423</v>
      </c>
      <c r="Y235" s="233">
        <v>17243</v>
      </c>
      <c r="Z235" s="13"/>
      <c r="AA235" s="307"/>
      <c r="AB235" s="307">
        <v>1264.4639999999999</v>
      </c>
    </row>
    <row r="236" spans="1:28" x14ac:dyDescent="0.25">
      <c r="A236" s="11">
        <v>45689</v>
      </c>
      <c r="B236" s="322">
        <v>2.704609</v>
      </c>
      <c r="C236" s="245">
        <f>D236+E236</f>
        <v>175.20400000000001</v>
      </c>
      <c r="D236" s="13">
        <v>159</v>
      </c>
      <c r="E236" s="190">
        <v>16.204000000000001</v>
      </c>
      <c r="F236" s="247">
        <f t="shared" si="22"/>
        <v>3.9225389999999996</v>
      </c>
      <c r="G236" s="184">
        <v>1.474321</v>
      </c>
      <c r="H236" s="184">
        <v>0</v>
      </c>
      <c r="I236" s="184">
        <v>2.4482179999999998</v>
      </c>
      <c r="J236" s="281">
        <v>1094.90420967552</v>
      </c>
      <c r="K236" s="251">
        <f t="shared" si="23"/>
        <v>424.6967052</v>
      </c>
      <c r="L236" s="190">
        <v>233.13876319999997</v>
      </c>
      <c r="M236" s="190">
        <v>116.724952</v>
      </c>
      <c r="N236" s="190">
        <v>48.298067000000003</v>
      </c>
      <c r="O236" s="190">
        <v>26.534922999999999</v>
      </c>
      <c r="P236" s="13">
        <v>22.24709</v>
      </c>
      <c r="Q236" s="13">
        <v>17.522089715842675</v>
      </c>
      <c r="R236" s="185">
        <v>782.95668000000001</v>
      </c>
      <c r="S236" s="185">
        <v>648.38510000000008</v>
      </c>
      <c r="T236" s="185">
        <v>124.74095</v>
      </c>
      <c r="U236" s="233">
        <v>41.73</v>
      </c>
      <c r="V236" s="233">
        <v>16.46</v>
      </c>
      <c r="W236" s="233">
        <v>25258</v>
      </c>
      <c r="X236" s="233">
        <v>4333</v>
      </c>
      <c r="Y236" s="233">
        <v>20925</v>
      </c>
      <c r="Z236" s="13"/>
      <c r="AA236" s="307"/>
      <c r="AB236" s="307">
        <v>280.43599999999998</v>
      </c>
    </row>
    <row r="237" spans="1:28" x14ac:dyDescent="0.25">
      <c r="A237" s="11">
        <v>45717</v>
      </c>
      <c r="B237" s="322">
        <v>3.0798540000000001</v>
      </c>
      <c r="C237" s="245">
        <f t="shared" si="21"/>
        <v>164.416</v>
      </c>
      <c r="D237" s="13">
        <v>159</v>
      </c>
      <c r="E237" s="190">
        <v>5.4160000000000004</v>
      </c>
      <c r="F237" s="247">
        <f t="shared" si="22"/>
        <v>4.0733829999999998</v>
      </c>
      <c r="G237" s="184">
        <v>1.5056749999999999</v>
      </c>
      <c r="H237" s="184">
        <v>0</v>
      </c>
      <c r="I237" s="184">
        <v>2.5677080000000001</v>
      </c>
      <c r="J237" s="281">
        <v>1064.10626401536</v>
      </c>
      <c r="K237" s="251">
        <f t="shared" si="23"/>
        <v>423.7653972</v>
      </c>
      <c r="L237" s="190">
        <v>253.1224832</v>
      </c>
      <c r="M237" s="190">
        <v>108.24755300000001</v>
      </c>
      <c r="N237" s="190">
        <v>46.593058000000006</v>
      </c>
      <c r="O237" s="190">
        <v>15.802303</v>
      </c>
      <c r="P237" s="13">
        <v>24.806463999999998</v>
      </c>
      <c r="Q237" s="13">
        <v>18.499075465417846</v>
      </c>
      <c r="R237" s="185">
        <v>730.68260999999995</v>
      </c>
      <c r="S237" s="185">
        <v>614.84400000000028</v>
      </c>
      <c r="T237" s="185">
        <v>112.08482999999998</v>
      </c>
      <c r="U237" s="233">
        <v>43.325000000000003</v>
      </c>
      <c r="V237" s="233">
        <v>22.54</v>
      </c>
      <c r="W237" s="233">
        <v>19189.8</v>
      </c>
      <c r="X237" s="233">
        <v>4132</v>
      </c>
      <c r="Y237" s="233">
        <v>15057</v>
      </c>
      <c r="Z237" s="13"/>
      <c r="AA237" s="307"/>
      <c r="AB237" s="307">
        <v>512.72299999999996</v>
      </c>
    </row>
    <row r="238" spans="1:28" x14ac:dyDescent="0.25">
      <c r="A238" s="11">
        <v>45748</v>
      </c>
      <c r="B238" s="322">
        <v>3.0019770000000001</v>
      </c>
      <c r="C238" s="245">
        <f t="shared" si="21"/>
        <v>124.527</v>
      </c>
      <c r="D238" s="13">
        <v>107</v>
      </c>
      <c r="E238" s="190">
        <v>17.527000000000001</v>
      </c>
      <c r="F238" s="247">
        <f t="shared" si="22"/>
        <v>4.9191250000000002</v>
      </c>
      <c r="G238" s="184">
        <v>2.1070920000000002</v>
      </c>
      <c r="H238" s="184">
        <v>0</v>
      </c>
      <c r="I238" s="184">
        <v>2.812033</v>
      </c>
      <c r="J238" s="281">
        <v>948.78210629376008</v>
      </c>
      <c r="K238" s="251">
        <f t="shared" si="23"/>
        <v>436.06595010000001</v>
      </c>
      <c r="L238" s="190">
        <v>257.21393210000002</v>
      </c>
      <c r="M238" s="190">
        <v>118.87166699999999</v>
      </c>
      <c r="N238" s="190">
        <v>52.093502000000001</v>
      </c>
      <c r="O238" s="190">
        <v>7.8868489999999998</v>
      </c>
      <c r="P238" s="13">
        <v>24.176709199999998</v>
      </c>
      <c r="Q238" s="13">
        <v>18.499348947401582</v>
      </c>
      <c r="R238" s="185">
        <v>775.13707000000011</v>
      </c>
      <c r="S238" s="185">
        <v>654.75373999999999</v>
      </c>
      <c r="T238" s="185">
        <v>157.61301</v>
      </c>
      <c r="U238" s="233">
        <v>42.634999999999998</v>
      </c>
      <c r="V238" s="233">
        <v>19.829999999999998</v>
      </c>
      <c r="W238" s="233">
        <v>13778.6</v>
      </c>
      <c r="X238" s="233">
        <v>3902.6</v>
      </c>
      <c r="Y238" s="233">
        <v>9876</v>
      </c>
      <c r="Z238" s="13"/>
      <c r="AA238" s="307"/>
      <c r="AB238" s="307">
        <v>352.101</v>
      </c>
    </row>
    <row r="239" spans="1:28" x14ac:dyDescent="0.25">
      <c r="A239" s="11">
        <v>45778</v>
      </c>
      <c r="B239" s="322">
        <v>3.1365129999999999</v>
      </c>
      <c r="C239" s="245">
        <f t="shared" si="21"/>
        <v>81.846999999999994</v>
      </c>
      <c r="D239" s="13">
        <v>72</v>
      </c>
      <c r="E239" s="13">
        <v>9.8469999999999995</v>
      </c>
      <c r="F239" s="247">
        <f t="shared" ref="F239:F243" si="24">G239+H239+I239</f>
        <v>7.6450979999999999</v>
      </c>
      <c r="G239" s="184">
        <v>3.2665120000000001</v>
      </c>
      <c r="H239" s="184">
        <v>0.396428</v>
      </c>
      <c r="I239" s="184">
        <v>3.9821580000000001</v>
      </c>
      <c r="J239" s="281">
        <v>952.28006400000004</v>
      </c>
      <c r="K239" s="251">
        <f t="shared" ref="K239:K243" si="25">SUM(L239:O239)</f>
        <v>475.10400000000004</v>
      </c>
      <c r="L239" s="190">
        <v>290.702</v>
      </c>
      <c r="M239" s="190">
        <v>123.697</v>
      </c>
      <c r="N239" s="190">
        <v>49.908000000000001</v>
      </c>
      <c r="O239" s="190">
        <v>10.797000000000001</v>
      </c>
      <c r="P239" s="13">
        <v>25.188034500000001</v>
      </c>
      <c r="Q239" s="13">
        <v>19.148713806265562</v>
      </c>
      <c r="R239" s="185">
        <v>867.17410000000007</v>
      </c>
      <c r="S239" s="185">
        <v>693.48894000000007</v>
      </c>
      <c r="T239" s="185">
        <v>207.27510999999998</v>
      </c>
      <c r="U239" s="233">
        <v>22.67</v>
      </c>
      <c r="V239" s="233">
        <v>19.515999999999998</v>
      </c>
      <c r="W239" s="233">
        <v>23452</v>
      </c>
      <c r="X239" s="233">
        <v>4341</v>
      </c>
      <c r="Y239" s="233">
        <v>19111</v>
      </c>
      <c r="Z239" s="13"/>
      <c r="AA239" s="307"/>
      <c r="AB239" s="307">
        <v>260.17899999999997</v>
      </c>
    </row>
    <row r="240" spans="1:28" x14ac:dyDescent="0.25">
      <c r="A240" s="11">
        <v>45809</v>
      </c>
      <c r="B240" s="322">
        <v>3.0206270000000002</v>
      </c>
      <c r="C240" s="245">
        <f t="shared" si="21"/>
        <v>155.852</v>
      </c>
      <c r="D240" s="13">
        <v>145</v>
      </c>
      <c r="E240" s="13">
        <v>10.852</v>
      </c>
      <c r="F240" s="247">
        <f t="shared" si="24"/>
        <v>5.9642099999999996</v>
      </c>
      <c r="G240" s="184">
        <v>2.1029580000000001</v>
      </c>
      <c r="H240" s="184">
        <v>0.87705600000000006</v>
      </c>
      <c r="I240" s="184">
        <v>2.9841959999999998</v>
      </c>
      <c r="J240" s="281">
        <v>1119.619584</v>
      </c>
      <c r="K240" s="251">
        <f t="shared" si="25"/>
        <v>526.22389629999998</v>
      </c>
      <c r="L240" s="190">
        <v>313.95026230000002</v>
      </c>
      <c r="M240" s="190">
        <v>132.45602700000001</v>
      </c>
      <c r="N240" s="190">
        <v>48.927279999999996</v>
      </c>
      <c r="O240" s="190">
        <v>30.890327000000003</v>
      </c>
      <c r="P240" s="13">
        <v>24.913642500000002</v>
      </c>
      <c r="Q240" s="13">
        <v>18.785530112742915</v>
      </c>
      <c r="R240" s="185">
        <v>738.28495731204032</v>
      </c>
      <c r="S240" s="185">
        <v>567.74995999999999</v>
      </c>
      <c r="T240" s="185">
        <v>147.03351999999998</v>
      </c>
      <c r="U240" s="233">
        <v>33.509</v>
      </c>
      <c r="V240" s="233">
        <v>16.66</v>
      </c>
      <c r="W240" s="233">
        <v>16862</v>
      </c>
      <c r="X240" s="233">
        <v>2636.8</v>
      </c>
      <c r="Y240" s="233">
        <v>14226</v>
      </c>
      <c r="Z240" s="13"/>
      <c r="AA240" s="307"/>
      <c r="AB240" s="307">
        <v>791.56100000000004</v>
      </c>
    </row>
    <row r="241" spans="1:28" x14ac:dyDescent="0.25">
      <c r="A241" s="11">
        <v>45839</v>
      </c>
      <c r="B241" s="322">
        <v>3.0583689999999999</v>
      </c>
      <c r="C241" s="245">
        <f t="shared" si="21"/>
        <v>158.76499999999999</v>
      </c>
      <c r="D241" s="13">
        <v>152</v>
      </c>
      <c r="E241" s="13">
        <v>6.7649999999999997</v>
      </c>
      <c r="F241" s="247">
        <f t="shared" si="24"/>
        <v>10.538424000000001</v>
      </c>
      <c r="G241" s="184">
        <v>2.5935600000000001</v>
      </c>
      <c r="H241" s="184">
        <v>1.2717550000000002</v>
      </c>
      <c r="I241" s="184">
        <v>6.6731090000000002</v>
      </c>
      <c r="J241" s="281">
        <v>868.45478400000002</v>
      </c>
      <c r="K241" s="251">
        <f t="shared" si="25"/>
        <v>561.28662089999989</v>
      </c>
      <c r="L241" s="190">
        <v>339.49035889999993</v>
      </c>
      <c r="M241" s="190">
        <v>124.189414</v>
      </c>
      <c r="N241" s="190">
        <v>61.116524000000013</v>
      </c>
      <c r="O241" s="190">
        <v>36.490324000000001</v>
      </c>
      <c r="P241" s="13">
        <v>26.029532523252922</v>
      </c>
      <c r="Q241" s="13">
        <v>20.158882808746757</v>
      </c>
      <c r="R241" s="185">
        <v>835.34058932400001</v>
      </c>
      <c r="S241" s="185">
        <v>681.79948000000002</v>
      </c>
      <c r="T241" s="185">
        <v>208.23103</v>
      </c>
      <c r="U241" s="233">
        <v>43.238999999999997</v>
      </c>
      <c r="V241" s="233">
        <v>18.36</v>
      </c>
      <c r="W241" s="233">
        <v>23269</v>
      </c>
      <c r="X241" s="233">
        <v>4555</v>
      </c>
      <c r="Y241" s="233">
        <v>18714</v>
      </c>
      <c r="Z241" s="13"/>
      <c r="AA241" s="307"/>
      <c r="AB241" s="307">
        <v>501.31</v>
      </c>
    </row>
    <row r="242" spans="1:28" x14ac:dyDescent="0.25">
      <c r="A242" s="11">
        <v>45870</v>
      </c>
      <c r="B242" s="322">
        <v>3.0150269999999999</v>
      </c>
      <c r="C242" s="245">
        <f t="shared" si="21"/>
        <v>154.29400000000001</v>
      </c>
      <c r="D242" s="13">
        <v>145</v>
      </c>
      <c r="E242" s="13">
        <v>9.2940000000000005</v>
      </c>
      <c r="F242" s="247">
        <f t="shared" si="24"/>
        <v>4.0354000000000001</v>
      </c>
      <c r="G242" s="184">
        <v>1.946164</v>
      </c>
      <c r="H242" s="184">
        <v>0</v>
      </c>
      <c r="I242" s="184">
        <v>2.0892360000000001</v>
      </c>
      <c r="J242" s="281">
        <v>845.70780672000001</v>
      </c>
      <c r="K242" s="251">
        <f t="shared" si="25"/>
        <v>539.6898953000001</v>
      </c>
      <c r="L242" s="190">
        <v>352.51224930000001</v>
      </c>
      <c r="M242" s="190">
        <v>133.18218200000001</v>
      </c>
      <c r="N242" s="190">
        <v>44.821089000000008</v>
      </c>
      <c r="O242" s="190">
        <v>9.1743749999999995</v>
      </c>
      <c r="P242" s="13">
        <v>25.294728769331527</v>
      </c>
      <c r="Q242" s="13">
        <v>20.158882808746757</v>
      </c>
      <c r="R242" s="185">
        <v>718.08417227395967</v>
      </c>
      <c r="S242" s="185">
        <v>503.57707999999997</v>
      </c>
      <c r="T242" s="185">
        <v>183.14541</v>
      </c>
      <c r="U242" s="233">
        <v>48.533999999999999</v>
      </c>
      <c r="V242" s="233">
        <v>15.445</v>
      </c>
      <c r="W242" s="233">
        <v>21411.200000000001</v>
      </c>
      <c r="X242" s="233">
        <v>3764.2</v>
      </c>
      <c r="Y242" s="233">
        <v>17647</v>
      </c>
      <c r="Z242" s="13"/>
      <c r="AA242" s="307"/>
      <c r="AB242" s="307">
        <v>655.84100000000001</v>
      </c>
    </row>
    <row r="243" spans="1:28" x14ac:dyDescent="0.25">
      <c r="A243" s="11">
        <v>45901</v>
      </c>
      <c r="B243" s="322">
        <v>2.975438</v>
      </c>
      <c r="C243" s="245">
        <f t="shared" si="21"/>
        <v>144.393</v>
      </c>
      <c r="D243" s="13">
        <v>131</v>
      </c>
      <c r="E243" s="13">
        <v>13.393000000000001</v>
      </c>
      <c r="F243" s="247">
        <f t="shared" si="24"/>
        <v>8.2372870000000002</v>
      </c>
      <c r="G243" s="184">
        <v>2.2394810000000001</v>
      </c>
      <c r="H243" s="184">
        <v>0</v>
      </c>
      <c r="I243" s="184">
        <v>5.9978060000000006</v>
      </c>
      <c r="J243" s="281">
        <v>817.07097599999997</v>
      </c>
      <c r="K243" s="251">
        <f t="shared" si="25"/>
        <v>540.87126550000005</v>
      </c>
      <c r="L243" s="190">
        <v>352.41402950000003</v>
      </c>
      <c r="M243" s="190">
        <v>126.388756</v>
      </c>
      <c r="N243" s="190">
        <v>48.018149999999991</v>
      </c>
      <c r="O243" s="190">
        <v>14.050330000000001</v>
      </c>
      <c r="P243" s="13">
        <v>24.882932476484577</v>
      </c>
      <c r="Q243" s="13">
        <v>20.082260253951162</v>
      </c>
      <c r="R243" s="185">
        <v>622.5059434609999</v>
      </c>
      <c r="S243" s="185">
        <v>488.82362000000001</v>
      </c>
      <c r="T243" s="185">
        <v>134.11341999999999</v>
      </c>
      <c r="U243" s="233">
        <v>40.24</v>
      </c>
      <c r="V243" s="233">
        <v>10.265000000000001</v>
      </c>
      <c r="W243" s="233">
        <v>20911.599999999999</v>
      </c>
      <c r="X243" s="233">
        <v>3602.6</v>
      </c>
      <c r="Y243" s="233">
        <v>17309</v>
      </c>
      <c r="Z243" s="13"/>
      <c r="AA243" s="307"/>
      <c r="AB243" s="307">
        <v>765.20600000000002</v>
      </c>
    </row>
    <row r="244" spans="1:28" x14ac:dyDescent="0.25">
      <c r="A244" s="11">
        <v>45931</v>
      </c>
      <c r="B244" s="322">
        <v>3.09036</v>
      </c>
      <c r="C244" s="245">
        <f t="shared" si="21"/>
        <v>148.697</v>
      </c>
      <c r="D244" s="13">
        <v>133</v>
      </c>
      <c r="E244" s="13">
        <v>15.696999999999999</v>
      </c>
      <c r="F244" s="247">
        <f>G244+H244+I244</f>
        <v>8.5284019999999998</v>
      </c>
      <c r="G244" s="184">
        <v>1.6410400000000001</v>
      </c>
      <c r="H244" s="184">
        <v>0.43173</v>
      </c>
      <c r="I244" s="184">
        <v>6.4556319999999996</v>
      </c>
      <c r="J244" s="281">
        <v>854.01770688000011</v>
      </c>
      <c r="K244" s="251">
        <f>SUM(L244:O244)</f>
        <v>570.12590799999987</v>
      </c>
      <c r="L244" s="190">
        <v>377.78545199999996</v>
      </c>
      <c r="M244" s="190">
        <v>126.464799</v>
      </c>
      <c r="N244" s="190">
        <v>53.184502999999999</v>
      </c>
      <c r="O244" s="190">
        <v>12.691153999999999</v>
      </c>
      <c r="P244" s="13">
        <v>26.343451990000002</v>
      </c>
      <c r="Q244" s="13">
        <v>21.543451990000001</v>
      </c>
      <c r="R244" s="185">
        <v>694.85588456456492</v>
      </c>
      <c r="S244" s="185">
        <v>580.60786900000005</v>
      </c>
      <c r="T244" s="185">
        <v>134.1566</v>
      </c>
      <c r="U244" s="233">
        <v>37.96</v>
      </c>
      <c r="V244" s="233">
        <v>15.74</v>
      </c>
      <c r="W244" s="233">
        <v>16852</v>
      </c>
      <c r="X244" s="233">
        <v>3479.2</v>
      </c>
      <c r="Y244" s="233">
        <v>13373</v>
      </c>
      <c r="Z244" s="13"/>
      <c r="AA244" s="307"/>
      <c r="AB244" s="307"/>
    </row>
    <row r="245" spans="1:28" x14ac:dyDescent="0.25">
      <c r="A245" s="11">
        <v>45962</v>
      </c>
      <c r="B245" s="322">
        <v>2.9128029999999998</v>
      </c>
      <c r="C245" s="245">
        <f>D245+E245</f>
        <v>143.06</v>
      </c>
      <c r="D245" s="360">
        <v>133</v>
      </c>
      <c r="E245" s="360">
        <v>10.06</v>
      </c>
      <c r="F245" s="247">
        <f>G245+H245+I245</f>
        <v>4.1925509999999999</v>
      </c>
      <c r="G245" s="184">
        <v>0.95402700000000007</v>
      </c>
      <c r="H245" s="184">
        <v>1.5248920000000001</v>
      </c>
      <c r="I245" s="184">
        <v>1.713632</v>
      </c>
      <c r="J245" s="281">
        <v>930.91113108863999</v>
      </c>
      <c r="K245" s="251">
        <f>SUM(L245:O245)</f>
        <v>564.46514929999989</v>
      </c>
      <c r="L245" s="231">
        <v>353.53520729999997</v>
      </c>
      <c r="M245" s="231">
        <v>145.38048799999999</v>
      </c>
      <c r="N245" s="231">
        <v>61.317226999999995</v>
      </c>
      <c r="O245" s="231">
        <v>4.232227</v>
      </c>
      <c r="P245" s="13">
        <v>25.573341589999998</v>
      </c>
      <c r="Q245" s="13">
        <v>18.637081804786295</v>
      </c>
      <c r="R245" s="185">
        <v>697.20004116119514</v>
      </c>
      <c r="S245" s="185">
        <v>582.11513000000014</v>
      </c>
      <c r="T245" s="185">
        <v>133.89671999999999</v>
      </c>
      <c r="U245" s="361">
        <v>48.042999999999999</v>
      </c>
      <c r="V245" s="361">
        <v>10.31</v>
      </c>
      <c r="W245" s="361">
        <v>20185.8</v>
      </c>
      <c r="X245" s="361">
        <v>3897.8</v>
      </c>
      <c r="Y245" s="361">
        <v>16288</v>
      </c>
      <c r="AB245" s="307">
        <v>499.14800000000002</v>
      </c>
    </row>
    <row r="246" spans="1:28" x14ac:dyDescent="0.25">
      <c r="A246" s="11">
        <v>45992</v>
      </c>
      <c r="B246" s="322">
        <v>3.0679430000000001</v>
      </c>
      <c r="C246" s="245">
        <f>D246+E246</f>
        <v>157.03399999999999</v>
      </c>
      <c r="D246" s="360">
        <v>146</v>
      </c>
      <c r="E246" s="360">
        <v>11.034000000000001</v>
      </c>
      <c r="F246" s="247">
        <f>G246+H246+I246</f>
        <v>3.2373260000000004</v>
      </c>
      <c r="G246" s="184">
        <v>1.0001</v>
      </c>
      <c r="H246" s="184">
        <v>0.60878599999999994</v>
      </c>
      <c r="I246" s="184">
        <v>1.6284400000000001</v>
      </c>
      <c r="J246" s="281">
        <v>1233.0278784</v>
      </c>
      <c r="K246" s="251">
        <f>SUM(L246:O246)</f>
        <v>542.042101</v>
      </c>
      <c r="L246" s="231">
        <v>345.27131000000003</v>
      </c>
      <c r="M246" s="231">
        <v>131.909356</v>
      </c>
      <c r="N246" s="231">
        <v>47.525232000000003</v>
      </c>
      <c r="O246" s="231">
        <v>17.336203000000001</v>
      </c>
      <c r="P246" s="360">
        <v>24.783974000000001</v>
      </c>
      <c r="Q246" s="360">
        <v>20.382043005557804</v>
      </c>
      <c r="R246" s="185">
        <v>963.923161081285</v>
      </c>
      <c r="S246" s="185">
        <v>709.83600000000013</v>
      </c>
      <c r="T246" s="185">
        <v>239.70268999999999</v>
      </c>
      <c r="U246" s="361">
        <v>52.85</v>
      </c>
      <c r="V246" s="361">
        <v>0</v>
      </c>
      <c r="W246" s="361">
        <v>13890.4</v>
      </c>
      <c r="X246" s="361">
        <v>4221.3999999999996</v>
      </c>
      <c r="Y246" s="361">
        <v>9669</v>
      </c>
      <c r="AB246" s="366">
        <v>256.20999999999998</v>
      </c>
    </row>
    <row r="247" spans="1:28" x14ac:dyDescent="0.25">
      <c r="A247" s="11">
        <v>46023</v>
      </c>
      <c r="B247" s="322">
        <v>3.0594399999999999</v>
      </c>
      <c r="C247" s="245">
        <f>D247+E247</f>
        <v>147.328</v>
      </c>
      <c r="D247" s="360">
        <v>141</v>
      </c>
      <c r="E247" s="360">
        <v>6.3280000000000003</v>
      </c>
      <c r="F247" s="247">
        <f>G247+H247+I247</f>
        <v>5.8032979999999998</v>
      </c>
      <c r="G247" s="184">
        <v>1.9852539999999999</v>
      </c>
      <c r="H247" s="184">
        <v>0.33075099999999996</v>
      </c>
      <c r="I247" s="184">
        <v>3.4872930000000002</v>
      </c>
      <c r="J247" s="281">
        <v>925.28210304000004</v>
      </c>
      <c r="K247" s="251">
        <f>SUM(L247:O247)</f>
        <v>502.08587319999998</v>
      </c>
      <c r="L247" s="231">
        <v>281.8169552</v>
      </c>
      <c r="M247" s="231">
        <v>122.11039099999999</v>
      </c>
      <c r="N247" s="231">
        <v>47.90165600000001</v>
      </c>
      <c r="O247" s="231">
        <v>50.256870999999997</v>
      </c>
      <c r="P247" s="360">
        <v>26.507641919999998</v>
      </c>
      <c r="Q247" s="360">
        <v>19.655102308294616</v>
      </c>
      <c r="R247" s="185">
        <v>916.7408585819752</v>
      </c>
      <c r="S247" s="185">
        <v>727.89444999999989</v>
      </c>
      <c r="T247" s="185">
        <v>275.16819999999996</v>
      </c>
      <c r="U247" s="361">
        <v>46.991999999999997</v>
      </c>
      <c r="V247" s="361">
        <v>0</v>
      </c>
      <c r="W247" s="361">
        <v>23000</v>
      </c>
      <c r="X247" s="361">
        <v>3995.6</v>
      </c>
      <c r="Y247" s="361">
        <v>19005</v>
      </c>
      <c r="AB247" s="366">
        <v>514.40300000000002</v>
      </c>
    </row>
    <row r="248" spans="1:28" x14ac:dyDescent="0.25">
      <c r="A248" s="359"/>
      <c r="C248" s="323"/>
      <c r="Q248" s="323"/>
    </row>
    <row r="249" spans="1:28" x14ac:dyDescent="0.25">
      <c r="C249" s="323"/>
    </row>
    <row r="250" spans="1:28" x14ac:dyDescent="0.25">
      <c r="C250" s="323"/>
    </row>
    <row r="251" spans="1:28" x14ac:dyDescent="0.25">
      <c r="C251" s="323"/>
    </row>
    <row r="252" spans="1:28" x14ac:dyDescent="0.25">
      <c r="C252" s="323"/>
    </row>
    <row r="253" spans="1:28" x14ac:dyDescent="0.25">
      <c r="C253" s="323"/>
    </row>
  </sheetData>
  <mergeCells count="11">
    <mergeCell ref="Z4:AB4"/>
    <mergeCell ref="P4:Q4"/>
    <mergeCell ref="R4:T4"/>
    <mergeCell ref="A1:I1"/>
    <mergeCell ref="U4:V4"/>
    <mergeCell ref="W4:Y4"/>
    <mergeCell ref="C4:E4"/>
    <mergeCell ref="F4:I4"/>
    <mergeCell ref="J4:J5"/>
    <mergeCell ref="K4:O4"/>
    <mergeCell ref="B4:B5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29"/>
  <sheetViews>
    <sheetView workbookViewId="0">
      <pane xSplit="1" ySplit="6" topLeftCell="B112" activePane="bottomRight" state="frozen"/>
      <selection pane="topRight" activeCell="B1" sqref="B1"/>
      <selection pane="bottomLeft" activeCell="A7" sqref="A7"/>
      <selection pane="bottomRight" activeCell="I132" sqref="I132"/>
    </sheetView>
  </sheetViews>
  <sheetFormatPr defaultColWidth="11.42578125" defaultRowHeight="15" x14ac:dyDescent="0.25"/>
  <cols>
    <col min="2" max="2" width="16.85546875" bestFit="1" customWidth="1"/>
    <col min="3" max="8" width="11.42578125" bestFit="1" customWidth="1"/>
    <col min="9" max="9" width="21" customWidth="1"/>
    <col min="10" max="10" width="39.5703125" bestFit="1" customWidth="1"/>
    <col min="11" max="11" width="26.42578125" customWidth="1"/>
    <col min="12" max="12" width="64.140625" bestFit="1" customWidth="1"/>
    <col min="13" max="13" width="32.42578125" bestFit="1" customWidth="1"/>
    <col min="14" max="14" width="15.42578125" bestFit="1" customWidth="1"/>
    <col min="15" max="15" width="30.85546875" bestFit="1" customWidth="1"/>
    <col min="16" max="16" width="30.5703125" bestFit="1" customWidth="1"/>
    <col min="17" max="17" width="50.42578125" bestFit="1" customWidth="1"/>
    <col min="18" max="18" width="25.140625" bestFit="1" customWidth="1"/>
    <col min="19" max="19" width="46.5703125" bestFit="1" customWidth="1"/>
    <col min="20" max="20" width="38.85546875" bestFit="1" customWidth="1"/>
    <col min="21" max="21" width="35.42578125" bestFit="1" customWidth="1"/>
    <col min="22" max="22" width="20.5703125" bestFit="1" customWidth="1"/>
    <col min="23" max="23" width="33" bestFit="1" customWidth="1"/>
    <col min="24" max="24" width="33.85546875" bestFit="1" customWidth="1"/>
    <col min="25" max="25" width="39.140625" bestFit="1" customWidth="1"/>
    <col min="26" max="26" width="56.5703125" bestFit="1" customWidth="1"/>
    <col min="27" max="27" width="33.42578125" bestFit="1" customWidth="1"/>
    <col min="28" max="28" width="88.42578125" bestFit="1" customWidth="1"/>
    <col min="29" max="29" width="61.42578125" bestFit="1" customWidth="1"/>
    <col min="30" max="30" width="24.42578125" bestFit="1" customWidth="1"/>
    <col min="31" max="31" width="57.42578125" bestFit="1" customWidth="1"/>
    <col min="32" max="32" width="39.140625" bestFit="1" customWidth="1"/>
    <col min="33" max="33" width="53.42578125" bestFit="1" customWidth="1"/>
    <col min="34" max="34" width="36.140625" bestFit="1" customWidth="1"/>
    <col min="35" max="35" width="71" bestFit="1" customWidth="1"/>
    <col min="36" max="36" width="35.42578125" bestFit="1" customWidth="1"/>
    <col min="37" max="38" width="26" bestFit="1" customWidth="1"/>
    <col min="39" max="39" width="32.42578125" bestFit="1" customWidth="1"/>
    <col min="40" max="40" width="31.85546875" bestFit="1" customWidth="1"/>
    <col min="41" max="41" width="31.42578125" bestFit="1" customWidth="1"/>
    <col min="42" max="44" width="32.5703125" bestFit="1" customWidth="1"/>
    <col min="45" max="45" width="33.42578125" bestFit="1" customWidth="1"/>
    <col min="46" max="46" width="27.42578125" bestFit="1" customWidth="1"/>
    <col min="47" max="47" width="35.28515625" customWidth="1"/>
    <col min="48" max="48" width="33.85546875" bestFit="1" customWidth="1"/>
    <col min="49" max="50" width="34.85546875" bestFit="1" customWidth="1"/>
    <col min="51" max="51" width="26.85546875" customWidth="1"/>
    <col min="52" max="52" width="36" customWidth="1"/>
    <col min="53" max="55" width="34.85546875" bestFit="1" customWidth="1"/>
    <col min="56" max="56" width="46.28515625" bestFit="1" customWidth="1"/>
  </cols>
  <sheetData>
    <row r="1" spans="1:56" ht="23.25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3" spans="1:56" x14ac:dyDescent="0.25">
      <c r="B3" s="401" t="s">
        <v>472</v>
      </c>
      <c r="C3" s="401"/>
      <c r="D3" s="401"/>
      <c r="E3" s="401"/>
      <c r="F3" s="401"/>
      <c r="G3" s="40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5"/>
      <c r="BA3" s="21"/>
      <c r="BB3" s="21"/>
      <c r="BC3" s="21"/>
      <c r="BD3" s="21"/>
    </row>
    <row r="4" spans="1:56" x14ac:dyDescent="0.25">
      <c r="B4" s="20"/>
      <c r="C4" s="18" t="s">
        <v>86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8"/>
      <c r="AX4" s="8"/>
      <c r="BA4" s="19" t="s">
        <v>347</v>
      </c>
      <c r="BB4" s="8"/>
      <c r="BC4" s="8"/>
      <c r="BD4" s="8"/>
    </row>
    <row r="5" spans="1:56" ht="45" x14ac:dyDescent="0.25">
      <c r="B5" s="20"/>
      <c r="C5" s="16"/>
      <c r="D5" s="24" t="s">
        <v>53</v>
      </c>
      <c r="E5" s="23"/>
      <c r="F5" s="23"/>
      <c r="G5" s="23"/>
      <c r="H5" s="23"/>
      <c r="I5" s="23"/>
      <c r="J5" s="26" t="s">
        <v>66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7" t="s">
        <v>440</v>
      </c>
      <c r="Y5" s="28" t="s">
        <v>67</v>
      </c>
      <c r="Z5" s="27" t="s">
        <v>68</v>
      </c>
      <c r="AA5" s="28" t="s">
        <v>69</v>
      </c>
      <c r="AB5" s="27" t="s">
        <v>441</v>
      </c>
      <c r="AC5" s="28" t="s">
        <v>70</v>
      </c>
      <c r="AD5" s="27" t="s">
        <v>71</v>
      </c>
      <c r="AE5" s="28" t="s">
        <v>72</v>
      </c>
      <c r="AF5" s="27" t="s">
        <v>73</v>
      </c>
      <c r="AG5" s="28" t="s">
        <v>74</v>
      </c>
      <c r="AH5" s="27" t="s">
        <v>75</v>
      </c>
      <c r="AI5" s="28" t="s">
        <v>76</v>
      </c>
      <c r="AJ5" s="27" t="s">
        <v>77</v>
      </c>
      <c r="AK5" s="221"/>
      <c r="AL5" s="221"/>
      <c r="AM5" s="29" t="s">
        <v>82</v>
      </c>
      <c r="AN5" s="30"/>
      <c r="AO5" s="30"/>
      <c r="AP5" s="30"/>
      <c r="AQ5" s="30"/>
      <c r="AR5" s="30"/>
      <c r="AS5" s="30"/>
      <c r="AT5" s="30"/>
      <c r="AU5" s="30"/>
      <c r="AV5" s="30"/>
      <c r="AW5" s="353" t="s">
        <v>435</v>
      </c>
      <c r="AX5" s="326" t="s">
        <v>85</v>
      </c>
      <c r="AY5" s="223"/>
      <c r="AZ5" s="223"/>
      <c r="BA5" s="8"/>
      <c r="BB5" s="326" t="s">
        <v>436</v>
      </c>
      <c r="BC5" s="326" t="s">
        <v>437</v>
      </c>
      <c r="BD5" s="23" t="s">
        <v>438</v>
      </c>
    </row>
    <row r="6" spans="1:56" s="208" customFormat="1" ht="60" x14ac:dyDescent="0.25">
      <c r="B6" s="209"/>
      <c r="C6" s="219"/>
      <c r="D6" s="211"/>
      <c r="E6" s="208" t="s">
        <v>48</v>
      </c>
      <c r="F6" s="208" t="s">
        <v>49</v>
      </c>
      <c r="G6" s="208" t="s">
        <v>50</v>
      </c>
      <c r="H6" s="208" t="s">
        <v>51</v>
      </c>
      <c r="I6" s="208" t="s">
        <v>52</v>
      </c>
      <c r="J6" s="220"/>
      <c r="K6" s="208" t="s">
        <v>54</v>
      </c>
      <c r="L6" t="s">
        <v>55</v>
      </c>
      <c r="M6" s="348" t="s">
        <v>56</v>
      </c>
      <c r="N6" s="348" t="s">
        <v>57</v>
      </c>
      <c r="O6" s="348" t="s">
        <v>58</v>
      </c>
      <c r="P6" s="348" t="s">
        <v>59</v>
      </c>
      <c r="Q6" s="348" t="s">
        <v>439</v>
      </c>
      <c r="R6" s="348" t="s">
        <v>60</v>
      </c>
      <c r="S6" s="348" t="s">
        <v>61</v>
      </c>
      <c r="T6" s="348" t="s">
        <v>62</v>
      </c>
      <c r="U6" s="348" t="s">
        <v>63</v>
      </c>
      <c r="V6" s="348" t="s">
        <v>64</v>
      </c>
      <c r="W6" s="348" t="s">
        <v>65</v>
      </c>
      <c r="X6" s="349"/>
      <c r="Y6" s="350"/>
      <c r="Z6" s="349"/>
      <c r="AA6" s="350"/>
      <c r="AB6" s="349"/>
      <c r="AC6" s="350"/>
      <c r="AD6" s="349"/>
      <c r="AE6" s="350"/>
      <c r="AF6" s="349"/>
      <c r="AG6" s="350"/>
      <c r="AH6" s="349"/>
      <c r="AI6" s="350"/>
      <c r="AJ6" s="349"/>
      <c r="AK6" s="222" t="s">
        <v>432</v>
      </c>
      <c r="AL6" s="222" t="s">
        <v>433</v>
      </c>
      <c r="AM6" s="30"/>
      <c r="AN6" s="351" t="s">
        <v>78</v>
      </c>
      <c r="AO6" s="351" t="s">
        <v>434</v>
      </c>
      <c r="AP6" s="222" t="s">
        <v>442</v>
      </c>
      <c r="AQ6" t="s">
        <v>79</v>
      </c>
      <c r="AR6" s="208" t="s">
        <v>443</v>
      </c>
      <c r="AS6" s="222" t="s">
        <v>80</v>
      </c>
      <c r="AT6" s="351" t="s">
        <v>444</v>
      </c>
      <c r="AU6" s="222" t="s">
        <v>445</v>
      </c>
      <c r="AV6" t="s">
        <v>81</v>
      </c>
      <c r="AW6" s="352"/>
      <c r="AX6" s="352"/>
      <c r="AY6" s="208" t="s">
        <v>83</v>
      </c>
      <c r="AZ6" s="208" t="s">
        <v>84</v>
      </c>
      <c r="BA6" s="8"/>
      <c r="BB6" s="223"/>
      <c r="BC6" s="223"/>
      <c r="BD6" s="223"/>
    </row>
    <row r="7" spans="1:56" x14ac:dyDescent="0.25">
      <c r="A7" s="11">
        <v>42370</v>
      </c>
      <c r="B7" s="188">
        <v>50.653394487023427</v>
      </c>
      <c r="C7" s="327">
        <v>42.735980697349682</v>
      </c>
      <c r="D7" s="189">
        <v>23.031183630173725</v>
      </c>
      <c r="E7" s="190">
        <v>114.6137710661901</v>
      </c>
      <c r="F7" s="190">
        <v>12.046074375088692</v>
      </c>
      <c r="G7" s="190">
        <v>177.88454670050939</v>
      </c>
      <c r="H7" s="190">
        <v>45.12874601800133</v>
      </c>
      <c r="I7" s="190">
        <v>47.666892484278073</v>
      </c>
      <c r="J7" s="328">
        <v>52.925082930710985</v>
      </c>
      <c r="K7" s="190">
        <v>61.42905962637343</v>
      </c>
      <c r="L7" s="190">
        <v>75.020525494680513</v>
      </c>
      <c r="M7" s="190">
        <v>28.399063885420105</v>
      </c>
      <c r="N7" s="190">
        <v>42.049432022050574</v>
      </c>
      <c r="O7" s="190">
        <v>40.70774666133557</v>
      </c>
      <c r="P7" s="190">
        <v>49.326822498355476</v>
      </c>
      <c r="Q7" s="190">
        <v>92.85195786074955</v>
      </c>
      <c r="R7" s="190">
        <v>80.701747561224209</v>
      </c>
      <c r="S7" s="190">
        <v>55.152960017495623</v>
      </c>
      <c r="T7" s="190">
        <v>52.330196942602328</v>
      </c>
      <c r="U7" s="190">
        <v>52.152086461553509</v>
      </c>
      <c r="V7" s="190">
        <v>83.915799564608747</v>
      </c>
      <c r="W7" s="190">
        <v>130.05414784939993</v>
      </c>
      <c r="X7" s="329">
        <v>37.095477350856733</v>
      </c>
      <c r="Y7" s="190">
        <v>25.885669987052101</v>
      </c>
      <c r="Z7" s="329">
        <v>67.897883336697504</v>
      </c>
      <c r="AA7" s="190">
        <v>91.161614589319015</v>
      </c>
      <c r="AB7" s="329">
        <v>83.875446130460531</v>
      </c>
      <c r="AC7" s="190">
        <v>206.31855882424648</v>
      </c>
      <c r="AD7" s="329">
        <v>279.36594041827476</v>
      </c>
      <c r="AE7" s="190">
        <v>97.354264233756993</v>
      </c>
      <c r="AF7" s="329">
        <v>116.17702262923925</v>
      </c>
      <c r="AG7" s="190">
        <v>46.167790374807204</v>
      </c>
      <c r="AH7" s="329">
        <v>95.924190554833146</v>
      </c>
      <c r="AI7" s="190">
        <v>101.61967262543995</v>
      </c>
      <c r="AJ7" s="329">
        <v>56.463779014824944</v>
      </c>
      <c r="AK7" s="190">
        <v>0</v>
      </c>
      <c r="AL7" s="190">
        <v>0</v>
      </c>
      <c r="AM7" s="330">
        <v>52.349424649157008</v>
      </c>
      <c r="AN7" s="190">
        <v>80.082163679872963</v>
      </c>
      <c r="AO7" s="190">
        <v>34.274140062280665</v>
      </c>
      <c r="AP7" s="190">
        <v>0</v>
      </c>
      <c r="AQ7" s="190">
        <v>74.36459587554026</v>
      </c>
      <c r="AR7" s="190">
        <v>0</v>
      </c>
      <c r="AS7" s="190">
        <v>71.859080560386445</v>
      </c>
      <c r="AT7" s="190">
        <v>0</v>
      </c>
      <c r="AU7" s="190">
        <v>0</v>
      </c>
      <c r="AV7" s="190">
        <v>75.844538930635935</v>
      </c>
      <c r="AW7" s="189">
        <v>38.086065788931926</v>
      </c>
      <c r="AX7" s="189">
        <v>105.15769235957626</v>
      </c>
      <c r="AY7" s="184">
        <v>108.39819563245537</v>
      </c>
      <c r="AZ7" s="184">
        <v>82.207084472489228</v>
      </c>
      <c r="BA7" s="331">
        <v>164.11909576210692</v>
      </c>
      <c r="BB7" s="189">
        <v>133.17575553007487</v>
      </c>
      <c r="BC7" s="189">
        <v>142.12691056475964</v>
      </c>
      <c r="BD7" s="189">
        <v>92.928944860767956</v>
      </c>
    </row>
    <row r="8" spans="1:56" x14ac:dyDescent="0.25">
      <c r="A8" s="11">
        <v>42401</v>
      </c>
      <c r="B8" s="188">
        <v>49.549390318927671</v>
      </c>
      <c r="C8" s="327">
        <v>41.511876534446429</v>
      </c>
      <c r="D8" s="189">
        <v>22.726044087670132</v>
      </c>
      <c r="E8" s="190">
        <v>164.82624943302446</v>
      </c>
      <c r="F8" s="190">
        <v>44.143802933117733</v>
      </c>
      <c r="G8" s="190">
        <v>278.38617900658619</v>
      </c>
      <c r="H8" s="190">
        <v>44.530836456130061</v>
      </c>
      <c r="I8" s="190">
        <v>49.073316697426378</v>
      </c>
      <c r="J8" s="328">
        <v>52.283216504714481</v>
      </c>
      <c r="K8" s="190">
        <v>82.93616889670345</v>
      </c>
      <c r="L8" s="190">
        <v>76.21617108030965</v>
      </c>
      <c r="M8" s="190">
        <v>31.037584469852039</v>
      </c>
      <c r="N8" s="190">
        <v>38.26969168753444</v>
      </c>
      <c r="O8" s="190">
        <v>37.048607772077112</v>
      </c>
      <c r="P8" s="190">
        <v>47.573666936837647</v>
      </c>
      <c r="Q8" s="190">
        <v>89.551848142009405</v>
      </c>
      <c r="R8" s="190">
        <v>84.731267669633098</v>
      </c>
      <c r="S8" s="190">
        <v>58.562161903079534</v>
      </c>
      <c r="T8" s="190">
        <v>46.400467638376981</v>
      </c>
      <c r="U8" s="190">
        <v>64.104472309571179</v>
      </c>
      <c r="V8" s="190">
        <v>78.499811653892436</v>
      </c>
      <c r="W8" s="190">
        <v>127.87778392359013</v>
      </c>
      <c r="X8" s="329">
        <v>33.436864615437862</v>
      </c>
      <c r="Y8" s="190">
        <v>20.360733565006111</v>
      </c>
      <c r="Z8" s="329">
        <v>67.547602817210006</v>
      </c>
      <c r="AA8" s="190">
        <v>221.53924628740623</v>
      </c>
      <c r="AB8" s="329">
        <v>94.44597484485513</v>
      </c>
      <c r="AC8" s="190">
        <v>179.81602152447633</v>
      </c>
      <c r="AD8" s="329">
        <v>294.54411279896379</v>
      </c>
      <c r="AE8" s="190">
        <v>110.65725237205808</v>
      </c>
      <c r="AF8" s="329">
        <v>145.28501275489111</v>
      </c>
      <c r="AG8" s="190">
        <v>57.186377990776286</v>
      </c>
      <c r="AH8" s="329">
        <v>76.120345928098388</v>
      </c>
      <c r="AI8" s="190">
        <v>105.64663687261725</v>
      </c>
      <c r="AJ8" s="329">
        <v>89.920231237550453</v>
      </c>
      <c r="AK8" s="190">
        <v>0</v>
      </c>
      <c r="AL8" s="190">
        <v>0</v>
      </c>
      <c r="AM8" s="330">
        <v>51.10052732190659</v>
      </c>
      <c r="AN8" s="190">
        <v>89.21615327038441</v>
      </c>
      <c r="AO8" s="190">
        <v>41.366456875154306</v>
      </c>
      <c r="AP8" s="190">
        <v>0</v>
      </c>
      <c r="AQ8" s="190">
        <v>52.223443020737491</v>
      </c>
      <c r="AR8" s="190">
        <v>0</v>
      </c>
      <c r="AS8" s="190">
        <v>50.463914380018316</v>
      </c>
      <c r="AT8" s="190">
        <v>0</v>
      </c>
      <c r="AU8" s="190">
        <v>0</v>
      </c>
      <c r="AV8" s="190">
        <v>66.461710589302896</v>
      </c>
      <c r="AW8" s="189">
        <v>35.902322575489947</v>
      </c>
      <c r="AX8" s="189">
        <v>104.68517804618618</v>
      </c>
      <c r="AY8" s="184">
        <v>95.846526409891013</v>
      </c>
      <c r="AZ8" s="184">
        <v>158.88494820055325</v>
      </c>
      <c r="BA8" s="331">
        <v>174.25758123330601</v>
      </c>
      <c r="BB8" s="189">
        <v>148.46272267609888</v>
      </c>
      <c r="BC8" s="189">
        <v>107.27731581790626</v>
      </c>
      <c r="BD8" s="189">
        <v>89.906897410320937</v>
      </c>
    </row>
    <row r="9" spans="1:56" x14ac:dyDescent="0.25">
      <c r="A9" s="11">
        <v>42430</v>
      </c>
      <c r="B9" s="188">
        <v>56.567738754230518</v>
      </c>
      <c r="C9" s="327">
        <v>47.881503715532425</v>
      </c>
      <c r="D9" s="189">
        <v>20.954480192354865</v>
      </c>
      <c r="E9" s="190">
        <v>314.97477069721714</v>
      </c>
      <c r="F9" s="190">
        <v>60.850631227558246</v>
      </c>
      <c r="G9" s="190">
        <v>245.63119131212781</v>
      </c>
      <c r="H9" s="190">
        <v>41.059523024300994</v>
      </c>
      <c r="I9" s="190">
        <v>44.338461011923428</v>
      </c>
      <c r="J9" s="328">
        <v>66.180776440457194</v>
      </c>
      <c r="K9" s="190">
        <v>63.225369157736615</v>
      </c>
      <c r="L9" s="190">
        <v>56.328314398429654</v>
      </c>
      <c r="M9" s="190">
        <v>156.31707966801577</v>
      </c>
      <c r="N9" s="190">
        <v>52.965328542236477</v>
      </c>
      <c r="O9" s="190">
        <v>51.275346002322145</v>
      </c>
      <c r="P9" s="190">
        <v>48.932494823441317</v>
      </c>
      <c r="Q9" s="190">
        <v>92.109682263012076</v>
      </c>
      <c r="R9" s="190">
        <v>73.109301887951503</v>
      </c>
      <c r="S9" s="190">
        <v>49.171454137791784</v>
      </c>
      <c r="T9" s="190">
        <v>60.930427105290889</v>
      </c>
      <c r="U9" s="190">
        <v>75.290114836938059</v>
      </c>
      <c r="V9" s="190">
        <v>73.873006210856531</v>
      </c>
      <c r="W9" s="190">
        <v>127.53031815419031</v>
      </c>
      <c r="X9" s="329">
        <v>37.926338557582419</v>
      </c>
      <c r="Y9" s="190">
        <v>28.980268743197403</v>
      </c>
      <c r="Z9" s="329">
        <v>77.248388420366481</v>
      </c>
      <c r="AA9" s="190">
        <v>195.48171500163352</v>
      </c>
      <c r="AB9" s="329">
        <v>81.175674200117157</v>
      </c>
      <c r="AC9" s="190">
        <v>301.38566438935288</v>
      </c>
      <c r="AD9" s="329">
        <v>240.99857666043249</v>
      </c>
      <c r="AE9" s="190">
        <v>86.515036145976936</v>
      </c>
      <c r="AF9" s="329">
        <v>131.77974826777708</v>
      </c>
      <c r="AG9" s="190">
        <v>58.025808252188284</v>
      </c>
      <c r="AH9" s="329">
        <v>115.01437115798069</v>
      </c>
      <c r="AI9" s="190">
        <v>96.535353322250472</v>
      </c>
      <c r="AJ9" s="329">
        <v>66.992904479055952</v>
      </c>
      <c r="AK9" s="190">
        <v>0</v>
      </c>
      <c r="AL9" s="190">
        <v>0</v>
      </c>
      <c r="AM9" s="330">
        <v>63.917647171471145</v>
      </c>
      <c r="AN9" s="190">
        <v>74.225703005263114</v>
      </c>
      <c r="AO9" s="190">
        <v>42.599328661623012</v>
      </c>
      <c r="AP9" s="190">
        <v>0</v>
      </c>
      <c r="AQ9" s="190">
        <v>50.954355900066133</v>
      </c>
      <c r="AR9" s="190">
        <v>0</v>
      </c>
      <c r="AS9" s="190">
        <v>49.237585741117343</v>
      </c>
      <c r="AT9" s="190">
        <v>0</v>
      </c>
      <c r="AU9" s="190">
        <v>0</v>
      </c>
      <c r="AV9" s="190">
        <v>79.53056114890488</v>
      </c>
      <c r="AW9" s="189">
        <v>35.217583629836405</v>
      </c>
      <c r="AX9" s="189">
        <v>126.00059539125103</v>
      </c>
      <c r="AY9" s="184">
        <v>101.84112988369107</v>
      </c>
      <c r="AZ9" s="184">
        <v>277.58528756592028</v>
      </c>
      <c r="BA9" s="331">
        <v>175.98853428020641</v>
      </c>
      <c r="BB9" s="189">
        <v>147.30610357388571</v>
      </c>
      <c r="BC9" s="189">
        <v>124.60413151469224</v>
      </c>
      <c r="BD9" s="189">
        <v>100.23748904656594</v>
      </c>
    </row>
    <row r="10" spans="1:56" x14ac:dyDescent="0.25">
      <c r="A10" s="11">
        <v>42461</v>
      </c>
      <c r="B10" s="188">
        <v>52.171552732036922</v>
      </c>
      <c r="C10" s="327">
        <v>43.390014053963363</v>
      </c>
      <c r="D10" s="189">
        <v>23.729565291924473</v>
      </c>
      <c r="E10" s="190">
        <v>211.74314978122749</v>
      </c>
      <c r="F10" s="190">
        <v>20.914933123540795</v>
      </c>
      <c r="G10" s="190">
        <v>267.24768476436407</v>
      </c>
      <c r="H10" s="190">
        <v>46.497198857545705</v>
      </c>
      <c r="I10" s="190">
        <v>51.968227290921</v>
      </c>
      <c r="J10" s="328">
        <v>56.72031907943181</v>
      </c>
      <c r="K10" s="190">
        <v>80.574281321363202</v>
      </c>
      <c r="L10" s="190">
        <v>60.192360268427663</v>
      </c>
      <c r="M10" s="190">
        <v>30.431609666353797</v>
      </c>
      <c r="N10" s="190">
        <v>45.553851233133031</v>
      </c>
      <c r="O10" s="190">
        <v>44.100349190783589</v>
      </c>
      <c r="P10" s="190">
        <v>43.91137315736691</v>
      </c>
      <c r="Q10" s="190">
        <v>82.658009648835858</v>
      </c>
      <c r="R10" s="190">
        <v>77.918351834412334</v>
      </c>
      <c r="S10" s="190">
        <v>48.97189811344542</v>
      </c>
      <c r="T10" s="190">
        <v>61.348073927576891</v>
      </c>
      <c r="U10" s="190">
        <v>76.108645335962592</v>
      </c>
      <c r="V10" s="190">
        <v>68.094650645273816</v>
      </c>
      <c r="W10" s="190">
        <v>128.8757636343631</v>
      </c>
      <c r="X10" s="329">
        <v>35.681310029522734</v>
      </c>
      <c r="Y10" s="190">
        <v>15.611629384646648</v>
      </c>
      <c r="Z10" s="329">
        <v>74.973461147493396</v>
      </c>
      <c r="AA10" s="190">
        <v>174.17712369843122</v>
      </c>
      <c r="AB10" s="329">
        <v>82.957308775913589</v>
      </c>
      <c r="AC10" s="190">
        <v>226.02179967437252</v>
      </c>
      <c r="AD10" s="329">
        <v>269.77293245448152</v>
      </c>
      <c r="AE10" s="190">
        <v>91.529711596623812</v>
      </c>
      <c r="AF10" s="329">
        <v>117.26612678995861</v>
      </c>
      <c r="AG10" s="190">
        <v>54.543467316194317</v>
      </c>
      <c r="AH10" s="329">
        <v>80.53043785823553</v>
      </c>
      <c r="AI10" s="190">
        <v>112.55111728742645</v>
      </c>
      <c r="AJ10" s="329">
        <v>88.844959078027173</v>
      </c>
      <c r="AK10" s="190">
        <v>0</v>
      </c>
      <c r="AL10" s="190">
        <v>0</v>
      </c>
      <c r="AM10" s="330">
        <v>69.442111128424898</v>
      </c>
      <c r="AN10" s="190">
        <v>78.667437505142971</v>
      </c>
      <c r="AO10" s="190">
        <v>39.859148182410507</v>
      </c>
      <c r="AP10" s="190">
        <v>0</v>
      </c>
      <c r="AQ10" s="190">
        <v>125.51700070081868</v>
      </c>
      <c r="AR10" s="190">
        <v>0</v>
      </c>
      <c r="AS10" s="190">
        <v>121.2880425001393</v>
      </c>
      <c r="AT10" s="190">
        <v>0</v>
      </c>
      <c r="AU10" s="190">
        <v>0</v>
      </c>
      <c r="AV10" s="190">
        <v>87.172176673858942</v>
      </c>
      <c r="AW10" s="189">
        <v>36.774815967159007</v>
      </c>
      <c r="AX10" s="189">
        <v>96.358407438010531</v>
      </c>
      <c r="AY10" s="184">
        <v>97.922591948057345</v>
      </c>
      <c r="AZ10" s="184">
        <v>84.30193047013411</v>
      </c>
      <c r="BA10" s="331">
        <v>198.41406407176615</v>
      </c>
      <c r="BB10" s="189">
        <v>168.4815086071325</v>
      </c>
      <c r="BC10" s="189">
        <v>125.62096456244508</v>
      </c>
      <c r="BD10" s="189">
        <v>92.531879862937245</v>
      </c>
    </row>
    <row r="11" spans="1:56" x14ac:dyDescent="0.25">
      <c r="A11" s="11">
        <v>42491</v>
      </c>
      <c r="B11" s="188">
        <v>57.916839085476056</v>
      </c>
      <c r="C11" s="327">
        <v>48.11652842802112</v>
      </c>
      <c r="D11" s="189">
        <v>23.681688085759696</v>
      </c>
      <c r="E11" s="190">
        <v>258.95472850389035</v>
      </c>
      <c r="F11" s="190">
        <v>36.596098258970059</v>
      </c>
      <c r="G11" s="190">
        <v>377.20269604971003</v>
      </c>
      <c r="H11" s="190">
        <v>46.403385256310237</v>
      </c>
      <c r="I11" s="190">
        <v>48.312391694886102</v>
      </c>
      <c r="J11" s="328">
        <v>63.818086573449406</v>
      </c>
      <c r="K11" s="190">
        <v>72.438340027743621</v>
      </c>
      <c r="L11" s="190">
        <v>83.434432322478074</v>
      </c>
      <c r="M11" s="190">
        <v>45.431697889813385</v>
      </c>
      <c r="N11" s="190">
        <v>55.161237975905934</v>
      </c>
      <c r="O11" s="190">
        <v>53.401189815626864</v>
      </c>
      <c r="P11" s="190">
        <v>53.146693445580503</v>
      </c>
      <c r="Q11" s="190">
        <v>100.04241689015619</v>
      </c>
      <c r="R11" s="190">
        <v>64.881470601023551</v>
      </c>
      <c r="S11" s="190">
        <v>30.546479861102569</v>
      </c>
      <c r="T11" s="190">
        <v>65.206246697947705</v>
      </c>
      <c r="U11" s="190">
        <v>73.437166865685128</v>
      </c>
      <c r="V11" s="190">
        <v>78.68366991988222</v>
      </c>
      <c r="W11" s="190">
        <v>133.45181442090799</v>
      </c>
      <c r="X11" s="329">
        <v>39.113118504651972</v>
      </c>
      <c r="Y11" s="190">
        <v>42.076098633460504</v>
      </c>
      <c r="Z11" s="329">
        <v>71.25718082964832</v>
      </c>
      <c r="AA11" s="190">
        <v>26.434945300967602</v>
      </c>
      <c r="AB11" s="329">
        <v>91.224196489609113</v>
      </c>
      <c r="AC11" s="190">
        <v>210.52132163946393</v>
      </c>
      <c r="AD11" s="329">
        <v>280.01578441307095</v>
      </c>
      <c r="AE11" s="190">
        <v>64.569913303522441</v>
      </c>
      <c r="AF11" s="329">
        <v>136.03514664170703</v>
      </c>
      <c r="AG11" s="190">
        <v>48.342819342472481</v>
      </c>
      <c r="AH11" s="329">
        <v>84.905006430295785</v>
      </c>
      <c r="AI11" s="190">
        <v>118.10466077529591</v>
      </c>
      <c r="AJ11" s="329">
        <v>66.1862374406236</v>
      </c>
      <c r="AK11" s="190">
        <v>0</v>
      </c>
      <c r="AL11" s="190">
        <v>0</v>
      </c>
      <c r="AM11" s="330">
        <v>88.046613474423481</v>
      </c>
      <c r="AN11" s="190">
        <v>71.98287554245492</v>
      </c>
      <c r="AO11" s="190">
        <v>35.749167688450918</v>
      </c>
      <c r="AP11" s="190">
        <v>0</v>
      </c>
      <c r="AQ11" s="190">
        <v>47.162673704865732</v>
      </c>
      <c r="AR11" s="190">
        <v>0</v>
      </c>
      <c r="AS11" s="190">
        <v>45.573654093047871</v>
      </c>
      <c r="AT11" s="190">
        <v>0</v>
      </c>
      <c r="AU11" s="190">
        <v>0</v>
      </c>
      <c r="AV11" s="190">
        <v>92.273610506855206</v>
      </c>
      <c r="AW11" s="189">
        <v>36.106811829141293</v>
      </c>
      <c r="AX11" s="189">
        <v>128.06492598969248</v>
      </c>
      <c r="AY11" s="184">
        <v>142.95024039113179</v>
      </c>
      <c r="AZ11" s="184">
        <v>30.256452444353233</v>
      </c>
      <c r="BA11" s="331">
        <v>222.68798308850617</v>
      </c>
      <c r="BB11" s="189">
        <v>161.63154528068529</v>
      </c>
      <c r="BC11" s="189">
        <v>310.69889358083157</v>
      </c>
      <c r="BD11" s="189">
        <v>101.8052602391427</v>
      </c>
    </row>
    <row r="12" spans="1:56" x14ac:dyDescent="0.25">
      <c r="A12" s="11">
        <v>42522</v>
      </c>
      <c r="B12" s="188">
        <v>57.374721986803038</v>
      </c>
      <c r="C12" s="327">
        <v>47.855973968810233</v>
      </c>
      <c r="D12" s="189">
        <v>20.357431545633744</v>
      </c>
      <c r="E12" s="190">
        <v>185.62745313167952</v>
      </c>
      <c r="F12" s="190">
        <v>50.015205645610266</v>
      </c>
      <c r="G12" s="190">
        <v>252.59214603328917</v>
      </c>
      <c r="H12" s="190">
        <v>39.889628451320007</v>
      </c>
      <c r="I12" s="190">
        <v>45.736319480550925</v>
      </c>
      <c r="J12" s="328">
        <v>64.57833203552596</v>
      </c>
      <c r="K12" s="190">
        <v>88.082995019927395</v>
      </c>
      <c r="L12" s="190">
        <v>99.922014779591393</v>
      </c>
      <c r="M12" s="190">
        <v>39.691258889511722</v>
      </c>
      <c r="N12" s="190">
        <v>53.952611695427386</v>
      </c>
      <c r="O12" s="190">
        <v>52.231127580109558</v>
      </c>
      <c r="P12" s="190">
        <v>54.984196428683809</v>
      </c>
      <c r="Q12" s="190">
        <v>103.50130073700844</v>
      </c>
      <c r="R12" s="190">
        <v>57.858069047712142</v>
      </c>
      <c r="S12" s="190">
        <v>54.71971482705095</v>
      </c>
      <c r="T12" s="190">
        <v>71.211334639978247</v>
      </c>
      <c r="U12" s="190">
        <v>81.41885357944409</v>
      </c>
      <c r="V12" s="190">
        <v>78.990016564840559</v>
      </c>
      <c r="W12" s="190">
        <v>116.37319476210932</v>
      </c>
      <c r="X12" s="329">
        <v>37.486857296856833</v>
      </c>
      <c r="Y12" s="190">
        <v>31.330071794297293</v>
      </c>
      <c r="Z12" s="329">
        <v>65.038829341934431</v>
      </c>
      <c r="AA12" s="190">
        <v>44.017269169385877</v>
      </c>
      <c r="AB12" s="329">
        <v>91.847890184652982</v>
      </c>
      <c r="AC12" s="190">
        <v>193.58219717303496</v>
      </c>
      <c r="AD12" s="329">
        <v>261.13169993365585</v>
      </c>
      <c r="AE12" s="190">
        <v>105.67153341203353</v>
      </c>
      <c r="AF12" s="329">
        <v>129.08317226064074</v>
      </c>
      <c r="AG12" s="190">
        <v>47.699982813944551</v>
      </c>
      <c r="AH12" s="329">
        <v>83.429979737975984</v>
      </c>
      <c r="AI12" s="190">
        <v>97.81772084316647</v>
      </c>
      <c r="AJ12" s="329">
        <v>19.60074251765883</v>
      </c>
      <c r="AK12" s="190">
        <v>0</v>
      </c>
      <c r="AL12" s="190">
        <v>0</v>
      </c>
      <c r="AM12" s="330">
        <v>66.30332359668445</v>
      </c>
      <c r="AN12" s="190">
        <v>88.479598661938738</v>
      </c>
      <c r="AO12" s="190">
        <v>38.283335607710029</v>
      </c>
      <c r="AP12" s="190">
        <v>0</v>
      </c>
      <c r="AQ12" s="190">
        <v>69.751889242683959</v>
      </c>
      <c r="AR12" s="190">
        <v>0</v>
      </c>
      <c r="AS12" s="190">
        <v>67.401786687821016</v>
      </c>
      <c r="AT12" s="190">
        <v>0</v>
      </c>
      <c r="AU12" s="190">
        <v>0</v>
      </c>
      <c r="AV12" s="190">
        <v>106.55599924662677</v>
      </c>
      <c r="AW12" s="189">
        <v>40.659091925164248</v>
      </c>
      <c r="AX12" s="189">
        <v>190.90121391031747</v>
      </c>
      <c r="AY12" s="184">
        <v>197.59369065588095</v>
      </c>
      <c r="AZ12" s="184">
        <v>144.06600559250384</v>
      </c>
      <c r="BA12" s="331">
        <v>211.70729144256546</v>
      </c>
      <c r="BB12" s="189">
        <v>180.39414309408204</v>
      </c>
      <c r="BC12" s="189">
        <v>130.17603407435331</v>
      </c>
      <c r="BD12" s="189">
        <v>95.988682520083202</v>
      </c>
    </row>
    <row r="13" spans="1:56" x14ac:dyDescent="0.25">
      <c r="A13" s="11">
        <v>42552</v>
      </c>
      <c r="B13" s="188">
        <v>61.154546853706158</v>
      </c>
      <c r="C13" s="327">
        <v>52.068443973129646</v>
      </c>
      <c r="D13" s="189">
        <v>20.326071406057089</v>
      </c>
      <c r="E13" s="190">
        <v>228.13143781184931</v>
      </c>
      <c r="F13" s="190">
        <v>24.857986673043673</v>
      </c>
      <c r="G13" s="190">
        <v>230.51336492388808</v>
      </c>
      <c r="H13" s="190">
        <v>39.828179426520869</v>
      </c>
      <c r="I13" s="190">
        <v>51.141127570006127</v>
      </c>
      <c r="J13" s="328">
        <v>58.737013428142745</v>
      </c>
      <c r="K13" s="190">
        <v>72.108434583640431</v>
      </c>
      <c r="L13" s="190">
        <v>71.356954453183008</v>
      </c>
      <c r="M13" s="190">
        <v>40.604857832495149</v>
      </c>
      <c r="N13" s="190">
        <v>50.809217494533186</v>
      </c>
      <c r="O13" s="190">
        <v>49.188030714505992</v>
      </c>
      <c r="P13" s="190">
        <v>48.650127184479565</v>
      </c>
      <c r="Q13" s="190">
        <v>91.578158301277256</v>
      </c>
      <c r="R13" s="190">
        <v>57.221542444345054</v>
      </c>
      <c r="S13" s="190">
        <v>47.257566110404511</v>
      </c>
      <c r="T13" s="190">
        <v>56.183810714156394</v>
      </c>
      <c r="U13" s="190">
        <v>60.347005822559922</v>
      </c>
      <c r="V13" s="190">
        <v>79.696440312742027</v>
      </c>
      <c r="W13" s="190">
        <v>130.43295816276193</v>
      </c>
      <c r="X13" s="329">
        <v>70.296222034932825</v>
      </c>
      <c r="Y13" s="190">
        <v>45.379956456886383</v>
      </c>
      <c r="Z13" s="329">
        <v>61.572102886509825</v>
      </c>
      <c r="AA13" s="190">
        <v>105.93571851970336</v>
      </c>
      <c r="AB13" s="329">
        <v>87.397817706569285</v>
      </c>
      <c r="AC13" s="190">
        <v>157.15990292292562</v>
      </c>
      <c r="AD13" s="329">
        <v>271.08236433282548</v>
      </c>
      <c r="AE13" s="190">
        <v>86.461242801677358</v>
      </c>
      <c r="AF13" s="329">
        <v>140.1491028599813</v>
      </c>
      <c r="AG13" s="190">
        <v>47.023933052326385</v>
      </c>
      <c r="AH13" s="329">
        <v>73.641074374758801</v>
      </c>
      <c r="AI13" s="190">
        <v>149.95101616816507</v>
      </c>
      <c r="AJ13" s="329">
        <v>31.581760281901563</v>
      </c>
      <c r="AK13" s="190">
        <v>0</v>
      </c>
      <c r="AL13" s="190">
        <v>0</v>
      </c>
      <c r="AM13" s="330">
        <v>80.760741760080094</v>
      </c>
      <c r="AN13" s="190">
        <v>78.833433621664526</v>
      </c>
      <c r="AO13" s="190">
        <v>31.961300979032622</v>
      </c>
      <c r="AP13" s="190">
        <v>0</v>
      </c>
      <c r="AQ13" s="190">
        <v>36.181542081570129</v>
      </c>
      <c r="AR13" s="190">
        <v>0</v>
      </c>
      <c r="AS13" s="190">
        <v>34.962502204543462</v>
      </c>
      <c r="AT13" s="190">
        <v>0</v>
      </c>
      <c r="AU13" s="190">
        <v>0</v>
      </c>
      <c r="AV13" s="190">
        <v>74.687160536183868</v>
      </c>
      <c r="AW13" s="189">
        <v>40.404410741944922</v>
      </c>
      <c r="AX13" s="189">
        <v>102.15507497973934</v>
      </c>
      <c r="AY13" s="184">
        <v>101.06373433464938</v>
      </c>
      <c r="AZ13" s="184">
        <v>106.93302834444826</v>
      </c>
      <c r="BA13" s="331">
        <v>175.9903134485717</v>
      </c>
      <c r="BB13" s="189">
        <v>135.16547206720651</v>
      </c>
      <c r="BC13" s="189">
        <v>199.64135113044711</v>
      </c>
      <c r="BD13" s="189">
        <v>80.895634683815913</v>
      </c>
    </row>
    <row r="14" spans="1:56" x14ac:dyDescent="0.25">
      <c r="A14" s="11">
        <v>42583</v>
      </c>
      <c r="B14" s="188">
        <v>58.312720541130837</v>
      </c>
      <c r="C14" s="327">
        <v>49.419815212860293</v>
      </c>
      <c r="D14" s="189">
        <v>21.355124325050792</v>
      </c>
      <c r="E14" s="190">
        <v>122.74233016475988</v>
      </c>
      <c r="F14" s="190">
        <v>34.670553014196834</v>
      </c>
      <c r="G14" s="190">
        <v>250.76639342912998</v>
      </c>
      <c r="H14" s="190">
        <v>41.84457027147544</v>
      </c>
      <c r="I14" s="190">
        <v>48.986624657764068</v>
      </c>
      <c r="J14" s="328">
        <v>60.992479502993653</v>
      </c>
      <c r="K14" s="190">
        <v>87.0375500479701</v>
      </c>
      <c r="L14" s="190">
        <v>64.773058185128718</v>
      </c>
      <c r="M14" s="190">
        <v>18.612821059051779</v>
      </c>
      <c r="N14" s="190">
        <v>47.26994881984821</v>
      </c>
      <c r="O14" s="190">
        <v>45.76169067500382</v>
      </c>
      <c r="P14" s="190">
        <v>44.916495050336948</v>
      </c>
      <c r="Q14" s="190">
        <v>84.550033722636314</v>
      </c>
      <c r="R14" s="190">
        <v>91.780842316340411</v>
      </c>
      <c r="S14" s="190">
        <v>54.652205876575657</v>
      </c>
      <c r="T14" s="190">
        <v>67.535831552665641</v>
      </c>
      <c r="U14" s="190">
        <v>72.338789954237257</v>
      </c>
      <c r="V14" s="190">
        <v>99.491397279660973</v>
      </c>
      <c r="W14" s="190">
        <v>132.0933664012897</v>
      </c>
      <c r="X14" s="329">
        <v>37.737151073035534</v>
      </c>
      <c r="Y14" s="190">
        <v>26.030555672253161</v>
      </c>
      <c r="Z14" s="329">
        <v>68.594216906655518</v>
      </c>
      <c r="AA14" s="190">
        <v>48.521523079103154</v>
      </c>
      <c r="AB14" s="329">
        <v>77.757931780663554</v>
      </c>
      <c r="AC14" s="190">
        <v>129.00716727015558</v>
      </c>
      <c r="AD14" s="329">
        <v>275.01261010458808</v>
      </c>
      <c r="AE14" s="190">
        <v>95.358031470175234</v>
      </c>
      <c r="AF14" s="329">
        <v>141.61357305207582</v>
      </c>
      <c r="AG14" s="190">
        <v>58.313377365290506</v>
      </c>
      <c r="AH14" s="329">
        <v>199.12610777788655</v>
      </c>
      <c r="AI14" s="190">
        <v>201.74740422053696</v>
      </c>
      <c r="AJ14" s="329">
        <v>53.796383526696673</v>
      </c>
      <c r="AK14" s="190">
        <v>0</v>
      </c>
      <c r="AL14" s="190">
        <v>0</v>
      </c>
      <c r="AM14" s="330">
        <v>70.436395802959424</v>
      </c>
      <c r="AN14" s="190">
        <v>68.84236006516889</v>
      </c>
      <c r="AO14" s="190">
        <v>41.695148417121807</v>
      </c>
      <c r="AP14" s="190">
        <v>0</v>
      </c>
      <c r="AQ14" s="190">
        <v>40.26173027705164</v>
      </c>
      <c r="AR14" s="190">
        <v>0</v>
      </c>
      <c r="AS14" s="190">
        <v>38.905219418140021</v>
      </c>
      <c r="AT14" s="190">
        <v>0</v>
      </c>
      <c r="AU14" s="190">
        <v>0</v>
      </c>
      <c r="AV14" s="190">
        <v>103.90642001606139</v>
      </c>
      <c r="AW14" s="189">
        <v>42.499930720482894</v>
      </c>
      <c r="AX14" s="189">
        <v>102.55136037133404</v>
      </c>
      <c r="AY14" s="184">
        <v>112.13823978068116</v>
      </c>
      <c r="AZ14" s="184">
        <v>39.127260894329979</v>
      </c>
      <c r="BA14" s="331">
        <v>178.54551851692494</v>
      </c>
      <c r="BB14" s="189">
        <v>141.07190901088595</v>
      </c>
      <c r="BC14" s="189">
        <v>178.16698475645472</v>
      </c>
      <c r="BD14" s="189">
        <v>147.37502072470207</v>
      </c>
    </row>
    <row r="15" spans="1:56" x14ac:dyDescent="0.25">
      <c r="A15" s="11">
        <v>42614</v>
      </c>
      <c r="B15" s="188">
        <v>50.847475630068715</v>
      </c>
      <c r="C15" s="327">
        <v>43.705836615323861</v>
      </c>
      <c r="D15" s="189">
        <v>19.803297508964882</v>
      </c>
      <c r="E15" s="190">
        <v>105.31949039892659</v>
      </c>
      <c r="F15" s="190">
        <v>31.374166863733375</v>
      </c>
      <c r="G15" s="190">
        <v>200.92840219764079</v>
      </c>
      <c r="H15" s="190">
        <v>38.803823457433538</v>
      </c>
      <c r="I15" s="190">
        <v>33.534222268480768</v>
      </c>
      <c r="J15" s="328">
        <v>58.077081133529838</v>
      </c>
      <c r="K15" s="190">
        <v>65.318906588281479</v>
      </c>
      <c r="L15" s="190">
        <v>78.351017474038628</v>
      </c>
      <c r="M15" s="190">
        <v>24.913277529804628</v>
      </c>
      <c r="N15" s="190">
        <v>43.889842088598762</v>
      </c>
      <c r="O15" s="190">
        <v>42.489434145312224</v>
      </c>
      <c r="P15" s="190">
        <v>49.781481203035291</v>
      </c>
      <c r="Q15" s="190">
        <v>93.707799545856261</v>
      </c>
      <c r="R15" s="190">
        <v>76.458304996560557</v>
      </c>
      <c r="S15" s="190">
        <v>45.526915701522071</v>
      </c>
      <c r="T15" s="190">
        <v>62.479789312495818</v>
      </c>
      <c r="U15" s="190">
        <v>73.691050021145287</v>
      </c>
      <c r="V15" s="190">
        <v>90.724229989933647</v>
      </c>
      <c r="W15" s="190">
        <v>141.75792803033707</v>
      </c>
      <c r="X15" s="329">
        <v>36.77316025494784</v>
      </c>
      <c r="Y15" s="190">
        <v>37.438392358938025</v>
      </c>
      <c r="Z15" s="329">
        <v>50.353350483697859</v>
      </c>
      <c r="AA15" s="190">
        <v>2.0605830514400711</v>
      </c>
      <c r="AB15" s="329">
        <v>84.428744205978973</v>
      </c>
      <c r="AC15" s="190">
        <v>248.04576588189201</v>
      </c>
      <c r="AD15" s="329">
        <v>218.4641691714663</v>
      </c>
      <c r="AE15" s="190">
        <v>81.628181168890151</v>
      </c>
      <c r="AF15" s="329">
        <v>159.21839613613523</v>
      </c>
      <c r="AG15" s="190">
        <v>46.721103518179383</v>
      </c>
      <c r="AH15" s="329">
        <v>36.304329032572568</v>
      </c>
      <c r="AI15" s="190">
        <v>72.760779383201822</v>
      </c>
      <c r="AJ15" s="329">
        <v>97.280124443282006</v>
      </c>
      <c r="AK15" s="190">
        <v>0</v>
      </c>
      <c r="AL15" s="190">
        <v>0</v>
      </c>
      <c r="AM15" s="330">
        <v>73.236424062956075</v>
      </c>
      <c r="AN15" s="190">
        <v>117.65167383509755</v>
      </c>
      <c r="AO15" s="190">
        <v>33.786336835775238</v>
      </c>
      <c r="AP15" s="190">
        <v>0</v>
      </c>
      <c r="AQ15" s="190">
        <v>34.237285618957848</v>
      </c>
      <c r="AR15" s="190">
        <v>0</v>
      </c>
      <c r="AS15" s="190">
        <v>33.083752241177343</v>
      </c>
      <c r="AT15" s="190">
        <v>0</v>
      </c>
      <c r="AU15" s="190">
        <v>0</v>
      </c>
      <c r="AV15" s="190">
        <v>98.038191641790405</v>
      </c>
      <c r="AW15" s="189">
        <v>39.586998330662652</v>
      </c>
      <c r="AX15" s="189">
        <v>143.37483859726819</v>
      </c>
      <c r="AY15" s="184">
        <v>149.31547050088463</v>
      </c>
      <c r="AZ15" s="184">
        <v>102.36069633922297</v>
      </c>
      <c r="BA15" s="331">
        <v>126.96983767697596</v>
      </c>
      <c r="BB15" s="189">
        <v>100.48453858883676</v>
      </c>
      <c r="BC15" s="189">
        <v>125.69044251028669</v>
      </c>
      <c r="BD15" s="189">
        <v>93.992768836019039</v>
      </c>
    </row>
    <row r="16" spans="1:56" x14ac:dyDescent="0.25">
      <c r="A16" s="11">
        <v>42644</v>
      </c>
      <c r="B16" s="188">
        <v>51.058350751291023</v>
      </c>
      <c r="C16" s="327">
        <v>43.183141739016882</v>
      </c>
      <c r="D16" s="189">
        <v>22.827414322381756</v>
      </c>
      <c r="E16" s="190">
        <v>136.82688957247296</v>
      </c>
      <c r="F16" s="190">
        <v>17.783186177917923</v>
      </c>
      <c r="G16" s="190">
        <v>244.57619484758456</v>
      </c>
      <c r="H16" s="190">
        <v>44.729467653273254</v>
      </c>
      <c r="I16" s="190">
        <v>45.240141931537551</v>
      </c>
      <c r="J16" s="328">
        <v>54.271674462794316</v>
      </c>
      <c r="K16" s="190">
        <v>73.964771319475915</v>
      </c>
      <c r="L16" s="190">
        <v>58.42423618732807</v>
      </c>
      <c r="M16" s="190">
        <v>21.954201744762607</v>
      </c>
      <c r="N16" s="190">
        <v>41.195006706328712</v>
      </c>
      <c r="O16" s="190">
        <v>39.880583781342366</v>
      </c>
      <c r="P16" s="190">
        <v>47.199309995716156</v>
      </c>
      <c r="Q16" s="190">
        <v>88.847165108289758</v>
      </c>
      <c r="R16" s="190">
        <v>72.258563925281464</v>
      </c>
      <c r="S16" s="190">
        <v>49.12987407065463</v>
      </c>
      <c r="T16" s="190">
        <v>67.015427666741019</v>
      </c>
      <c r="U16" s="190">
        <v>71.293067436720222</v>
      </c>
      <c r="V16" s="190">
        <v>83.423155874611538</v>
      </c>
      <c r="W16" s="190">
        <v>115.4587511153257</v>
      </c>
      <c r="X16" s="329">
        <v>37.054087459040844</v>
      </c>
      <c r="Y16" s="190">
        <v>27.23341133997933</v>
      </c>
      <c r="Z16" s="329">
        <v>62.804758238379804</v>
      </c>
      <c r="AA16" s="190">
        <v>26.990153867329759</v>
      </c>
      <c r="AB16" s="329">
        <v>74.423893355651558</v>
      </c>
      <c r="AC16" s="190">
        <v>143.99408446585761</v>
      </c>
      <c r="AD16" s="329">
        <v>316.42064471956024</v>
      </c>
      <c r="AE16" s="190">
        <v>70.449663911511109</v>
      </c>
      <c r="AF16" s="329">
        <v>145.77007867147802</v>
      </c>
      <c r="AG16" s="190">
        <v>57.02070701079964</v>
      </c>
      <c r="AH16" s="329">
        <v>67.365176441850124</v>
      </c>
      <c r="AI16" s="190">
        <v>78.364623668120572</v>
      </c>
      <c r="AJ16" s="329">
        <v>111.00365947223855</v>
      </c>
      <c r="AK16" s="190">
        <v>0</v>
      </c>
      <c r="AL16" s="190">
        <v>0</v>
      </c>
      <c r="AM16" s="330">
        <v>67.910553648080224</v>
      </c>
      <c r="AN16" s="190">
        <v>123.72257725744299</v>
      </c>
      <c r="AO16" s="190">
        <v>39.881131066047388</v>
      </c>
      <c r="AP16" s="190">
        <v>0</v>
      </c>
      <c r="AQ16" s="190">
        <v>32.947559671839443</v>
      </c>
      <c r="AR16" s="190">
        <v>0</v>
      </c>
      <c r="AS16" s="190">
        <v>31.837480145650698</v>
      </c>
      <c r="AT16" s="190">
        <v>0</v>
      </c>
      <c r="AU16" s="190">
        <v>0</v>
      </c>
      <c r="AV16" s="190">
        <v>101.35390300425877</v>
      </c>
      <c r="AW16" s="189">
        <v>40.013793798117511</v>
      </c>
      <c r="AX16" s="189">
        <v>108.08453273929649</v>
      </c>
      <c r="AY16" s="184">
        <v>108.618502974386</v>
      </c>
      <c r="AZ16" s="184">
        <v>102.35567137749599</v>
      </c>
      <c r="BA16" s="331">
        <v>160.48686970497204</v>
      </c>
      <c r="BB16" s="189">
        <v>124.90108906046378</v>
      </c>
      <c r="BC16" s="189">
        <v>171.90289180791945</v>
      </c>
      <c r="BD16" s="189">
        <v>119.93399170958735</v>
      </c>
    </row>
    <row r="17" spans="1:56" x14ac:dyDescent="0.25">
      <c r="A17" s="11">
        <v>42675</v>
      </c>
      <c r="B17" s="332">
        <v>54.808174071124313</v>
      </c>
      <c r="C17" s="333">
        <v>45.073439646153247</v>
      </c>
      <c r="D17" s="334">
        <v>25.094499827741757</v>
      </c>
      <c r="E17" s="191">
        <v>36.135290769416862</v>
      </c>
      <c r="F17" s="191">
        <v>28.132357528052523</v>
      </c>
      <c r="G17" s="191">
        <v>205.78489563821441</v>
      </c>
      <c r="H17" s="191">
        <v>49.171737213333721</v>
      </c>
      <c r="I17" s="191">
        <v>36.933565100967812</v>
      </c>
      <c r="J17" s="335">
        <v>55.65336825651854</v>
      </c>
      <c r="K17" s="191">
        <v>69.377364065276097</v>
      </c>
      <c r="L17" s="191">
        <v>44.348559077294141</v>
      </c>
      <c r="M17" s="191">
        <v>30.856947931286371</v>
      </c>
      <c r="N17" s="191">
        <v>42.272387542709332</v>
      </c>
      <c r="O17" s="191">
        <v>40.923588265259326</v>
      </c>
      <c r="P17" s="191">
        <v>48.738513129563778</v>
      </c>
      <c r="Q17" s="191">
        <v>91.744534476201437</v>
      </c>
      <c r="R17" s="191">
        <v>72.736945345258704</v>
      </c>
      <c r="S17" s="191">
        <v>51.104085231386925</v>
      </c>
      <c r="T17" s="191">
        <v>71.48115018731346</v>
      </c>
      <c r="U17" s="191">
        <v>76.242986435398379</v>
      </c>
      <c r="V17" s="191">
        <v>88.59069783982342</v>
      </c>
      <c r="W17" s="191">
        <v>134.36976202342296</v>
      </c>
      <c r="X17" s="336">
        <v>40.549530910789976</v>
      </c>
      <c r="Y17" s="191">
        <v>26.199639511243156</v>
      </c>
      <c r="Z17" s="336">
        <v>63.403683592772694</v>
      </c>
      <c r="AA17" s="191">
        <v>1.008975880113453</v>
      </c>
      <c r="AB17" s="336">
        <v>128.71897578002563</v>
      </c>
      <c r="AC17" s="191">
        <v>161.15067006017708</v>
      </c>
      <c r="AD17" s="336">
        <v>276.68649331980896</v>
      </c>
      <c r="AE17" s="191">
        <v>65.024743128053657</v>
      </c>
      <c r="AF17" s="336">
        <v>129.18693251329393</v>
      </c>
      <c r="AG17" s="191">
        <v>68.459563015025935</v>
      </c>
      <c r="AH17" s="336">
        <v>74.422889760358203</v>
      </c>
      <c r="AI17" s="191">
        <v>89.193392772946709</v>
      </c>
      <c r="AJ17" s="336">
        <v>64.205614363069216</v>
      </c>
      <c r="AK17" s="191">
        <v>0</v>
      </c>
      <c r="AL17" s="191">
        <v>0</v>
      </c>
      <c r="AM17" s="337">
        <v>72.459090655774332</v>
      </c>
      <c r="AN17" s="191">
        <v>171.58727329265551</v>
      </c>
      <c r="AO17" s="191">
        <v>42.734188846443814</v>
      </c>
      <c r="AP17" s="191">
        <v>0</v>
      </c>
      <c r="AQ17" s="191">
        <v>87.662139247074663</v>
      </c>
      <c r="AR17" s="191">
        <v>0</v>
      </c>
      <c r="AS17" s="191">
        <v>84.708598925141246</v>
      </c>
      <c r="AT17" s="191">
        <v>0</v>
      </c>
      <c r="AU17" s="191">
        <v>0</v>
      </c>
      <c r="AV17" s="191">
        <v>92.813971507715777</v>
      </c>
      <c r="AW17" s="334">
        <v>39.382800357167028</v>
      </c>
      <c r="AX17" s="334">
        <v>147.05601574366401</v>
      </c>
      <c r="AY17" s="184">
        <v>155.68461017276866</v>
      </c>
      <c r="AZ17" s="184">
        <v>88.796956530768838</v>
      </c>
      <c r="BA17" s="331">
        <v>232.31419608069763</v>
      </c>
      <c r="BB17" s="334">
        <v>129.35734071405577</v>
      </c>
      <c r="BC17" s="334">
        <v>566.75565406800638</v>
      </c>
      <c r="BD17" s="334">
        <v>94.234105228128115</v>
      </c>
    </row>
    <row r="18" spans="1:56" x14ac:dyDescent="0.25">
      <c r="A18" s="11">
        <v>42705</v>
      </c>
      <c r="B18" s="332">
        <v>60.100969907085918</v>
      </c>
      <c r="C18" s="338">
        <v>47.986511579320748</v>
      </c>
      <c r="D18" s="339">
        <v>29.463374006229934</v>
      </c>
      <c r="E18" s="340">
        <v>123.405039811983</v>
      </c>
      <c r="F18" s="340">
        <v>55.898931591643603</v>
      </c>
      <c r="G18" s="340">
        <v>196.08701393781374</v>
      </c>
      <c r="H18" s="340">
        <v>57.732383350829259</v>
      </c>
      <c r="I18" s="340">
        <v>62.48003583879985</v>
      </c>
      <c r="J18" s="341">
        <v>62.292424991181235</v>
      </c>
      <c r="K18" s="340">
        <v>93.940371085001374</v>
      </c>
      <c r="L18" s="340">
        <v>54.584479350530998</v>
      </c>
      <c r="M18" s="340">
        <v>61.150783822715987</v>
      </c>
      <c r="N18" s="340">
        <v>49.319718739673291</v>
      </c>
      <c r="O18" s="340">
        <v>47.746057897051173</v>
      </c>
      <c r="P18" s="340">
        <v>33.528634594301188</v>
      </c>
      <c r="Q18" s="340">
        <v>63.113722084618658</v>
      </c>
      <c r="R18" s="340">
        <v>77.997900974842949</v>
      </c>
      <c r="S18" s="340">
        <v>50.637917490290029</v>
      </c>
      <c r="T18" s="340">
        <v>67.954778664482163</v>
      </c>
      <c r="U18" s="340">
        <v>73.51352184330878</v>
      </c>
      <c r="V18" s="340">
        <v>86.459426085715975</v>
      </c>
      <c r="W18" s="340">
        <v>109.78975147495112</v>
      </c>
      <c r="X18" s="342">
        <v>40.594371760900621</v>
      </c>
      <c r="Y18" s="340">
        <v>26.765487794815634</v>
      </c>
      <c r="Z18" s="342">
        <v>68.248966343086408</v>
      </c>
      <c r="AA18" s="340">
        <v>10.01990426629443</v>
      </c>
      <c r="AB18" s="342">
        <v>133.50924356867128</v>
      </c>
      <c r="AC18" s="340">
        <v>174.31963266395945</v>
      </c>
      <c r="AD18" s="342">
        <v>184.41669801702704</v>
      </c>
      <c r="AE18" s="340">
        <v>83.776110600955207</v>
      </c>
      <c r="AF18" s="342">
        <v>126.42168123107437</v>
      </c>
      <c r="AG18" s="340">
        <v>66.716477640859978</v>
      </c>
      <c r="AH18" s="342">
        <v>81.612691192235687</v>
      </c>
      <c r="AI18" s="340">
        <v>110.7762750323825</v>
      </c>
      <c r="AJ18" s="342">
        <v>151.90449745954388</v>
      </c>
      <c r="AK18" s="340">
        <v>0</v>
      </c>
      <c r="AL18" s="340">
        <v>0</v>
      </c>
      <c r="AM18" s="343">
        <v>83.210212596150626</v>
      </c>
      <c r="AN18" s="340">
        <v>82.696502072485359</v>
      </c>
      <c r="AO18" s="340">
        <v>51.666616921785256</v>
      </c>
      <c r="AP18" s="344">
        <v>0</v>
      </c>
      <c r="AQ18" s="344">
        <v>52.914321519478307</v>
      </c>
      <c r="AR18" s="344">
        <v>0</v>
      </c>
      <c r="AS18" s="340">
        <v>51.131515583439686</v>
      </c>
      <c r="AT18" s="340">
        <v>0</v>
      </c>
      <c r="AU18" s="340">
        <v>0</v>
      </c>
      <c r="AV18" s="340">
        <v>121.61014695643713</v>
      </c>
      <c r="AW18" s="339">
        <v>40.168563323995741</v>
      </c>
      <c r="AX18" s="339">
        <v>133.29369629632058</v>
      </c>
      <c r="AY18" s="184">
        <v>135.73633712265138</v>
      </c>
      <c r="AZ18" s="184">
        <v>114.83480073483226</v>
      </c>
      <c r="BA18" s="331">
        <v>322.2171341494535</v>
      </c>
      <c r="BB18" s="339">
        <v>280.30948655651105</v>
      </c>
      <c r="BC18" s="339">
        <v>162.58848419980993</v>
      </c>
      <c r="BD18" s="339">
        <v>298.50769846136359</v>
      </c>
    </row>
    <row r="19" spans="1:56" x14ac:dyDescent="0.25">
      <c r="A19" s="11">
        <v>42736</v>
      </c>
      <c r="B19" s="332">
        <v>48.367177509752956</v>
      </c>
      <c r="C19" s="338">
        <v>42.022075955393767</v>
      </c>
      <c r="D19" s="339">
        <v>10.404308376008775</v>
      </c>
      <c r="E19" s="340">
        <v>76.525596600575</v>
      </c>
      <c r="F19" s="340">
        <v>9.0284456152125188</v>
      </c>
      <c r="G19" s="340">
        <v>257.37487490255972</v>
      </c>
      <c r="H19" s="340">
        <v>36.651839053013759</v>
      </c>
      <c r="I19" s="340">
        <v>44.830410897298606</v>
      </c>
      <c r="J19" s="341">
        <v>61.846152438078661</v>
      </c>
      <c r="K19" s="340">
        <v>73.402194490332334</v>
      </c>
      <c r="L19" s="340">
        <v>79.99724285619908</v>
      </c>
      <c r="M19" s="340">
        <v>56.866544974788773</v>
      </c>
      <c r="N19" s="340">
        <v>47.399789794280473</v>
      </c>
      <c r="O19" s="340">
        <v>46.246894485416242</v>
      </c>
      <c r="P19" s="340">
        <v>55.522258216015906</v>
      </c>
      <c r="Q19" s="340">
        <v>63.144965841207963</v>
      </c>
      <c r="R19" s="340">
        <v>64.556328747773932</v>
      </c>
      <c r="S19" s="340">
        <v>49.72029198749582</v>
      </c>
      <c r="T19" s="340">
        <v>75.953401126873374</v>
      </c>
      <c r="U19" s="340">
        <v>64.292352909510186</v>
      </c>
      <c r="V19" s="340">
        <v>53.904896854418247</v>
      </c>
      <c r="W19" s="340">
        <v>109.64004493935445</v>
      </c>
      <c r="X19" s="342">
        <v>41.776269041316901</v>
      </c>
      <c r="Y19" s="340">
        <v>14.780948971527835</v>
      </c>
      <c r="Z19" s="342">
        <v>78.32451381982419</v>
      </c>
      <c r="AA19" s="340">
        <v>57.39261639578649</v>
      </c>
      <c r="AB19" s="342">
        <v>75.411937502232661</v>
      </c>
      <c r="AC19" s="340">
        <v>205.13093494454003</v>
      </c>
      <c r="AD19" s="342">
        <v>341.60049082498273</v>
      </c>
      <c r="AE19" s="340">
        <v>88.567829937885662</v>
      </c>
      <c r="AF19" s="342">
        <v>139.73654420885873</v>
      </c>
      <c r="AG19" s="340">
        <v>62.258780543941569</v>
      </c>
      <c r="AH19" s="342">
        <v>71.875230901453904</v>
      </c>
      <c r="AI19" s="340">
        <v>111.96659835186315</v>
      </c>
      <c r="AJ19" s="342">
        <v>84.970534464001474</v>
      </c>
      <c r="AK19" s="340">
        <v>0</v>
      </c>
      <c r="AL19" s="340">
        <v>0</v>
      </c>
      <c r="AM19" s="343">
        <v>61.254058346103498</v>
      </c>
      <c r="AN19" s="340">
        <v>57.802254004926432</v>
      </c>
      <c r="AO19" s="340">
        <v>54.488866424803589</v>
      </c>
      <c r="AP19" s="344">
        <v>0</v>
      </c>
      <c r="AQ19" s="344">
        <v>37.193471915473857</v>
      </c>
      <c r="AR19" s="344">
        <v>0</v>
      </c>
      <c r="AS19" s="340">
        <v>16.255222273051469</v>
      </c>
      <c r="AT19" s="340">
        <v>0</v>
      </c>
      <c r="AU19" s="340">
        <v>0</v>
      </c>
      <c r="AV19" s="340">
        <v>80.904005825030893</v>
      </c>
      <c r="AW19" s="339">
        <v>37.075161793527478</v>
      </c>
      <c r="AX19" s="339">
        <v>108.38663717643807</v>
      </c>
      <c r="AY19" s="184">
        <v>112.65254070450264</v>
      </c>
      <c r="AZ19" s="184">
        <v>78.818316576861804</v>
      </c>
      <c r="BA19" s="331">
        <v>173.78355472862</v>
      </c>
      <c r="BB19" s="339">
        <v>149.35457399448541</v>
      </c>
      <c r="BC19" s="339">
        <v>125.88993499326281</v>
      </c>
      <c r="BD19" s="339">
        <v>119.91589929658377</v>
      </c>
    </row>
    <row r="20" spans="1:56" x14ac:dyDescent="0.25">
      <c r="A20" s="11">
        <v>42767</v>
      </c>
      <c r="B20" s="332">
        <v>50.6988948545889</v>
      </c>
      <c r="C20" s="338">
        <v>46.087320165671258</v>
      </c>
      <c r="D20" s="339">
        <v>22.153686947612737</v>
      </c>
      <c r="E20" s="340">
        <v>34.631818866074937</v>
      </c>
      <c r="F20" s="340">
        <v>35.049215908880967</v>
      </c>
      <c r="G20" s="340">
        <v>219.30576750788416</v>
      </c>
      <c r="H20" s="340">
        <v>59.747098134995532</v>
      </c>
      <c r="I20" s="340">
        <v>60.097335093483558</v>
      </c>
      <c r="J20" s="341">
        <v>64.746452590337142</v>
      </c>
      <c r="K20" s="340">
        <v>64.709392593212669</v>
      </c>
      <c r="L20" s="340">
        <v>62.47750871806776</v>
      </c>
      <c r="M20" s="340">
        <v>58.736095272023448</v>
      </c>
      <c r="N20" s="340">
        <v>52.322253442747481</v>
      </c>
      <c r="O20" s="340">
        <v>46.509240962048871</v>
      </c>
      <c r="P20" s="340">
        <v>51.022501794598725</v>
      </c>
      <c r="Q20" s="340">
        <v>69.544782576540584</v>
      </c>
      <c r="R20" s="340">
        <v>62.86250628137239</v>
      </c>
      <c r="S20" s="340">
        <v>47.73420994612588</v>
      </c>
      <c r="T20" s="340">
        <v>88.83036034259851</v>
      </c>
      <c r="U20" s="340">
        <v>71.303705143294536</v>
      </c>
      <c r="V20" s="340">
        <v>61.888976194408535</v>
      </c>
      <c r="W20" s="340">
        <v>125.027849263253</v>
      </c>
      <c r="X20" s="342">
        <v>49.033494598437223</v>
      </c>
      <c r="Y20" s="340">
        <v>28.661201330084999</v>
      </c>
      <c r="Z20" s="342">
        <v>76.578019014776856</v>
      </c>
      <c r="AA20" s="340">
        <v>191.50180557551275</v>
      </c>
      <c r="AB20" s="342">
        <v>66.800886611327414</v>
      </c>
      <c r="AC20" s="340">
        <v>240.2505573612639</v>
      </c>
      <c r="AD20" s="342">
        <v>302.70431385786981</v>
      </c>
      <c r="AE20" s="340">
        <v>88.695110215423853</v>
      </c>
      <c r="AF20" s="342">
        <v>162.31632187414297</v>
      </c>
      <c r="AG20" s="340">
        <v>60.458333706250819</v>
      </c>
      <c r="AH20" s="342">
        <v>66.075371008337072</v>
      </c>
      <c r="AI20" s="340">
        <v>80.001941452026912</v>
      </c>
      <c r="AJ20" s="342">
        <v>96.804221688576035</v>
      </c>
      <c r="AK20" s="340">
        <v>0</v>
      </c>
      <c r="AL20" s="340">
        <v>0</v>
      </c>
      <c r="AM20" s="343">
        <v>61.574750591476317</v>
      </c>
      <c r="AN20" s="340">
        <v>51.401566948570377</v>
      </c>
      <c r="AO20" s="340">
        <v>47.477731465175637</v>
      </c>
      <c r="AP20" s="344">
        <v>0</v>
      </c>
      <c r="AQ20" s="344">
        <v>41.792728908636434</v>
      </c>
      <c r="AR20" s="344">
        <v>0</v>
      </c>
      <c r="AS20" s="340">
        <v>11.609930151980484</v>
      </c>
      <c r="AT20" s="340">
        <v>0</v>
      </c>
      <c r="AU20" s="340">
        <v>0</v>
      </c>
      <c r="AV20" s="340">
        <v>84.077999806496337</v>
      </c>
      <c r="AW20" s="339">
        <v>30.013110471273492</v>
      </c>
      <c r="AX20" s="339">
        <v>123.14893487546762</v>
      </c>
      <c r="AY20" s="184">
        <v>116.37145683731607</v>
      </c>
      <c r="AZ20" s="184">
        <v>163.78946526974488</v>
      </c>
      <c r="BA20" s="331">
        <v>130.92396099192916</v>
      </c>
      <c r="BB20" s="339">
        <v>93.810968573304024</v>
      </c>
      <c r="BC20" s="339">
        <v>141.80417773103648</v>
      </c>
      <c r="BD20" s="339">
        <v>121.53243978275304</v>
      </c>
    </row>
    <row r="21" spans="1:56" x14ac:dyDescent="0.25">
      <c r="A21" s="11">
        <v>42795</v>
      </c>
      <c r="B21" s="332">
        <v>53.823284152837488</v>
      </c>
      <c r="C21" s="338">
        <v>50.175004698564017</v>
      </c>
      <c r="D21" s="339">
        <v>27.635892425174408</v>
      </c>
      <c r="E21" s="340">
        <v>176.94859664267182</v>
      </c>
      <c r="F21" s="340">
        <v>59.475646203790241</v>
      </c>
      <c r="G21" s="340">
        <v>217.02502832822904</v>
      </c>
      <c r="H21" s="340">
        <v>36.1246059363569</v>
      </c>
      <c r="I21" s="340">
        <v>76.260718479034566</v>
      </c>
      <c r="J21" s="341">
        <v>68.201507151028053</v>
      </c>
      <c r="K21" s="340">
        <v>78.904844989851611</v>
      </c>
      <c r="L21" s="340">
        <v>62.589621772583591</v>
      </c>
      <c r="M21" s="340">
        <v>70.509200227619772</v>
      </c>
      <c r="N21" s="340">
        <v>50.192979475555113</v>
      </c>
      <c r="O21" s="340">
        <v>50.425779414453928</v>
      </c>
      <c r="P21" s="340">
        <v>47.166077166351066</v>
      </c>
      <c r="Q21" s="340">
        <v>75.698199530592447</v>
      </c>
      <c r="R21" s="340">
        <v>76.907589472486137</v>
      </c>
      <c r="S21" s="340">
        <v>48.35313680656121</v>
      </c>
      <c r="T21" s="340">
        <v>81.23178875496356</v>
      </c>
      <c r="U21" s="340">
        <v>79.255509855371486</v>
      </c>
      <c r="V21" s="340">
        <v>81.789745794421194</v>
      </c>
      <c r="W21" s="340">
        <v>135.70732483039367</v>
      </c>
      <c r="X21" s="342">
        <v>54.980525569486915</v>
      </c>
      <c r="Y21" s="340">
        <v>27.302290268499604</v>
      </c>
      <c r="Z21" s="342">
        <v>81.202086042762062</v>
      </c>
      <c r="AA21" s="340">
        <v>171.64824906915717</v>
      </c>
      <c r="AB21" s="342">
        <v>83.321413512643403</v>
      </c>
      <c r="AC21" s="340">
        <v>128.14475162717704</v>
      </c>
      <c r="AD21" s="342">
        <v>264.16918398198203</v>
      </c>
      <c r="AE21" s="340">
        <v>91.989641778732434</v>
      </c>
      <c r="AF21" s="342">
        <v>117.41466259949863</v>
      </c>
      <c r="AG21" s="340">
        <v>64.598047027534847</v>
      </c>
      <c r="AH21" s="342">
        <v>72.895103036372575</v>
      </c>
      <c r="AI21" s="340">
        <v>110.6978192394669</v>
      </c>
      <c r="AJ21" s="342">
        <v>79.724129856915894</v>
      </c>
      <c r="AK21" s="340">
        <v>0</v>
      </c>
      <c r="AL21" s="340">
        <v>0</v>
      </c>
      <c r="AM21" s="343">
        <v>71.726005840482514</v>
      </c>
      <c r="AN21" s="340">
        <v>61.292290833014647</v>
      </c>
      <c r="AO21" s="340">
        <v>69.734428607102956</v>
      </c>
      <c r="AP21" s="344">
        <v>0</v>
      </c>
      <c r="AQ21" s="344">
        <v>67.51924358695382</v>
      </c>
      <c r="AR21" s="344">
        <v>0</v>
      </c>
      <c r="AS21" s="340">
        <v>19.600915049651189</v>
      </c>
      <c r="AT21" s="340">
        <v>0</v>
      </c>
      <c r="AU21" s="340">
        <v>0</v>
      </c>
      <c r="AV21" s="340">
        <v>70.728752144704089</v>
      </c>
      <c r="AW21" s="339">
        <v>29.088338001502191</v>
      </c>
      <c r="AX21" s="339">
        <v>145.64555485878063</v>
      </c>
      <c r="AY21" s="184">
        <v>134.72418144680947</v>
      </c>
      <c r="AZ21" s="184">
        <v>212.26731299892913</v>
      </c>
      <c r="BA21" s="331">
        <v>107.65089273886603</v>
      </c>
      <c r="BB21" s="339">
        <v>73.02618424376287</v>
      </c>
      <c r="BC21" s="339">
        <v>118.56359239962963</v>
      </c>
      <c r="BD21" s="339">
        <v>117.73671743016598</v>
      </c>
    </row>
    <row r="22" spans="1:56" x14ac:dyDescent="0.25">
      <c r="A22" s="11">
        <v>42826</v>
      </c>
      <c r="B22" s="332">
        <v>49.566801848233176</v>
      </c>
      <c r="C22" s="338">
        <v>45.895576325611287</v>
      </c>
      <c r="D22" s="339">
        <v>13.609852021864205</v>
      </c>
      <c r="E22" s="340">
        <v>109.40719467599375</v>
      </c>
      <c r="F22" s="340">
        <v>12.600916453044734</v>
      </c>
      <c r="G22" s="340">
        <v>214.74428914857387</v>
      </c>
      <c r="H22" s="340">
        <v>46.064387345681624</v>
      </c>
      <c r="I22" s="340">
        <v>77.154751336205607</v>
      </c>
      <c r="J22" s="341">
        <v>67.004683484033919</v>
      </c>
      <c r="K22" s="340">
        <v>77.351833563346162</v>
      </c>
      <c r="L22" s="340">
        <v>79.303110857132694</v>
      </c>
      <c r="M22" s="340">
        <v>37.851391794873194</v>
      </c>
      <c r="N22" s="340">
        <v>50.478938153676928</v>
      </c>
      <c r="O22" s="340">
        <v>55.449994350457573</v>
      </c>
      <c r="P22" s="340">
        <v>51.288726082812587</v>
      </c>
      <c r="Q22" s="340">
        <v>73.078631582311004</v>
      </c>
      <c r="R22" s="340">
        <v>55.375675380732467</v>
      </c>
      <c r="S22" s="340">
        <v>62.24297652153097</v>
      </c>
      <c r="T22" s="340">
        <v>89.28180761261433</v>
      </c>
      <c r="U22" s="340">
        <v>67.700827508855582</v>
      </c>
      <c r="V22" s="340">
        <v>78.717983834698316</v>
      </c>
      <c r="W22" s="340">
        <v>114.31831778442718</v>
      </c>
      <c r="X22" s="342">
        <v>62.676064302655234</v>
      </c>
      <c r="Y22" s="340">
        <v>28.929705487803773</v>
      </c>
      <c r="Z22" s="342">
        <v>68.340973760310803</v>
      </c>
      <c r="AA22" s="340">
        <v>58.110914065122905</v>
      </c>
      <c r="AB22" s="342">
        <v>62.650958673663936</v>
      </c>
      <c r="AC22" s="340">
        <v>143.80756958600051</v>
      </c>
      <c r="AD22" s="342">
        <v>337.42037614034484</v>
      </c>
      <c r="AE22" s="340">
        <v>69.675204833026584</v>
      </c>
      <c r="AF22" s="342">
        <v>67.632372700656234</v>
      </c>
      <c r="AG22" s="340">
        <v>50.310790756213898</v>
      </c>
      <c r="AH22" s="342">
        <v>70.432718318524238</v>
      </c>
      <c r="AI22" s="340">
        <v>91.133698716624238</v>
      </c>
      <c r="AJ22" s="342">
        <v>73.867238984856911</v>
      </c>
      <c r="AK22" s="340">
        <v>0</v>
      </c>
      <c r="AL22" s="340">
        <v>0</v>
      </c>
      <c r="AM22" s="343">
        <v>67.595307757289021</v>
      </c>
      <c r="AN22" s="340">
        <v>54.777027932747878</v>
      </c>
      <c r="AO22" s="340">
        <v>48.975378666315734</v>
      </c>
      <c r="AP22" s="344">
        <v>0</v>
      </c>
      <c r="AQ22" s="344">
        <v>57.936112477726319</v>
      </c>
      <c r="AR22" s="344">
        <v>0</v>
      </c>
      <c r="AS22" s="340">
        <v>213.79503436518422</v>
      </c>
      <c r="AT22" s="340">
        <v>0</v>
      </c>
      <c r="AU22" s="340">
        <v>0</v>
      </c>
      <c r="AV22" s="340">
        <v>79.899191869306179</v>
      </c>
      <c r="AW22" s="339">
        <v>30.485412762866826</v>
      </c>
      <c r="AX22" s="339">
        <v>127.9182584576896</v>
      </c>
      <c r="AY22" s="184">
        <v>123.89426901332958</v>
      </c>
      <c r="AZ22" s="184">
        <v>150.87206277483628</v>
      </c>
      <c r="BA22" s="331">
        <v>106.96261535131269</v>
      </c>
      <c r="BB22" s="339">
        <v>78.466032348522305</v>
      </c>
      <c r="BC22" s="339">
        <v>109.20290438107706</v>
      </c>
      <c r="BD22" s="339">
        <v>98.965966951485171</v>
      </c>
    </row>
    <row r="23" spans="1:56" x14ac:dyDescent="0.25">
      <c r="A23" s="11">
        <v>42856</v>
      </c>
      <c r="B23" s="332">
        <v>58.431243934723554</v>
      </c>
      <c r="C23" s="338">
        <v>53.183754983315509</v>
      </c>
      <c r="D23" s="339">
        <v>23.133478011950338</v>
      </c>
      <c r="E23" s="340">
        <v>75.212435883747489</v>
      </c>
      <c r="F23" s="340">
        <v>33.888494954904516</v>
      </c>
      <c r="G23" s="340">
        <v>200.95472111770766</v>
      </c>
      <c r="H23" s="340">
        <v>64.512478935219093</v>
      </c>
      <c r="I23" s="340">
        <v>82.349364852909702</v>
      </c>
      <c r="J23" s="341">
        <v>74.110719973883931</v>
      </c>
      <c r="K23" s="340">
        <v>48.431812368390716</v>
      </c>
      <c r="L23" s="340">
        <v>109.41767182723541</v>
      </c>
      <c r="M23" s="340">
        <v>35.500873812204752</v>
      </c>
      <c r="N23" s="340">
        <v>50.731878995956606</v>
      </c>
      <c r="O23" s="340">
        <v>67.450557110160659</v>
      </c>
      <c r="P23" s="340">
        <v>53.320472990527826</v>
      </c>
      <c r="Q23" s="340">
        <v>69.667822300274267</v>
      </c>
      <c r="R23" s="340">
        <v>73.942522751313348</v>
      </c>
      <c r="S23" s="340">
        <v>62.974778519420326</v>
      </c>
      <c r="T23" s="340">
        <v>81.238467770498232</v>
      </c>
      <c r="U23" s="340">
        <v>84.294972395292945</v>
      </c>
      <c r="V23" s="340">
        <v>76.112050433683464</v>
      </c>
      <c r="W23" s="340">
        <v>129.42729390382098</v>
      </c>
      <c r="X23" s="342">
        <v>61.201079535841217</v>
      </c>
      <c r="Y23" s="340">
        <v>46.585271993968398</v>
      </c>
      <c r="Z23" s="342">
        <v>78.672338862135135</v>
      </c>
      <c r="AA23" s="340">
        <v>92.983817126654984</v>
      </c>
      <c r="AB23" s="342">
        <v>113.19606066176998</v>
      </c>
      <c r="AC23" s="340">
        <v>162.39097512772477</v>
      </c>
      <c r="AD23" s="342">
        <v>340.99450112447022</v>
      </c>
      <c r="AE23" s="340">
        <v>91.406668793354683</v>
      </c>
      <c r="AF23" s="342">
        <v>82.943269913521462</v>
      </c>
      <c r="AG23" s="340">
        <v>64.74542400275341</v>
      </c>
      <c r="AH23" s="342">
        <v>75.870742080562536</v>
      </c>
      <c r="AI23" s="340">
        <v>97.013468103409622</v>
      </c>
      <c r="AJ23" s="342">
        <v>102.06044184770342</v>
      </c>
      <c r="AK23" s="340">
        <v>0</v>
      </c>
      <c r="AL23" s="340">
        <v>0</v>
      </c>
      <c r="AM23" s="343">
        <v>84.626081907638536</v>
      </c>
      <c r="AN23" s="340">
        <v>50.439732134542353</v>
      </c>
      <c r="AO23" s="340">
        <v>65.991191818532258</v>
      </c>
      <c r="AP23" s="344">
        <v>0</v>
      </c>
      <c r="AQ23" s="344">
        <v>72.226863619447272</v>
      </c>
      <c r="AR23" s="344">
        <v>0</v>
      </c>
      <c r="AS23" s="340">
        <v>44.855318258301175</v>
      </c>
      <c r="AT23" s="340">
        <v>0</v>
      </c>
      <c r="AU23" s="340">
        <v>0</v>
      </c>
      <c r="AV23" s="340">
        <v>105.9230891145945</v>
      </c>
      <c r="AW23" s="339">
        <v>34.084185798093259</v>
      </c>
      <c r="AX23" s="339">
        <v>127.821811196407</v>
      </c>
      <c r="AY23" s="184">
        <v>135.74037329159313</v>
      </c>
      <c r="AZ23" s="184">
        <v>74.509824067700535</v>
      </c>
      <c r="BA23" s="331">
        <v>149.19799656760631</v>
      </c>
      <c r="BB23" s="339">
        <v>125.88665318308328</v>
      </c>
      <c r="BC23" s="339">
        <v>105.98006917151127</v>
      </c>
      <c r="BD23" s="339">
        <v>117.31122782587326</v>
      </c>
    </row>
    <row r="24" spans="1:56" x14ac:dyDescent="0.25">
      <c r="A24" s="11">
        <v>42887</v>
      </c>
      <c r="B24" s="332">
        <v>57.791939404955016</v>
      </c>
      <c r="C24" s="338">
        <v>52.19853608850849</v>
      </c>
      <c r="D24" s="339">
        <v>27.970490771117394</v>
      </c>
      <c r="E24" s="340">
        <v>120.74475206569647</v>
      </c>
      <c r="F24" s="340">
        <v>56.19158225445269</v>
      </c>
      <c r="G24" s="340">
        <v>157.78600857419221</v>
      </c>
      <c r="H24" s="340">
        <v>48.535712932659031</v>
      </c>
      <c r="I24" s="340">
        <v>71.92550897863913</v>
      </c>
      <c r="J24" s="341">
        <v>73.368709450840029</v>
      </c>
      <c r="K24" s="340">
        <v>92.390226329156704</v>
      </c>
      <c r="L24" s="340">
        <v>105.89246545481492</v>
      </c>
      <c r="M24" s="340">
        <v>17.386947991424432</v>
      </c>
      <c r="N24" s="340">
        <v>57.179990175196494</v>
      </c>
      <c r="O24" s="340">
        <v>67.410246951335651</v>
      </c>
      <c r="P24" s="340">
        <v>54.766821141186369</v>
      </c>
      <c r="Q24" s="340">
        <v>64.128467786833852</v>
      </c>
      <c r="R24" s="340">
        <v>54.56221367663057</v>
      </c>
      <c r="S24" s="340">
        <v>51.367333667600469</v>
      </c>
      <c r="T24" s="340">
        <v>89.76636000215322</v>
      </c>
      <c r="U24" s="340">
        <v>75.341666577120918</v>
      </c>
      <c r="V24" s="340">
        <v>79.873458797469326</v>
      </c>
      <c r="W24" s="340">
        <v>138.48254589705024</v>
      </c>
      <c r="X24" s="342">
        <v>61.936847347545758</v>
      </c>
      <c r="Y24" s="340">
        <v>42.243382100181485</v>
      </c>
      <c r="Z24" s="342">
        <v>66.269898039071506</v>
      </c>
      <c r="AA24" s="340">
        <v>44.491089280676299</v>
      </c>
      <c r="AB24" s="342">
        <v>87.184605652424651</v>
      </c>
      <c r="AC24" s="340">
        <v>203.98338424180804</v>
      </c>
      <c r="AD24" s="342">
        <v>301.47632566890985</v>
      </c>
      <c r="AE24" s="340">
        <v>85.301839414712546</v>
      </c>
      <c r="AF24" s="342">
        <v>86.752429186188181</v>
      </c>
      <c r="AG24" s="340">
        <v>57.101058073153496</v>
      </c>
      <c r="AH24" s="342">
        <v>75.070527594766759</v>
      </c>
      <c r="AI24" s="340">
        <v>77.908729581230247</v>
      </c>
      <c r="AJ24" s="342">
        <v>101.08569130065095</v>
      </c>
      <c r="AK24" s="340">
        <v>0</v>
      </c>
      <c r="AL24" s="340">
        <v>0</v>
      </c>
      <c r="AM24" s="343">
        <v>70.383832967346564</v>
      </c>
      <c r="AN24" s="340">
        <v>57.026385649606681</v>
      </c>
      <c r="AO24" s="340">
        <v>73.972727988961424</v>
      </c>
      <c r="AP24" s="344">
        <v>0</v>
      </c>
      <c r="AQ24" s="344">
        <v>61.966293049754576</v>
      </c>
      <c r="AR24" s="344">
        <v>0</v>
      </c>
      <c r="AS24" s="340">
        <v>9.4439312445283736</v>
      </c>
      <c r="AT24" s="340">
        <v>0</v>
      </c>
      <c r="AU24" s="340">
        <v>0</v>
      </c>
      <c r="AV24" s="340">
        <v>70.337441239030795</v>
      </c>
      <c r="AW24" s="339">
        <v>37.447162135283747</v>
      </c>
      <c r="AX24" s="339">
        <v>91.939881394045344</v>
      </c>
      <c r="AY24" s="184">
        <v>87.464807866725494</v>
      </c>
      <c r="AZ24" s="184">
        <v>118.54627842340831</v>
      </c>
      <c r="BA24" s="331">
        <v>157.69864893469313</v>
      </c>
      <c r="BB24" s="339">
        <v>128.71745696200142</v>
      </c>
      <c r="BC24" s="339">
        <v>105.99016723669092</v>
      </c>
      <c r="BD24" s="339">
        <v>153.45248583630655</v>
      </c>
    </row>
    <row r="25" spans="1:56" x14ac:dyDescent="0.25">
      <c r="A25" s="11">
        <v>42917</v>
      </c>
      <c r="B25" s="332">
        <v>48.924651768339565</v>
      </c>
      <c r="C25" s="338">
        <v>45.996292897183302</v>
      </c>
      <c r="D25" s="339">
        <v>15.783579978239862</v>
      </c>
      <c r="E25" s="340">
        <v>67.333922882710908</v>
      </c>
      <c r="F25" s="340">
        <v>21.631810642270839</v>
      </c>
      <c r="G25" s="340">
        <v>173.42161114887992</v>
      </c>
      <c r="H25" s="340">
        <v>45.383821975309303</v>
      </c>
      <c r="I25" s="340">
        <v>61.777607062942423</v>
      </c>
      <c r="J25" s="341">
        <v>64.613089868785934</v>
      </c>
      <c r="K25" s="340">
        <v>113.79547997651663</v>
      </c>
      <c r="L25" s="340">
        <v>77.416929138613028</v>
      </c>
      <c r="M25" s="340">
        <v>50.067098093627422</v>
      </c>
      <c r="N25" s="340">
        <v>54.00423619809979</v>
      </c>
      <c r="O25" s="340">
        <v>53.160944175373267</v>
      </c>
      <c r="P25" s="340">
        <v>56.031161087431059</v>
      </c>
      <c r="Q25" s="340">
        <v>87.223540341673186</v>
      </c>
      <c r="R25" s="340">
        <v>67.235213407597698</v>
      </c>
      <c r="S25" s="340">
        <v>47.911447931476836</v>
      </c>
      <c r="T25" s="340">
        <v>54.950476334495221</v>
      </c>
      <c r="U25" s="340">
        <v>68.280841263492803</v>
      </c>
      <c r="V25" s="340">
        <v>80.259544580448932</v>
      </c>
      <c r="W25" s="340">
        <v>141.61536261739022</v>
      </c>
      <c r="X25" s="342">
        <v>52.442446105727413</v>
      </c>
      <c r="Y25" s="340">
        <v>32.096231888539506</v>
      </c>
      <c r="Z25" s="342">
        <v>72.801368065086692</v>
      </c>
      <c r="AA25" s="340">
        <v>1.6982525702508304</v>
      </c>
      <c r="AB25" s="342">
        <v>87.512901080362752</v>
      </c>
      <c r="AC25" s="340">
        <v>200.24094824816143</v>
      </c>
      <c r="AD25" s="342">
        <v>303.39213455715185</v>
      </c>
      <c r="AE25" s="340">
        <v>84.072617139605015</v>
      </c>
      <c r="AF25" s="342">
        <v>95.971837932009947</v>
      </c>
      <c r="AG25" s="340">
        <v>54.901632364875198</v>
      </c>
      <c r="AH25" s="342">
        <v>83.956175319419259</v>
      </c>
      <c r="AI25" s="340">
        <v>86.638107426004652</v>
      </c>
      <c r="AJ25" s="342">
        <v>86.930874222837332</v>
      </c>
      <c r="AK25" s="340">
        <v>0</v>
      </c>
      <c r="AL25" s="340">
        <v>0</v>
      </c>
      <c r="AM25" s="343">
        <v>74.248062147053957</v>
      </c>
      <c r="AN25" s="340">
        <v>104.07851299730569</v>
      </c>
      <c r="AO25" s="340">
        <v>76.825515476733955</v>
      </c>
      <c r="AP25" s="344">
        <v>0</v>
      </c>
      <c r="AQ25" s="344">
        <v>51.705722480061873</v>
      </c>
      <c r="AR25" s="344">
        <v>0</v>
      </c>
      <c r="AS25" s="340">
        <v>10.297379916124029</v>
      </c>
      <c r="AT25" s="340">
        <v>0</v>
      </c>
      <c r="AU25" s="340">
        <v>0</v>
      </c>
      <c r="AV25" s="340">
        <v>77.048546430510839</v>
      </c>
      <c r="AW25" s="339">
        <v>35.848874938724265</v>
      </c>
      <c r="AX25" s="339">
        <v>121.86127623923747</v>
      </c>
      <c r="AY25" s="184">
        <v>123.8344450426236</v>
      </c>
      <c r="AZ25" s="184">
        <v>106.64580310160871</v>
      </c>
      <c r="BA25" s="331">
        <v>88.108322545893628</v>
      </c>
      <c r="BB25" s="339">
        <v>47.912786972772516</v>
      </c>
      <c r="BC25" s="339">
        <v>104.17316732326968</v>
      </c>
      <c r="BD25" s="339">
        <v>145.83390008723282</v>
      </c>
    </row>
    <row r="26" spans="1:56" x14ac:dyDescent="0.25">
      <c r="A26" s="11">
        <v>42948</v>
      </c>
      <c r="B26" s="332">
        <v>51.465987860312936</v>
      </c>
      <c r="C26" s="338">
        <v>47.90814925294454</v>
      </c>
      <c r="D26" s="339">
        <v>21.055588166733649</v>
      </c>
      <c r="E26" s="340">
        <v>105.0199915982766</v>
      </c>
      <c r="F26" s="340">
        <v>28.896463229493072</v>
      </c>
      <c r="G26" s="340">
        <v>189.54720899916717</v>
      </c>
      <c r="H26" s="340">
        <v>59.983513790428781</v>
      </c>
      <c r="I26" s="340">
        <v>70.096259322659535</v>
      </c>
      <c r="J26" s="341">
        <v>64.719165630003815</v>
      </c>
      <c r="K26" s="340">
        <v>82.000071771308228</v>
      </c>
      <c r="L26" s="340">
        <v>68.364920929959823</v>
      </c>
      <c r="M26" s="340">
        <v>16.770530876019663</v>
      </c>
      <c r="N26" s="340">
        <v>57.804504928052282</v>
      </c>
      <c r="O26" s="340">
        <v>57.041421908389907</v>
      </c>
      <c r="P26" s="340">
        <v>34.907322223192423</v>
      </c>
      <c r="Q26" s="340">
        <v>76.692157164287622</v>
      </c>
      <c r="R26" s="340">
        <v>72.502533633233824</v>
      </c>
      <c r="S26" s="340">
        <v>55.477458612654239</v>
      </c>
      <c r="T26" s="340">
        <v>49.988116575054512</v>
      </c>
      <c r="U26" s="340">
        <v>79.175290328260772</v>
      </c>
      <c r="V26" s="340">
        <v>110.76608497213761</v>
      </c>
      <c r="W26" s="340">
        <v>127.40512228518138</v>
      </c>
      <c r="X26" s="342">
        <v>55.939865907330848</v>
      </c>
      <c r="Y26" s="340">
        <v>28.895591753078783</v>
      </c>
      <c r="Z26" s="342">
        <v>67.08818255584255</v>
      </c>
      <c r="AA26" s="340">
        <v>12.922994582292551</v>
      </c>
      <c r="AB26" s="342">
        <v>75.037663295024842</v>
      </c>
      <c r="AC26" s="340">
        <v>165.04257551820086</v>
      </c>
      <c r="AD26" s="342">
        <v>269.61821254731677</v>
      </c>
      <c r="AE26" s="340">
        <v>85.829278237934858</v>
      </c>
      <c r="AF26" s="342">
        <v>80.800226436070488</v>
      </c>
      <c r="AG26" s="340">
        <v>66.923819328177629</v>
      </c>
      <c r="AH26" s="342">
        <v>82.174723727419533</v>
      </c>
      <c r="AI26" s="340">
        <v>98.894957761779793</v>
      </c>
      <c r="AJ26" s="342">
        <v>90.918011019290191</v>
      </c>
      <c r="AK26" s="340">
        <v>0</v>
      </c>
      <c r="AL26" s="340">
        <v>0</v>
      </c>
      <c r="AM26" s="343">
        <v>73.165456358198981</v>
      </c>
      <c r="AN26" s="340">
        <v>67.369857510736111</v>
      </c>
      <c r="AO26" s="340">
        <v>77.027919799433391</v>
      </c>
      <c r="AP26" s="344">
        <v>0</v>
      </c>
      <c r="AQ26" s="344">
        <v>49.078424015437115</v>
      </c>
      <c r="AR26" s="344">
        <v>0</v>
      </c>
      <c r="AS26" s="340">
        <v>6.2932773741202519</v>
      </c>
      <c r="AT26" s="340">
        <v>0</v>
      </c>
      <c r="AU26" s="340">
        <v>0</v>
      </c>
      <c r="AV26" s="340">
        <v>84.912247134975019</v>
      </c>
      <c r="AW26" s="339">
        <v>38.213696386061507</v>
      </c>
      <c r="AX26" s="339">
        <v>125.14652956459689</v>
      </c>
      <c r="AY26" s="184">
        <v>131.64077395470682</v>
      </c>
      <c r="AZ26" s="184">
        <v>80.98795497043136</v>
      </c>
      <c r="BA26" s="331">
        <v>104.67824925111451</v>
      </c>
      <c r="BB26" s="339">
        <v>68.109086171538266</v>
      </c>
      <c r="BC26" s="339">
        <v>139.65596818962604</v>
      </c>
      <c r="BD26" s="339">
        <v>96.893503180404394</v>
      </c>
    </row>
    <row r="27" spans="1:56" x14ac:dyDescent="0.25">
      <c r="A27" s="11">
        <v>42979</v>
      </c>
      <c r="B27" s="332">
        <v>49.380611636719294</v>
      </c>
      <c r="C27" s="338">
        <v>46.249329585973868</v>
      </c>
      <c r="D27" s="339">
        <v>21.438066832368534</v>
      </c>
      <c r="E27" s="340">
        <v>155.43083212662285</v>
      </c>
      <c r="F27" s="340">
        <v>31.589723863588961</v>
      </c>
      <c r="G27" s="340">
        <v>246.39933438431501</v>
      </c>
      <c r="H27" s="340">
        <v>53.677186457353457</v>
      </c>
      <c r="I27" s="340">
        <v>60.156335538154998</v>
      </c>
      <c r="J27" s="341">
        <v>58.434292101204946</v>
      </c>
      <c r="K27" s="340">
        <v>77.811111185156562</v>
      </c>
      <c r="L27" s="340">
        <v>68.352620210631471</v>
      </c>
      <c r="M27" s="340">
        <v>16.892255074395695</v>
      </c>
      <c r="N27" s="340">
        <v>50.43599037646613</v>
      </c>
      <c r="O27" s="340">
        <v>53.476733211585582</v>
      </c>
      <c r="P27" s="340">
        <v>74.416291690543957</v>
      </c>
      <c r="Q27" s="340">
        <v>74.878685602865801</v>
      </c>
      <c r="R27" s="340">
        <v>66.287642844937793</v>
      </c>
      <c r="S27" s="340">
        <v>50.204066101522223</v>
      </c>
      <c r="T27" s="340">
        <v>42.57524740734349</v>
      </c>
      <c r="U27" s="340">
        <v>67.756422328358838</v>
      </c>
      <c r="V27" s="340">
        <v>81.271197254212922</v>
      </c>
      <c r="W27" s="340">
        <v>108.15973830495241</v>
      </c>
      <c r="X27" s="342">
        <v>56.232790372628386</v>
      </c>
      <c r="Y27" s="340">
        <v>34.291798004312028</v>
      </c>
      <c r="Z27" s="342">
        <v>55.791464589529618</v>
      </c>
      <c r="AA27" s="340">
        <v>3.520210621306346</v>
      </c>
      <c r="AB27" s="342">
        <v>80.729169132833093</v>
      </c>
      <c r="AC27" s="340">
        <v>193.19531524445361</v>
      </c>
      <c r="AD27" s="342">
        <v>294.72207806416145</v>
      </c>
      <c r="AE27" s="340">
        <v>75.39224774526889</v>
      </c>
      <c r="AF27" s="342">
        <v>77.176315598941471</v>
      </c>
      <c r="AG27" s="340">
        <v>54.451843854387981</v>
      </c>
      <c r="AH27" s="342">
        <v>65.226474395112461</v>
      </c>
      <c r="AI27" s="340">
        <v>94.915619148767803</v>
      </c>
      <c r="AJ27" s="342">
        <v>80.322935469322104</v>
      </c>
      <c r="AK27" s="340">
        <v>0</v>
      </c>
      <c r="AL27" s="340">
        <v>0</v>
      </c>
      <c r="AM27" s="343">
        <v>52.259697438753555</v>
      </c>
      <c r="AN27" s="340">
        <v>61.489765084937453</v>
      </c>
      <c r="AO27" s="340">
        <v>49.100091292356026</v>
      </c>
      <c r="AP27" s="344">
        <v>0</v>
      </c>
      <c r="AQ27" s="344">
        <v>48.062510843008631</v>
      </c>
      <c r="AR27" s="344">
        <v>0</v>
      </c>
      <c r="AS27" s="340">
        <v>50.952093659420825</v>
      </c>
      <c r="AT27" s="340">
        <v>0</v>
      </c>
      <c r="AU27" s="340">
        <v>0</v>
      </c>
      <c r="AV27" s="340">
        <v>49.060024634840907</v>
      </c>
      <c r="AW27" s="339">
        <v>37.630312178103523</v>
      </c>
      <c r="AX27" s="339">
        <v>230.028190217439</v>
      </c>
      <c r="AY27" s="184">
        <v>243.7642316743125</v>
      </c>
      <c r="AZ27" s="184">
        <v>137.37175396391376</v>
      </c>
      <c r="BA27" s="331">
        <v>93.341966791992945</v>
      </c>
      <c r="BB27" s="339">
        <v>42.50738251660438</v>
      </c>
      <c r="BC27" s="339">
        <v>197.99469091967939</v>
      </c>
      <c r="BD27" s="339">
        <v>80.406584107424166</v>
      </c>
    </row>
    <row r="28" spans="1:56" x14ac:dyDescent="0.25">
      <c r="A28" s="11">
        <v>43009</v>
      </c>
      <c r="B28" s="332">
        <v>49.743874921037339</v>
      </c>
      <c r="C28" s="338">
        <v>46.563554712846312</v>
      </c>
      <c r="D28" s="339">
        <v>23.735295365703404</v>
      </c>
      <c r="E28" s="340">
        <v>237.26409084035066</v>
      </c>
      <c r="F28" s="340">
        <v>34.021500360762815</v>
      </c>
      <c r="G28" s="340">
        <v>160.75511473379689</v>
      </c>
      <c r="H28" s="340">
        <v>57.554215148387236</v>
      </c>
      <c r="I28" s="340">
        <v>62.074626781075054</v>
      </c>
      <c r="J28" s="341">
        <v>56.514714913299713</v>
      </c>
      <c r="K28" s="340">
        <v>61.972647572156205</v>
      </c>
      <c r="L28" s="340">
        <v>65.091102874990113</v>
      </c>
      <c r="M28" s="340">
        <v>15.259765004827077</v>
      </c>
      <c r="N28" s="340">
        <v>50.307401818345006</v>
      </c>
      <c r="O28" s="340">
        <v>55.970460044627828</v>
      </c>
      <c r="P28" s="340">
        <v>59.485315545101763</v>
      </c>
      <c r="Q28" s="340">
        <v>90.248504030546272</v>
      </c>
      <c r="R28" s="340">
        <v>85.10095748405665</v>
      </c>
      <c r="S28" s="340">
        <v>53.002644102267602</v>
      </c>
      <c r="T28" s="340">
        <v>26.081752378755642</v>
      </c>
      <c r="U28" s="340">
        <v>75.006562323996249</v>
      </c>
      <c r="V28" s="340">
        <v>67.577643916869519</v>
      </c>
      <c r="W28" s="340">
        <v>114.46511816322501</v>
      </c>
      <c r="X28" s="342">
        <v>55.85851608726702</v>
      </c>
      <c r="Y28" s="340">
        <v>25.091245105140477</v>
      </c>
      <c r="Z28" s="342">
        <v>71.642351653884759</v>
      </c>
      <c r="AA28" s="340">
        <v>1.278505120847762</v>
      </c>
      <c r="AB28" s="342">
        <v>88.076042989186305</v>
      </c>
      <c r="AC28" s="340">
        <v>238.28221502558245</v>
      </c>
      <c r="AD28" s="342">
        <v>354.33836266551339</v>
      </c>
      <c r="AE28" s="340">
        <v>80.461576088426995</v>
      </c>
      <c r="AF28" s="342">
        <v>84.76271410788938</v>
      </c>
      <c r="AG28" s="340">
        <v>66.533227277179151</v>
      </c>
      <c r="AH28" s="342">
        <v>74.142647307754416</v>
      </c>
      <c r="AI28" s="340">
        <v>102.70384544808368</v>
      </c>
      <c r="AJ28" s="342">
        <v>91.862793099037404</v>
      </c>
      <c r="AK28" s="340">
        <v>0</v>
      </c>
      <c r="AL28" s="340">
        <v>0</v>
      </c>
      <c r="AM28" s="343">
        <v>74.50837784699057</v>
      </c>
      <c r="AN28" s="340">
        <v>67.911091188021516</v>
      </c>
      <c r="AO28" s="340">
        <v>57.5509050004719</v>
      </c>
      <c r="AP28" s="344">
        <v>0</v>
      </c>
      <c r="AQ28" s="344">
        <v>52.438838753746715</v>
      </c>
      <c r="AR28" s="344">
        <v>0</v>
      </c>
      <c r="AS28" s="340">
        <v>32.338396689766974</v>
      </c>
      <c r="AT28" s="340">
        <v>0</v>
      </c>
      <c r="AU28" s="340">
        <v>0</v>
      </c>
      <c r="AV28" s="340">
        <v>98.298712717686769</v>
      </c>
      <c r="AW28" s="339">
        <v>37.74321568230463</v>
      </c>
      <c r="AX28" s="339">
        <v>137.83863135009364</v>
      </c>
      <c r="AY28" s="184">
        <v>137.50619184091056</v>
      </c>
      <c r="AZ28" s="184">
        <v>137.00452700248016</v>
      </c>
      <c r="BA28" s="331">
        <v>94.681921433634187</v>
      </c>
      <c r="BB28" s="339">
        <v>59.744462810248045</v>
      </c>
      <c r="BC28" s="339">
        <v>124.13394253419769</v>
      </c>
      <c r="BD28" s="339">
        <v>99.741589091344892</v>
      </c>
    </row>
    <row r="29" spans="1:56" x14ac:dyDescent="0.25">
      <c r="A29" s="11">
        <v>43040</v>
      </c>
      <c r="B29" s="332">
        <v>51.427978228710884</v>
      </c>
      <c r="C29" s="338">
        <v>47.709246736992512</v>
      </c>
      <c r="D29" s="339">
        <v>22.344249728863623</v>
      </c>
      <c r="E29" s="340">
        <v>84.165520396794733</v>
      </c>
      <c r="F29" s="340">
        <v>40.028536260142907</v>
      </c>
      <c r="G29" s="340">
        <v>156.34127159821821</v>
      </c>
      <c r="H29" s="340">
        <v>48.984000342361881</v>
      </c>
      <c r="I29" s="340">
        <v>40.921601475681193</v>
      </c>
      <c r="J29" s="341">
        <v>64.915431099939681</v>
      </c>
      <c r="K29" s="340">
        <v>65.297082556412519</v>
      </c>
      <c r="L29" s="340">
        <v>50.814375986054344</v>
      </c>
      <c r="M29" s="340">
        <v>31.935437309942923</v>
      </c>
      <c r="N29" s="340">
        <v>51.989715341214286</v>
      </c>
      <c r="O29" s="340">
        <v>63.892714716906845</v>
      </c>
      <c r="P29" s="340">
        <v>65.660753837811797</v>
      </c>
      <c r="Q29" s="340">
        <v>82.68839670890695</v>
      </c>
      <c r="R29" s="340">
        <v>75.379352861869606</v>
      </c>
      <c r="S29" s="340">
        <v>50.775897943064969</v>
      </c>
      <c r="T29" s="340">
        <v>84.707869672332265</v>
      </c>
      <c r="U29" s="340">
        <v>70.315685691537468</v>
      </c>
      <c r="V29" s="340">
        <v>85.305814416536194</v>
      </c>
      <c r="W29" s="340">
        <v>97.528241253822188</v>
      </c>
      <c r="X29" s="342">
        <v>54.166113767698192</v>
      </c>
      <c r="Y29" s="340">
        <v>26.952793461485498</v>
      </c>
      <c r="Z29" s="342">
        <v>64.190601821449221</v>
      </c>
      <c r="AA29" s="340">
        <v>0.8978469773854425</v>
      </c>
      <c r="AB29" s="342">
        <v>120.99696641357696</v>
      </c>
      <c r="AC29" s="340">
        <v>120.32985247312787</v>
      </c>
      <c r="AD29" s="342">
        <v>276.22976722055631</v>
      </c>
      <c r="AE29" s="340">
        <v>90.598998633572194</v>
      </c>
      <c r="AF29" s="342">
        <v>64.981992004413129</v>
      </c>
      <c r="AG29" s="340">
        <v>70.369308894867586</v>
      </c>
      <c r="AH29" s="342">
        <v>70.333335308283679</v>
      </c>
      <c r="AI29" s="340">
        <v>101.52832956783207</v>
      </c>
      <c r="AJ29" s="342">
        <v>132.08348546180295</v>
      </c>
      <c r="AK29" s="340">
        <v>0</v>
      </c>
      <c r="AL29" s="340">
        <v>0</v>
      </c>
      <c r="AM29" s="343">
        <v>80.533323040305788</v>
      </c>
      <c r="AN29" s="340">
        <v>61.867051136468916</v>
      </c>
      <c r="AO29" s="340">
        <v>92.929980915568564</v>
      </c>
      <c r="AP29" s="344">
        <v>0</v>
      </c>
      <c r="AQ29" s="344">
        <v>58.118839297997923</v>
      </c>
      <c r="AR29" s="344">
        <v>0</v>
      </c>
      <c r="AS29" s="340">
        <v>269.86840968110351</v>
      </c>
      <c r="AT29" s="340">
        <v>0</v>
      </c>
      <c r="AU29" s="340">
        <v>0</v>
      </c>
      <c r="AV29" s="340">
        <v>81.554258578534004</v>
      </c>
      <c r="AW29" s="339">
        <v>37.940858548027421</v>
      </c>
      <c r="AX29" s="339">
        <v>117.74624454075706</v>
      </c>
      <c r="AY29" s="184">
        <v>117.23975073193017</v>
      </c>
      <c r="AZ29" s="184">
        <v>118.45474531227509</v>
      </c>
      <c r="BA29" s="331">
        <v>108.70916372465013</v>
      </c>
      <c r="BB29" s="339">
        <v>69.220813247574853</v>
      </c>
      <c r="BC29" s="339">
        <v>101.04993323905867</v>
      </c>
      <c r="BD29" s="339">
        <v>165.8593931159017</v>
      </c>
    </row>
    <row r="30" spans="1:56" x14ac:dyDescent="0.25">
      <c r="A30" s="11">
        <v>43070</v>
      </c>
      <c r="B30" s="332">
        <v>55.640720842365951</v>
      </c>
      <c r="C30" s="338">
        <v>49.783195078038361</v>
      </c>
      <c r="D30" s="339">
        <v>28.013050695071698</v>
      </c>
      <c r="E30" s="340">
        <v>183.78272897648063</v>
      </c>
      <c r="F30" s="340">
        <v>50.763491083398925</v>
      </c>
      <c r="G30" s="340">
        <v>145.83274416908446</v>
      </c>
      <c r="H30" s="340">
        <v>54.941668469261508</v>
      </c>
      <c r="I30" s="340">
        <v>65.694983830620032</v>
      </c>
      <c r="J30" s="341">
        <v>68.74933089896146</v>
      </c>
      <c r="K30" s="340">
        <v>74.703613914197319</v>
      </c>
      <c r="L30" s="340">
        <v>53.348175906131431</v>
      </c>
      <c r="M30" s="340">
        <v>23.395510061692054</v>
      </c>
      <c r="N30" s="340">
        <v>57.703571300694108</v>
      </c>
      <c r="O30" s="340">
        <v>72.606453782370437</v>
      </c>
      <c r="P30" s="340">
        <v>70.899592727416803</v>
      </c>
      <c r="Q30" s="340">
        <v>62.505013075616397</v>
      </c>
      <c r="R30" s="340">
        <v>78.347639009245114</v>
      </c>
      <c r="S30" s="340">
        <v>157.01440162806981</v>
      </c>
      <c r="T30" s="340">
        <v>53.287932762777771</v>
      </c>
      <c r="U30" s="340">
        <v>71.708046004690345</v>
      </c>
      <c r="V30" s="340">
        <v>87.915675370198358</v>
      </c>
      <c r="W30" s="340">
        <v>118.39110154995184</v>
      </c>
      <c r="X30" s="342">
        <v>46.837840239656508</v>
      </c>
      <c r="Y30" s="340">
        <v>29.57348671413617</v>
      </c>
      <c r="Z30" s="342">
        <v>68.33434334062791</v>
      </c>
      <c r="AA30" s="340">
        <v>126.37365017524739</v>
      </c>
      <c r="AB30" s="342">
        <v>120.18073825313495</v>
      </c>
      <c r="AC30" s="340">
        <v>178.64148956502416</v>
      </c>
      <c r="AD30" s="342">
        <v>176.46247080730345</v>
      </c>
      <c r="AE30" s="340">
        <v>85.638126214042572</v>
      </c>
      <c r="AF30" s="342">
        <v>62.59644963693043</v>
      </c>
      <c r="AG30" s="340">
        <v>76.758290703772573</v>
      </c>
      <c r="AH30" s="342">
        <v>76.547565184675065</v>
      </c>
      <c r="AI30" s="340">
        <v>100.38000228532829</v>
      </c>
      <c r="AJ30" s="342">
        <v>112.55233708321272</v>
      </c>
      <c r="AK30" s="340">
        <v>0</v>
      </c>
      <c r="AL30" s="340">
        <v>0</v>
      </c>
      <c r="AM30" s="343">
        <v>73.347152234930903</v>
      </c>
      <c r="AN30" s="340">
        <v>88.361128685811977</v>
      </c>
      <c r="AO30" s="340">
        <v>58.164885935720697</v>
      </c>
      <c r="AP30" s="344">
        <v>0</v>
      </c>
      <c r="AQ30" s="344">
        <v>74.170863273180856</v>
      </c>
      <c r="AR30" s="344">
        <v>0</v>
      </c>
      <c r="AS30" s="340">
        <v>43.516197382830931</v>
      </c>
      <c r="AT30" s="340">
        <v>0</v>
      </c>
      <c r="AU30" s="340">
        <v>0</v>
      </c>
      <c r="AV30" s="340">
        <v>70.381258706007785</v>
      </c>
      <c r="AW30" s="339">
        <v>38.442447356599409</v>
      </c>
      <c r="AX30" s="339">
        <v>134.3229606586886</v>
      </c>
      <c r="AY30" s="184">
        <v>98.68096579510771</v>
      </c>
      <c r="AZ30" s="184">
        <v>359.05916179473462</v>
      </c>
      <c r="BA30" s="331">
        <v>163.69514578493531</v>
      </c>
      <c r="BB30" s="339">
        <v>129.18211021286305</v>
      </c>
      <c r="BC30" s="339">
        <v>105.45599972633801</v>
      </c>
      <c r="BD30" s="339">
        <v>187.26095679827304</v>
      </c>
    </row>
    <row r="31" spans="1:56" x14ac:dyDescent="0.25">
      <c r="A31" s="11">
        <v>43101</v>
      </c>
      <c r="B31" s="332">
        <v>49.02726487693198</v>
      </c>
      <c r="C31" s="338">
        <v>46.345408908850253</v>
      </c>
      <c r="D31" s="339">
        <v>22.927624865958986</v>
      </c>
      <c r="E31" s="340">
        <v>57.890606363650143</v>
      </c>
      <c r="F31" s="340">
        <v>34.895065665311634</v>
      </c>
      <c r="G31" s="340">
        <v>159.56568185200939</v>
      </c>
      <c r="H31" s="340">
        <v>63.125122926130715</v>
      </c>
      <c r="I31" s="340">
        <v>69.931422125280534</v>
      </c>
      <c r="J31" s="341">
        <v>58.900147715669306</v>
      </c>
      <c r="K31" s="340">
        <v>78.073066638881073</v>
      </c>
      <c r="L31" s="340">
        <v>70.338817871648303</v>
      </c>
      <c r="M31" s="340">
        <v>16.601661857893188</v>
      </c>
      <c r="N31" s="340">
        <v>56.960845116001053</v>
      </c>
      <c r="O31" s="340">
        <v>54.458104873419373</v>
      </c>
      <c r="P31" s="340">
        <v>47.02052475572907</v>
      </c>
      <c r="Q31" s="340">
        <v>85.844265304613415</v>
      </c>
      <c r="R31" s="340">
        <v>67.059100041624347</v>
      </c>
      <c r="S31" s="340">
        <v>52.345085844569446</v>
      </c>
      <c r="T31" s="340">
        <v>52.791249738537111</v>
      </c>
      <c r="U31" s="340">
        <v>63.094157872659558</v>
      </c>
      <c r="V31" s="340">
        <v>72.789440466829575</v>
      </c>
      <c r="W31" s="340">
        <v>110.52965463190286</v>
      </c>
      <c r="X31" s="342">
        <v>46.571199393614684</v>
      </c>
      <c r="Y31" s="340">
        <v>29.212523573089367</v>
      </c>
      <c r="Z31" s="342">
        <v>79.857652251301715</v>
      </c>
      <c r="AA31" s="340">
        <v>46.915989102408496</v>
      </c>
      <c r="AB31" s="342">
        <v>82.410425678354656</v>
      </c>
      <c r="AC31" s="340">
        <v>191.29922892674082</v>
      </c>
      <c r="AD31" s="342">
        <v>323.26241065563431</v>
      </c>
      <c r="AE31" s="340">
        <v>101.52408912347256</v>
      </c>
      <c r="AF31" s="342">
        <v>108.37253330057315</v>
      </c>
      <c r="AG31" s="340">
        <v>65.262113298159633</v>
      </c>
      <c r="AH31" s="342">
        <v>74.347172033654871</v>
      </c>
      <c r="AI31" s="340">
        <v>114.03851289902005</v>
      </c>
      <c r="AJ31" s="342">
        <v>82.192580937754926</v>
      </c>
      <c r="AK31" s="340">
        <v>0</v>
      </c>
      <c r="AL31" s="340">
        <v>0</v>
      </c>
      <c r="AM31" s="343">
        <v>63.415269121240748</v>
      </c>
      <c r="AN31" s="340">
        <v>62.909637617476271</v>
      </c>
      <c r="AO31" s="340">
        <v>55.815622218400534</v>
      </c>
      <c r="AP31" s="344">
        <v>0</v>
      </c>
      <c r="AQ31" s="344">
        <v>46.013980157695912</v>
      </c>
      <c r="AR31" s="344">
        <v>0</v>
      </c>
      <c r="AS31" s="340">
        <v>4.709315044592425</v>
      </c>
      <c r="AT31" s="340">
        <v>0</v>
      </c>
      <c r="AU31" s="340">
        <v>0</v>
      </c>
      <c r="AV31" s="340">
        <v>77.011960519665749</v>
      </c>
      <c r="AW31" s="339">
        <v>34.300398976889383</v>
      </c>
      <c r="AX31" s="339">
        <v>148.94073641873837</v>
      </c>
      <c r="AY31" s="184">
        <v>145.9523036549528</v>
      </c>
      <c r="AZ31" s="184">
        <v>164.83023090193009</v>
      </c>
      <c r="BA31" s="331">
        <v>81.945772322457259</v>
      </c>
      <c r="BB31" s="339">
        <v>57.580703823595044</v>
      </c>
      <c r="BC31" s="339">
        <v>72.662904171483433</v>
      </c>
      <c r="BD31" s="339">
        <v>102.82902747003254</v>
      </c>
    </row>
    <row r="32" spans="1:56" x14ac:dyDescent="0.25">
      <c r="A32" s="11">
        <v>43132</v>
      </c>
      <c r="B32" s="332">
        <v>49.499620419212022</v>
      </c>
      <c r="C32" s="338">
        <v>46.374774660943451</v>
      </c>
      <c r="D32" s="339">
        <v>21.142866071389687</v>
      </c>
      <c r="E32" s="340">
        <v>45.959956737740832</v>
      </c>
      <c r="F32" s="340">
        <v>36.940935726243765</v>
      </c>
      <c r="G32" s="340">
        <v>136.34585739221629</v>
      </c>
      <c r="H32" s="340">
        <v>50.096488638489802</v>
      </c>
      <c r="I32" s="340">
        <v>53.38871342040968</v>
      </c>
      <c r="J32" s="341">
        <v>59.98038462816907</v>
      </c>
      <c r="K32" s="340">
        <v>61.447742480540548</v>
      </c>
      <c r="L32" s="340">
        <v>52.064625914028746</v>
      </c>
      <c r="M32" s="340">
        <v>31.066701774460821</v>
      </c>
      <c r="N32" s="340">
        <v>44.943771002096142</v>
      </c>
      <c r="O32" s="340">
        <v>61.225948888307109</v>
      </c>
      <c r="P32" s="340">
        <v>50.533845117969179</v>
      </c>
      <c r="Q32" s="340">
        <v>79.957899593000647</v>
      </c>
      <c r="R32" s="340">
        <v>63.206008586675722</v>
      </c>
      <c r="S32" s="340">
        <v>46.076450873439256</v>
      </c>
      <c r="T32" s="340">
        <v>64.016432127855467</v>
      </c>
      <c r="U32" s="340">
        <v>75.093743701380205</v>
      </c>
      <c r="V32" s="340">
        <v>73.388525987930223</v>
      </c>
      <c r="W32" s="340">
        <v>105.53112913889963</v>
      </c>
      <c r="X32" s="342">
        <v>55.82244858353139</v>
      </c>
      <c r="Y32" s="340">
        <v>28.134405591843915</v>
      </c>
      <c r="Z32" s="342">
        <v>75.982976043762932</v>
      </c>
      <c r="AA32" s="340">
        <v>63.3314282297194</v>
      </c>
      <c r="AB32" s="342">
        <v>82.742383409291975</v>
      </c>
      <c r="AC32" s="340">
        <v>243.28464846597626</v>
      </c>
      <c r="AD32" s="342">
        <v>328.04684349501542</v>
      </c>
      <c r="AE32" s="340">
        <v>85.888439960059344</v>
      </c>
      <c r="AF32" s="342">
        <v>117.76930496975017</v>
      </c>
      <c r="AG32" s="340">
        <v>64.819110621478899</v>
      </c>
      <c r="AH32" s="342">
        <v>73.633071585676888</v>
      </c>
      <c r="AI32" s="340">
        <v>112.6757375845621</v>
      </c>
      <c r="AJ32" s="342">
        <v>65.953961227685312</v>
      </c>
      <c r="AK32" s="340">
        <v>0</v>
      </c>
      <c r="AL32" s="340">
        <v>0</v>
      </c>
      <c r="AM32" s="343">
        <v>54.370680789471493</v>
      </c>
      <c r="AN32" s="340">
        <v>62.124981717365451</v>
      </c>
      <c r="AO32" s="340">
        <v>49.795961658152386</v>
      </c>
      <c r="AP32" s="344">
        <v>0</v>
      </c>
      <c r="AQ32" s="344">
        <v>35.76121819617817</v>
      </c>
      <c r="AR32" s="344">
        <v>0</v>
      </c>
      <c r="AS32" s="340">
        <v>28.226738936397879</v>
      </c>
      <c r="AT32" s="340">
        <v>0</v>
      </c>
      <c r="AU32" s="340">
        <v>0</v>
      </c>
      <c r="AV32" s="340">
        <v>65.582879653097763</v>
      </c>
      <c r="AW32" s="339">
        <v>29.475131956536963</v>
      </c>
      <c r="AX32" s="339">
        <v>164.06906083156522</v>
      </c>
      <c r="AY32" s="184">
        <v>172.38499336460919</v>
      </c>
      <c r="AZ32" s="184">
        <v>107.44174029839769</v>
      </c>
      <c r="BA32" s="331">
        <v>93.215626053576059</v>
      </c>
      <c r="BB32" s="339">
        <v>72.520676401338591</v>
      </c>
      <c r="BC32" s="339">
        <v>85.63493715722565</v>
      </c>
      <c r="BD32" s="339">
        <v>78.220959863263346</v>
      </c>
    </row>
    <row r="33" spans="1:56" x14ac:dyDescent="0.25">
      <c r="A33" s="11">
        <v>43160</v>
      </c>
      <c r="B33" s="332">
        <v>55.996608985550729</v>
      </c>
      <c r="C33" s="338">
        <v>51.3925158254279</v>
      </c>
      <c r="D33" s="339">
        <v>22.525917338051762</v>
      </c>
      <c r="E33" s="340">
        <v>214.14568898614024</v>
      </c>
      <c r="F33" s="340">
        <v>38.115219839738479</v>
      </c>
      <c r="G33" s="340">
        <v>150.99537925084414</v>
      </c>
      <c r="H33" s="340">
        <v>43.710040818875385</v>
      </c>
      <c r="I33" s="340">
        <v>87.501706270926604</v>
      </c>
      <c r="J33" s="341">
        <v>72.906219996156366</v>
      </c>
      <c r="K33" s="340">
        <v>71.313027637150896</v>
      </c>
      <c r="L33" s="340">
        <v>76.895922153657565</v>
      </c>
      <c r="M33" s="340">
        <v>18.295545194909149</v>
      </c>
      <c r="N33" s="340">
        <v>57.336154576752428</v>
      </c>
      <c r="O33" s="340">
        <v>66.029279388447421</v>
      </c>
      <c r="P33" s="340">
        <v>54.00056077885592</v>
      </c>
      <c r="Q33" s="340">
        <v>89.886316780468988</v>
      </c>
      <c r="R33" s="340">
        <v>70.932048294925551</v>
      </c>
      <c r="S33" s="340">
        <v>49.974919144444712</v>
      </c>
      <c r="T33" s="340">
        <v>96.852361846133277</v>
      </c>
      <c r="U33" s="340">
        <v>82.504733926693234</v>
      </c>
      <c r="V33" s="340">
        <v>90.570547978737153</v>
      </c>
      <c r="W33" s="340">
        <v>126.27307648581211</v>
      </c>
      <c r="X33" s="342">
        <v>61.825671842830303</v>
      </c>
      <c r="Y33" s="340">
        <v>19.154426668164184</v>
      </c>
      <c r="Z33" s="342">
        <v>86.489678566633486</v>
      </c>
      <c r="AA33" s="340">
        <v>76.605023996967489</v>
      </c>
      <c r="AB33" s="342">
        <v>78.098746768357046</v>
      </c>
      <c r="AC33" s="340">
        <v>236.65220452401971</v>
      </c>
      <c r="AD33" s="342">
        <v>338.76883113800585</v>
      </c>
      <c r="AE33" s="340">
        <v>94.739314085043588</v>
      </c>
      <c r="AF33" s="342">
        <v>95.722693623929118</v>
      </c>
      <c r="AG33" s="340">
        <v>70.735428153069734</v>
      </c>
      <c r="AH33" s="342">
        <v>85.08255048965728</v>
      </c>
      <c r="AI33" s="340">
        <v>136.57013553330376</v>
      </c>
      <c r="AJ33" s="342">
        <v>58.83505402333391</v>
      </c>
      <c r="AK33" s="340">
        <v>0</v>
      </c>
      <c r="AL33" s="340">
        <v>0</v>
      </c>
      <c r="AM33" s="343">
        <v>70.065548359665897</v>
      </c>
      <c r="AN33" s="340">
        <v>63.976956741827891</v>
      </c>
      <c r="AO33" s="340">
        <v>70.524419304272541</v>
      </c>
      <c r="AP33" s="344">
        <v>0</v>
      </c>
      <c r="AQ33" s="344">
        <v>52.546339608037464</v>
      </c>
      <c r="AR33" s="344">
        <v>0</v>
      </c>
      <c r="AS33" s="340">
        <v>210.93302157518616</v>
      </c>
      <c r="AT33" s="340">
        <v>0</v>
      </c>
      <c r="AU33" s="340">
        <v>0</v>
      </c>
      <c r="AV33" s="340">
        <v>74.451680169303017</v>
      </c>
      <c r="AW33" s="339">
        <v>30.175690379649541</v>
      </c>
      <c r="AX33" s="339">
        <v>132.56263368630039</v>
      </c>
      <c r="AY33" s="184">
        <v>136.44588570346133</v>
      </c>
      <c r="AZ33" s="184">
        <v>104.91935011830448</v>
      </c>
      <c r="BA33" s="331">
        <v>132.31015347920908</v>
      </c>
      <c r="BB33" s="339">
        <v>112.09029508355493</v>
      </c>
      <c r="BC33" s="339">
        <v>112.12177170817483</v>
      </c>
      <c r="BD33" s="339">
        <v>77.97649281112173</v>
      </c>
    </row>
    <row r="34" spans="1:56" x14ac:dyDescent="0.25">
      <c r="A34" s="11">
        <v>43191</v>
      </c>
      <c r="B34" s="332">
        <v>53.190611528449161</v>
      </c>
      <c r="C34" s="338">
        <v>50.343291978409226</v>
      </c>
      <c r="D34" s="339">
        <v>21.551201161637646</v>
      </c>
      <c r="E34" s="340">
        <v>61.018799341788927</v>
      </c>
      <c r="F34" s="340">
        <v>27.227410011027594</v>
      </c>
      <c r="G34" s="340">
        <v>149.56422055554424</v>
      </c>
      <c r="H34" s="340">
        <v>69.156328777001633</v>
      </c>
      <c r="I34" s="340">
        <v>74.347777356438016</v>
      </c>
      <c r="J34" s="341">
        <v>70.529615183023395</v>
      </c>
      <c r="K34" s="340">
        <v>59.621812629289728</v>
      </c>
      <c r="L34" s="340">
        <v>93.497931754894807</v>
      </c>
      <c r="M34" s="340">
        <v>15.550791082483636</v>
      </c>
      <c r="N34" s="340">
        <v>51.671024668929725</v>
      </c>
      <c r="O34" s="340">
        <v>72.053838462409942</v>
      </c>
      <c r="P34" s="340">
        <v>49.218404048311349</v>
      </c>
      <c r="Q34" s="340">
        <v>88.827361497073511</v>
      </c>
      <c r="R34" s="340">
        <v>71.039628078071033</v>
      </c>
      <c r="S34" s="340">
        <v>53.219960528707063</v>
      </c>
      <c r="T34" s="340">
        <v>93.505173129066932</v>
      </c>
      <c r="U34" s="340">
        <v>72.117533050657926</v>
      </c>
      <c r="V34" s="340">
        <v>81.553288918085997</v>
      </c>
      <c r="W34" s="340">
        <v>106.67612628066404</v>
      </c>
      <c r="X34" s="342">
        <v>53.893584521324712</v>
      </c>
      <c r="Y34" s="340">
        <v>42.121791074411739</v>
      </c>
      <c r="Z34" s="342">
        <v>78.621863403914929</v>
      </c>
      <c r="AA34" s="340">
        <v>59.1158843773594</v>
      </c>
      <c r="AB34" s="342">
        <v>85.412876245702194</v>
      </c>
      <c r="AC34" s="340">
        <v>197.54695803290974</v>
      </c>
      <c r="AD34" s="342">
        <v>318.49855957289793</v>
      </c>
      <c r="AE34" s="340">
        <v>83.440523414684193</v>
      </c>
      <c r="AF34" s="342">
        <v>76.768874368408191</v>
      </c>
      <c r="AG34" s="340">
        <v>59.09595522016501</v>
      </c>
      <c r="AH34" s="342">
        <v>74.063312727031274</v>
      </c>
      <c r="AI34" s="340">
        <v>117.48312176610247</v>
      </c>
      <c r="AJ34" s="342">
        <v>132.87745718620221</v>
      </c>
      <c r="AK34" s="340">
        <v>0</v>
      </c>
      <c r="AL34" s="340">
        <v>0</v>
      </c>
      <c r="AM34" s="343">
        <v>83.414031659673</v>
      </c>
      <c r="AN34" s="340">
        <v>78.177985408846254</v>
      </c>
      <c r="AO34" s="340">
        <v>53.222009236835966</v>
      </c>
      <c r="AP34" s="344">
        <v>0</v>
      </c>
      <c r="AQ34" s="344">
        <v>44.014234086325949</v>
      </c>
      <c r="AR34" s="344">
        <v>0</v>
      </c>
      <c r="AS34" s="340">
        <v>10.791272769082637</v>
      </c>
      <c r="AT34" s="340">
        <v>0</v>
      </c>
      <c r="AU34" s="340">
        <v>0</v>
      </c>
      <c r="AV34" s="340">
        <v>130.91675148041952</v>
      </c>
      <c r="AW34" s="339">
        <v>30.113475779747091</v>
      </c>
      <c r="AX34" s="339">
        <v>133.11207195288105</v>
      </c>
      <c r="AY34" s="184">
        <v>119.55613274134676</v>
      </c>
      <c r="AZ34" s="184">
        <v>216.82765745508104</v>
      </c>
      <c r="BA34" s="331">
        <v>87.339904357988928</v>
      </c>
      <c r="BB34" s="339">
        <v>67.381797868594177</v>
      </c>
      <c r="BC34" s="339">
        <v>85.171578038664791</v>
      </c>
      <c r="BD34" s="339">
        <v>69.629664755245926</v>
      </c>
    </row>
    <row r="35" spans="1:56" x14ac:dyDescent="0.25">
      <c r="A35" s="11">
        <v>43221</v>
      </c>
      <c r="B35" s="332">
        <v>60.560515725480521</v>
      </c>
      <c r="C35" s="338">
        <v>58.596647032999286</v>
      </c>
      <c r="D35" s="339">
        <v>26.344276412210046</v>
      </c>
      <c r="E35" s="340">
        <v>60.195475189835228</v>
      </c>
      <c r="F35" s="340">
        <v>43.22991025170996</v>
      </c>
      <c r="G35" s="340">
        <v>149.36940034686882</v>
      </c>
      <c r="H35" s="340">
        <v>67.011643220497618</v>
      </c>
      <c r="I35" s="340">
        <v>90.354595851522532</v>
      </c>
      <c r="J35" s="341">
        <v>85.599009906776885</v>
      </c>
      <c r="K35" s="340">
        <v>80.862283021170256</v>
      </c>
      <c r="L35" s="340">
        <v>115.37122228435651</v>
      </c>
      <c r="M35" s="340">
        <v>47.131430302216103</v>
      </c>
      <c r="N35" s="340">
        <v>59.80753845692027</v>
      </c>
      <c r="O35" s="340">
        <v>85.561882427402665</v>
      </c>
      <c r="P35" s="340">
        <v>57.725390157408732</v>
      </c>
      <c r="Q35" s="340">
        <v>90.070835801852951</v>
      </c>
      <c r="R35" s="340">
        <v>66.478783716612767</v>
      </c>
      <c r="S35" s="340">
        <v>58.658254629790818</v>
      </c>
      <c r="T35" s="340">
        <v>120.37146931347421</v>
      </c>
      <c r="U35" s="340">
        <v>90.46791605434268</v>
      </c>
      <c r="V35" s="340">
        <v>73.749142987933737</v>
      </c>
      <c r="W35" s="340">
        <v>129.89197765007651</v>
      </c>
      <c r="X35" s="342">
        <v>69.874236999894336</v>
      </c>
      <c r="Y35" s="340">
        <v>47.918123950950942</v>
      </c>
      <c r="Z35" s="342">
        <v>83.47413422171924</v>
      </c>
      <c r="AA35" s="340">
        <v>255.73130618325058</v>
      </c>
      <c r="AB35" s="342">
        <v>84.540308765299187</v>
      </c>
      <c r="AC35" s="340">
        <v>198.35686822972889</v>
      </c>
      <c r="AD35" s="342">
        <v>175.41631418249492</v>
      </c>
      <c r="AE35" s="340">
        <v>87.802985721254174</v>
      </c>
      <c r="AF35" s="342">
        <v>114.91996058880521</v>
      </c>
      <c r="AG35" s="340">
        <v>73.049590781019972</v>
      </c>
      <c r="AH35" s="342">
        <v>81.706285703201189</v>
      </c>
      <c r="AI35" s="340">
        <v>134.90102305041555</v>
      </c>
      <c r="AJ35" s="342">
        <v>76.44932455441797</v>
      </c>
      <c r="AK35" s="340">
        <v>0</v>
      </c>
      <c r="AL35" s="340">
        <v>0</v>
      </c>
      <c r="AM35" s="343">
        <v>68.410252593956571</v>
      </c>
      <c r="AN35" s="340">
        <v>52.312199708379872</v>
      </c>
      <c r="AO35" s="340">
        <v>52.786527545701468</v>
      </c>
      <c r="AP35" s="344">
        <v>0</v>
      </c>
      <c r="AQ35" s="344">
        <v>51.006300063663851</v>
      </c>
      <c r="AR35" s="344">
        <v>0</v>
      </c>
      <c r="AS35" s="340">
        <v>33.870326643305731</v>
      </c>
      <c r="AT35" s="340">
        <v>0</v>
      </c>
      <c r="AU35" s="340">
        <v>0</v>
      </c>
      <c r="AV35" s="340">
        <v>89.976786562902362</v>
      </c>
      <c r="AW35" s="339">
        <v>31.706332259471917</v>
      </c>
      <c r="AX35" s="339">
        <v>96.189892999200211</v>
      </c>
      <c r="AY35" s="184">
        <v>91.857287408019076</v>
      </c>
      <c r="AZ35" s="184">
        <v>121.79527908828057</v>
      </c>
      <c r="BA35" s="331">
        <v>67.334320772918261</v>
      </c>
      <c r="BB35" s="339">
        <v>35.234487119159972</v>
      </c>
      <c r="BC35" s="339">
        <v>124.9987793803782</v>
      </c>
      <c r="BD35" s="339">
        <v>58.725656682318586</v>
      </c>
    </row>
    <row r="36" spans="1:56" x14ac:dyDescent="0.25">
      <c r="A36" s="11">
        <v>43252</v>
      </c>
      <c r="B36" s="332">
        <v>55.389780622515801</v>
      </c>
      <c r="C36" s="338">
        <v>50.258502783643557</v>
      </c>
      <c r="D36" s="339">
        <v>26.667880204278617</v>
      </c>
      <c r="E36" s="340">
        <v>63.908745270548856</v>
      </c>
      <c r="F36" s="340">
        <v>44.670297671739235</v>
      </c>
      <c r="G36" s="340">
        <v>87.267904892570968</v>
      </c>
      <c r="H36" s="340">
        <v>66.393269063663368</v>
      </c>
      <c r="I36" s="340">
        <v>87.270087727637062</v>
      </c>
      <c r="J36" s="341">
        <v>72.049466716681636</v>
      </c>
      <c r="K36" s="340">
        <v>63.601475502459202</v>
      </c>
      <c r="L36" s="340">
        <v>105.74230928020822</v>
      </c>
      <c r="M36" s="340">
        <v>32.419918491575338</v>
      </c>
      <c r="N36" s="340">
        <v>65.749922135040777</v>
      </c>
      <c r="O36" s="340">
        <v>77.038217881770407</v>
      </c>
      <c r="P36" s="340">
        <v>57.399871507168783</v>
      </c>
      <c r="Q36" s="340">
        <v>81.684719337929096</v>
      </c>
      <c r="R36" s="340">
        <v>45.467585130787455</v>
      </c>
      <c r="S36" s="340">
        <v>54.433015283191168</v>
      </c>
      <c r="T36" s="340">
        <v>67.277050074332735</v>
      </c>
      <c r="U36" s="340">
        <v>73.233064458012109</v>
      </c>
      <c r="V36" s="340">
        <v>89.869632056904621</v>
      </c>
      <c r="W36" s="340">
        <v>102.57002224047847</v>
      </c>
      <c r="X36" s="342">
        <v>47.9464584119523</v>
      </c>
      <c r="Y36" s="340">
        <v>36.61057007652829</v>
      </c>
      <c r="Z36" s="342">
        <v>66.629566244216761</v>
      </c>
      <c r="AA36" s="340">
        <v>75.709945474789492</v>
      </c>
      <c r="AB36" s="342">
        <v>131.96577875723705</v>
      </c>
      <c r="AC36" s="340">
        <v>75.962649213351952</v>
      </c>
      <c r="AD36" s="342">
        <v>258.69854083497449</v>
      </c>
      <c r="AE36" s="340">
        <v>77.808073900074845</v>
      </c>
      <c r="AF36" s="342">
        <v>105.21433695829262</v>
      </c>
      <c r="AG36" s="340">
        <v>63.78486398965326</v>
      </c>
      <c r="AH36" s="342">
        <v>79.813072656320671</v>
      </c>
      <c r="AI36" s="340">
        <v>116.20923969779081</v>
      </c>
      <c r="AJ36" s="342">
        <v>78.590982822487945</v>
      </c>
      <c r="AK36" s="340">
        <v>0</v>
      </c>
      <c r="AL36" s="340">
        <v>0</v>
      </c>
      <c r="AM36" s="343">
        <v>70.091407963849832</v>
      </c>
      <c r="AN36" s="340">
        <v>55.592506900150703</v>
      </c>
      <c r="AO36" s="340">
        <v>74.29318956294621</v>
      </c>
      <c r="AP36" s="344">
        <v>0</v>
      </c>
      <c r="AQ36" s="344">
        <v>53.731048900561326</v>
      </c>
      <c r="AR36" s="344">
        <v>0</v>
      </c>
      <c r="AS36" s="340">
        <v>33.495979549244808</v>
      </c>
      <c r="AT36" s="340">
        <v>0</v>
      </c>
      <c r="AU36" s="340">
        <v>0</v>
      </c>
      <c r="AV36" s="340">
        <v>76.505975583154381</v>
      </c>
      <c r="AW36" s="339">
        <v>32.618723766006617</v>
      </c>
      <c r="AX36" s="339">
        <v>158.62295550812973</v>
      </c>
      <c r="AY36" s="184">
        <v>74.535671227541215</v>
      </c>
      <c r="AZ36" s="184">
        <v>692.22051172374688</v>
      </c>
      <c r="BA36" s="331">
        <v>145.37461877340485</v>
      </c>
      <c r="BB36" s="339">
        <v>120.84909875348831</v>
      </c>
      <c r="BC36" s="339">
        <v>121.51728776154566</v>
      </c>
      <c r="BD36" s="339">
        <v>99.333798190091613</v>
      </c>
    </row>
    <row r="37" spans="1:56" x14ac:dyDescent="0.25">
      <c r="A37" s="11">
        <v>43282</v>
      </c>
      <c r="B37" s="332">
        <v>57.849910930480171</v>
      </c>
      <c r="C37" s="338">
        <v>54.573303123208419</v>
      </c>
      <c r="D37" s="339">
        <v>20.259275291816301</v>
      </c>
      <c r="E37" s="340">
        <v>75.141742694343421</v>
      </c>
      <c r="F37" s="340">
        <v>22.939347969531479</v>
      </c>
      <c r="G37" s="340">
        <v>148.2600793631926</v>
      </c>
      <c r="H37" s="340">
        <v>69.007304257044254</v>
      </c>
      <c r="I37" s="340">
        <v>59.737153330541595</v>
      </c>
      <c r="J37" s="341">
        <v>77.133526016763597</v>
      </c>
      <c r="K37" s="340">
        <v>96.243576326730519</v>
      </c>
      <c r="L37" s="340">
        <v>132.56368998168907</v>
      </c>
      <c r="M37" s="340">
        <v>47.944440319975691</v>
      </c>
      <c r="N37" s="340">
        <v>55.274231828206744</v>
      </c>
      <c r="O37" s="340">
        <v>61.999005693860582</v>
      </c>
      <c r="P37" s="340">
        <v>62.883338514112488</v>
      </c>
      <c r="Q37" s="340">
        <v>92.786829357866523</v>
      </c>
      <c r="R37" s="340">
        <v>64.244879901372215</v>
      </c>
      <c r="S37" s="340">
        <v>55.27092791292867</v>
      </c>
      <c r="T37" s="340">
        <v>86.397138504404907</v>
      </c>
      <c r="U37" s="340">
        <v>69.778285391773935</v>
      </c>
      <c r="V37" s="340">
        <v>84.252650884740618</v>
      </c>
      <c r="W37" s="340">
        <v>145.26943354188904</v>
      </c>
      <c r="X37" s="342">
        <v>59.407086092030887</v>
      </c>
      <c r="Y37" s="340">
        <v>73.656284800759792</v>
      </c>
      <c r="Z37" s="342">
        <v>72.05468666415527</v>
      </c>
      <c r="AA37" s="340">
        <v>4.0792475440133291</v>
      </c>
      <c r="AB37" s="342">
        <v>125.01712161840146</v>
      </c>
      <c r="AC37" s="340">
        <v>219.75782086380744</v>
      </c>
      <c r="AD37" s="342">
        <v>234.54815628137405</v>
      </c>
      <c r="AE37" s="340">
        <v>90.779749196645824</v>
      </c>
      <c r="AF37" s="342">
        <v>119.6507400324444</v>
      </c>
      <c r="AG37" s="340">
        <v>66.712885667292952</v>
      </c>
      <c r="AH37" s="342">
        <v>80.540568941134566</v>
      </c>
      <c r="AI37" s="340">
        <v>123.53397485187173</v>
      </c>
      <c r="AJ37" s="342">
        <v>58.125449600557445</v>
      </c>
      <c r="AK37" s="340">
        <v>0</v>
      </c>
      <c r="AL37" s="340">
        <v>0</v>
      </c>
      <c r="AM37" s="343">
        <v>78.316894834860463</v>
      </c>
      <c r="AN37" s="340">
        <v>67.360764590737702</v>
      </c>
      <c r="AO37" s="340">
        <v>75.706883383542035</v>
      </c>
      <c r="AP37" s="344">
        <v>0</v>
      </c>
      <c r="AQ37" s="344">
        <v>54.636907891753296</v>
      </c>
      <c r="AR37" s="344">
        <v>0</v>
      </c>
      <c r="AS37" s="340">
        <v>93.013647344187774</v>
      </c>
      <c r="AT37" s="340">
        <v>0</v>
      </c>
      <c r="AU37" s="340">
        <v>0</v>
      </c>
      <c r="AV37" s="340">
        <v>92.96562400726647</v>
      </c>
      <c r="AW37" s="339">
        <v>29.679248527089236</v>
      </c>
      <c r="AX37" s="339">
        <v>129.43264518089089</v>
      </c>
      <c r="AY37" s="184">
        <v>111.94492276355177</v>
      </c>
      <c r="AZ37" s="184">
        <v>238.33643291207224</v>
      </c>
      <c r="BA37" s="331">
        <v>99.509628936669785</v>
      </c>
      <c r="BB37" s="339">
        <v>69.604651798338352</v>
      </c>
      <c r="BC37" s="339">
        <v>112.85792585015595</v>
      </c>
      <c r="BD37" s="339">
        <v>94.125666059922068</v>
      </c>
    </row>
    <row r="38" spans="1:56" x14ac:dyDescent="0.25">
      <c r="A38" s="11">
        <v>43313</v>
      </c>
      <c r="B38" s="332">
        <v>55.851853966826525</v>
      </c>
      <c r="C38" s="338">
        <v>52.734504982090591</v>
      </c>
      <c r="D38" s="339">
        <v>22.756105609650763</v>
      </c>
      <c r="E38" s="340">
        <v>67.882437297524405</v>
      </c>
      <c r="F38" s="340">
        <v>24.599083750512982</v>
      </c>
      <c r="G38" s="340">
        <v>161.46405114482567</v>
      </c>
      <c r="H38" s="340">
        <v>81.227985735242271</v>
      </c>
      <c r="I38" s="340">
        <v>52.172687685302392</v>
      </c>
      <c r="J38" s="341">
        <v>72.745843365782505</v>
      </c>
      <c r="K38" s="340">
        <v>83.772423750661716</v>
      </c>
      <c r="L38" s="340">
        <v>98.870221535082763</v>
      </c>
      <c r="M38" s="340">
        <v>37.766114894952402</v>
      </c>
      <c r="N38" s="340">
        <v>48.740842637966544</v>
      </c>
      <c r="O38" s="340">
        <v>65.2477974500882</v>
      </c>
      <c r="P38" s="340">
        <v>66.144895401192656</v>
      </c>
      <c r="Q38" s="340">
        <v>96.474126430094273</v>
      </c>
      <c r="R38" s="340">
        <v>63.74878871831524</v>
      </c>
      <c r="S38" s="340">
        <v>63.436692453200223</v>
      </c>
      <c r="T38" s="340">
        <v>74.577732748449691</v>
      </c>
      <c r="U38" s="340">
        <v>74.526561653366798</v>
      </c>
      <c r="V38" s="340">
        <v>110.13392071805117</v>
      </c>
      <c r="W38" s="340">
        <v>120.24639893327063</v>
      </c>
      <c r="X38" s="342">
        <v>71.431814288928621</v>
      </c>
      <c r="Y38" s="340">
        <v>50.087797767341407</v>
      </c>
      <c r="Z38" s="342">
        <v>64.378592188224843</v>
      </c>
      <c r="AA38" s="340">
        <v>2.7708421224167257</v>
      </c>
      <c r="AB38" s="342">
        <v>61.146886666850911</v>
      </c>
      <c r="AC38" s="340">
        <v>215.31519043817298</v>
      </c>
      <c r="AD38" s="342">
        <v>244.72526077304536</v>
      </c>
      <c r="AE38" s="340">
        <v>74.481085259262287</v>
      </c>
      <c r="AF38" s="342">
        <v>118.52733226190766</v>
      </c>
      <c r="AG38" s="340">
        <v>63.503522620408667</v>
      </c>
      <c r="AH38" s="342">
        <v>66.619605455910786</v>
      </c>
      <c r="AI38" s="340">
        <v>94.50901579990645</v>
      </c>
      <c r="AJ38" s="342">
        <v>76.550566385126146</v>
      </c>
      <c r="AK38" s="340">
        <v>0</v>
      </c>
      <c r="AL38" s="340">
        <v>0</v>
      </c>
      <c r="AM38" s="343">
        <v>68.895740117897105</v>
      </c>
      <c r="AN38" s="340">
        <v>56.130777206694766</v>
      </c>
      <c r="AO38" s="340">
        <v>64.458189424369777</v>
      </c>
      <c r="AP38" s="344">
        <v>0</v>
      </c>
      <c r="AQ38" s="344">
        <v>44.95289915404777</v>
      </c>
      <c r="AR38" s="344">
        <v>0</v>
      </c>
      <c r="AS38" s="340">
        <v>56.845594421450564</v>
      </c>
      <c r="AT38" s="340">
        <v>0</v>
      </c>
      <c r="AU38" s="340">
        <v>0</v>
      </c>
      <c r="AV38" s="340">
        <v>87.279607768189038</v>
      </c>
      <c r="AW38" s="339">
        <v>34.329539661233042</v>
      </c>
      <c r="AX38" s="339">
        <v>118.23718761071797</v>
      </c>
      <c r="AY38" s="184">
        <v>122.03824485341353</v>
      </c>
      <c r="AZ38" s="184">
        <v>91.426151452021571</v>
      </c>
      <c r="BA38" s="331">
        <v>94.914773975267124</v>
      </c>
      <c r="BB38" s="339">
        <v>65.198611712926706</v>
      </c>
      <c r="BC38" s="339">
        <v>125.05095759048668</v>
      </c>
      <c r="BD38" s="339">
        <v>72.848342582446833</v>
      </c>
    </row>
    <row r="39" spans="1:56" x14ac:dyDescent="0.25">
      <c r="A39" s="11">
        <v>43344</v>
      </c>
      <c r="B39" s="332">
        <v>54.484074376468349</v>
      </c>
      <c r="C39" s="338">
        <v>51.377646449840711</v>
      </c>
      <c r="D39" s="339">
        <v>25.414725686366957</v>
      </c>
      <c r="E39" s="340">
        <v>151.58768837517863</v>
      </c>
      <c r="F39" s="340">
        <v>40.33924544559968</v>
      </c>
      <c r="G39" s="340">
        <v>140.13940026157664</v>
      </c>
      <c r="H39" s="340">
        <v>61.660823526226537</v>
      </c>
      <c r="I39" s="340">
        <v>56.251420793441682</v>
      </c>
      <c r="J39" s="341">
        <v>71.920824982604046</v>
      </c>
      <c r="K39" s="340">
        <v>57.910664549235975</v>
      </c>
      <c r="L39" s="340">
        <v>86.406867385829969</v>
      </c>
      <c r="M39" s="340">
        <v>91.331166100143292</v>
      </c>
      <c r="N39" s="340">
        <v>59.60334523651273</v>
      </c>
      <c r="O39" s="340">
        <v>55.661362106667326</v>
      </c>
      <c r="P39" s="340">
        <v>70.141028012947416</v>
      </c>
      <c r="Q39" s="340">
        <v>100.55069130939245</v>
      </c>
      <c r="R39" s="340">
        <v>75.448713475210184</v>
      </c>
      <c r="S39" s="340">
        <v>61.070320707458151</v>
      </c>
      <c r="T39" s="340">
        <v>70.519744552917217</v>
      </c>
      <c r="U39" s="340">
        <v>75.319997248622599</v>
      </c>
      <c r="V39" s="340">
        <v>88.452568176615742</v>
      </c>
      <c r="W39" s="340">
        <v>98.665855126001986</v>
      </c>
      <c r="X39" s="342">
        <v>69.069877560058316</v>
      </c>
      <c r="Y39" s="340">
        <v>37.497890663139266</v>
      </c>
      <c r="Z39" s="342">
        <v>59.030889193883759</v>
      </c>
      <c r="AA39" s="340">
        <v>2.5747078185210106</v>
      </c>
      <c r="AB39" s="342">
        <v>87.715270829231557</v>
      </c>
      <c r="AC39" s="340">
        <v>139.9576949043491</v>
      </c>
      <c r="AD39" s="342">
        <v>225.17745710997019</v>
      </c>
      <c r="AE39" s="340">
        <v>65.598957747018034</v>
      </c>
      <c r="AF39" s="342">
        <v>96.660614470702527</v>
      </c>
      <c r="AG39" s="340">
        <v>70.92213464059914</v>
      </c>
      <c r="AH39" s="342">
        <v>71.836910505114545</v>
      </c>
      <c r="AI39" s="340">
        <v>82.088608833005068</v>
      </c>
      <c r="AJ39" s="342">
        <v>74.438094319180749</v>
      </c>
      <c r="AK39" s="340">
        <v>0</v>
      </c>
      <c r="AL39" s="340">
        <v>0</v>
      </c>
      <c r="AM39" s="343">
        <v>57.687574549002981</v>
      </c>
      <c r="AN39" s="340">
        <v>80.508710100081245</v>
      </c>
      <c r="AO39" s="340">
        <v>44.719024187430385</v>
      </c>
      <c r="AP39" s="344">
        <v>0</v>
      </c>
      <c r="AQ39" s="344">
        <v>41.91744434731654</v>
      </c>
      <c r="AR39" s="344">
        <v>0</v>
      </c>
      <c r="AS39" s="340">
        <v>44.418442108934308</v>
      </c>
      <c r="AT39" s="340">
        <v>0</v>
      </c>
      <c r="AU39" s="340">
        <v>0</v>
      </c>
      <c r="AV39" s="340">
        <v>67.951347442368757</v>
      </c>
      <c r="AW39" s="339">
        <v>36.750437922132136</v>
      </c>
      <c r="AX39" s="339">
        <v>114.56043979853251</v>
      </c>
      <c r="AY39" s="184">
        <v>115.42504517252362</v>
      </c>
      <c r="AZ39" s="184">
        <v>106.58113524473734</v>
      </c>
      <c r="BA39" s="331">
        <v>94.233977539992352</v>
      </c>
      <c r="BB39" s="339">
        <v>70.465813149075515</v>
      </c>
      <c r="BC39" s="339">
        <v>100.89471049719292</v>
      </c>
      <c r="BD39" s="339">
        <v>74.400363316284043</v>
      </c>
    </row>
    <row r="40" spans="1:56" x14ac:dyDescent="0.25">
      <c r="A40" s="11">
        <v>43374</v>
      </c>
      <c r="B40" s="332">
        <v>57.740677616201467</v>
      </c>
      <c r="C40" s="338">
        <v>54.799073697078093</v>
      </c>
      <c r="D40" s="339">
        <v>23.409872199614728</v>
      </c>
      <c r="E40" s="340">
        <v>148.05137255346264</v>
      </c>
      <c r="F40" s="340">
        <v>33.576644396034652</v>
      </c>
      <c r="G40" s="340">
        <v>93.374070176320757</v>
      </c>
      <c r="H40" s="340">
        <v>63.096639904202007</v>
      </c>
      <c r="I40" s="340">
        <v>54.499291665858706</v>
      </c>
      <c r="J40" s="341">
        <v>76.544862604822157</v>
      </c>
      <c r="K40" s="340">
        <v>75.446719724843263</v>
      </c>
      <c r="L40" s="340">
        <v>91.485007345276429</v>
      </c>
      <c r="M40" s="340">
        <v>42.138477438317928</v>
      </c>
      <c r="N40" s="340">
        <v>51.705072806920739</v>
      </c>
      <c r="O40" s="340">
        <v>54.09290577219933</v>
      </c>
      <c r="P40" s="340">
        <v>72.583560446007496</v>
      </c>
      <c r="Q40" s="340">
        <v>87.461605173926827</v>
      </c>
      <c r="R40" s="340">
        <v>77.197917420681989</v>
      </c>
      <c r="S40" s="340">
        <v>57.694457076099162</v>
      </c>
      <c r="T40" s="340">
        <v>113.95998098086541</v>
      </c>
      <c r="U40" s="340">
        <v>77.174766854336767</v>
      </c>
      <c r="V40" s="340">
        <v>103.30895676534099</v>
      </c>
      <c r="W40" s="340">
        <v>113.44675544572048</v>
      </c>
      <c r="X40" s="342">
        <v>68.473384549461016</v>
      </c>
      <c r="Y40" s="340">
        <v>42.482857650745885</v>
      </c>
      <c r="Z40" s="342">
        <v>72.379888974497788</v>
      </c>
      <c r="AA40" s="340">
        <v>4.4881872489660353</v>
      </c>
      <c r="AB40" s="342">
        <v>106.74049812505328</v>
      </c>
      <c r="AC40" s="340">
        <v>180.09669586755163</v>
      </c>
      <c r="AD40" s="342">
        <v>267.57512835907033</v>
      </c>
      <c r="AE40" s="340">
        <v>82.594110456104147</v>
      </c>
      <c r="AF40" s="342">
        <v>88.968958842999555</v>
      </c>
      <c r="AG40" s="340">
        <v>78.333709221562827</v>
      </c>
      <c r="AH40" s="342">
        <v>73.814215031232052</v>
      </c>
      <c r="AI40" s="340">
        <v>95.70466267068862</v>
      </c>
      <c r="AJ40" s="342">
        <v>174.46735431221509</v>
      </c>
      <c r="AK40" s="340">
        <v>0</v>
      </c>
      <c r="AL40" s="340">
        <v>0</v>
      </c>
      <c r="AM40" s="343">
        <v>74.233911856214988</v>
      </c>
      <c r="AN40" s="340">
        <v>72.592656031125472</v>
      </c>
      <c r="AO40" s="340">
        <v>55.203713515425093</v>
      </c>
      <c r="AP40" s="344">
        <v>0</v>
      </c>
      <c r="AQ40" s="344">
        <v>63.647435317886043</v>
      </c>
      <c r="AR40" s="344">
        <v>0</v>
      </c>
      <c r="AS40" s="340">
        <v>100.20709582342131</v>
      </c>
      <c r="AT40" s="340">
        <v>0</v>
      </c>
      <c r="AU40" s="340">
        <v>0</v>
      </c>
      <c r="AV40" s="340">
        <v>86.675744593999838</v>
      </c>
      <c r="AW40" s="339">
        <v>39.117372646193452</v>
      </c>
      <c r="AX40" s="339">
        <v>133.58059366694252</v>
      </c>
      <c r="AY40" s="184">
        <v>133.72993529934362</v>
      </c>
      <c r="AZ40" s="184">
        <v>129.76107532309248</v>
      </c>
      <c r="BA40" s="331">
        <v>91.060667538880423</v>
      </c>
      <c r="BB40" s="339">
        <v>60.728372822266465</v>
      </c>
      <c r="BC40" s="339">
        <v>108.05867550525358</v>
      </c>
      <c r="BD40" s="339">
        <v>94.575233214155304</v>
      </c>
    </row>
    <row r="41" spans="1:56" x14ac:dyDescent="0.25">
      <c r="A41" s="11">
        <v>43405</v>
      </c>
      <c r="B41" s="332">
        <v>52.467570698167144</v>
      </c>
      <c r="C41" s="338">
        <v>49.755558607181598</v>
      </c>
      <c r="D41" s="339">
        <v>23.469981443108008</v>
      </c>
      <c r="E41" s="340">
        <v>82.160811784917797</v>
      </c>
      <c r="F41" s="340">
        <v>29.232393100783757</v>
      </c>
      <c r="G41" s="340">
        <v>414.59248923479623</v>
      </c>
      <c r="H41" s="340">
        <v>73.190062531301706</v>
      </c>
      <c r="I41" s="340">
        <v>97.240295287630062</v>
      </c>
      <c r="J41" s="341">
        <v>68.378447556765551</v>
      </c>
      <c r="K41" s="340">
        <v>82.731769979305028</v>
      </c>
      <c r="L41" s="340">
        <v>65.974431865115562</v>
      </c>
      <c r="M41" s="340">
        <v>47.821370170939076</v>
      </c>
      <c r="N41" s="340">
        <v>53.090081840557971</v>
      </c>
      <c r="O41" s="340">
        <v>64.712247462268593</v>
      </c>
      <c r="P41" s="340">
        <v>76.111337293320886</v>
      </c>
      <c r="Q41" s="340">
        <v>82.19491078460112</v>
      </c>
      <c r="R41" s="340">
        <v>86.336768299517018</v>
      </c>
      <c r="S41" s="340">
        <v>71.861035658005108</v>
      </c>
      <c r="T41" s="340">
        <v>58.3830916972342</v>
      </c>
      <c r="U41" s="340">
        <v>80.907666564414114</v>
      </c>
      <c r="V41" s="340">
        <v>86.179839150961001</v>
      </c>
      <c r="W41" s="340">
        <v>112.27161279743275</v>
      </c>
      <c r="X41" s="342">
        <v>52.877186644020668</v>
      </c>
      <c r="Y41" s="340">
        <v>31.721077270593504</v>
      </c>
      <c r="Z41" s="342">
        <v>71.757332186591299</v>
      </c>
      <c r="AA41" s="340">
        <v>46.000991123142441</v>
      </c>
      <c r="AB41" s="342">
        <v>152.0471161751442</v>
      </c>
      <c r="AC41" s="340">
        <v>142.51250178095438</v>
      </c>
      <c r="AD41" s="342">
        <v>263.24710225857132</v>
      </c>
      <c r="AE41" s="340">
        <v>86.56143257791939</v>
      </c>
      <c r="AF41" s="342">
        <v>88.017952168490339</v>
      </c>
      <c r="AG41" s="340">
        <v>83.52821404557055</v>
      </c>
      <c r="AH41" s="342">
        <v>81.953362887603291</v>
      </c>
      <c r="AI41" s="340">
        <v>100.69349093217068</v>
      </c>
      <c r="AJ41" s="342">
        <v>97.572469393783678</v>
      </c>
      <c r="AK41" s="340">
        <v>0</v>
      </c>
      <c r="AL41" s="340">
        <v>0</v>
      </c>
      <c r="AM41" s="343">
        <v>77.015095181948709</v>
      </c>
      <c r="AN41" s="340">
        <v>71.919000515649728</v>
      </c>
      <c r="AO41" s="340">
        <v>55.875561054606656</v>
      </c>
      <c r="AP41" s="344">
        <v>0</v>
      </c>
      <c r="AQ41" s="344">
        <v>75.629741908977863</v>
      </c>
      <c r="AR41" s="344">
        <v>0</v>
      </c>
      <c r="AS41" s="340">
        <v>199.28069878740251</v>
      </c>
      <c r="AT41" s="340">
        <v>0</v>
      </c>
      <c r="AU41" s="340">
        <v>0</v>
      </c>
      <c r="AV41" s="340">
        <v>81.120163932294005</v>
      </c>
      <c r="AW41" s="339">
        <v>37.755361800554027</v>
      </c>
      <c r="AX41" s="339">
        <v>115.32099662650241</v>
      </c>
      <c r="AY41" s="184">
        <v>112.33058485660563</v>
      </c>
      <c r="AZ41" s="184">
        <v>131.94439494095852</v>
      </c>
      <c r="BA41" s="331">
        <v>83.725650417775412</v>
      </c>
      <c r="BB41" s="339">
        <v>35.56199559634009</v>
      </c>
      <c r="BC41" s="339">
        <v>92.894476852410008</v>
      </c>
      <c r="BD41" s="339">
        <v>196.0441081975905</v>
      </c>
    </row>
    <row r="42" spans="1:56" x14ac:dyDescent="0.25">
      <c r="A42" s="11">
        <v>43435</v>
      </c>
      <c r="B42" s="332">
        <v>62.131591512834369</v>
      </c>
      <c r="C42" s="338">
        <v>55.385353889461605</v>
      </c>
      <c r="D42" s="339">
        <v>32.503483578206882</v>
      </c>
      <c r="E42" s="345">
        <v>278.44187896346205</v>
      </c>
      <c r="F42" s="345">
        <v>47.198274997832236</v>
      </c>
      <c r="G42" s="345">
        <v>222.55167018341493</v>
      </c>
      <c r="H42" s="345">
        <v>79.997431018306557</v>
      </c>
      <c r="I42" s="345">
        <v>117.7180535695383</v>
      </c>
      <c r="J42" s="341">
        <v>75.284156622010997</v>
      </c>
      <c r="K42" s="345">
        <v>90.209102149355459</v>
      </c>
      <c r="L42" s="345">
        <v>75.652996700399271</v>
      </c>
      <c r="M42" s="345">
        <v>103.05557177489545</v>
      </c>
      <c r="N42" s="345">
        <v>72.841679825364764</v>
      </c>
      <c r="O42" s="345">
        <v>61.859588967461107</v>
      </c>
      <c r="P42" s="345">
        <v>82.700528513930479</v>
      </c>
      <c r="Q42" s="345">
        <v>82.094499433845655</v>
      </c>
      <c r="R42" s="345">
        <v>77.404461099266967</v>
      </c>
      <c r="S42" s="345">
        <v>81.462813447480585</v>
      </c>
      <c r="T42" s="345">
        <v>53.30842242257355</v>
      </c>
      <c r="U42" s="345">
        <v>78.319518728501905</v>
      </c>
      <c r="V42" s="345">
        <v>81.92122748711698</v>
      </c>
      <c r="W42" s="345">
        <v>139.94728814009471</v>
      </c>
      <c r="X42" s="342">
        <v>63.138915763946358</v>
      </c>
      <c r="Y42" s="345">
        <v>28.420868017193136</v>
      </c>
      <c r="Z42" s="342">
        <v>75.867554688063251</v>
      </c>
      <c r="AA42" s="345">
        <v>133.65549570411335</v>
      </c>
      <c r="AB42" s="342">
        <v>118.32402720931879</v>
      </c>
      <c r="AC42" s="345">
        <v>192.53518409669644</v>
      </c>
      <c r="AD42" s="342">
        <v>238.02338147416066</v>
      </c>
      <c r="AE42" s="345">
        <v>96.501357101893291</v>
      </c>
      <c r="AF42" s="342">
        <v>89.997025895466138</v>
      </c>
      <c r="AG42" s="345">
        <v>81.35895099307362</v>
      </c>
      <c r="AH42" s="342">
        <v>97.215187172944724</v>
      </c>
      <c r="AI42" s="345">
        <v>112.0527575547009</v>
      </c>
      <c r="AJ42" s="342">
        <v>85.812336471413644</v>
      </c>
      <c r="AK42" s="345">
        <v>0</v>
      </c>
      <c r="AL42" s="345">
        <v>0</v>
      </c>
      <c r="AM42" s="343">
        <v>76.457737801640405</v>
      </c>
      <c r="AN42" s="345">
        <v>71.55996290461006</v>
      </c>
      <c r="AO42" s="345">
        <v>49.581513890690026</v>
      </c>
      <c r="AP42" s="346">
        <v>0</v>
      </c>
      <c r="AQ42" s="346">
        <v>73.484553470563611</v>
      </c>
      <c r="AR42" s="346">
        <v>0</v>
      </c>
      <c r="AS42" s="345">
        <v>453.35932734920425</v>
      </c>
      <c r="AT42" s="345">
        <v>0</v>
      </c>
      <c r="AU42" s="345">
        <v>0</v>
      </c>
      <c r="AV42" s="345">
        <v>80.655424098265499</v>
      </c>
      <c r="AW42" s="339">
        <v>36.95589400123626</v>
      </c>
      <c r="AX42" s="339">
        <v>114.21463157291757</v>
      </c>
      <c r="AY42" s="184">
        <v>118.29086798017805</v>
      </c>
      <c r="AZ42" s="184">
        <v>85.732536873996111</v>
      </c>
      <c r="BA42" s="331">
        <v>187.95147609414232</v>
      </c>
      <c r="BB42" s="339">
        <v>145.24038886016388</v>
      </c>
      <c r="BC42" s="339">
        <v>134.41523187358237</v>
      </c>
      <c r="BD42" s="339">
        <v>212.81058617568425</v>
      </c>
    </row>
    <row r="43" spans="1:56" x14ac:dyDescent="0.25">
      <c r="A43" s="11">
        <v>43466</v>
      </c>
      <c r="B43" s="332">
        <v>55.022209968626612</v>
      </c>
      <c r="C43" s="338">
        <v>51.510811347076547</v>
      </c>
      <c r="D43" s="339">
        <v>23.010519803086403</v>
      </c>
      <c r="E43" s="345">
        <v>165.7625914102039</v>
      </c>
      <c r="F43" s="345">
        <v>29.933170121094246</v>
      </c>
      <c r="G43" s="345">
        <v>194.31315927488365</v>
      </c>
      <c r="H43" s="345">
        <v>65.925097674097699</v>
      </c>
      <c r="I43" s="345">
        <v>49.93463406396198</v>
      </c>
      <c r="J43" s="341">
        <v>70.367269227122918</v>
      </c>
      <c r="K43" s="345">
        <v>85.989285783347071</v>
      </c>
      <c r="L43" s="345">
        <v>86.966937488945405</v>
      </c>
      <c r="M43" s="345">
        <v>51.06962213383764</v>
      </c>
      <c r="N43" s="345">
        <v>46.816110338904998</v>
      </c>
      <c r="O43" s="345">
        <v>64.802903342543416</v>
      </c>
      <c r="P43" s="345">
        <v>57.311343710158404</v>
      </c>
      <c r="Q43" s="345">
        <v>96.264804337732073</v>
      </c>
      <c r="R43" s="345">
        <v>79.839843422236598</v>
      </c>
      <c r="S43" s="345">
        <v>56.965012613510694</v>
      </c>
      <c r="T43" s="345">
        <v>90.599116489119737</v>
      </c>
      <c r="U43" s="345">
        <v>70.870567343154136</v>
      </c>
      <c r="V43" s="345">
        <v>78.109472626512968</v>
      </c>
      <c r="W43" s="345">
        <v>105.95253623257358</v>
      </c>
      <c r="X43" s="342">
        <v>50.050867385353122</v>
      </c>
      <c r="Y43" s="345">
        <v>47.090729210955018</v>
      </c>
      <c r="Z43" s="342">
        <v>84.379995615877348</v>
      </c>
      <c r="AA43" s="345">
        <v>148.90014945032084</v>
      </c>
      <c r="AB43" s="342">
        <v>99.91814694705397</v>
      </c>
      <c r="AC43" s="345">
        <v>235.27229189369919</v>
      </c>
      <c r="AD43" s="342">
        <v>198.51176309854827</v>
      </c>
      <c r="AE43" s="345">
        <v>96.015993853205785</v>
      </c>
      <c r="AF43" s="342">
        <v>73.480460553352088</v>
      </c>
      <c r="AG43" s="345">
        <v>70.344458245223592</v>
      </c>
      <c r="AH43" s="342">
        <v>81.641573932971937</v>
      </c>
      <c r="AI43" s="345">
        <v>121.17356357320071</v>
      </c>
      <c r="AJ43" s="342">
        <v>53.561951168885322</v>
      </c>
      <c r="AK43" s="345">
        <v>0</v>
      </c>
      <c r="AL43" s="345">
        <v>0</v>
      </c>
      <c r="AM43" s="343">
        <v>66.205334334660066</v>
      </c>
      <c r="AN43" s="345">
        <v>50.478491692610156</v>
      </c>
      <c r="AO43" s="345">
        <v>60.380410942021975</v>
      </c>
      <c r="AP43" s="346">
        <v>0</v>
      </c>
      <c r="AQ43" s="346">
        <v>70.297067789663558</v>
      </c>
      <c r="AR43" s="346">
        <v>0</v>
      </c>
      <c r="AS43" s="345">
        <v>9.0608937536320671</v>
      </c>
      <c r="AT43" s="345">
        <v>0</v>
      </c>
      <c r="AU43" s="345">
        <v>0</v>
      </c>
      <c r="AV43" s="345">
        <v>62.516899565990784</v>
      </c>
      <c r="AW43" s="339">
        <v>34.729054485643267</v>
      </c>
      <c r="AX43" s="339">
        <v>122.17168568058287</v>
      </c>
      <c r="AY43" s="184">
        <v>109.65788507912902</v>
      </c>
      <c r="AZ43" s="184">
        <v>199.46664709618153</v>
      </c>
      <c r="BA43" s="331">
        <v>104.56820049057973</v>
      </c>
      <c r="BB43" s="339">
        <v>76.518380090436679</v>
      </c>
      <c r="BC43" s="339">
        <v>96.237661145455306</v>
      </c>
      <c r="BD43" s="339">
        <v>111.5093986165619</v>
      </c>
    </row>
    <row r="44" spans="1:56" x14ac:dyDescent="0.25">
      <c r="A44" s="11">
        <v>43497</v>
      </c>
      <c r="B44" s="332">
        <v>52.773596721952032</v>
      </c>
      <c r="C44" s="338">
        <v>49.067294398428501</v>
      </c>
      <c r="D44" s="334">
        <v>26.068169579469092</v>
      </c>
      <c r="E44" s="191">
        <v>173.78468534017716</v>
      </c>
      <c r="F44" s="191">
        <v>42.892497380852724</v>
      </c>
      <c r="G44" s="191">
        <v>257.5326475746341</v>
      </c>
      <c r="H44" s="191">
        <v>58.516960202699906</v>
      </c>
      <c r="I44" s="191">
        <v>57.082718327079803</v>
      </c>
      <c r="J44" s="335">
        <v>63.458255857236146</v>
      </c>
      <c r="K44" s="191">
        <v>65.087450410910222</v>
      </c>
      <c r="L44" s="191">
        <v>86.979754339355921</v>
      </c>
      <c r="M44" s="191">
        <v>29.15515964266687</v>
      </c>
      <c r="N44" s="191">
        <v>67.391170982265422</v>
      </c>
      <c r="O44" s="191">
        <v>60.220799101023253</v>
      </c>
      <c r="P44" s="191">
        <v>60.603612459101541</v>
      </c>
      <c r="Q44" s="191">
        <v>95.168220756051952</v>
      </c>
      <c r="R44" s="191">
        <v>63.143084218843235</v>
      </c>
      <c r="S44" s="191">
        <v>51.984037320682596</v>
      </c>
      <c r="T44" s="191">
        <v>38.40009336884561</v>
      </c>
      <c r="U44" s="191">
        <v>70.25859216609156</v>
      </c>
      <c r="V44" s="191">
        <v>71.673925753624417</v>
      </c>
      <c r="W44" s="191">
        <v>118.86090350563704</v>
      </c>
      <c r="X44" s="336">
        <v>43.004105527930584</v>
      </c>
      <c r="Y44" s="191">
        <v>54.623950208921464</v>
      </c>
      <c r="Z44" s="336">
        <v>75.028891026976893</v>
      </c>
      <c r="AA44" s="191">
        <v>164.14480319652824</v>
      </c>
      <c r="AB44" s="336">
        <v>63.003018180584256</v>
      </c>
      <c r="AC44" s="191">
        <v>149.88558576457675</v>
      </c>
      <c r="AD44" s="336">
        <v>266.59137610964177</v>
      </c>
      <c r="AE44" s="191">
        <v>91.135743765624937</v>
      </c>
      <c r="AF44" s="336">
        <v>109.53751882043733</v>
      </c>
      <c r="AG44" s="191">
        <v>75.574943375240423</v>
      </c>
      <c r="AH44" s="336">
        <v>85.916235642004864</v>
      </c>
      <c r="AI44" s="191">
        <v>111.03854368159462</v>
      </c>
      <c r="AJ44" s="336">
        <v>81.321270218351529</v>
      </c>
      <c r="AK44" s="191">
        <v>0</v>
      </c>
      <c r="AL44" s="191">
        <v>0</v>
      </c>
      <c r="AM44" s="337">
        <v>64.40946281851754</v>
      </c>
      <c r="AN44" s="191">
        <v>50.673936098413691</v>
      </c>
      <c r="AO44" s="191">
        <v>52.92937832437034</v>
      </c>
      <c r="AP44" s="191">
        <v>0</v>
      </c>
      <c r="AQ44" s="191">
        <v>52.857633174322551</v>
      </c>
      <c r="AR44" s="191">
        <v>0</v>
      </c>
      <c r="AS44" s="191">
        <v>9.5231348612559259</v>
      </c>
      <c r="AT44" s="191">
        <v>0</v>
      </c>
      <c r="AU44" s="191">
        <v>0</v>
      </c>
      <c r="AV44" s="191">
        <v>78.311566966890766</v>
      </c>
      <c r="AW44" s="334">
        <v>32.558146367393178</v>
      </c>
      <c r="AX44" s="334">
        <v>98.047998999932076</v>
      </c>
      <c r="AY44" s="184">
        <v>94.979079436588435</v>
      </c>
      <c r="AZ44" s="184">
        <v>115.54333450052327</v>
      </c>
      <c r="BA44" s="331">
        <v>108.79673347733394</v>
      </c>
      <c r="BB44" s="334">
        <v>75.715650419992571</v>
      </c>
      <c r="BC44" s="334">
        <v>119.53444855006282</v>
      </c>
      <c r="BD44" s="334">
        <v>109.88348558317</v>
      </c>
    </row>
    <row r="45" spans="1:56" x14ac:dyDescent="0.25">
      <c r="A45" s="11">
        <v>43525</v>
      </c>
      <c r="B45" s="332">
        <v>60.562969293444247</v>
      </c>
      <c r="C45" s="338">
        <v>55.947117822028297</v>
      </c>
      <c r="D45" s="334">
        <v>28.175992420642714</v>
      </c>
      <c r="E45" s="191">
        <v>78.356598645318428</v>
      </c>
      <c r="F45" s="191">
        <v>57.143500835760214</v>
      </c>
      <c r="G45" s="191">
        <v>263.58691786360981</v>
      </c>
      <c r="H45" s="191">
        <v>50.867325528784512</v>
      </c>
      <c r="I45" s="191">
        <v>46.188691056514152</v>
      </c>
      <c r="J45" s="335">
        <v>73.949883134021434</v>
      </c>
      <c r="K45" s="191">
        <v>73.577421879730707</v>
      </c>
      <c r="L45" s="191">
        <v>98.539693995025218</v>
      </c>
      <c r="M45" s="191">
        <v>71.816746168125093</v>
      </c>
      <c r="N45" s="191">
        <v>70.175504463183174</v>
      </c>
      <c r="O45" s="191">
        <v>69.465624042277042</v>
      </c>
      <c r="P45" s="191">
        <v>60.629370020713814</v>
      </c>
      <c r="Q45" s="191">
        <v>89.238823535506725</v>
      </c>
      <c r="R45" s="191">
        <v>76.982553718994865</v>
      </c>
      <c r="S45" s="191">
        <v>73.921398667641753</v>
      </c>
      <c r="T45" s="191">
        <v>48.599504147277038</v>
      </c>
      <c r="U45" s="191">
        <v>79.811224632994481</v>
      </c>
      <c r="V45" s="191">
        <v>86.140246464183164</v>
      </c>
      <c r="W45" s="191">
        <v>115.35911277608473</v>
      </c>
      <c r="X45" s="336">
        <v>57.525409180969987</v>
      </c>
      <c r="Y45" s="191">
        <v>67.696766031187181</v>
      </c>
      <c r="Z45" s="336">
        <v>79.995768980114732</v>
      </c>
      <c r="AA45" s="191">
        <v>12.111620614640657</v>
      </c>
      <c r="AB45" s="336">
        <v>90.303637673253732</v>
      </c>
      <c r="AC45" s="191">
        <v>146.60490580300086</v>
      </c>
      <c r="AD45" s="336">
        <v>203.65866316356809</v>
      </c>
      <c r="AE45" s="191">
        <v>92.90757296421549</v>
      </c>
      <c r="AF45" s="336">
        <v>67.713214629163517</v>
      </c>
      <c r="AG45" s="191">
        <v>82.518301020957708</v>
      </c>
      <c r="AH45" s="336">
        <v>87.657496602972813</v>
      </c>
      <c r="AI45" s="191">
        <v>117.37196594180493</v>
      </c>
      <c r="AJ45" s="336">
        <v>92.454466840396307</v>
      </c>
      <c r="AK45" s="191">
        <v>0</v>
      </c>
      <c r="AL45" s="191">
        <v>0</v>
      </c>
      <c r="AM45" s="337">
        <v>63.693581253380842</v>
      </c>
      <c r="AN45" s="191">
        <v>48.476399385653707</v>
      </c>
      <c r="AO45" s="191">
        <v>65.187640996030368</v>
      </c>
      <c r="AP45" s="191">
        <v>0</v>
      </c>
      <c r="AQ45" s="191">
        <v>62.72118658849115</v>
      </c>
      <c r="AR45" s="191">
        <v>0</v>
      </c>
      <c r="AS45" s="191">
        <v>7.3263345472986554</v>
      </c>
      <c r="AT45" s="191">
        <v>0</v>
      </c>
      <c r="AU45" s="191">
        <v>0</v>
      </c>
      <c r="AV45" s="191">
        <v>59.681088432805758</v>
      </c>
      <c r="AW45" s="334">
        <v>35.981806156619513</v>
      </c>
      <c r="AX45" s="334">
        <v>108.97877618206387</v>
      </c>
      <c r="AY45" s="184">
        <v>103.80696036210243</v>
      </c>
      <c r="AZ45" s="184">
        <v>139.66918241853335</v>
      </c>
      <c r="BA45" s="331">
        <v>133.96240656809826</v>
      </c>
      <c r="BB45" s="334">
        <v>119.993471245232</v>
      </c>
      <c r="BC45" s="334">
        <v>80.593965761342091</v>
      </c>
      <c r="BD45" s="334">
        <v>89.902860705927353</v>
      </c>
    </row>
    <row r="46" spans="1:56" x14ac:dyDescent="0.25">
      <c r="A46" s="11">
        <v>43556</v>
      </c>
      <c r="B46" s="347">
        <v>54.950413966522234</v>
      </c>
      <c r="C46" s="338">
        <v>52.757342419983559</v>
      </c>
      <c r="D46" s="334">
        <v>19.341845571930808</v>
      </c>
      <c r="E46" s="191">
        <v>31.116549202859947</v>
      </c>
      <c r="F46" s="191">
        <v>25.623099640245986</v>
      </c>
      <c r="G46" s="191">
        <v>292.24241998909054</v>
      </c>
      <c r="H46" s="191">
        <v>60.654518218161918</v>
      </c>
      <c r="I46" s="191">
        <v>61.856142462426874</v>
      </c>
      <c r="J46" s="335">
        <v>80.578570699266635</v>
      </c>
      <c r="K46" s="191">
        <v>80.975231466576062</v>
      </c>
      <c r="L46" s="191">
        <v>112.30711208717203</v>
      </c>
      <c r="M46" s="191">
        <v>56.662806233059413</v>
      </c>
      <c r="N46" s="191">
        <v>61.96593509745491</v>
      </c>
      <c r="O46" s="191">
        <v>80.765401821915788</v>
      </c>
      <c r="P46" s="191">
        <v>67.760448861272636</v>
      </c>
      <c r="Q46" s="191">
        <v>76.106597308205735</v>
      </c>
      <c r="R46" s="191">
        <v>69.651046638108582</v>
      </c>
      <c r="S46" s="191">
        <v>68.747134772838734</v>
      </c>
      <c r="T46" s="191">
        <v>81.618032559386734</v>
      </c>
      <c r="U46" s="191">
        <v>84.530160589961312</v>
      </c>
      <c r="V46" s="191">
        <v>83.549690187381429</v>
      </c>
      <c r="W46" s="191">
        <v>129.56523418594153</v>
      </c>
      <c r="X46" s="336">
        <v>41.644826366699775</v>
      </c>
      <c r="Y46" s="191">
        <v>58.280940424536048</v>
      </c>
      <c r="Z46" s="336">
        <v>73.437583884849687</v>
      </c>
      <c r="AA46" s="191">
        <v>113.9080292304734</v>
      </c>
      <c r="AB46" s="336">
        <v>73.745434997112866</v>
      </c>
      <c r="AC46" s="191">
        <v>199.70007878096811</v>
      </c>
      <c r="AD46" s="336">
        <v>210.5569490903226</v>
      </c>
      <c r="AE46" s="191">
        <v>86.66032972684917</v>
      </c>
      <c r="AF46" s="336">
        <v>91.842622438584399</v>
      </c>
      <c r="AG46" s="191">
        <v>81.316480895554037</v>
      </c>
      <c r="AH46" s="336">
        <v>91.939197071821781</v>
      </c>
      <c r="AI46" s="191">
        <v>119.92404057185139</v>
      </c>
      <c r="AJ46" s="336">
        <v>51.615096612573183</v>
      </c>
      <c r="AK46" s="191">
        <v>0</v>
      </c>
      <c r="AL46" s="191">
        <v>0</v>
      </c>
      <c r="AM46" s="337">
        <v>73.424383402325304</v>
      </c>
      <c r="AN46" s="191">
        <v>61.930340109183973</v>
      </c>
      <c r="AO46" s="191">
        <v>98.256091611020636</v>
      </c>
      <c r="AP46" s="191">
        <v>0</v>
      </c>
      <c r="AQ46" s="191">
        <v>60.685190017780727</v>
      </c>
      <c r="AR46" s="191">
        <v>0</v>
      </c>
      <c r="AS46" s="191">
        <v>54.595985852899311</v>
      </c>
      <c r="AT46" s="191">
        <v>0</v>
      </c>
      <c r="AU46" s="191">
        <v>0</v>
      </c>
      <c r="AV46" s="191">
        <v>60.87209793352536</v>
      </c>
      <c r="AW46" s="334">
        <v>37.674736862200021</v>
      </c>
      <c r="AX46" s="334">
        <v>109.17111909932943</v>
      </c>
      <c r="AY46" s="184">
        <v>101.78096684166937</v>
      </c>
      <c r="AZ46" s="184">
        <v>154.02420181453795</v>
      </c>
      <c r="BA46" s="331">
        <v>71.425743930403868</v>
      </c>
      <c r="BB46" s="334">
        <v>49.918204434079044</v>
      </c>
      <c r="BC46" s="334">
        <v>91.645706155914951</v>
      </c>
      <c r="BD46" s="334">
        <v>53.806344896424875</v>
      </c>
    </row>
    <row r="47" spans="1:56" x14ac:dyDescent="0.25">
      <c r="A47" s="11">
        <v>43586</v>
      </c>
      <c r="B47" s="347">
        <v>63.311302317942953</v>
      </c>
      <c r="C47" s="338">
        <v>58.613340599515524</v>
      </c>
      <c r="D47" s="334">
        <v>32.15682016445632</v>
      </c>
      <c r="E47" s="191">
        <v>317.66552047212053</v>
      </c>
      <c r="F47" s="191">
        <v>44.63389524900402</v>
      </c>
      <c r="G47" s="191">
        <v>285.84135613410058</v>
      </c>
      <c r="H47" s="191">
        <v>81.31856239142752</v>
      </c>
      <c r="I47" s="191">
        <v>54.572787910587046</v>
      </c>
      <c r="J47" s="335">
        <v>84.441070702200079</v>
      </c>
      <c r="K47" s="191">
        <v>81.698055069713376</v>
      </c>
      <c r="L47" s="191">
        <v>129.59265249017957</v>
      </c>
      <c r="M47" s="191">
        <v>44.829139516277841</v>
      </c>
      <c r="N47" s="191">
        <v>77.937944645405437</v>
      </c>
      <c r="O47" s="191">
        <v>93.586317183199299</v>
      </c>
      <c r="P47" s="191">
        <v>72.753608025643118</v>
      </c>
      <c r="Q47" s="191">
        <v>78.129413001564117</v>
      </c>
      <c r="R47" s="191">
        <v>72.288458750920597</v>
      </c>
      <c r="S47" s="191">
        <v>66.080031858905357</v>
      </c>
      <c r="T47" s="191">
        <v>83.141458034458907</v>
      </c>
      <c r="U47" s="191">
        <v>87.720125869733835</v>
      </c>
      <c r="V47" s="191">
        <v>79.518842961666039</v>
      </c>
      <c r="W47" s="191">
        <v>90.733232768116338</v>
      </c>
      <c r="X47" s="336">
        <v>73.99666483393851</v>
      </c>
      <c r="Y47" s="191">
        <v>39.942751239269249</v>
      </c>
      <c r="Z47" s="336">
        <v>78.999295538207804</v>
      </c>
      <c r="AA47" s="191">
        <v>52.894085416776598</v>
      </c>
      <c r="AB47" s="336">
        <v>94.579833283364451</v>
      </c>
      <c r="AC47" s="191">
        <v>110.77375419772738</v>
      </c>
      <c r="AD47" s="336">
        <v>241.78613971883934</v>
      </c>
      <c r="AE47" s="191">
        <v>98.281158401341756</v>
      </c>
      <c r="AF47" s="336">
        <v>106.70326403704141</v>
      </c>
      <c r="AG47" s="191">
        <v>75.099645979432267</v>
      </c>
      <c r="AH47" s="336">
        <v>82.759749782213277</v>
      </c>
      <c r="AI47" s="191">
        <v>104.5126201679906</v>
      </c>
      <c r="AJ47" s="336">
        <v>83.376143753198193</v>
      </c>
      <c r="AK47" s="191">
        <v>0</v>
      </c>
      <c r="AL47" s="191">
        <v>0</v>
      </c>
      <c r="AM47" s="337">
        <v>69.455925406566891</v>
      </c>
      <c r="AN47" s="191">
        <v>59.330832006534663</v>
      </c>
      <c r="AO47" s="191">
        <v>93.261104673425422</v>
      </c>
      <c r="AP47" s="191">
        <v>0</v>
      </c>
      <c r="AQ47" s="191">
        <v>59.869402585431757</v>
      </c>
      <c r="AR47" s="191">
        <v>0</v>
      </c>
      <c r="AS47" s="191">
        <v>10.113311810899427</v>
      </c>
      <c r="AT47" s="191">
        <v>0</v>
      </c>
      <c r="AU47" s="191">
        <v>0</v>
      </c>
      <c r="AV47" s="191">
        <v>55.85837827912605</v>
      </c>
      <c r="AW47" s="334">
        <v>32.599612313241117</v>
      </c>
      <c r="AX47" s="334">
        <v>107.43946129787894</v>
      </c>
      <c r="AY47" s="184">
        <v>100.97974695891089</v>
      </c>
      <c r="AZ47" s="184">
        <v>146.38770539255154</v>
      </c>
      <c r="BA47" s="331">
        <v>136.84194750172256</v>
      </c>
      <c r="BB47" s="334">
        <v>112.06217119341456</v>
      </c>
      <c r="BC47" s="334">
        <v>132.4644923706305</v>
      </c>
      <c r="BD47" s="334">
        <v>78.175519133437376</v>
      </c>
    </row>
    <row r="48" spans="1:56" x14ac:dyDescent="0.25">
      <c r="A48" s="11">
        <v>43617</v>
      </c>
      <c r="B48" s="347">
        <v>59.275178428602878</v>
      </c>
      <c r="C48" s="338">
        <v>53.84174755187442</v>
      </c>
      <c r="D48" s="334">
        <v>28.581654146133154</v>
      </c>
      <c r="E48" s="191">
        <v>138.82787085602891</v>
      </c>
      <c r="F48" s="191">
        <v>50.683921036128368</v>
      </c>
      <c r="G48" s="191">
        <v>50.078652658635342</v>
      </c>
      <c r="H48" s="191">
        <v>62.412776494662438</v>
      </c>
      <c r="I48" s="191">
        <v>50.919900748592489</v>
      </c>
      <c r="J48" s="335">
        <v>75.190009009825872</v>
      </c>
      <c r="K48" s="191">
        <v>78.888794975436141</v>
      </c>
      <c r="L48" s="191">
        <v>83.703276628683611</v>
      </c>
      <c r="M48" s="191">
        <v>107.43801073892742</v>
      </c>
      <c r="N48" s="191">
        <v>84.255583147690928</v>
      </c>
      <c r="O48" s="191">
        <v>71.035843260016094</v>
      </c>
      <c r="P48" s="191">
        <v>57.041450361791419</v>
      </c>
      <c r="Q48" s="191">
        <v>84.001642226194875</v>
      </c>
      <c r="R48" s="191">
        <v>63.555210090936612</v>
      </c>
      <c r="S48" s="191">
        <v>46.23403474424348</v>
      </c>
      <c r="T48" s="191">
        <v>70.525963642135821</v>
      </c>
      <c r="U48" s="191">
        <v>66.62180761043885</v>
      </c>
      <c r="V48" s="191">
        <v>88.479695106415804</v>
      </c>
      <c r="W48" s="191">
        <v>103.0208884821869</v>
      </c>
      <c r="X48" s="336">
        <v>61.088246287846786</v>
      </c>
      <c r="Y48" s="191">
        <v>53.150404226359157</v>
      </c>
      <c r="Z48" s="336">
        <v>70.012676643477249</v>
      </c>
      <c r="AA48" s="191">
        <v>65.25687997455185</v>
      </c>
      <c r="AB48" s="336">
        <v>62.69655047999187</v>
      </c>
      <c r="AC48" s="191">
        <v>103.07239231720344</v>
      </c>
      <c r="AD48" s="336">
        <v>123.45509766250734</v>
      </c>
      <c r="AE48" s="191">
        <v>86.065560774470256</v>
      </c>
      <c r="AF48" s="336">
        <v>112.51607147948107</v>
      </c>
      <c r="AG48" s="191">
        <v>72.26234052276142</v>
      </c>
      <c r="AH48" s="336">
        <v>69.066866341504166</v>
      </c>
      <c r="AI48" s="191">
        <v>89.8945551511719</v>
      </c>
      <c r="AJ48" s="336">
        <v>96.92134357395453</v>
      </c>
      <c r="AK48" s="191">
        <v>0</v>
      </c>
      <c r="AL48" s="191">
        <v>0</v>
      </c>
      <c r="AM48" s="337">
        <v>59.247189438457454</v>
      </c>
      <c r="AN48" s="191">
        <v>48.841627838357923</v>
      </c>
      <c r="AO48" s="191">
        <v>66.641568719641853</v>
      </c>
      <c r="AP48" s="191">
        <v>0</v>
      </c>
      <c r="AQ48" s="191">
        <v>58.137317658056929</v>
      </c>
      <c r="AR48" s="191">
        <v>0</v>
      </c>
      <c r="AS48" s="191">
        <v>20.000783309102097</v>
      </c>
      <c r="AT48" s="191">
        <v>0</v>
      </c>
      <c r="AU48" s="191">
        <v>0</v>
      </c>
      <c r="AV48" s="191">
        <v>50.415586839865441</v>
      </c>
      <c r="AW48" s="334">
        <v>35.066291566559194</v>
      </c>
      <c r="AX48" s="334">
        <v>107.61726681866539</v>
      </c>
      <c r="AY48" s="184">
        <v>106.0295903657104</v>
      </c>
      <c r="AZ48" s="184">
        <v>115.44775012397885</v>
      </c>
      <c r="BA48" s="331">
        <v>154.12029280206926</v>
      </c>
      <c r="BB48" s="334">
        <v>136.94023294911099</v>
      </c>
      <c r="BC48" s="334">
        <v>120.40345032219999</v>
      </c>
      <c r="BD48" s="334">
        <v>72.596884289147056</v>
      </c>
    </row>
    <row r="49" spans="1:56" x14ac:dyDescent="0.25">
      <c r="A49" s="11">
        <v>43647</v>
      </c>
      <c r="B49" s="347">
        <v>59.548896001046678</v>
      </c>
      <c r="C49" s="338">
        <v>55.756677810039527</v>
      </c>
      <c r="D49" s="334">
        <v>20.790504898544377</v>
      </c>
      <c r="E49" s="191">
        <v>147.67782675613111</v>
      </c>
      <c r="F49" s="191">
        <v>24.583271516489194</v>
      </c>
      <c r="G49" s="191">
        <v>209.72221151971422</v>
      </c>
      <c r="H49" s="191">
        <v>63.569374401843362</v>
      </c>
      <c r="I49" s="191">
        <v>68.140191947027617</v>
      </c>
      <c r="J49" s="335">
        <v>84.589201052710706</v>
      </c>
      <c r="K49" s="191">
        <v>67.002405700652815</v>
      </c>
      <c r="L49" s="191">
        <v>121.27678418238392</v>
      </c>
      <c r="M49" s="191">
        <v>130.30806108904514</v>
      </c>
      <c r="N49" s="191">
        <v>69.881615967308221</v>
      </c>
      <c r="O49" s="191">
        <v>77.606284501531334</v>
      </c>
      <c r="P49" s="191">
        <v>74.303046151478597</v>
      </c>
      <c r="Q49" s="191">
        <v>84.644491675842787</v>
      </c>
      <c r="R49" s="191">
        <v>74.267795759606074</v>
      </c>
      <c r="S49" s="191">
        <v>59.002064074914827</v>
      </c>
      <c r="T49" s="191">
        <v>76.423302658203767</v>
      </c>
      <c r="U49" s="191">
        <v>78.299930689572591</v>
      </c>
      <c r="V49" s="191">
        <v>97.765696370363145</v>
      </c>
      <c r="W49" s="191">
        <v>111.46636016364013</v>
      </c>
      <c r="X49" s="336">
        <v>53.773046148701191</v>
      </c>
      <c r="Y49" s="191">
        <v>46.237557862617471</v>
      </c>
      <c r="Z49" s="336">
        <v>77.723255556398485</v>
      </c>
      <c r="AA49" s="191">
        <v>24.883023167088421</v>
      </c>
      <c r="AB49" s="336">
        <v>75.915110872237989</v>
      </c>
      <c r="AC49" s="191">
        <v>169.50242397326065</v>
      </c>
      <c r="AD49" s="336">
        <v>234.28672244614518</v>
      </c>
      <c r="AE49" s="191">
        <v>107.24787165636137</v>
      </c>
      <c r="AF49" s="336">
        <v>111.5895645876741</v>
      </c>
      <c r="AG49" s="191">
        <v>85.864049795119357</v>
      </c>
      <c r="AH49" s="336">
        <v>83.457048689579906</v>
      </c>
      <c r="AI49" s="191">
        <v>108.59805244469597</v>
      </c>
      <c r="AJ49" s="336">
        <v>108.18878250071627</v>
      </c>
      <c r="AK49" s="191">
        <v>0</v>
      </c>
      <c r="AL49" s="191">
        <v>0</v>
      </c>
      <c r="AM49" s="337">
        <v>86.507385872570211</v>
      </c>
      <c r="AN49" s="191">
        <v>55.617910683253555</v>
      </c>
      <c r="AO49" s="191">
        <v>102.91587432259897</v>
      </c>
      <c r="AP49" s="191">
        <v>0</v>
      </c>
      <c r="AQ49" s="191">
        <v>62.434833940987744</v>
      </c>
      <c r="AR49" s="191">
        <v>0</v>
      </c>
      <c r="AS49" s="191">
        <v>55.841849943621867</v>
      </c>
      <c r="AT49" s="191">
        <v>0</v>
      </c>
      <c r="AU49" s="191">
        <v>0</v>
      </c>
      <c r="AV49" s="191">
        <v>92.856072332082533</v>
      </c>
      <c r="AW49" s="334">
        <v>37.447618179427479</v>
      </c>
      <c r="AX49" s="334">
        <v>174.57839733779286</v>
      </c>
      <c r="AY49" s="184">
        <v>143.71732871209218</v>
      </c>
      <c r="AZ49" s="184">
        <v>367.91888681391976</v>
      </c>
      <c r="BA49" s="331">
        <v>112.96845246914206</v>
      </c>
      <c r="BB49" s="334">
        <v>63.191169425543045</v>
      </c>
      <c r="BC49" s="334">
        <v>128.97226587952704</v>
      </c>
      <c r="BD49" s="334">
        <v>184.28028235492266</v>
      </c>
    </row>
    <row r="50" spans="1:56" x14ac:dyDescent="0.25">
      <c r="A50" s="11">
        <v>43678</v>
      </c>
      <c r="B50" s="347">
        <v>55.795724777635222</v>
      </c>
      <c r="C50" s="338">
        <v>52.125621508767523</v>
      </c>
      <c r="D50" s="334">
        <v>20.572062050142076</v>
      </c>
      <c r="E50" s="191">
        <v>138.61679775635875</v>
      </c>
      <c r="F50" s="191">
        <v>27.486242215970559</v>
      </c>
      <c r="G50" s="191">
        <v>275.27911453637648</v>
      </c>
      <c r="H50" s="191">
        <v>57.031520607250584</v>
      </c>
      <c r="I50" s="191">
        <v>69.279464618056792</v>
      </c>
      <c r="J50" s="335">
        <v>73.804099260449746</v>
      </c>
      <c r="K50" s="191">
        <v>74.329646057165178</v>
      </c>
      <c r="L50" s="191">
        <v>77.720233574563025</v>
      </c>
      <c r="M50" s="191">
        <v>32.986433603946445</v>
      </c>
      <c r="N50" s="191">
        <v>60.574830038721331</v>
      </c>
      <c r="O50" s="191">
        <v>74.028340016188068</v>
      </c>
      <c r="P50" s="191">
        <v>74.241442578391926</v>
      </c>
      <c r="Q50" s="191">
        <v>91.065339580000426</v>
      </c>
      <c r="R50" s="191">
        <v>78.498223980402699</v>
      </c>
      <c r="S50" s="191">
        <v>51.778126913229215</v>
      </c>
      <c r="T50" s="191">
        <v>83.807502038846124</v>
      </c>
      <c r="U50" s="191">
        <v>74.706437550357663</v>
      </c>
      <c r="V50" s="191">
        <v>98.455886338601289</v>
      </c>
      <c r="W50" s="191">
        <v>126.89895159479585</v>
      </c>
      <c r="X50" s="336">
        <v>68.878134111159909</v>
      </c>
      <c r="Y50" s="191">
        <v>33.71828526301114</v>
      </c>
      <c r="Z50" s="336">
        <v>65.425455117693758</v>
      </c>
      <c r="AA50" s="191">
        <v>16.753461143377894</v>
      </c>
      <c r="AB50" s="336">
        <v>55.842115862360522</v>
      </c>
      <c r="AC50" s="191">
        <v>102.2055098094869</v>
      </c>
      <c r="AD50" s="336">
        <v>154.5919931439438</v>
      </c>
      <c r="AE50" s="191">
        <v>85.553510805281846</v>
      </c>
      <c r="AF50" s="336">
        <v>97.573975717418165</v>
      </c>
      <c r="AG50" s="191">
        <v>78.456318008038437</v>
      </c>
      <c r="AH50" s="336">
        <v>71.670464736762895</v>
      </c>
      <c r="AI50" s="191">
        <v>81.185144185410422</v>
      </c>
      <c r="AJ50" s="336">
        <v>93.958294296894081</v>
      </c>
      <c r="AK50" s="191">
        <v>0</v>
      </c>
      <c r="AL50" s="191">
        <v>0</v>
      </c>
      <c r="AM50" s="337">
        <v>57.640986711455859</v>
      </c>
      <c r="AN50" s="191">
        <v>37.914510573687537</v>
      </c>
      <c r="AO50" s="191">
        <v>64.021006973473717</v>
      </c>
      <c r="AP50" s="191">
        <v>0</v>
      </c>
      <c r="AQ50" s="191">
        <v>51.368697500404565</v>
      </c>
      <c r="AR50" s="191">
        <v>0</v>
      </c>
      <c r="AS50" s="191">
        <v>32.836499434964693</v>
      </c>
      <c r="AT50" s="191">
        <v>0</v>
      </c>
      <c r="AU50" s="191">
        <v>0</v>
      </c>
      <c r="AV50" s="191">
        <v>56.187528898776591</v>
      </c>
      <c r="AW50" s="334">
        <v>44.838294582136228</v>
      </c>
      <c r="AX50" s="334">
        <v>110.19995520193253</v>
      </c>
      <c r="AY50" s="184">
        <v>110.13833828045222</v>
      </c>
      <c r="AZ50" s="184">
        <v>108.22926590315224</v>
      </c>
      <c r="BA50" s="331">
        <v>108.78527381730278</v>
      </c>
      <c r="BB50" s="334">
        <v>61.297015689276073</v>
      </c>
      <c r="BC50" s="334">
        <v>106.84328372790452</v>
      </c>
      <c r="BD50" s="334">
        <v>198.02358431728359</v>
      </c>
    </row>
    <row r="51" spans="1:56" x14ac:dyDescent="0.25">
      <c r="A51" s="11">
        <v>43709</v>
      </c>
      <c r="B51" s="347">
        <v>53.890943435066291</v>
      </c>
      <c r="C51" s="338">
        <v>50.289544175340247</v>
      </c>
      <c r="D51" s="334">
        <v>26.693035658509622</v>
      </c>
      <c r="E51" s="191">
        <v>216.46126853150716</v>
      </c>
      <c r="F51" s="191">
        <v>38.00991617519329</v>
      </c>
      <c r="G51" s="191">
        <v>283.27687608795969</v>
      </c>
      <c r="H51" s="191">
        <v>68.026371443935133</v>
      </c>
      <c r="I51" s="191">
        <v>69.901230244382418</v>
      </c>
      <c r="J51" s="335">
        <v>75.461542813479795</v>
      </c>
      <c r="K51" s="191">
        <v>89.340218068981272</v>
      </c>
      <c r="L51" s="191">
        <v>82.026747702158175</v>
      </c>
      <c r="M51" s="191">
        <v>107.7827939128386</v>
      </c>
      <c r="N51" s="191">
        <v>65.339653262187355</v>
      </c>
      <c r="O51" s="191">
        <v>59.664226402772407</v>
      </c>
      <c r="P51" s="191">
        <v>77.280327113073042</v>
      </c>
      <c r="Q51" s="191">
        <v>97.993565750161068</v>
      </c>
      <c r="R51" s="191">
        <v>78.145281823766652</v>
      </c>
      <c r="S51" s="191">
        <v>43.767340371469388</v>
      </c>
      <c r="T51" s="191">
        <v>78.979317184294885</v>
      </c>
      <c r="U51" s="191">
        <v>70.539706104071925</v>
      </c>
      <c r="V51" s="191">
        <v>85.434842370350864</v>
      </c>
      <c r="W51" s="191">
        <v>138.04454853459123</v>
      </c>
      <c r="X51" s="336">
        <v>41.79940639480931</v>
      </c>
      <c r="Y51" s="191">
        <v>39.092320498593139</v>
      </c>
      <c r="Z51" s="336">
        <v>58.111108473283167</v>
      </c>
      <c r="AA51" s="191">
        <v>10.866994245254411</v>
      </c>
      <c r="AB51" s="336">
        <v>71.288317405165628</v>
      </c>
      <c r="AC51" s="191">
        <v>126.18046240677698</v>
      </c>
      <c r="AD51" s="336">
        <v>116.15820922393489</v>
      </c>
      <c r="AE51" s="191">
        <v>66.878882934068073</v>
      </c>
      <c r="AF51" s="336">
        <v>83.827046232711069</v>
      </c>
      <c r="AG51" s="191">
        <v>71.925931076843483</v>
      </c>
      <c r="AH51" s="336">
        <v>73.768606059524501</v>
      </c>
      <c r="AI51" s="191">
        <v>80.947065420600239</v>
      </c>
      <c r="AJ51" s="336">
        <v>83.573076873998588</v>
      </c>
      <c r="AK51" s="191">
        <v>0</v>
      </c>
      <c r="AL51" s="191">
        <v>0</v>
      </c>
      <c r="AM51" s="337">
        <v>71.58056479500047</v>
      </c>
      <c r="AN51" s="191">
        <v>44.94797506503263</v>
      </c>
      <c r="AO51" s="191">
        <v>50.348022197556958</v>
      </c>
      <c r="AP51" s="191">
        <v>0</v>
      </c>
      <c r="AQ51" s="191">
        <v>63.759611348070571</v>
      </c>
      <c r="AR51" s="191">
        <v>0</v>
      </c>
      <c r="AS51" s="191">
        <v>28.307647630985535</v>
      </c>
      <c r="AT51" s="191">
        <v>0</v>
      </c>
      <c r="AU51" s="191">
        <v>0</v>
      </c>
      <c r="AV51" s="191">
        <v>90.658211897953009</v>
      </c>
      <c r="AW51" s="334">
        <v>44.651492701054892</v>
      </c>
      <c r="AX51" s="334">
        <v>131.2967740750785</v>
      </c>
      <c r="AY51" s="184">
        <v>136.53026209280736</v>
      </c>
      <c r="AZ51" s="184">
        <v>95.057732434847679</v>
      </c>
      <c r="BA51" s="331">
        <v>106.49319762952979</v>
      </c>
      <c r="BB51" s="334">
        <v>64.375015737936323</v>
      </c>
      <c r="BC51" s="334">
        <v>105.69661298315341</v>
      </c>
      <c r="BD51" s="334">
        <v>170.71900349408924</v>
      </c>
    </row>
    <row r="52" spans="1:56" x14ac:dyDescent="0.25">
      <c r="A52" s="11">
        <v>43739</v>
      </c>
      <c r="B52" s="347">
        <v>53.775070293560319</v>
      </c>
      <c r="C52" s="338">
        <v>49.713589464937449</v>
      </c>
      <c r="D52" s="334">
        <v>24.182597272892178</v>
      </c>
      <c r="E52" s="191">
        <v>59.126807186386777</v>
      </c>
      <c r="F52" s="191">
        <v>36.586011684260072</v>
      </c>
      <c r="G52" s="191">
        <v>272.56849567621686</v>
      </c>
      <c r="H52" s="191">
        <v>66.27550026738588</v>
      </c>
      <c r="I52" s="191">
        <v>83.853108209401242</v>
      </c>
      <c r="J52" s="335">
        <v>73.772649098882397</v>
      </c>
      <c r="K52" s="191">
        <v>95.22888449176736</v>
      </c>
      <c r="L52" s="191">
        <v>74.776678147765992</v>
      </c>
      <c r="M52" s="191">
        <v>85.252225605693724</v>
      </c>
      <c r="N52" s="191">
        <v>59.443712301829187</v>
      </c>
      <c r="O52" s="191">
        <v>62.519160206687971</v>
      </c>
      <c r="P52" s="191">
        <v>75.191773818111628</v>
      </c>
      <c r="Q52" s="191">
        <v>101.75537206839167</v>
      </c>
      <c r="R52" s="191">
        <v>86.090176789318903</v>
      </c>
      <c r="S52" s="191">
        <v>56.017599783696781</v>
      </c>
      <c r="T52" s="191">
        <v>61.500977818348893</v>
      </c>
      <c r="U52" s="191">
        <v>79.71441767356778</v>
      </c>
      <c r="V52" s="191">
        <v>110.77853951023211</v>
      </c>
      <c r="W52" s="191">
        <v>119.06698000884279</v>
      </c>
      <c r="X52" s="336">
        <v>44.126000745231032</v>
      </c>
      <c r="Y52" s="191">
        <v>28.209582680951559</v>
      </c>
      <c r="Z52" s="336">
        <v>68.604713485363462</v>
      </c>
      <c r="AA52" s="191">
        <v>38.428890203997142</v>
      </c>
      <c r="AB52" s="336">
        <v>117.89082791482738</v>
      </c>
      <c r="AC52" s="191">
        <v>93.980849138411173</v>
      </c>
      <c r="AD52" s="336">
        <v>174.62279879037371</v>
      </c>
      <c r="AE52" s="191">
        <v>76.591094293829428</v>
      </c>
      <c r="AF52" s="336">
        <v>88.01476376951706</v>
      </c>
      <c r="AG52" s="191">
        <v>94.309329133377915</v>
      </c>
      <c r="AH52" s="336">
        <v>80.493941929913248</v>
      </c>
      <c r="AI52" s="191">
        <v>86.789369668895688</v>
      </c>
      <c r="AJ52" s="336">
        <v>75.128715893995377</v>
      </c>
      <c r="AK52" s="191">
        <v>0</v>
      </c>
      <c r="AL52" s="191">
        <v>0</v>
      </c>
      <c r="AM52" s="337">
        <v>64.548320357835166</v>
      </c>
      <c r="AN52" s="191">
        <v>55.348579516432714</v>
      </c>
      <c r="AO52" s="191">
        <v>59.721944402022203</v>
      </c>
      <c r="AP52" s="191">
        <v>0</v>
      </c>
      <c r="AQ52" s="191">
        <v>59.713603410119674</v>
      </c>
      <c r="AR52" s="191">
        <v>0</v>
      </c>
      <c r="AS52" s="191">
        <v>23.77879582700638</v>
      </c>
      <c r="AT52" s="191">
        <v>0</v>
      </c>
      <c r="AU52" s="191">
        <v>0</v>
      </c>
      <c r="AV52" s="191">
        <v>66.506617648231185</v>
      </c>
      <c r="AW52" s="334">
        <v>40.053755889721224</v>
      </c>
      <c r="AX52" s="334">
        <v>159.94719309547386</v>
      </c>
      <c r="AY52" s="184">
        <v>157.69479872716556</v>
      </c>
      <c r="AZ52" s="184">
        <v>170.90004990390523</v>
      </c>
      <c r="BA52" s="331">
        <v>118.01767293105026</v>
      </c>
      <c r="BB52" s="334">
        <v>84.784859416044966</v>
      </c>
      <c r="BC52" s="334">
        <v>102.015685432276</v>
      </c>
      <c r="BD52" s="334">
        <v>142.33204462019796</v>
      </c>
    </row>
    <row r="53" spans="1:56" x14ac:dyDescent="0.25">
      <c r="A53" s="11">
        <v>43770</v>
      </c>
      <c r="B53" s="347">
        <v>51.090956700081158</v>
      </c>
      <c r="C53" s="338">
        <v>47.275534599059142</v>
      </c>
      <c r="D53" s="334">
        <v>20.222794384564288</v>
      </c>
      <c r="E53" s="191">
        <v>65.536321201727915</v>
      </c>
      <c r="F53" s="191">
        <v>23.200193413291419</v>
      </c>
      <c r="G53" s="191">
        <v>554.50973247497802</v>
      </c>
      <c r="H53" s="191">
        <v>66.783608698497346</v>
      </c>
      <c r="I53" s="191">
        <v>53.389113093465063</v>
      </c>
      <c r="J53" s="335">
        <v>72.904474530768184</v>
      </c>
      <c r="K53" s="191">
        <v>83.944211666835173</v>
      </c>
      <c r="L53" s="191">
        <v>67.703325645600231</v>
      </c>
      <c r="M53" s="191">
        <v>101.62770490367394</v>
      </c>
      <c r="N53" s="191">
        <v>63.424184072924298</v>
      </c>
      <c r="O53" s="191">
        <v>63.871972375127761</v>
      </c>
      <c r="P53" s="191">
        <v>91.343429514491149</v>
      </c>
      <c r="Q53" s="191">
        <v>88.716561146960785</v>
      </c>
      <c r="R53" s="191">
        <v>74.601056485354817</v>
      </c>
      <c r="S53" s="191">
        <v>56.117575652322458</v>
      </c>
      <c r="T53" s="191">
        <v>55.614870723205094</v>
      </c>
      <c r="U53" s="191">
        <v>76.664518892071754</v>
      </c>
      <c r="V53" s="191">
        <v>84.985174700652934</v>
      </c>
      <c r="W53" s="191">
        <v>145.47154550105637</v>
      </c>
      <c r="X53" s="336">
        <v>26.822571096458418</v>
      </c>
      <c r="Y53" s="191">
        <v>36.170970216371188</v>
      </c>
      <c r="Z53" s="336">
        <v>68.785516841913349</v>
      </c>
      <c r="AA53" s="191">
        <v>24.973935619327303</v>
      </c>
      <c r="AB53" s="336">
        <v>139.33100576256274</v>
      </c>
      <c r="AC53" s="191">
        <v>148.97442333611411</v>
      </c>
      <c r="AD53" s="336">
        <v>233.34847565206491</v>
      </c>
      <c r="AE53" s="191">
        <v>95.144882544843028</v>
      </c>
      <c r="AF53" s="336">
        <v>120.21754541186979</v>
      </c>
      <c r="AG53" s="191">
        <v>90.520940523549513</v>
      </c>
      <c r="AH53" s="336">
        <v>77.595659806799134</v>
      </c>
      <c r="AI53" s="191">
        <v>103.92629660855724</v>
      </c>
      <c r="AJ53" s="336">
        <v>65.574061238259645</v>
      </c>
      <c r="AK53" s="191">
        <v>0</v>
      </c>
      <c r="AL53" s="191">
        <v>0</v>
      </c>
      <c r="AM53" s="337">
        <v>72.562490817176808</v>
      </c>
      <c r="AN53" s="191">
        <v>64.088199273215352</v>
      </c>
      <c r="AO53" s="191">
        <v>63.09725600120246</v>
      </c>
      <c r="AP53" s="191">
        <v>0</v>
      </c>
      <c r="AQ53" s="191">
        <v>64.95330895176069</v>
      </c>
      <c r="AR53" s="191">
        <v>0</v>
      </c>
      <c r="AS53" s="191">
        <v>51.40163468711247</v>
      </c>
      <c r="AT53" s="191">
        <v>0</v>
      </c>
      <c r="AU53" s="191">
        <v>0</v>
      </c>
      <c r="AV53" s="191">
        <v>78.542271632420565</v>
      </c>
      <c r="AW53" s="334">
        <v>42.55889308196079</v>
      </c>
      <c r="AX53" s="334">
        <v>115.45189352998845</v>
      </c>
      <c r="AY53" s="184">
        <v>113.61137293336212</v>
      </c>
      <c r="AZ53" s="184">
        <v>124.72901608063505</v>
      </c>
      <c r="BA53" s="331">
        <v>111.03823788712721</v>
      </c>
      <c r="BB53" s="334">
        <v>66.278075741895321</v>
      </c>
      <c r="BC53" s="334">
        <v>133.45206091815365</v>
      </c>
      <c r="BD53" s="334">
        <v>151.68275370859729</v>
      </c>
    </row>
    <row r="54" spans="1:56" x14ac:dyDescent="0.25">
      <c r="A54" s="11">
        <v>43800</v>
      </c>
      <c r="B54" s="347">
        <v>64.644568016473173</v>
      </c>
      <c r="C54" s="338">
        <v>58.264465022538545</v>
      </c>
      <c r="D54" s="334">
        <v>32.033058064145614</v>
      </c>
      <c r="E54" s="191">
        <v>365.79488795212029</v>
      </c>
      <c r="F54" s="191">
        <v>48.90149657598284</v>
      </c>
      <c r="G54" s="191">
        <v>347.11670561082985</v>
      </c>
      <c r="H54" s="191">
        <v>68.466233926729657</v>
      </c>
      <c r="I54" s="191">
        <v>73.891739901269261</v>
      </c>
      <c r="J54" s="335">
        <v>77.815465014175871</v>
      </c>
      <c r="K54" s="191">
        <v>106.96228035073582</v>
      </c>
      <c r="L54" s="191">
        <v>71.46307586758121</v>
      </c>
      <c r="M54" s="191">
        <v>88.24614525504883</v>
      </c>
      <c r="N54" s="191">
        <v>78.812095689834379</v>
      </c>
      <c r="O54" s="191">
        <v>72.001941681378369</v>
      </c>
      <c r="P54" s="191">
        <v>102.29312821905323</v>
      </c>
      <c r="Q54" s="191">
        <v>69.263961255043057</v>
      </c>
      <c r="R54" s="191">
        <v>83.104024746421516</v>
      </c>
      <c r="S54" s="191">
        <v>66.063385314095257</v>
      </c>
      <c r="T54" s="191">
        <v>58.559033430553818</v>
      </c>
      <c r="U54" s="191">
        <v>80.464045557157704</v>
      </c>
      <c r="V54" s="191">
        <v>97.226157907917894</v>
      </c>
      <c r="W54" s="191">
        <v>123.7240960664255</v>
      </c>
      <c r="X54" s="336">
        <v>56.680555451058773</v>
      </c>
      <c r="Y54" s="191">
        <v>53.534085221391827</v>
      </c>
      <c r="Z54" s="336">
        <v>82.905320857200053</v>
      </c>
      <c r="AA54" s="191">
        <v>161.13600458955068</v>
      </c>
      <c r="AB54" s="336">
        <v>116.67547192190113</v>
      </c>
      <c r="AC54" s="191">
        <v>75.664883447613661</v>
      </c>
      <c r="AD54" s="336">
        <v>210.98957124317931</v>
      </c>
      <c r="AE54" s="191">
        <v>91.460863355436643</v>
      </c>
      <c r="AF54" s="336">
        <v>62.939108113344062</v>
      </c>
      <c r="AG54" s="191">
        <v>87.511028928283537</v>
      </c>
      <c r="AH54" s="336">
        <v>83.157417668671926</v>
      </c>
      <c r="AI54" s="191">
        <v>95.424143444395213</v>
      </c>
      <c r="AJ54" s="336">
        <v>209.54582795833372</v>
      </c>
      <c r="AK54" s="191">
        <v>0</v>
      </c>
      <c r="AL54" s="191">
        <v>0</v>
      </c>
      <c r="AM54" s="337">
        <v>83.989670952883245</v>
      </c>
      <c r="AN54" s="191">
        <v>90.057863527218785</v>
      </c>
      <c r="AO54" s="191">
        <v>65.379012843914182</v>
      </c>
      <c r="AP54" s="191">
        <v>0</v>
      </c>
      <c r="AQ54" s="191">
        <v>60.911534380904499</v>
      </c>
      <c r="AR54" s="191">
        <v>0</v>
      </c>
      <c r="AS54" s="191">
        <v>1102.3573258774763</v>
      </c>
      <c r="AT54" s="191">
        <v>0</v>
      </c>
      <c r="AU54" s="191">
        <v>0</v>
      </c>
      <c r="AV54" s="191">
        <v>83.507732533305514</v>
      </c>
      <c r="AW54" s="334">
        <v>44.060639573837356</v>
      </c>
      <c r="AX54" s="334">
        <v>115.54146427007024</v>
      </c>
      <c r="AY54" s="184">
        <v>119.63961492644908</v>
      </c>
      <c r="AZ54" s="184">
        <v>86.890954796011727</v>
      </c>
      <c r="BA54" s="331">
        <v>179.4995581676242</v>
      </c>
      <c r="BB54" s="334">
        <v>113.89231096793354</v>
      </c>
      <c r="BC54" s="334">
        <v>144.53544291072413</v>
      </c>
      <c r="BD54" s="334">
        <v>305.16795478363588</v>
      </c>
    </row>
    <row r="55" spans="1:56" x14ac:dyDescent="0.25">
      <c r="A55" s="11">
        <v>43831</v>
      </c>
      <c r="B55" s="347">
        <v>57.345763659854789</v>
      </c>
      <c r="C55" s="338">
        <v>53.31452448732945</v>
      </c>
      <c r="D55" s="334">
        <v>26.082773555754343</v>
      </c>
      <c r="E55" s="191">
        <v>146.12887196695806</v>
      </c>
      <c r="F55" s="191">
        <v>44.671554245246952</v>
      </c>
      <c r="G55" s="191">
        <v>197.34068045225703</v>
      </c>
      <c r="H55" s="191">
        <v>57.327040708457581</v>
      </c>
      <c r="I55" s="191">
        <v>63.179965501393795</v>
      </c>
      <c r="J55" s="335">
        <v>70.931591917117188</v>
      </c>
      <c r="K55" s="191">
        <v>91.899895563859189</v>
      </c>
      <c r="L55" s="191">
        <v>67.871942190123463</v>
      </c>
      <c r="M55" s="191">
        <v>56.117218548251572</v>
      </c>
      <c r="N55" s="191">
        <v>64.078553321604915</v>
      </c>
      <c r="O55" s="191">
        <v>61.726644755901042</v>
      </c>
      <c r="P55" s="191">
        <v>75.203800868310566</v>
      </c>
      <c r="Q55" s="191">
        <v>99.925914690703934</v>
      </c>
      <c r="R55" s="191">
        <v>83.110599822152565</v>
      </c>
      <c r="S55" s="191">
        <v>64.696975581680988</v>
      </c>
      <c r="T55" s="191">
        <v>81.661628231851992</v>
      </c>
      <c r="U55" s="191">
        <v>67.676160160712868</v>
      </c>
      <c r="V55" s="191">
        <v>91.660429966847445</v>
      </c>
      <c r="W55" s="191">
        <v>103.75904021827206</v>
      </c>
      <c r="X55" s="336">
        <v>58.835591495843225</v>
      </c>
      <c r="Y55" s="191">
        <v>36.514244270044195</v>
      </c>
      <c r="Z55" s="336">
        <v>88.372804493889845</v>
      </c>
      <c r="AA55" s="191">
        <v>71.511377571787861</v>
      </c>
      <c r="AB55" s="336">
        <v>95.482595061718428</v>
      </c>
      <c r="AC55" s="191">
        <v>92.460246308275316</v>
      </c>
      <c r="AD55" s="336">
        <v>143.46747553606812</v>
      </c>
      <c r="AE55" s="191">
        <v>97.435423042087251</v>
      </c>
      <c r="AF55" s="336">
        <v>75.646698085964672</v>
      </c>
      <c r="AG55" s="191">
        <v>84.571511404076915</v>
      </c>
      <c r="AH55" s="336">
        <v>77.384301199708375</v>
      </c>
      <c r="AI55" s="191">
        <v>83.610014774942272</v>
      </c>
      <c r="AJ55" s="336">
        <v>62.088278636432747</v>
      </c>
      <c r="AK55" s="191">
        <v>0</v>
      </c>
      <c r="AL55" s="191">
        <v>0</v>
      </c>
      <c r="AM55" s="337">
        <v>67.797467900573949</v>
      </c>
      <c r="AN55" s="191">
        <v>47.335966401463942</v>
      </c>
      <c r="AO55" s="191">
        <v>61.726599451330657</v>
      </c>
      <c r="AP55" s="191">
        <v>0</v>
      </c>
      <c r="AQ55" s="191">
        <v>60.113126234701106</v>
      </c>
      <c r="AR55" s="191">
        <v>0</v>
      </c>
      <c r="AS55" s="191">
        <v>22.031845394503506</v>
      </c>
      <c r="AT55" s="191">
        <v>0</v>
      </c>
      <c r="AU55" s="191">
        <v>0</v>
      </c>
      <c r="AV55" s="191">
        <v>75.431733683657328</v>
      </c>
      <c r="AW55" s="334">
        <v>44.043064109818715</v>
      </c>
      <c r="AX55" s="334">
        <v>109.62144403436145</v>
      </c>
      <c r="AY55" s="184">
        <v>110.90819915797915</v>
      </c>
      <c r="AZ55" s="184">
        <v>99.052154189563382</v>
      </c>
      <c r="BA55" s="331">
        <v>118.31888451005855</v>
      </c>
      <c r="BB55" s="334">
        <v>67.638835686508159</v>
      </c>
      <c r="BC55" s="334">
        <v>69.223993636907309</v>
      </c>
      <c r="BD55" s="334">
        <v>272.23816087658003</v>
      </c>
    </row>
    <row r="56" spans="1:56" x14ac:dyDescent="0.25">
      <c r="A56" s="11">
        <v>43862</v>
      </c>
      <c r="B56" s="347">
        <v>51.247983505834128</v>
      </c>
      <c r="C56" s="338">
        <v>46.611372821455717</v>
      </c>
      <c r="D56" s="334">
        <v>20.456523967645502</v>
      </c>
      <c r="E56" s="191">
        <v>181.66032260699853</v>
      </c>
      <c r="F56" s="191">
        <v>23.358024569914306</v>
      </c>
      <c r="G56" s="191">
        <v>636.90830598167361</v>
      </c>
      <c r="H56" s="191">
        <v>59.210690780705271</v>
      </c>
      <c r="I56" s="191">
        <v>65.687357299984484</v>
      </c>
      <c r="J56" s="335">
        <v>73.903259234857714</v>
      </c>
      <c r="K56" s="191">
        <v>72.550473755726145</v>
      </c>
      <c r="L56" s="191">
        <v>78.69225838727958</v>
      </c>
      <c r="M56" s="191">
        <v>41.351687258578124</v>
      </c>
      <c r="N56" s="191">
        <v>65.735320256901474</v>
      </c>
      <c r="O56" s="191">
        <v>65.566701885122896</v>
      </c>
      <c r="P56" s="191">
        <v>79.863368563462416</v>
      </c>
      <c r="Q56" s="191">
        <v>97.470633244557106</v>
      </c>
      <c r="R56" s="191">
        <v>65.272909620755328</v>
      </c>
      <c r="S56" s="191">
        <v>57.428871349212379</v>
      </c>
      <c r="T56" s="191">
        <v>92.266784211103783</v>
      </c>
      <c r="U56" s="191">
        <v>77.412936882926346</v>
      </c>
      <c r="V56" s="191">
        <v>83.917760712340069</v>
      </c>
      <c r="W56" s="191">
        <v>105.85844274484882</v>
      </c>
      <c r="X56" s="336">
        <v>36.514839953967481</v>
      </c>
      <c r="Y56" s="191">
        <v>26.183491298119581</v>
      </c>
      <c r="Z56" s="336">
        <v>86.426190240174918</v>
      </c>
      <c r="AA56" s="191">
        <v>84.306593485208879</v>
      </c>
      <c r="AB56" s="336">
        <v>70.194280960932815</v>
      </c>
      <c r="AC56" s="191">
        <v>210.49002216228826</v>
      </c>
      <c r="AD56" s="336">
        <v>171.0523294632556</v>
      </c>
      <c r="AE56" s="191">
        <v>98.838599692553274</v>
      </c>
      <c r="AF56" s="336">
        <v>83.908937080119387</v>
      </c>
      <c r="AG56" s="191">
        <v>78.825084282372075</v>
      </c>
      <c r="AH56" s="336">
        <v>75.778704475261563</v>
      </c>
      <c r="AI56" s="191">
        <v>77.466225819462153</v>
      </c>
      <c r="AJ56" s="336">
        <v>111.11924104559156</v>
      </c>
      <c r="AK56" s="191">
        <v>0</v>
      </c>
      <c r="AL56" s="191">
        <v>0</v>
      </c>
      <c r="AM56" s="337">
        <v>64.704148662959327</v>
      </c>
      <c r="AN56" s="191">
        <v>54.084548487817919</v>
      </c>
      <c r="AO56" s="191">
        <v>60.987691781548108</v>
      </c>
      <c r="AP56" s="191">
        <v>0</v>
      </c>
      <c r="AQ56" s="191">
        <v>54.00471149489838</v>
      </c>
      <c r="AR56" s="191">
        <v>0</v>
      </c>
      <c r="AS56" s="191">
        <v>16.810170533853547</v>
      </c>
      <c r="AT56" s="191">
        <v>0</v>
      </c>
      <c r="AU56" s="191">
        <v>0</v>
      </c>
      <c r="AV56" s="191">
        <v>71.586719221238297</v>
      </c>
      <c r="AW56" s="334">
        <v>35.834151826550091</v>
      </c>
      <c r="AX56" s="334">
        <v>37.675298888931174</v>
      </c>
      <c r="AY56" s="184">
        <v>31.412647470310091</v>
      </c>
      <c r="AZ56" s="184">
        <v>76.861748688410188</v>
      </c>
      <c r="BA56" s="331">
        <v>131.71611078864882</v>
      </c>
      <c r="BB56" s="334">
        <v>52.322669290010488</v>
      </c>
      <c r="BC56" s="334">
        <v>95.55002347423185</v>
      </c>
      <c r="BD56" s="334">
        <v>392.80128251808117</v>
      </c>
    </row>
    <row r="57" spans="1:56" x14ac:dyDescent="0.25">
      <c r="A57" s="11">
        <v>43891</v>
      </c>
      <c r="B57" s="347">
        <v>58.402852431986048</v>
      </c>
      <c r="C57" s="338">
        <v>53.038699733892017</v>
      </c>
      <c r="D57" s="334">
        <v>22.451224250659212</v>
      </c>
      <c r="E57" s="191">
        <v>114.12099673279188</v>
      </c>
      <c r="F57" s="191">
        <v>25.869354968910951</v>
      </c>
      <c r="G57" s="191">
        <v>194.95897706124862</v>
      </c>
      <c r="H57" s="191">
        <v>73.384069643044498</v>
      </c>
      <c r="I57" s="191">
        <v>65.324432277994561</v>
      </c>
      <c r="J57" s="335">
        <v>80.017242719679942</v>
      </c>
      <c r="K57" s="191">
        <v>83.331352259295201</v>
      </c>
      <c r="L57" s="191">
        <v>70.917179552491845</v>
      </c>
      <c r="M57" s="191">
        <v>54.958147140117582</v>
      </c>
      <c r="N57" s="191">
        <v>75.764380386081029</v>
      </c>
      <c r="O57" s="191">
        <v>78.600714344186628</v>
      </c>
      <c r="P57" s="191">
        <v>63.884280883189717</v>
      </c>
      <c r="Q57" s="191">
        <v>92.141246811002929</v>
      </c>
      <c r="R57" s="191">
        <v>82.72449478256145</v>
      </c>
      <c r="S57" s="191">
        <v>48.730091562062277</v>
      </c>
      <c r="T57" s="191">
        <v>98.225552810716792</v>
      </c>
      <c r="U57" s="191">
        <v>89.435367307841503</v>
      </c>
      <c r="V57" s="191">
        <v>89.931417695233051</v>
      </c>
      <c r="W57" s="191">
        <v>113.9160761774699</v>
      </c>
      <c r="X57" s="336">
        <v>46.957197341193101</v>
      </c>
      <c r="Y57" s="191">
        <v>51.701166573525235</v>
      </c>
      <c r="Z57" s="336">
        <v>86.03348832617732</v>
      </c>
      <c r="AA57" s="191">
        <v>24.332691372275807</v>
      </c>
      <c r="AB57" s="336">
        <v>177.56654047916149</v>
      </c>
      <c r="AC57" s="191">
        <v>101.74885959701122</v>
      </c>
      <c r="AD57" s="336">
        <v>161.29487129334905</v>
      </c>
      <c r="AE57" s="191">
        <v>102.13192029591045</v>
      </c>
      <c r="AF57" s="336">
        <v>125.43111626169062</v>
      </c>
      <c r="AG57" s="191">
        <v>90.727073752855077</v>
      </c>
      <c r="AH57" s="336">
        <v>77.855925199257001</v>
      </c>
      <c r="AI57" s="191">
        <v>83.882717901410615</v>
      </c>
      <c r="AJ57" s="336">
        <v>50.164319056183906</v>
      </c>
      <c r="AK57" s="191">
        <v>0</v>
      </c>
      <c r="AL57" s="191">
        <v>0</v>
      </c>
      <c r="AM57" s="337">
        <v>75.287447827405245</v>
      </c>
      <c r="AN57" s="191">
        <v>51.440066911409829</v>
      </c>
      <c r="AO57" s="191">
        <v>58.756471994020096</v>
      </c>
      <c r="AP57" s="191">
        <v>0</v>
      </c>
      <c r="AQ57" s="191">
        <v>70.678996103070745</v>
      </c>
      <c r="AR57" s="191">
        <v>0</v>
      </c>
      <c r="AS57" s="191">
        <v>11.588495673203589</v>
      </c>
      <c r="AT57" s="191">
        <v>0</v>
      </c>
      <c r="AU57" s="191">
        <v>0</v>
      </c>
      <c r="AV57" s="191">
        <v>87.540782767346883</v>
      </c>
      <c r="AW57" s="334">
        <v>39.440059785595629</v>
      </c>
      <c r="AX57" s="334">
        <v>46.532932930112658</v>
      </c>
      <c r="AY57" s="184">
        <v>42.203485404894444</v>
      </c>
      <c r="AZ57" s="184">
        <v>73.18347291984675</v>
      </c>
      <c r="BA57" s="331">
        <v>152.12057375889944</v>
      </c>
      <c r="BB57" s="334">
        <v>72.013277773016569</v>
      </c>
      <c r="BC57" s="334">
        <v>126.51734556317396</v>
      </c>
      <c r="BD57" s="334">
        <v>374.94290693005206</v>
      </c>
    </row>
    <row r="58" spans="1:56" x14ac:dyDescent="0.25">
      <c r="A58" s="11">
        <v>43922</v>
      </c>
      <c r="B58" s="347">
        <v>50.439488576728706</v>
      </c>
      <c r="C58" s="338">
        <v>47.754401390745386</v>
      </c>
      <c r="D58" s="334">
        <v>22.577720151975381</v>
      </c>
      <c r="E58" s="191">
        <v>85.80515153400232</v>
      </c>
      <c r="F58" s="191">
        <v>34.624096730830722</v>
      </c>
      <c r="G58" s="191">
        <v>265.40010490785875</v>
      </c>
      <c r="H58" s="191">
        <v>58.747269370186253</v>
      </c>
      <c r="I58" s="191">
        <v>82.90082398312714</v>
      </c>
      <c r="J58" s="335">
        <v>79.772510976079715</v>
      </c>
      <c r="K58" s="191">
        <v>87.472378618836657</v>
      </c>
      <c r="L58" s="191">
        <v>71.398316369336953</v>
      </c>
      <c r="M58" s="191">
        <v>44.671017662805987</v>
      </c>
      <c r="N58" s="191">
        <v>67.594871710445048</v>
      </c>
      <c r="O58" s="191">
        <v>77.653007850632221</v>
      </c>
      <c r="P58" s="191">
        <v>52.277271482598096</v>
      </c>
      <c r="Q58" s="191">
        <v>83.88467336021472</v>
      </c>
      <c r="R58" s="191">
        <v>73.745061963090251</v>
      </c>
      <c r="S58" s="191">
        <v>46.018673473714323</v>
      </c>
      <c r="T58" s="191">
        <v>129.74675890189849</v>
      </c>
      <c r="U58" s="191">
        <v>87.065565501171534</v>
      </c>
      <c r="V58" s="191">
        <v>46.873760720225704</v>
      </c>
      <c r="W58" s="191">
        <v>144.13034692011843</v>
      </c>
      <c r="X58" s="336">
        <v>22.339877036928286</v>
      </c>
      <c r="Y58" s="191">
        <v>35.974362817602191</v>
      </c>
      <c r="Z58" s="336">
        <v>77.548004373911738</v>
      </c>
      <c r="AA58" s="191">
        <v>21.090423221460409</v>
      </c>
      <c r="AB58" s="336">
        <v>100.36476390564974</v>
      </c>
      <c r="AC58" s="191">
        <v>67.987435238213365</v>
      </c>
      <c r="AD58" s="336">
        <v>138.87274955167737</v>
      </c>
      <c r="AE58" s="191">
        <v>106.49820586682675</v>
      </c>
      <c r="AF58" s="336">
        <v>113.38820423063567</v>
      </c>
      <c r="AG58" s="191">
        <v>76.140702953347429</v>
      </c>
      <c r="AH58" s="336">
        <v>66.681281552247867</v>
      </c>
      <c r="AI58" s="191">
        <v>80.331807956429003</v>
      </c>
      <c r="AJ58" s="336">
        <v>44.325291091172801</v>
      </c>
      <c r="AK58" s="191">
        <v>0</v>
      </c>
      <c r="AL58" s="191">
        <v>0</v>
      </c>
      <c r="AM58" s="337">
        <v>42.855054401284463</v>
      </c>
      <c r="AN58" s="191">
        <v>42.713562181058926</v>
      </c>
      <c r="AO58" s="191">
        <v>51.000329684051707</v>
      </c>
      <c r="AP58" s="191">
        <v>0</v>
      </c>
      <c r="AQ58" s="191">
        <v>61.96170621249194</v>
      </c>
      <c r="AR58" s="191">
        <v>0</v>
      </c>
      <c r="AS58" s="191">
        <v>1.4344655029545716</v>
      </c>
      <c r="AT58" s="191">
        <v>0</v>
      </c>
      <c r="AU58" s="191">
        <v>0</v>
      </c>
      <c r="AV58" s="191">
        <v>15.335413295866854</v>
      </c>
      <c r="AW58" s="334">
        <v>40.761661827619797</v>
      </c>
      <c r="AX58" s="334">
        <v>143.43996026141178</v>
      </c>
      <c r="AY58" s="184">
        <v>148.70190080853331</v>
      </c>
      <c r="AZ58" s="184">
        <v>106.75869885361624</v>
      </c>
      <c r="BA58" s="331">
        <v>82.446578342980246</v>
      </c>
      <c r="BB58" s="334">
        <v>55.633112239634798</v>
      </c>
      <c r="BC58" s="334">
        <v>89.957936681961229</v>
      </c>
      <c r="BD58" s="334">
        <v>92.748052894715912</v>
      </c>
    </row>
    <row r="59" spans="1:56" x14ac:dyDescent="0.25">
      <c r="A59" s="11">
        <v>43952</v>
      </c>
      <c r="B59" s="347">
        <v>50.738132706697783</v>
      </c>
      <c r="C59" s="338">
        <v>45.626233977892042</v>
      </c>
      <c r="D59" s="334">
        <v>21.60481253826282</v>
      </c>
      <c r="E59" s="191">
        <v>64.466061792786817</v>
      </c>
      <c r="F59" s="191">
        <v>32.232864171063142</v>
      </c>
      <c r="G59" s="191">
        <v>293.68288519385476</v>
      </c>
      <c r="H59" s="191">
        <v>58.747913828070146</v>
      </c>
      <c r="I59" s="191">
        <v>84.494739346454153</v>
      </c>
      <c r="J59" s="335">
        <v>76.901429752903582</v>
      </c>
      <c r="K59" s="191">
        <v>81.226089981218891</v>
      </c>
      <c r="L59" s="191">
        <v>94.258227820576238</v>
      </c>
      <c r="M59" s="191">
        <v>49.950357216810552</v>
      </c>
      <c r="N59" s="191">
        <v>79.636441149400071</v>
      </c>
      <c r="O59" s="191">
        <v>80.391745462077395</v>
      </c>
      <c r="P59" s="191">
        <v>54.271760199701255</v>
      </c>
      <c r="Q59" s="191">
        <v>57.868556369509669</v>
      </c>
      <c r="R59" s="191">
        <v>62.25577865136917</v>
      </c>
      <c r="S59" s="191">
        <v>44.920921554973404</v>
      </c>
      <c r="T59" s="191">
        <v>108.07063392889253</v>
      </c>
      <c r="U59" s="191">
        <v>78.957384608056088</v>
      </c>
      <c r="V59" s="191">
        <v>61.615868226615689</v>
      </c>
      <c r="W59" s="191">
        <v>63.252807909329178</v>
      </c>
      <c r="X59" s="336">
        <v>17.752591473902708</v>
      </c>
      <c r="Y59" s="191">
        <v>39.716036523823917</v>
      </c>
      <c r="Z59" s="336">
        <v>79.005054668853603</v>
      </c>
      <c r="AA59" s="191">
        <v>92.310671176682504</v>
      </c>
      <c r="AB59" s="336">
        <v>100.74569508830513</v>
      </c>
      <c r="AC59" s="191">
        <v>48.693203474667484</v>
      </c>
      <c r="AD59" s="336">
        <v>115.94586855204659</v>
      </c>
      <c r="AE59" s="191">
        <v>93.147115723844365</v>
      </c>
      <c r="AF59" s="336">
        <v>106.73611253045566</v>
      </c>
      <c r="AG59" s="191">
        <v>84.749797728169696</v>
      </c>
      <c r="AH59" s="336">
        <v>61.462080186463318</v>
      </c>
      <c r="AI59" s="191">
        <v>67.465644452524799</v>
      </c>
      <c r="AJ59" s="336">
        <v>12.696448158489948</v>
      </c>
      <c r="AK59" s="191">
        <v>0</v>
      </c>
      <c r="AL59" s="191">
        <v>0</v>
      </c>
      <c r="AM59" s="337">
        <v>41.712786846111122</v>
      </c>
      <c r="AN59" s="191">
        <v>25.074717424277999</v>
      </c>
      <c r="AO59" s="191">
        <v>53.286799341757288</v>
      </c>
      <c r="AP59" s="191">
        <v>0</v>
      </c>
      <c r="AQ59" s="191">
        <v>35.624596303325575</v>
      </c>
      <c r="AR59" s="191">
        <v>0</v>
      </c>
      <c r="AS59" s="191">
        <v>56.377294994006178</v>
      </c>
      <c r="AT59" s="191">
        <v>0</v>
      </c>
      <c r="AU59" s="191">
        <v>0</v>
      </c>
      <c r="AV59" s="191">
        <v>37.114219288103946</v>
      </c>
      <c r="AW59" s="334">
        <v>38.127429611657064</v>
      </c>
      <c r="AX59" s="334">
        <v>111.5518963453445</v>
      </c>
      <c r="AY59" s="184">
        <v>116.16547054788415</v>
      </c>
      <c r="AZ59" s="184">
        <v>79.695365148167028</v>
      </c>
      <c r="BA59" s="331">
        <v>143.50556153658195</v>
      </c>
      <c r="BB59" s="334">
        <v>129.42469368031794</v>
      </c>
      <c r="BC59" s="334">
        <v>93.599471272053393</v>
      </c>
      <c r="BD59" s="334">
        <v>82.389216756570931</v>
      </c>
    </row>
    <row r="60" spans="1:56" x14ac:dyDescent="0.25">
      <c r="A60" s="11">
        <v>43983</v>
      </c>
      <c r="B60" s="347">
        <v>57.330311228731702</v>
      </c>
      <c r="C60" s="338">
        <v>52.975404472919934</v>
      </c>
      <c r="D60" s="334">
        <v>26.194811772697928</v>
      </c>
      <c r="E60" s="191">
        <v>67.948758453729795</v>
      </c>
      <c r="F60" s="191">
        <v>42.43775207394475</v>
      </c>
      <c r="G60" s="191">
        <v>219.04008990861985</v>
      </c>
      <c r="H60" s="191">
        <v>66.509895672371201</v>
      </c>
      <c r="I60" s="191">
        <v>97.771442093603326</v>
      </c>
      <c r="J60" s="335">
        <v>77.646907729211179</v>
      </c>
      <c r="K60" s="191">
        <v>60.841064222451607</v>
      </c>
      <c r="L60" s="191">
        <v>94.07098634550357</v>
      </c>
      <c r="M60" s="191">
        <v>45.032038212940037</v>
      </c>
      <c r="N60" s="191">
        <v>82.049600573190247</v>
      </c>
      <c r="O60" s="191">
        <v>77.686720468285813</v>
      </c>
      <c r="P60" s="191">
        <v>77.11538008308068</v>
      </c>
      <c r="Q60" s="191">
        <v>88.833818617367129</v>
      </c>
      <c r="R60" s="191">
        <v>79.60985392239273</v>
      </c>
      <c r="S60" s="191">
        <v>54.210420947864371</v>
      </c>
      <c r="T60" s="191">
        <v>91.617905023728483</v>
      </c>
      <c r="U60" s="191">
        <v>71.983236611270158</v>
      </c>
      <c r="V60" s="191">
        <v>76.011383935378603</v>
      </c>
      <c r="W60" s="191">
        <v>101.3629382530914</v>
      </c>
      <c r="X60" s="336">
        <v>31.841546742484866</v>
      </c>
      <c r="Y60" s="191">
        <v>48.114717832560913</v>
      </c>
      <c r="Z60" s="336">
        <v>92.917556882169151</v>
      </c>
      <c r="AA60" s="191">
        <v>72.56410820550316</v>
      </c>
      <c r="AB60" s="336">
        <v>108.17560642374495</v>
      </c>
      <c r="AC60" s="191">
        <v>80.676012609708934</v>
      </c>
      <c r="AD60" s="336">
        <v>96.38744445792625</v>
      </c>
      <c r="AE60" s="191">
        <v>110.91283468665986</v>
      </c>
      <c r="AF60" s="336">
        <v>122.24469894241984</v>
      </c>
      <c r="AG60" s="191">
        <v>84.049349868877314</v>
      </c>
      <c r="AH60" s="336">
        <v>71.22016273837049</v>
      </c>
      <c r="AI60" s="191">
        <v>97.825680052133933</v>
      </c>
      <c r="AJ60" s="336">
        <v>33.895696971995733</v>
      </c>
      <c r="AK60" s="191">
        <v>0</v>
      </c>
      <c r="AL60" s="191">
        <v>0</v>
      </c>
      <c r="AM60" s="337">
        <v>81.297664888304965</v>
      </c>
      <c r="AN60" s="191">
        <v>38.697020407072571</v>
      </c>
      <c r="AO60" s="191">
        <v>75.318622826701201</v>
      </c>
      <c r="AP60" s="191">
        <v>0</v>
      </c>
      <c r="AQ60" s="191">
        <v>71.407508874008641</v>
      </c>
      <c r="AR60" s="191">
        <v>0</v>
      </c>
      <c r="AS60" s="191">
        <v>104.96580312344523</v>
      </c>
      <c r="AT60" s="191">
        <v>0</v>
      </c>
      <c r="AU60" s="191">
        <v>0</v>
      </c>
      <c r="AV60" s="191">
        <v>92.703069717807338</v>
      </c>
      <c r="AW60" s="334">
        <v>40.501385763163725</v>
      </c>
      <c r="AX60" s="334">
        <v>162.83637442099388</v>
      </c>
      <c r="AY60" s="184">
        <v>172.24677464282598</v>
      </c>
      <c r="AZ60" s="184">
        <v>99.24597896039667</v>
      </c>
      <c r="BA60" s="331">
        <v>126.44598816012994</v>
      </c>
      <c r="BB60" s="334">
        <v>99.07326718380088</v>
      </c>
      <c r="BC60" s="334">
        <v>86.020974968841301</v>
      </c>
      <c r="BD60" s="334">
        <v>142.20031282608852</v>
      </c>
    </row>
    <row r="61" spans="1:56" x14ac:dyDescent="0.25">
      <c r="A61" s="11">
        <v>44013</v>
      </c>
      <c r="B61" s="347">
        <v>55.639533162505053</v>
      </c>
      <c r="C61" s="338">
        <v>51.996293212620081</v>
      </c>
      <c r="D61" s="334">
        <v>23.240618509665286</v>
      </c>
      <c r="E61" s="191">
        <v>114.84964499102678</v>
      </c>
      <c r="F61" s="191">
        <v>44.137149680345097</v>
      </c>
      <c r="G61" s="191">
        <v>324.67345752879351</v>
      </c>
      <c r="H61" s="191">
        <v>42.194141518212824</v>
      </c>
      <c r="I61" s="191">
        <v>93.581862706479342</v>
      </c>
      <c r="J61" s="335">
        <v>72.672346754628975</v>
      </c>
      <c r="K61" s="191">
        <v>66.911945420972032</v>
      </c>
      <c r="L61" s="191">
        <v>80.843899665542878</v>
      </c>
      <c r="M61" s="191">
        <v>41.668753378744803</v>
      </c>
      <c r="N61" s="191">
        <v>68.448531740933248</v>
      </c>
      <c r="O61" s="191">
        <v>65.539319000284962</v>
      </c>
      <c r="P61" s="191">
        <v>89.038027314563095</v>
      </c>
      <c r="Q61" s="191">
        <v>86.18754535484544</v>
      </c>
      <c r="R61" s="191">
        <v>83.188670978969455</v>
      </c>
      <c r="S61" s="191">
        <v>50.942274040684943</v>
      </c>
      <c r="T61" s="191">
        <v>66.243840740219284</v>
      </c>
      <c r="U61" s="191">
        <v>71.986365170282241</v>
      </c>
      <c r="V61" s="191">
        <v>108.8555697812883</v>
      </c>
      <c r="W61" s="191">
        <v>119.6129324446749</v>
      </c>
      <c r="X61" s="336">
        <v>44.048116261632444</v>
      </c>
      <c r="Y61" s="191">
        <v>46.333303212831815</v>
      </c>
      <c r="Z61" s="336">
        <v>78.790365874057116</v>
      </c>
      <c r="AA61" s="191">
        <v>1.7939714103167077</v>
      </c>
      <c r="AB61" s="336">
        <v>113.35637823577228</v>
      </c>
      <c r="AC61" s="191">
        <v>131.55226470979443</v>
      </c>
      <c r="AD61" s="336">
        <v>137.42826221111093</v>
      </c>
      <c r="AE61" s="191">
        <v>92.043189489309697</v>
      </c>
      <c r="AF61" s="336">
        <v>123.89528670160921</v>
      </c>
      <c r="AG61" s="191">
        <v>83.064668857226224</v>
      </c>
      <c r="AH61" s="336">
        <v>77.769204147790987</v>
      </c>
      <c r="AI61" s="191">
        <v>87.755405216110987</v>
      </c>
      <c r="AJ61" s="336">
        <v>63.079240365847156</v>
      </c>
      <c r="AK61" s="191">
        <v>0</v>
      </c>
      <c r="AL61" s="191">
        <v>0</v>
      </c>
      <c r="AM61" s="337">
        <v>90.862483005772731</v>
      </c>
      <c r="AN61" s="191">
        <v>46.288559168325342</v>
      </c>
      <c r="AO61" s="191">
        <v>84.085731491659729</v>
      </c>
      <c r="AP61" s="191">
        <v>0</v>
      </c>
      <c r="AQ61" s="191">
        <v>76.643130279807664</v>
      </c>
      <c r="AR61" s="191">
        <v>0</v>
      </c>
      <c r="AS61" s="191">
        <v>401.83465314365623</v>
      </c>
      <c r="AT61" s="191">
        <v>0</v>
      </c>
      <c r="AU61" s="191">
        <v>0</v>
      </c>
      <c r="AV61" s="191">
        <v>99.8650103086066</v>
      </c>
      <c r="AW61" s="334">
        <v>41.728575031356478</v>
      </c>
      <c r="AX61" s="334">
        <v>169.70449659326755</v>
      </c>
      <c r="AY61" s="184">
        <v>182.28307877822007</v>
      </c>
      <c r="AZ61" s="184">
        <v>85.734021677764005</v>
      </c>
      <c r="BA61" s="331">
        <v>108.0639599542954</v>
      </c>
      <c r="BB61" s="334">
        <v>75.62611730639361</v>
      </c>
      <c r="BC61" s="334">
        <v>98.020514697395768</v>
      </c>
      <c r="BD61" s="334">
        <v>134.24127199925258</v>
      </c>
    </row>
    <row r="62" spans="1:56" x14ac:dyDescent="0.25">
      <c r="A62" s="11">
        <v>44044</v>
      </c>
      <c r="B62" s="347">
        <v>48.852919893805982</v>
      </c>
      <c r="C62" s="338">
        <v>45.164083465654322</v>
      </c>
      <c r="D62" s="334">
        <v>30.067534933646847</v>
      </c>
      <c r="E62" s="191">
        <v>69.113871036771357</v>
      </c>
      <c r="F62" s="191">
        <v>56.299007413598325</v>
      </c>
      <c r="G62" s="191">
        <v>353.38747048209927</v>
      </c>
      <c r="H62" s="191">
        <v>63.06049999023184</v>
      </c>
      <c r="I62" s="191">
        <v>73.259467982536776</v>
      </c>
      <c r="J62" s="335">
        <v>64.209759694605026</v>
      </c>
      <c r="K62" s="191">
        <v>90.572675572478957</v>
      </c>
      <c r="L62" s="191">
        <v>61.48130202353083</v>
      </c>
      <c r="M62" s="191">
        <v>30.097947432422579</v>
      </c>
      <c r="N62" s="191">
        <v>63.044809534923765</v>
      </c>
      <c r="O62" s="191">
        <v>64.67183942447943</v>
      </c>
      <c r="P62" s="191">
        <v>81.254957405162912</v>
      </c>
      <c r="Q62" s="191">
        <v>93.854169369327764</v>
      </c>
      <c r="R62" s="191">
        <v>88.642934358180838</v>
      </c>
      <c r="S62" s="191">
        <v>44.467296850522857</v>
      </c>
      <c r="T62" s="191">
        <v>54.206873661117669</v>
      </c>
      <c r="U62" s="191">
        <v>65.48565811704249</v>
      </c>
      <c r="V62" s="191">
        <v>89.893748641585958</v>
      </c>
      <c r="W62" s="191">
        <v>107.17062220160162</v>
      </c>
      <c r="X62" s="336">
        <v>21.433330511441497</v>
      </c>
      <c r="Y62" s="191">
        <v>35.427234703261142</v>
      </c>
      <c r="Z62" s="336">
        <v>67.576189754573676</v>
      </c>
      <c r="AA62" s="191">
        <v>44.37197920925172</v>
      </c>
      <c r="AB62" s="336">
        <v>89.498322447154749</v>
      </c>
      <c r="AC62" s="191">
        <v>79.322560504374536</v>
      </c>
      <c r="AD62" s="336">
        <v>87.660670922111734</v>
      </c>
      <c r="AE62" s="191">
        <v>77.414663640913659</v>
      </c>
      <c r="AF62" s="336">
        <v>90.216997581151119</v>
      </c>
      <c r="AG62" s="191">
        <v>71.389625088902292</v>
      </c>
      <c r="AH62" s="336">
        <v>71.565053642399974</v>
      </c>
      <c r="AI62" s="191">
        <v>73.459554138338859</v>
      </c>
      <c r="AJ62" s="336">
        <v>58.520742831627103</v>
      </c>
      <c r="AK62" s="191">
        <v>0</v>
      </c>
      <c r="AL62" s="191">
        <v>0</v>
      </c>
      <c r="AM62" s="337">
        <v>79.21569135815335</v>
      </c>
      <c r="AN62" s="191">
        <v>46.605971495880482</v>
      </c>
      <c r="AO62" s="191">
        <v>53.984453856300249</v>
      </c>
      <c r="AP62" s="191">
        <v>0</v>
      </c>
      <c r="AQ62" s="191">
        <v>72.13098360607907</v>
      </c>
      <c r="AR62" s="191">
        <v>0</v>
      </c>
      <c r="AS62" s="191">
        <v>366.80096947720318</v>
      </c>
      <c r="AT62" s="191">
        <v>0</v>
      </c>
      <c r="AU62" s="191">
        <v>0</v>
      </c>
      <c r="AV62" s="191">
        <v>93.855272132056811</v>
      </c>
      <c r="AW62" s="334">
        <v>42.951464243071982</v>
      </c>
      <c r="AX62" s="334">
        <v>90.036495127063176</v>
      </c>
      <c r="AY62" s="184">
        <v>91.43595610332892</v>
      </c>
      <c r="AZ62" s="184">
        <v>79.167608217330951</v>
      </c>
      <c r="BA62" s="331">
        <v>107.19294281812424</v>
      </c>
      <c r="BB62" s="334">
        <v>75.760157394202665</v>
      </c>
      <c r="BC62" s="334">
        <v>83.007070802576962</v>
      </c>
      <c r="BD62" s="334">
        <v>148.14014375207603</v>
      </c>
    </row>
    <row r="63" spans="1:56" x14ac:dyDescent="0.25">
      <c r="A63" s="11">
        <v>44075</v>
      </c>
      <c r="B63" s="347">
        <v>51.659130252158391</v>
      </c>
      <c r="C63" s="338">
        <v>48.033000458620776</v>
      </c>
      <c r="D63" s="334">
        <v>28.156691157176471</v>
      </c>
      <c r="E63" s="191">
        <v>99.559528100696426</v>
      </c>
      <c r="F63" s="191">
        <v>53.557845761404671</v>
      </c>
      <c r="G63" s="191">
        <v>166.59569268550788</v>
      </c>
      <c r="H63" s="191">
        <v>55.897839053268008</v>
      </c>
      <c r="I63" s="191">
        <v>75.017946324107257</v>
      </c>
      <c r="J63" s="335">
        <v>66.958893359946359</v>
      </c>
      <c r="K63" s="191">
        <v>66.339019381212537</v>
      </c>
      <c r="L63" s="191">
        <v>62.294006386316248</v>
      </c>
      <c r="M63" s="191">
        <v>35.296287936515306</v>
      </c>
      <c r="N63" s="191">
        <v>67.291100334780921</v>
      </c>
      <c r="O63" s="191">
        <v>64.067557627939948</v>
      </c>
      <c r="P63" s="191">
        <v>95.307473103763897</v>
      </c>
      <c r="Q63" s="191">
        <v>108.18837365782518</v>
      </c>
      <c r="R63" s="191">
        <v>98.119853449486129</v>
      </c>
      <c r="S63" s="191">
        <v>54.813833681927996</v>
      </c>
      <c r="T63" s="191">
        <v>52.185886357698337</v>
      </c>
      <c r="U63" s="191">
        <v>71.9209228202742</v>
      </c>
      <c r="V63" s="191">
        <v>99.244399954427436</v>
      </c>
      <c r="W63" s="191">
        <v>90.268395037128357</v>
      </c>
      <c r="X63" s="336">
        <v>35.660394658625712</v>
      </c>
      <c r="Y63" s="191">
        <v>22.922339807654669</v>
      </c>
      <c r="Z63" s="336">
        <v>76.968317520912493</v>
      </c>
      <c r="AA63" s="191">
        <v>14.804400711710185</v>
      </c>
      <c r="AB63" s="336">
        <v>78.367989604958666</v>
      </c>
      <c r="AC63" s="191">
        <v>42.178939994582308</v>
      </c>
      <c r="AD63" s="336">
        <v>150.76420089700457</v>
      </c>
      <c r="AE63" s="191">
        <v>79.212441290113816</v>
      </c>
      <c r="AF63" s="336">
        <v>92.778476761715098</v>
      </c>
      <c r="AG63" s="191">
        <v>70.336187028124954</v>
      </c>
      <c r="AH63" s="336">
        <v>72.833877744806273</v>
      </c>
      <c r="AI63" s="191">
        <v>83.857624252274718</v>
      </c>
      <c r="AJ63" s="336">
        <v>63.337678397793361</v>
      </c>
      <c r="AK63" s="191">
        <v>0</v>
      </c>
      <c r="AL63" s="191">
        <v>0</v>
      </c>
      <c r="AM63" s="337">
        <v>84.780954712434635</v>
      </c>
      <c r="AN63" s="191">
        <v>52.739212173953362</v>
      </c>
      <c r="AO63" s="191">
        <v>80.322939798849902</v>
      </c>
      <c r="AP63" s="191">
        <v>0</v>
      </c>
      <c r="AQ63" s="191">
        <v>74.37164892532131</v>
      </c>
      <c r="AR63" s="191">
        <v>0</v>
      </c>
      <c r="AS63" s="191">
        <v>332.49858930474915</v>
      </c>
      <c r="AT63" s="191">
        <v>0</v>
      </c>
      <c r="AU63" s="191">
        <v>0</v>
      </c>
      <c r="AV63" s="191">
        <v>88.018657549184013</v>
      </c>
      <c r="AW63" s="334">
        <v>44.369791837480712</v>
      </c>
      <c r="AX63" s="334">
        <v>147.15797301311045</v>
      </c>
      <c r="AY63" s="184">
        <v>147.29877191950129</v>
      </c>
      <c r="AZ63" s="184">
        <v>143.10172639973581</v>
      </c>
      <c r="BA63" s="331">
        <v>106.45135981509661</v>
      </c>
      <c r="BB63" s="334">
        <v>61.063881475181489</v>
      </c>
      <c r="BC63" s="334">
        <v>123.70923830746031</v>
      </c>
      <c r="BD63" s="334">
        <v>163.25759808657938</v>
      </c>
    </row>
    <row r="64" spans="1:56" x14ac:dyDescent="0.25">
      <c r="A64" s="11">
        <v>44105</v>
      </c>
      <c r="B64" s="347">
        <v>50.068697689792202</v>
      </c>
      <c r="C64" s="338">
        <v>47.43875609052413</v>
      </c>
      <c r="D64" s="334">
        <v>29.077125057053983</v>
      </c>
      <c r="E64" s="191">
        <v>116.42840040595244</v>
      </c>
      <c r="F64" s="191">
        <v>52.538863142989733</v>
      </c>
      <c r="G64" s="191">
        <v>213.10699090694962</v>
      </c>
      <c r="H64" s="191">
        <v>60.929738393641131</v>
      </c>
      <c r="I64" s="191">
        <v>111.51188676814103</v>
      </c>
      <c r="J64" s="335">
        <v>64.79438160864656</v>
      </c>
      <c r="K64" s="191">
        <v>75.777628821660812</v>
      </c>
      <c r="L64" s="191">
        <v>57.955149162400367</v>
      </c>
      <c r="M64" s="191">
        <v>28.69832480467516</v>
      </c>
      <c r="N64" s="191">
        <v>59.135468070126123</v>
      </c>
      <c r="O64" s="191">
        <v>65.572332317728254</v>
      </c>
      <c r="P64" s="191">
        <v>100.37187116656939</v>
      </c>
      <c r="Q64" s="191">
        <v>92.662527773503157</v>
      </c>
      <c r="R64" s="191">
        <v>78.614770202220541</v>
      </c>
      <c r="S64" s="191">
        <v>60.166326848813284</v>
      </c>
      <c r="T64" s="191">
        <v>37.924820869301513</v>
      </c>
      <c r="U64" s="191">
        <v>73.980801970475497</v>
      </c>
      <c r="V64" s="191">
        <v>94.929589343050509</v>
      </c>
      <c r="W64" s="191">
        <v>124.79340655568706</v>
      </c>
      <c r="X64" s="336">
        <v>34.004968578756255</v>
      </c>
      <c r="Y64" s="191">
        <v>34.931527383123573</v>
      </c>
      <c r="Z64" s="336">
        <v>74.098548720527219</v>
      </c>
      <c r="AA64" s="191">
        <v>124.21885587717053</v>
      </c>
      <c r="AB64" s="336">
        <v>112.80605698956947</v>
      </c>
      <c r="AC64" s="191">
        <v>31.27193694105798</v>
      </c>
      <c r="AD64" s="336">
        <v>228.09715154078657</v>
      </c>
      <c r="AE64" s="191">
        <v>85.779279669175651</v>
      </c>
      <c r="AF64" s="336">
        <v>119.16119861156714</v>
      </c>
      <c r="AG64" s="191">
        <v>71.582954983881876</v>
      </c>
      <c r="AH64" s="336">
        <v>62.81532715502334</v>
      </c>
      <c r="AI64" s="191">
        <v>65.931209391926402</v>
      </c>
      <c r="AJ64" s="336">
        <v>78.81863143581711</v>
      </c>
      <c r="AK64" s="191">
        <v>0</v>
      </c>
      <c r="AL64" s="191">
        <v>0</v>
      </c>
      <c r="AM64" s="337">
        <v>67.680475882291006</v>
      </c>
      <c r="AN64" s="191">
        <v>39.760584084464178</v>
      </c>
      <c r="AO64" s="191">
        <v>58.654515704770546</v>
      </c>
      <c r="AP64" s="191">
        <v>0</v>
      </c>
      <c r="AQ64" s="191">
        <v>54.389620038914117</v>
      </c>
      <c r="AR64" s="191">
        <v>0</v>
      </c>
      <c r="AS64" s="191">
        <v>169.91655741303884</v>
      </c>
      <c r="AT64" s="191">
        <v>0</v>
      </c>
      <c r="AU64" s="191">
        <v>0</v>
      </c>
      <c r="AV64" s="191">
        <v>81.011945555120604</v>
      </c>
      <c r="AW64" s="334">
        <v>44.660826552876365</v>
      </c>
      <c r="AX64" s="334">
        <v>112.70626329397248</v>
      </c>
      <c r="AY64" s="184">
        <v>113.66793294364493</v>
      </c>
      <c r="AZ64" s="184">
        <v>104.14686293215134</v>
      </c>
      <c r="BA64" s="331">
        <v>80.950946344868981</v>
      </c>
      <c r="BB64" s="334">
        <v>44.511282738108427</v>
      </c>
      <c r="BC64" s="334">
        <v>76.559778962050785</v>
      </c>
      <c r="BD64" s="334">
        <v>156.69182265068019</v>
      </c>
    </row>
    <row r="65" spans="1:56" x14ac:dyDescent="0.25">
      <c r="A65" s="11">
        <v>44136</v>
      </c>
      <c r="B65" s="347">
        <v>56.382360143396042</v>
      </c>
      <c r="C65" s="338">
        <v>52.692049325499347</v>
      </c>
      <c r="D65" s="334">
        <v>29.549059431169312</v>
      </c>
      <c r="E65" s="191">
        <v>130.17524871588077</v>
      </c>
      <c r="F65" s="191">
        <v>54.63333069030837</v>
      </c>
      <c r="G65" s="191">
        <v>153.26776811006363</v>
      </c>
      <c r="H65" s="191">
        <v>60.081546756329772</v>
      </c>
      <c r="I65" s="191">
        <v>75.473100975167497</v>
      </c>
      <c r="J65" s="335">
        <v>69.129878687410866</v>
      </c>
      <c r="K65" s="191">
        <v>68.917813582637493</v>
      </c>
      <c r="L65" s="191">
        <v>57.407077079890065</v>
      </c>
      <c r="M65" s="191">
        <v>32.078361103916606</v>
      </c>
      <c r="N65" s="191">
        <v>62.650706007105619</v>
      </c>
      <c r="O65" s="191">
        <v>78.925445848975755</v>
      </c>
      <c r="P65" s="191">
        <v>103.75054285663195</v>
      </c>
      <c r="Q65" s="191">
        <v>101.27172092414675</v>
      </c>
      <c r="R65" s="191">
        <v>75.723265646160627</v>
      </c>
      <c r="S65" s="191">
        <v>57.341618148797288</v>
      </c>
      <c r="T65" s="191">
        <v>55.091095620348206</v>
      </c>
      <c r="U65" s="191">
        <v>74.283583076147067</v>
      </c>
      <c r="V65" s="191">
        <v>88.492723599903698</v>
      </c>
      <c r="W65" s="191">
        <v>126.76035664534963</v>
      </c>
      <c r="X65" s="336">
        <v>33.476501597967463</v>
      </c>
      <c r="Y65" s="191">
        <v>37.045283954101905</v>
      </c>
      <c r="Z65" s="336">
        <v>81.647720913248691</v>
      </c>
      <c r="AA65" s="191">
        <v>11.77793907206544</v>
      </c>
      <c r="AB65" s="336">
        <v>164.43822581990543</v>
      </c>
      <c r="AC65" s="191">
        <v>49.570937218669584</v>
      </c>
      <c r="AD65" s="336">
        <v>186.82409084921883</v>
      </c>
      <c r="AE65" s="191">
        <v>82.875588330853105</v>
      </c>
      <c r="AF65" s="336">
        <v>108.44824926257299</v>
      </c>
      <c r="AG65" s="191">
        <v>109.42776752366849</v>
      </c>
      <c r="AH65" s="336">
        <v>70.957624352189001</v>
      </c>
      <c r="AI65" s="191">
        <v>88.550826616391603</v>
      </c>
      <c r="AJ65" s="336">
        <v>126.05298470607487</v>
      </c>
      <c r="AK65" s="191">
        <v>0</v>
      </c>
      <c r="AL65" s="191">
        <v>0</v>
      </c>
      <c r="AM65" s="337">
        <v>97.447949118826656</v>
      </c>
      <c r="AN65" s="191">
        <v>52.494475664763208</v>
      </c>
      <c r="AO65" s="191">
        <v>70.670815023214871</v>
      </c>
      <c r="AP65" s="191">
        <v>0</v>
      </c>
      <c r="AQ65" s="191">
        <v>98.880958801088994</v>
      </c>
      <c r="AR65" s="191">
        <v>0</v>
      </c>
      <c r="AS65" s="191">
        <v>325.63789722039269</v>
      </c>
      <c r="AT65" s="191">
        <v>0</v>
      </c>
      <c r="AU65" s="191">
        <v>0</v>
      </c>
      <c r="AV65" s="191">
        <v>107.20174002762165</v>
      </c>
      <c r="AW65" s="334">
        <v>50.015024444586253</v>
      </c>
      <c r="AX65" s="334">
        <v>212.2178778789926</v>
      </c>
      <c r="AY65" s="184">
        <v>229.17634497078754</v>
      </c>
      <c r="AZ65" s="184">
        <v>99.36439169306675</v>
      </c>
      <c r="BA65" s="331">
        <v>109.46727223192623</v>
      </c>
      <c r="BB65" s="334">
        <v>86.344316278481145</v>
      </c>
      <c r="BC65" s="334">
        <v>85.168877975243646</v>
      </c>
      <c r="BD65" s="334">
        <v>106.21286273529337</v>
      </c>
    </row>
    <row r="66" spans="1:56" x14ac:dyDescent="0.25">
      <c r="A66" s="11">
        <v>44166</v>
      </c>
      <c r="B66" s="347">
        <v>64.673168342396806</v>
      </c>
      <c r="C66" s="338">
        <v>59.212777691345714</v>
      </c>
      <c r="D66" s="334">
        <v>49.941836365110724</v>
      </c>
      <c r="E66" s="191">
        <v>94.512295890770531</v>
      </c>
      <c r="F66" s="191">
        <v>104.14248170510555</v>
      </c>
      <c r="G66" s="191">
        <v>110.67381159002674</v>
      </c>
      <c r="H66" s="191">
        <v>89.768503202486343</v>
      </c>
      <c r="I66" s="191">
        <v>84.916465243511098</v>
      </c>
      <c r="J66" s="335">
        <v>73.107191734423509</v>
      </c>
      <c r="K66" s="191">
        <v>96.802735968501338</v>
      </c>
      <c r="L66" s="191">
        <v>61.566348293263005</v>
      </c>
      <c r="M66" s="191">
        <v>34.519380909581706</v>
      </c>
      <c r="N66" s="191">
        <v>56.61860399892317</v>
      </c>
      <c r="O66" s="191">
        <v>82.431334077771197</v>
      </c>
      <c r="P66" s="191">
        <v>119.96387531121727</v>
      </c>
      <c r="Q66" s="191">
        <v>91.057065999788094</v>
      </c>
      <c r="R66" s="191">
        <v>88.609534482808897</v>
      </c>
      <c r="S66" s="191">
        <v>69.445275724513181</v>
      </c>
      <c r="T66" s="191">
        <v>62.73297668731761</v>
      </c>
      <c r="U66" s="191">
        <v>74.823160995841704</v>
      </c>
      <c r="V66" s="191">
        <v>109.38522629456492</v>
      </c>
      <c r="W66" s="191">
        <v>115.1670672716451</v>
      </c>
      <c r="X66" s="336">
        <v>32.836839819653612</v>
      </c>
      <c r="Y66" s="191">
        <v>17.89995943407207</v>
      </c>
      <c r="Z66" s="336">
        <v>82.58253114316318</v>
      </c>
      <c r="AA66" s="191">
        <v>135.03788391776263</v>
      </c>
      <c r="AB66" s="336">
        <v>140.89356644337053</v>
      </c>
      <c r="AC66" s="191">
        <v>46.996582220225072</v>
      </c>
      <c r="AD66" s="336">
        <v>273.74283327140057</v>
      </c>
      <c r="AE66" s="191">
        <v>93.353174547749461</v>
      </c>
      <c r="AF66" s="336">
        <v>96.242421229176699</v>
      </c>
      <c r="AG66" s="191">
        <v>90.992146775439736</v>
      </c>
      <c r="AH66" s="336">
        <v>93.908825796273945</v>
      </c>
      <c r="AI66" s="191">
        <v>101.25871854350378</v>
      </c>
      <c r="AJ66" s="336">
        <v>94.483868116962455</v>
      </c>
      <c r="AK66" s="191">
        <v>0</v>
      </c>
      <c r="AL66" s="191">
        <v>0</v>
      </c>
      <c r="AM66" s="337">
        <v>81.694656740847748</v>
      </c>
      <c r="AN66" s="191">
        <v>78.054242417695136</v>
      </c>
      <c r="AO66" s="191">
        <v>65.961916818862193</v>
      </c>
      <c r="AP66" s="191">
        <v>0</v>
      </c>
      <c r="AQ66" s="191">
        <v>72.840776656543738</v>
      </c>
      <c r="AR66" s="191">
        <v>0</v>
      </c>
      <c r="AS66" s="191">
        <v>98.774751217314659</v>
      </c>
      <c r="AT66" s="191">
        <v>0</v>
      </c>
      <c r="AU66" s="191">
        <v>0</v>
      </c>
      <c r="AV66" s="191">
        <v>89.964121831288764</v>
      </c>
      <c r="AW66" s="334">
        <v>76.385924220698584</v>
      </c>
      <c r="AX66" s="334">
        <v>95.62028334881937</v>
      </c>
      <c r="AY66" s="184">
        <v>97.770861957575619</v>
      </c>
      <c r="AZ66" s="184">
        <v>79.834795234952239</v>
      </c>
      <c r="BA66" s="331">
        <v>156.40157064798339</v>
      </c>
      <c r="BB66" s="334">
        <v>99.607815705432486</v>
      </c>
      <c r="BC66" s="334">
        <v>130.61140968037063</v>
      </c>
      <c r="BD66" s="334">
        <v>257.9207091058214</v>
      </c>
    </row>
    <row r="67" spans="1:56" x14ac:dyDescent="0.25">
      <c r="A67" s="11">
        <v>44197</v>
      </c>
      <c r="B67" s="347">
        <v>60.721302462074163</v>
      </c>
      <c r="C67" s="338">
        <v>57.563777407194955</v>
      </c>
      <c r="D67" s="334">
        <v>34.627908106339774</v>
      </c>
      <c r="E67" s="191">
        <v>18.849176446886066</v>
      </c>
      <c r="F67" s="191">
        <v>73.574737152842559</v>
      </c>
      <c r="G67" s="191">
        <v>103.96482344655722</v>
      </c>
      <c r="H67" s="191">
        <v>62.378859283373274</v>
      </c>
      <c r="I67" s="191">
        <v>71.183098305440282</v>
      </c>
      <c r="J67" s="335">
        <v>79.993888116682811</v>
      </c>
      <c r="K67" s="191">
        <v>81.854172359196411</v>
      </c>
      <c r="L67" s="191">
        <v>69.024138080451536</v>
      </c>
      <c r="M67" s="191">
        <v>76.188239647452889</v>
      </c>
      <c r="N67" s="191">
        <v>78.850225004883725</v>
      </c>
      <c r="O67" s="191">
        <v>79.127377494123962</v>
      </c>
      <c r="P67" s="191">
        <v>91.018450898401838</v>
      </c>
      <c r="Q67" s="191">
        <v>99.040233210871321</v>
      </c>
      <c r="R67" s="191">
        <v>85.407031153505088</v>
      </c>
      <c r="S67" s="191">
        <v>47.864808731776819</v>
      </c>
      <c r="T67" s="191">
        <v>90.916139257724865</v>
      </c>
      <c r="U67" s="191">
        <v>80.191160572914043</v>
      </c>
      <c r="V67" s="191">
        <v>84.555578994877564</v>
      </c>
      <c r="W67" s="191">
        <v>121.11707687914145</v>
      </c>
      <c r="X67" s="336">
        <v>39.878844999367367</v>
      </c>
      <c r="Y67" s="191">
        <v>56.908917446289074</v>
      </c>
      <c r="Z67" s="336">
        <v>98.492272038621152</v>
      </c>
      <c r="AA67" s="191">
        <v>50.716662708716953</v>
      </c>
      <c r="AB67" s="336">
        <v>100.58404931610791</v>
      </c>
      <c r="AC67" s="191">
        <v>34.675472558786794</v>
      </c>
      <c r="AD67" s="336">
        <v>106.25842504720042</v>
      </c>
      <c r="AE67" s="191">
        <v>93.391724338220186</v>
      </c>
      <c r="AF67" s="336">
        <v>87.963389193501897</v>
      </c>
      <c r="AG67" s="191">
        <v>76.189530049856856</v>
      </c>
      <c r="AH67" s="336">
        <v>81.756545980199164</v>
      </c>
      <c r="AI67" s="191">
        <v>89.801558166738971</v>
      </c>
      <c r="AJ67" s="336">
        <v>57.284278237292988</v>
      </c>
      <c r="AK67" s="191">
        <v>0</v>
      </c>
      <c r="AL67" s="191">
        <v>0</v>
      </c>
      <c r="AM67" s="337">
        <v>64.957360364129514</v>
      </c>
      <c r="AN67" s="191">
        <v>43.508045211186385</v>
      </c>
      <c r="AO67" s="191">
        <v>62.773635125771101</v>
      </c>
      <c r="AP67" s="191">
        <v>0</v>
      </c>
      <c r="AQ67" s="191">
        <v>56.986354827671633</v>
      </c>
      <c r="AR67" s="191">
        <v>0</v>
      </c>
      <c r="AS67" s="191">
        <v>56.344225283921951</v>
      </c>
      <c r="AT67" s="191">
        <v>0</v>
      </c>
      <c r="AU67" s="191">
        <v>0</v>
      </c>
      <c r="AV67" s="191">
        <v>70.002993003025594</v>
      </c>
      <c r="AW67" s="334">
        <v>40.335882744531062</v>
      </c>
      <c r="AX67" s="334">
        <v>222.7018113020045</v>
      </c>
      <c r="AY67" s="184">
        <v>241.54045790466807</v>
      </c>
      <c r="AZ67" s="184">
        <v>97.616151093908272</v>
      </c>
      <c r="BA67" s="331">
        <v>97.371042697670092</v>
      </c>
      <c r="BB67" s="334">
        <v>43.148189166099193</v>
      </c>
      <c r="BC67" s="334">
        <v>77.176913372170887</v>
      </c>
      <c r="BD67" s="334">
        <v>259.61639967785885</v>
      </c>
    </row>
    <row r="68" spans="1:56" x14ac:dyDescent="0.25">
      <c r="A68" s="11">
        <v>44228</v>
      </c>
      <c r="B68" s="347">
        <v>55.408846149445104</v>
      </c>
      <c r="C68" s="338">
        <v>51.29591202296595</v>
      </c>
      <c r="D68" s="334">
        <v>36.15956987840498</v>
      </c>
      <c r="E68" s="191">
        <v>159.65597683948891</v>
      </c>
      <c r="F68" s="191">
        <v>87.553813874175077</v>
      </c>
      <c r="G68" s="191">
        <v>365.52568144042317</v>
      </c>
      <c r="H68" s="191">
        <v>33.363246999281927</v>
      </c>
      <c r="I68" s="191">
        <v>99.993570540969955</v>
      </c>
      <c r="J68" s="335">
        <v>76.157609010500479</v>
      </c>
      <c r="K68" s="191">
        <v>76.98179513342248</v>
      </c>
      <c r="L68" s="191">
        <v>61.210848649772892</v>
      </c>
      <c r="M68" s="191">
        <v>76.817669667386141</v>
      </c>
      <c r="N68" s="191">
        <v>77.092654424053805</v>
      </c>
      <c r="O68" s="191">
        <v>72.384154383445861</v>
      </c>
      <c r="P68" s="191">
        <v>84.371269946115646</v>
      </c>
      <c r="Q68" s="191">
        <v>92.028467364112515</v>
      </c>
      <c r="R68" s="191">
        <v>69.0052568903793</v>
      </c>
      <c r="S68" s="191">
        <v>42.759074672027893</v>
      </c>
      <c r="T68" s="191">
        <v>86.685088623686781</v>
      </c>
      <c r="U68" s="191">
        <v>81.32048552868514</v>
      </c>
      <c r="V68" s="191">
        <v>75.977493019174617</v>
      </c>
      <c r="W68" s="191">
        <v>121.90495345129051</v>
      </c>
      <c r="X68" s="336">
        <v>33.455306498736803</v>
      </c>
      <c r="Y68" s="191">
        <v>31.483402729033319</v>
      </c>
      <c r="Z68" s="336">
        <v>89.553214528824057</v>
      </c>
      <c r="AA68" s="191">
        <v>95.255487352717651</v>
      </c>
      <c r="AB68" s="336">
        <v>75.428329393529111</v>
      </c>
      <c r="AC68" s="191">
        <v>22.87769893117067</v>
      </c>
      <c r="AD68" s="336">
        <v>116.98152705403695</v>
      </c>
      <c r="AE68" s="191">
        <v>96.607560547576156</v>
      </c>
      <c r="AF68" s="336">
        <v>117.08216757187027</v>
      </c>
      <c r="AG68" s="191">
        <v>81.628225645765966</v>
      </c>
      <c r="AH68" s="336">
        <v>68.072989238141901</v>
      </c>
      <c r="AI68" s="191">
        <v>92.059799896937406</v>
      </c>
      <c r="AJ68" s="336">
        <v>73.908424059319103</v>
      </c>
      <c r="AK68" s="191">
        <v>0</v>
      </c>
      <c r="AL68" s="191">
        <v>0</v>
      </c>
      <c r="AM68" s="337">
        <v>72.72358595782552</v>
      </c>
      <c r="AN68" s="191">
        <v>49.102976940306398</v>
      </c>
      <c r="AO68" s="191">
        <v>73.471565683229542</v>
      </c>
      <c r="AP68" s="191">
        <v>0</v>
      </c>
      <c r="AQ68" s="191">
        <v>60.268801902969876</v>
      </c>
      <c r="AR68" s="191">
        <v>0</v>
      </c>
      <c r="AS68" s="191">
        <v>42.990317817720651</v>
      </c>
      <c r="AT68" s="191">
        <v>0</v>
      </c>
      <c r="AU68" s="191">
        <v>0</v>
      </c>
      <c r="AV68" s="191">
        <v>79.649668344831994</v>
      </c>
      <c r="AW68" s="334">
        <v>34.652086806526356</v>
      </c>
      <c r="AX68" s="334">
        <v>62.541764927188673</v>
      </c>
      <c r="AY68" s="184">
        <v>58.033759907219817</v>
      </c>
      <c r="AZ68" s="184">
        <v>89.989166289885915</v>
      </c>
      <c r="BA68" s="331">
        <v>119.7958229399607</v>
      </c>
      <c r="BB68" s="334">
        <v>77.292290404150052</v>
      </c>
      <c r="BC68" s="334">
        <v>82.511370415356424</v>
      </c>
      <c r="BD68" s="334">
        <v>215.61579869373381</v>
      </c>
    </row>
    <row r="69" spans="1:56" x14ac:dyDescent="0.25">
      <c r="A69" s="11">
        <v>44256</v>
      </c>
      <c r="B69" s="347">
        <v>63.117550920807467</v>
      </c>
      <c r="C69" s="338">
        <v>57.967922323869203</v>
      </c>
      <c r="D69" s="334">
        <v>33.85548093965496</v>
      </c>
      <c r="E69" s="191">
        <v>73.775874646126667</v>
      </c>
      <c r="F69" s="191">
        <v>59.323869295505581</v>
      </c>
      <c r="G69" s="191">
        <v>75.808827880485538</v>
      </c>
      <c r="H69" s="191">
        <v>80.732338669695736</v>
      </c>
      <c r="I69" s="191">
        <v>84.183012482649517</v>
      </c>
      <c r="J69" s="335">
        <v>83.283459088788959</v>
      </c>
      <c r="K69" s="191">
        <v>89.499054730938695</v>
      </c>
      <c r="L69" s="191">
        <v>68.792914660021523</v>
      </c>
      <c r="M69" s="191">
        <v>82.664320908836899</v>
      </c>
      <c r="N69" s="191">
        <v>81.010955827098584</v>
      </c>
      <c r="O69" s="191">
        <v>80.357429884541375</v>
      </c>
      <c r="P69" s="191">
        <v>91.742360107354699</v>
      </c>
      <c r="Q69" s="191">
        <v>96.070812859289688</v>
      </c>
      <c r="R69" s="191">
        <v>76.507831599313405</v>
      </c>
      <c r="S69" s="191">
        <v>37.901592278131027</v>
      </c>
      <c r="T69" s="191">
        <v>92.525729262021684</v>
      </c>
      <c r="U69" s="191">
        <v>90.362480702742673</v>
      </c>
      <c r="V69" s="191">
        <v>90.403329179872983</v>
      </c>
      <c r="W69" s="191">
        <v>136.29017439164014</v>
      </c>
      <c r="X69" s="336">
        <v>52.488363299367293</v>
      </c>
      <c r="Y69" s="191">
        <v>39.849582421154373</v>
      </c>
      <c r="Z69" s="336">
        <v>109.19702812990111</v>
      </c>
      <c r="AA69" s="191">
        <v>64.327852058108576</v>
      </c>
      <c r="AB69" s="336">
        <v>156.95061016484843</v>
      </c>
      <c r="AC69" s="191">
        <v>28.776585744978735</v>
      </c>
      <c r="AD69" s="336">
        <v>135.75136205962392</v>
      </c>
      <c r="AE69" s="191">
        <v>100.90083840117404</v>
      </c>
      <c r="AF69" s="336">
        <v>97.279144313165375</v>
      </c>
      <c r="AG69" s="191">
        <v>83.733075859609173</v>
      </c>
      <c r="AH69" s="336">
        <v>76.89728268672458</v>
      </c>
      <c r="AI69" s="191">
        <v>105.76438173360137</v>
      </c>
      <c r="AJ69" s="336">
        <v>67.802115045032352</v>
      </c>
      <c r="AK69" s="191">
        <v>0</v>
      </c>
      <c r="AL69" s="191">
        <v>0</v>
      </c>
      <c r="AM69" s="337">
        <v>81.529406703280017</v>
      </c>
      <c r="AN69" s="191">
        <v>52.07654310490836</v>
      </c>
      <c r="AO69" s="191">
        <v>70.244073845280738</v>
      </c>
      <c r="AP69" s="191">
        <v>0</v>
      </c>
      <c r="AQ69" s="191">
        <v>95.833717320944459</v>
      </c>
      <c r="AR69" s="191">
        <v>0</v>
      </c>
      <c r="AS69" s="191">
        <v>29.636410351519356</v>
      </c>
      <c r="AT69" s="191">
        <v>0</v>
      </c>
      <c r="AU69" s="191">
        <v>0</v>
      </c>
      <c r="AV69" s="191">
        <v>73.50422746675288</v>
      </c>
      <c r="AW69" s="334">
        <v>36.054713895619052</v>
      </c>
      <c r="AX69" s="334">
        <v>79.428845762118129</v>
      </c>
      <c r="AY69" s="184">
        <v>77.969452958411281</v>
      </c>
      <c r="AZ69" s="184">
        <v>87.044824342227557</v>
      </c>
      <c r="BA69" s="331">
        <v>148.13187484399856</v>
      </c>
      <c r="BB69" s="334">
        <v>101.15762186589058</v>
      </c>
      <c r="BC69" s="334">
        <v>88.479166727797946</v>
      </c>
      <c r="BD69" s="334">
        <v>256.69891792211075</v>
      </c>
    </row>
    <row r="70" spans="1:56" x14ac:dyDescent="0.25">
      <c r="A70" s="11">
        <v>44287</v>
      </c>
      <c r="B70" s="347">
        <v>63.273560259717193</v>
      </c>
      <c r="C70" s="338">
        <v>59.647288316664834</v>
      </c>
      <c r="D70" s="334">
        <v>30.734138094567104</v>
      </c>
      <c r="E70" s="191">
        <v>136.53477318337076</v>
      </c>
      <c r="F70" s="191">
        <v>59.873197708181038</v>
      </c>
      <c r="G70" s="191">
        <v>87.240014927579466</v>
      </c>
      <c r="H70" s="191">
        <v>56.72201830668655</v>
      </c>
      <c r="I70" s="191">
        <v>93.46624633135815</v>
      </c>
      <c r="J70" s="335">
        <v>90.718259980285055</v>
      </c>
      <c r="K70" s="191">
        <v>95.716446622743788</v>
      </c>
      <c r="L70" s="191">
        <v>82.924170934136711</v>
      </c>
      <c r="M70" s="191">
        <v>81.856518907322098</v>
      </c>
      <c r="N70" s="191">
        <v>89.929614833070389</v>
      </c>
      <c r="O70" s="191">
        <v>93.72760477716335</v>
      </c>
      <c r="P70" s="191">
        <v>98.875625957881553</v>
      </c>
      <c r="Q70" s="191">
        <v>75.786197376089973</v>
      </c>
      <c r="R70" s="191">
        <v>70.070176231256198</v>
      </c>
      <c r="S70" s="191">
        <v>46.648212336154479</v>
      </c>
      <c r="T70" s="191">
        <v>117.53153900273458</v>
      </c>
      <c r="U70" s="191">
        <v>87.526138966862206</v>
      </c>
      <c r="V70" s="191">
        <v>92.138311003827013</v>
      </c>
      <c r="W70" s="191">
        <v>125.08214367221248</v>
      </c>
      <c r="X70" s="336">
        <v>46.643690368450109</v>
      </c>
      <c r="Y70" s="191">
        <v>39.891918601778762</v>
      </c>
      <c r="Z70" s="336">
        <v>95.416473177853277</v>
      </c>
      <c r="AA70" s="191">
        <v>128.13754277787717</v>
      </c>
      <c r="AB70" s="336">
        <v>105.73823523205326</v>
      </c>
      <c r="AC70" s="191">
        <v>25.827142338074701</v>
      </c>
      <c r="AD70" s="336">
        <v>132.42302904747348</v>
      </c>
      <c r="AE70" s="191">
        <v>96.132025991568014</v>
      </c>
      <c r="AF70" s="336">
        <v>100.51635759559551</v>
      </c>
      <c r="AG70" s="191">
        <v>84.572355649203288</v>
      </c>
      <c r="AH70" s="336">
        <v>90.826882934499366</v>
      </c>
      <c r="AI70" s="191">
        <v>104.04549989885589</v>
      </c>
      <c r="AJ70" s="336">
        <v>74.650896866298993</v>
      </c>
      <c r="AK70" s="191">
        <v>0</v>
      </c>
      <c r="AL70" s="191">
        <v>0</v>
      </c>
      <c r="AM70" s="337">
        <v>83.779636259265459</v>
      </c>
      <c r="AN70" s="191">
        <v>52.850161579624022</v>
      </c>
      <c r="AO70" s="191">
        <v>72.977240712488779</v>
      </c>
      <c r="AP70" s="191">
        <v>0</v>
      </c>
      <c r="AQ70" s="191">
        <v>92.432120590453067</v>
      </c>
      <c r="AR70" s="191">
        <v>0</v>
      </c>
      <c r="AS70" s="191">
        <v>10.85144551679093</v>
      </c>
      <c r="AT70" s="191">
        <v>0</v>
      </c>
      <c r="AU70" s="191">
        <v>0</v>
      </c>
      <c r="AV70" s="191">
        <v>80.943039815807069</v>
      </c>
      <c r="AW70" s="334">
        <v>36.368792872184841</v>
      </c>
      <c r="AX70" s="334">
        <v>257.15914106058534</v>
      </c>
      <c r="AY70" s="184">
        <v>276.97459124642711</v>
      </c>
      <c r="AZ70" s="184">
        <v>125.09615537684083</v>
      </c>
      <c r="BA70" s="331">
        <v>109.90602674900374</v>
      </c>
      <c r="BB70" s="334">
        <v>56.606630921828767</v>
      </c>
      <c r="BC70" s="334">
        <v>92.826237815843243</v>
      </c>
      <c r="BD70" s="334">
        <v>246.31693282496127</v>
      </c>
    </row>
    <row r="71" spans="1:56" x14ac:dyDescent="0.25">
      <c r="A71" s="11">
        <v>44317</v>
      </c>
      <c r="B71" s="347">
        <v>65.053891005693529</v>
      </c>
      <c r="C71" s="338">
        <v>61.293974097503735</v>
      </c>
      <c r="D71" s="334">
        <v>44.35853341193009</v>
      </c>
      <c r="E71" s="191">
        <v>403.5196501848007</v>
      </c>
      <c r="F71" s="191">
        <v>84.614490009608573</v>
      </c>
      <c r="G71" s="191">
        <v>44.773659021192266</v>
      </c>
      <c r="H71" s="191">
        <v>72.967006008093122</v>
      </c>
      <c r="I71" s="191">
        <v>84.311333011496387</v>
      </c>
      <c r="J71" s="335">
        <v>81.454205249096162</v>
      </c>
      <c r="K71" s="191">
        <v>76.277446482295659</v>
      </c>
      <c r="L71" s="191">
        <v>89.467499548988428</v>
      </c>
      <c r="M71" s="191">
        <v>80.912742214341534</v>
      </c>
      <c r="N71" s="191">
        <v>81.10312032645588</v>
      </c>
      <c r="O71" s="191">
        <v>80.748460882382901</v>
      </c>
      <c r="P71" s="191">
        <v>105.11986810274817</v>
      </c>
      <c r="Q71" s="191">
        <v>84.995438078014544</v>
      </c>
      <c r="R71" s="191">
        <v>67.347948536231257</v>
      </c>
      <c r="S71" s="191">
        <v>39.169898593778861</v>
      </c>
      <c r="T71" s="191">
        <v>87.428178634651616</v>
      </c>
      <c r="U71" s="191">
        <v>74.686924735471223</v>
      </c>
      <c r="V71" s="191">
        <v>93.321356588795666</v>
      </c>
      <c r="W71" s="191">
        <v>116.00209007712763</v>
      </c>
      <c r="X71" s="336">
        <v>50.748343547977768</v>
      </c>
      <c r="Y71" s="191">
        <v>67.337608937805541</v>
      </c>
      <c r="Z71" s="336">
        <v>92.81210206654309</v>
      </c>
      <c r="AA71" s="191">
        <v>128.96542384429878</v>
      </c>
      <c r="AB71" s="336">
        <v>104.1269148453885</v>
      </c>
      <c r="AC71" s="191">
        <v>48.027486813766963</v>
      </c>
      <c r="AD71" s="336">
        <v>165.96061758822228</v>
      </c>
      <c r="AE71" s="191">
        <v>90.626380332783071</v>
      </c>
      <c r="AF71" s="336">
        <v>111.91464851446449</v>
      </c>
      <c r="AG71" s="191">
        <v>74.800049111118724</v>
      </c>
      <c r="AH71" s="336">
        <v>78.189917490920337</v>
      </c>
      <c r="AI71" s="191">
        <v>99.199233427082007</v>
      </c>
      <c r="AJ71" s="336">
        <v>28.991558200060389</v>
      </c>
      <c r="AK71" s="191">
        <v>0</v>
      </c>
      <c r="AL71" s="191">
        <v>0</v>
      </c>
      <c r="AM71" s="337">
        <v>83.507732338994657</v>
      </c>
      <c r="AN71" s="191">
        <v>44.752272994037938</v>
      </c>
      <c r="AO71" s="191">
        <v>67.473444818742152</v>
      </c>
      <c r="AP71" s="191">
        <v>0</v>
      </c>
      <c r="AQ71" s="191">
        <v>75.180506086049533</v>
      </c>
      <c r="AR71" s="191">
        <v>0</v>
      </c>
      <c r="AS71" s="191">
        <v>468.92391718544638</v>
      </c>
      <c r="AT71" s="191">
        <v>0</v>
      </c>
      <c r="AU71" s="191">
        <v>0</v>
      </c>
      <c r="AV71" s="191">
        <v>91.723049854412096</v>
      </c>
      <c r="AW71" s="334">
        <v>39.86466621121302</v>
      </c>
      <c r="AX71" s="334">
        <v>92.805877167807466</v>
      </c>
      <c r="AY71" s="184">
        <v>92.76495479862416</v>
      </c>
      <c r="AZ71" s="184">
        <v>91.076193841787216</v>
      </c>
      <c r="BA71" s="331">
        <v>113.79267451502812</v>
      </c>
      <c r="BB71" s="334">
        <v>63.150388453481021</v>
      </c>
      <c r="BC71" s="334">
        <v>105.01345778433235</v>
      </c>
      <c r="BD71" s="334">
        <v>220.80050797911426</v>
      </c>
    </row>
    <row r="72" spans="1:56" x14ac:dyDescent="0.25">
      <c r="A72" s="11">
        <v>44348</v>
      </c>
      <c r="B72" s="347">
        <v>71.97815730536351</v>
      </c>
      <c r="C72" s="338">
        <v>68.061635081343752</v>
      </c>
      <c r="D72" s="334">
        <v>60.01455013477662</v>
      </c>
      <c r="E72" s="191">
        <v>419.97793743288855</v>
      </c>
      <c r="F72" s="191">
        <v>140.4944425908327</v>
      </c>
      <c r="G72" s="191">
        <v>47.004588290639923</v>
      </c>
      <c r="H72" s="191">
        <v>58.88150097527722</v>
      </c>
      <c r="I72" s="191">
        <v>95.373264961243621</v>
      </c>
      <c r="J72" s="335">
        <v>84.803132504810463</v>
      </c>
      <c r="K72" s="191">
        <v>99.59158734206936</v>
      </c>
      <c r="L72" s="191">
        <v>97.154990455640046</v>
      </c>
      <c r="M72" s="191">
        <v>80.898631411958505</v>
      </c>
      <c r="N72" s="191">
        <v>84.030565805073223</v>
      </c>
      <c r="O72" s="191">
        <v>88.617619219651999</v>
      </c>
      <c r="P72" s="191">
        <v>81.228396611134826</v>
      </c>
      <c r="Q72" s="191">
        <v>87.770919105146533</v>
      </c>
      <c r="R72" s="191">
        <v>77.421516253043961</v>
      </c>
      <c r="S72" s="191">
        <v>44.961839866509756</v>
      </c>
      <c r="T72" s="191">
        <v>87.272261671596652</v>
      </c>
      <c r="U72" s="191">
        <v>74.444276823456548</v>
      </c>
      <c r="V72" s="191">
        <v>103.17214809320235</v>
      </c>
      <c r="W72" s="191">
        <v>131.70598763496449</v>
      </c>
      <c r="X72" s="336">
        <v>38.678209566361453</v>
      </c>
      <c r="Y72" s="191">
        <v>78.870670369148684</v>
      </c>
      <c r="Z72" s="336">
        <v>94.088708303291142</v>
      </c>
      <c r="AA72" s="191">
        <v>100.72734498590565</v>
      </c>
      <c r="AB72" s="336">
        <v>119.86040643838723</v>
      </c>
      <c r="AC72" s="191">
        <v>79.573038028107533</v>
      </c>
      <c r="AD72" s="336">
        <v>160.24759350979301</v>
      </c>
      <c r="AE72" s="191">
        <v>114.91340692703913</v>
      </c>
      <c r="AF72" s="336">
        <v>102.35488263681721</v>
      </c>
      <c r="AG72" s="191">
        <v>77.990697638312824</v>
      </c>
      <c r="AH72" s="336">
        <v>90.358537989863507</v>
      </c>
      <c r="AI72" s="191">
        <v>128.71648940374186</v>
      </c>
      <c r="AJ72" s="336">
        <v>134.12447233143536</v>
      </c>
      <c r="AK72" s="191">
        <v>0</v>
      </c>
      <c r="AL72" s="191">
        <v>0</v>
      </c>
      <c r="AM72" s="337">
        <v>101.96094197053078</v>
      </c>
      <c r="AN72" s="191">
        <v>59.283942933251254</v>
      </c>
      <c r="AO72" s="191">
        <v>68.846482792561829</v>
      </c>
      <c r="AP72" s="191">
        <v>0</v>
      </c>
      <c r="AQ72" s="191">
        <v>113.41380615678212</v>
      </c>
      <c r="AR72" s="191">
        <v>0</v>
      </c>
      <c r="AS72" s="191">
        <v>9.0361371231535461</v>
      </c>
      <c r="AT72" s="191">
        <v>0</v>
      </c>
      <c r="AU72" s="191">
        <v>0</v>
      </c>
      <c r="AV72" s="191">
        <v>112.7039822259908</v>
      </c>
      <c r="AW72" s="334">
        <v>43.31672036742183</v>
      </c>
      <c r="AX72" s="334">
        <v>190.44796016183878</v>
      </c>
      <c r="AY72" s="184">
        <v>190.25054171583449</v>
      </c>
      <c r="AZ72" s="184">
        <v>187.62291942328704</v>
      </c>
      <c r="BA72" s="331">
        <v>119.7846308438817</v>
      </c>
      <c r="BB72" s="334">
        <v>70.392845707663923</v>
      </c>
      <c r="BC72" s="334">
        <v>100.19849881650673</v>
      </c>
      <c r="BD72" s="334">
        <v>226.56859982035613</v>
      </c>
    </row>
    <row r="73" spans="1:56" x14ac:dyDescent="0.25">
      <c r="A73" s="11">
        <v>44378</v>
      </c>
      <c r="B73" s="347">
        <v>70.62279269109176</v>
      </c>
      <c r="C73" s="338">
        <v>65.948148179323638</v>
      </c>
      <c r="D73" s="334">
        <v>56.280290476634164</v>
      </c>
      <c r="E73" s="191">
        <v>68.363556764558993</v>
      </c>
      <c r="F73" s="191">
        <v>125.67816585329362</v>
      </c>
      <c r="G73" s="191">
        <v>42.27128011028438</v>
      </c>
      <c r="H73" s="191">
        <v>88.786721489107876</v>
      </c>
      <c r="I73" s="191">
        <v>87.295302008095192</v>
      </c>
      <c r="J73" s="335">
        <v>86.922732152020316</v>
      </c>
      <c r="K73" s="191">
        <v>79.866881590302285</v>
      </c>
      <c r="L73" s="191">
        <v>88.700438635425229</v>
      </c>
      <c r="M73" s="191">
        <v>88.060172732605025</v>
      </c>
      <c r="N73" s="191">
        <v>75.000885364531499</v>
      </c>
      <c r="O73" s="191">
        <v>87.281682557310148</v>
      </c>
      <c r="P73" s="191">
        <v>78.647430272372688</v>
      </c>
      <c r="Q73" s="191">
        <v>94.053473145173712</v>
      </c>
      <c r="R73" s="191">
        <v>75.453945088793674</v>
      </c>
      <c r="S73" s="191">
        <v>42.498141612180184</v>
      </c>
      <c r="T73" s="191">
        <v>98.682323074643946</v>
      </c>
      <c r="U73" s="191">
        <v>79.656528213606379</v>
      </c>
      <c r="V73" s="191">
        <v>114.37125882195387</v>
      </c>
      <c r="W73" s="191">
        <v>156.9912369107785</v>
      </c>
      <c r="X73" s="336">
        <v>48.498283460049286</v>
      </c>
      <c r="Y73" s="191">
        <v>72.904936994037286</v>
      </c>
      <c r="Z73" s="336">
        <v>90.130580926455167</v>
      </c>
      <c r="AA73" s="191">
        <v>48.87259294192657</v>
      </c>
      <c r="AB73" s="336">
        <v>90.53276282796574</v>
      </c>
      <c r="AC73" s="191">
        <v>53.111930121921986</v>
      </c>
      <c r="AD73" s="336">
        <v>150.66365673950278</v>
      </c>
      <c r="AE73" s="191">
        <v>94.657894757248769</v>
      </c>
      <c r="AF73" s="336">
        <v>110.74357709478846</v>
      </c>
      <c r="AG73" s="191">
        <v>69.917300020900754</v>
      </c>
      <c r="AH73" s="336">
        <v>88.833754325735114</v>
      </c>
      <c r="AI73" s="191">
        <v>100.60843290933047</v>
      </c>
      <c r="AJ73" s="336">
        <v>106.76750861357354</v>
      </c>
      <c r="AK73" s="191">
        <v>0</v>
      </c>
      <c r="AL73" s="191">
        <v>0</v>
      </c>
      <c r="AM73" s="337">
        <v>81.518364784713711</v>
      </c>
      <c r="AN73" s="191">
        <v>47.834620331932804</v>
      </c>
      <c r="AO73" s="191">
        <v>74.248738629350939</v>
      </c>
      <c r="AP73" s="191">
        <v>0</v>
      </c>
      <c r="AQ73" s="191">
        <v>97.852668223577595</v>
      </c>
      <c r="AR73" s="191">
        <v>0</v>
      </c>
      <c r="AS73" s="191">
        <v>47.693337852681928</v>
      </c>
      <c r="AT73" s="191">
        <v>0</v>
      </c>
      <c r="AU73" s="191">
        <v>0</v>
      </c>
      <c r="AV73" s="191">
        <v>69.517683884080469</v>
      </c>
      <c r="AW73" s="334">
        <v>44.670406471699813</v>
      </c>
      <c r="AX73" s="334">
        <v>87.163890252429951</v>
      </c>
      <c r="AY73" s="184">
        <v>87.724989422635588</v>
      </c>
      <c r="AZ73" s="184">
        <v>81.71060103345755</v>
      </c>
      <c r="BA73" s="331">
        <v>138.42866141948315</v>
      </c>
      <c r="BB73" s="334">
        <v>79.856458350072302</v>
      </c>
      <c r="BC73" s="334">
        <v>126.32255025691808</v>
      </c>
      <c r="BD73" s="334">
        <v>255.41997589226483</v>
      </c>
    </row>
    <row r="74" spans="1:56" x14ac:dyDescent="0.25">
      <c r="A74" s="11">
        <v>44409</v>
      </c>
      <c r="B74" s="347">
        <v>68.897545533401598</v>
      </c>
      <c r="C74" s="338">
        <v>65.484545492298153</v>
      </c>
      <c r="D74" s="334">
        <v>54.086337732815423</v>
      </c>
      <c r="E74" s="191">
        <v>26.150693174126488</v>
      </c>
      <c r="F74" s="191">
        <v>125.90010431640951</v>
      </c>
      <c r="G74" s="191">
        <v>69.796712120136149</v>
      </c>
      <c r="H74" s="191">
        <v>78.597870217299459</v>
      </c>
      <c r="I74" s="191">
        <v>68.291901147974016</v>
      </c>
      <c r="J74" s="335">
        <v>82.063086659034056</v>
      </c>
      <c r="K74" s="191">
        <v>87.737479816458489</v>
      </c>
      <c r="L74" s="191">
        <v>82.049658752515953</v>
      </c>
      <c r="M74" s="191">
        <v>88.207717270777792</v>
      </c>
      <c r="N74" s="191">
        <v>60.941980882255677</v>
      </c>
      <c r="O74" s="191">
        <v>89.74475104284241</v>
      </c>
      <c r="P74" s="191">
        <v>78.380085530960798</v>
      </c>
      <c r="Q74" s="191">
        <v>100.88014361667969</v>
      </c>
      <c r="R74" s="191">
        <v>95.430297685434837</v>
      </c>
      <c r="S74" s="191">
        <v>51.995417089835357</v>
      </c>
      <c r="T74" s="191">
        <v>95.01394446638686</v>
      </c>
      <c r="U74" s="191">
        <v>72.904478695459858</v>
      </c>
      <c r="V74" s="191">
        <v>110.40981521722416</v>
      </c>
      <c r="W74" s="191">
        <v>122.21961574971114</v>
      </c>
      <c r="X74" s="336">
        <v>56.456765360375421</v>
      </c>
      <c r="Y74" s="191">
        <v>58.025248534611244</v>
      </c>
      <c r="Z74" s="336">
        <v>77.504325246062209</v>
      </c>
      <c r="AA74" s="191">
        <v>60.778577536486502</v>
      </c>
      <c r="AB74" s="336">
        <v>114.52880030568814</v>
      </c>
      <c r="AC74" s="191">
        <v>61.477291212984952</v>
      </c>
      <c r="AD74" s="336">
        <v>143.48985114670901</v>
      </c>
      <c r="AE74" s="191">
        <v>102.22712443343187</v>
      </c>
      <c r="AF74" s="336">
        <v>110.79828717917633</v>
      </c>
      <c r="AG74" s="191">
        <v>79.556437980460416</v>
      </c>
      <c r="AH74" s="336">
        <v>93.116910206745928</v>
      </c>
      <c r="AI74" s="191">
        <v>91.246020834156369</v>
      </c>
      <c r="AJ74" s="336">
        <v>93.509873266599925</v>
      </c>
      <c r="AK74" s="191">
        <v>0</v>
      </c>
      <c r="AL74" s="191">
        <v>0</v>
      </c>
      <c r="AM74" s="337">
        <v>104.53027141313943</v>
      </c>
      <c r="AN74" s="191">
        <v>45.351934659216482</v>
      </c>
      <c r="AO74" s="191">
        <v>85.96403635660954</v>
      </c>
      <c r="AP74" s="191">
        <v>0</v>
      </c>
      <c r="AQ74" s="191">
        <v>111.93589754238999</v>
      </c>
      <c r="AR74" s="191">
        <v>0</v>
      </c>
      <c r="AS74" s="191">
        <v>24.405714454409608</v>
      </c>
      <c r="AT74" s="191">
        <v>0</v>
      </c>
      <c r="AU74" s="191">
        <v>0</v>
      </c>
      <c r="AV74" s="191">
        <v>112.06362933971774</v>
      </c>
      <c r="AW74" s="334">
        <v>47.155438742065087</v>
      </c>
      <c r="AX74" s="334">
        <v>190.24850468763384</v>
      </c>
      <c r="AY74" s="184">
        <v>204.42396492765062</v>
      </c>
      <c r="AZ74" s="184">
        <v>95.639258407571987</v>
      </c>
      <c r="BA74" s="331">
        <v>106.21897180144408</v>
      </c>
      <c r="BB74" s="334">
        <v>56.583662414860186</v>
      </c>
      <c r="BC74" s="334">
        <v>99.385716210890465</v>
      </c>
      <c r="BD74" s="334">
        <v>216.04607308246636</v>
      </c>
    </row>
    <row r="75" spans="1:56" x14ac:dyDescent="0.25">
      <c r="A75" s="11">
        <v>44440</v>
      </c>
      <c r="B75" s="347">
        <v>73.291472121269777</v>
      </c>
      <c r="C75" s="338">
        <v>68.199301441278678</v>
      </c>
      <c r="D75" s="334">
        <v>65.956060317349809</v>
      </c>
      <c r="E75" s="191">
        <v>273.55583650755045</v>
      </c>
      <c r="F75" s="191">
        <v>146.87725789446736</v>
      </c>
      <c r="G75" s="191">
        <v>69.91090478692341</v>
      </c>
      <c r="H75" s="191">
        <v>92.538780206671433</v>
      </c>
      <c r="I75" s="191">
        <v>63.5935225391204</v>
      </c>
      <c r="J75" s="335">
        <v>86.914834235580983</v>
      </c>
      <c r="K75" s="191">
        <v>75.338992671435804</v>
      </c>
      <c r="L75" s="191">
        <v>104.55848388102888</v>
      </c>
      <c r="M75" s="191">
        <v>84.224005757516807</v>
      </c>
      <c r="N75" s="191">
        <v>78.524353994179265</v>
      </c>
      <c r="O75" s="191">
        <v>81.791911706319354</v>
      </c>
      <c r="P75" s="191">
        <v>82.835124317280375</v>
      </c>
      <c r="Q75" s="191">
        <v>94.278684060675076</v>
      </c>
      <c r="R75" s="191">
        <v>84.186301587832943</v>
      </c>
      <c r="S75" s="191">
        <v>44.435330813154437</v>
      </c>
      <c r="T75" s="191">
        <v>91.628253554349541</v>
      </c>
      <c r="U75" s="191">
        <v>82.495352211782205</v>
      </c>
      <c r="V75" s="191">
        <v>117.50097614064411</v>
      </c>
      <c r="W75" s="191">
        <v>126.24692220813672</v>
      </c>
      <c r="X75" s="336">
        <v>50.089563426220153</v>
      </c>
      <c r="Y75" s="191">
        <v>59.227059615960762</v>
      </c>
      <c r="Z75" s="336">
        <v>84.27849539922876</v>
      </c>
      <c r="AA75" s="191">
        <v>37.554771177153533</v>
      </c>
      <c r="AB75" s="336">
        <v>88.72549659195812</v>
      </c>
      <c r="AC75" s="191">
        <v>64.720753121004805</v>
      </c>
      <c r="AD75" s="336">
        <v>140.70506269028212</v>
      </c>
      <c r="AE75" s="191">
        <v>87.635378594912396</v>
      </c>
      <c r="AF75" s="336">
        <v>118.62650826106518</v>
      </c>
      <c r="AG75" s="191">
        <v>78.881125697813616</v>
      </c>
      <c r="AH75" s="336">
        <v>86.282475736788996</v>
      </c>
      <c r="AI75" s="191">
        <v>104.99230735224775</v>
      </c>
      <c r="AJ75" s="336">
        <v>77.534014349662812</v>
      </c>
      <c r="AK75" s="191">
        <v>0</v>
      </c>
      <c r="AL75" s="191">
        <v>0</v>
      </c>
      <c r="AM75" s="337">
        <v>91.964309495130863</v>
      </c>
      <c r="AN75" s="191">
        <v>63.419785153218186</v>
      </c>
      <c r="AO75" s="191">
        <v>80.631500531678199</v>
      </c>
      <c r="AP75" s="191">
        <v>0</v>
      </c>
      <c r="AQ75" s="191">
        <v>84.656451481825229</v>
      </c>
      <c r="AR75" s="191">
        <v>0</v>
      </c>
      <c r="AS75" s="191">
        <v>6.4873625367604246</v>
      </c>
      <c r="AT75" s="191">
        <v>0</v>
      </c>
      <c r="AU75" s="191">
        <v>0</v>
      </c>
      <c r="AV75" s="191">
        <v>102.34598073957319</v>
      </c>
      <c r="AW75" s="334">
        <v>46.764062396732022</v>
      </c>
      <c r="AX75" s="334">
        <v>153.291678049003</v>
      </c>
      <c r="AY75" s="184">
        <v>159.94166411253482</v>
      </c>
      <c r="AZ75" s="184">
        <v>107.53468598085337</v>
      </c>
      <c r="BA75" s="331">
        <v>149.71138991101972</v>
      </c>
      <c r="BB75" s="334">
        <v>72.045448100251477</v>
      </c>
      <c r="BC75" s="334">
        <v>197.99707884697602</v>
      </c>
      <c r="BD75" s="334">
        <v>266.72531681506075</v>
      </c>
    </row>
    <row r="76" spans="1:56" x14ac:dyDescent="0.25">
      <c r="A76" s="11">
        <v>44470</v>
      </c>
      <c r="B76" s="347">
        <v>66.748776942743248</v>
      </c>
      <c r="C76" s="338">
        <v>61.808268616505018</v>
      </c>
      <c r="D76" s="334">
        <v>32.457811626761391</v>
      </c>
      <c r="E76" s="191">
        <v>407.60367212615671</v>
      </c>
      <c r="F76" s="191">
        <v>59.984663712222364</v>
      </c>
      <c r="G76" s="191">
        <v>60.659632339114651</v>
      </c>
      <c r="H76" s="191">
        <v>49.13360425125461</v>
      </c>
      <c r="I76" s="191">
        <v>65.8718277689009</v>
      </c>
      <c r="J76" s="335">
        <v>81.728689603359385</v>
      </c>
      <c r="K76" s="191">
        <v>100.90005824419183</v>
      </c>
      <c r="L76" s="191">
        <v>88.911327249819649</v>
      </c>
      <c r="M76" s="191">
        <v>83.915000671520048</v>
      </c>
      <c r="N76" s="191">
        <v>86.582869007675654</v>
      </c>
      <c r="O76" s="191">
        <v>75.084457299557215</v>
      </c>
      <c r="P76" s="191">
        <v>84.623383799561424</v>
      </c>
      <c r="Q76" s="191">
        <v>94.637871078695824</v>
      </c>
      <c r="R76" s="191">
        <v>82.261906646672202</v>
      </c>
      <c r="S76" s="191">
        <v>44.809092435127425</v>
      </c>
      <c r="T76" s="191">
        <v>61.356840480685008</v>
      </c>
      <c r="U76" s="191">
        <v>85.603500364720205</v>
      </c>
      <c r="V76" s="191">
        <v>111.89922684012033</v>
      </c>
      <c r="W76" s="191">
        <v>126.37734722926106</v>
      </c>
      <c r="X76" s="336">
        <v>52.739878165711517</v>
      </c>
      <c r="Y76" s="191">
        <v>66.799093012453127</v>
      </c>
      <c r="Z76" s="336">
        <v>98.878688609724392</v>
      </c>
      <c r="AA76" s="191">
        <v>56.929264114428655</v>
      </c>
      <c r="AB76" s="336">
        <v>114.59426192727321</v>
      </c>
      <c r="AC76" s="191">
        <v>109.19668384112012</v>
      </c>
      <c r="AD76" s="336">
        <v>128.8401250506096</v>
      </c>
      <c r="AE76" s="191">
        <v>100.54869946981654</v>
      </c>
      <c r="AF76" s="336">
        <v>112.2659346076103</v>
      </c>
      <c r="AG76" s="191">
        <v>93.99715291715016</v>
      </c>
      <c r="AH76" s="336">
        <v>90.208767245811089</v>
      </c>
      <c r="AI76" s="191">
        <v>125.28169608607215</v>
      </c>
      <c r="AJ76" s="336">
        <v>82.783768242411753</v>
      </c>
      <c r="AK76" s="191">
        <v>0</v>
      </c>
      <c r="AL76" s="191">
        <v>0</v>
      </c>
      <c r="AM76" s="337">
        <v>98.770014785705087</v>
      </c>
      <c r="AN76" s="191">
        <v>70.16600038480766</v>
      </c>
      <c r="AO76" s="191">
        <v>72.068000140383035</v>
      </c>
      <c r="AP76" s="191">
        <v>0</v>
      </c>
      <c r="AQ76" s="191">
        <v>92.133044147638543</v>
      </c>
      <c r="AR76" s="191">
        <v>0</v>
      </c>
      <c r="AS76" s="191">
        <v>131.54678770866499</v>
      </c>
      <c r="AT76" s="191">
        <v>0</v>
      </c>
      <c r="AU76" s="191">
        <v>0</v>
      </c>
      <c r="AV76" s="191">
        <v>115.78398483030284</v>
      </c>
      <c r="AW76" s="334">
        <v>49.334057069764526</v>
      </c>
      <c r="AX76" s="334">
        <v>69.232680381436367</v>
      </c>
      <c r="AY76" s="184">
        <v>66.529573950798877</v>
      </c>
      <c r="AZ76" s="184">
        <v>85.010042876126917</v>
      </c>
      <c r="BA76" s="331">
        <v>143.95699810210422</v>
      </c>
      <c r="BB76" s="334">
        <v>98.789087613316838</v>
      </c>
      <c r="BC76" s="334">
        <v>109.55243442922811</v>
      </c>
      <c r="BD76" s="334">
        <v>216.13435385255966</v>
      </c>
    </row>
    <row r="77" spans="1:56" x14ac:dyDescent="0.25">
      <c r="A77" s="11">
        <v>44501</v>
      </c>
      <c r="B77" s="347">
        <v>73.770085283412271</v>
      </c>
      <c r="C77" s="338">
        <v>68.182219231381765</v>
      </c>
      <c r="D77" s="334">
        <v>59.428860871678523</v>
      </c>
      <c r="E77" s="191">
        <v>194.60791978584101</v>
      </c>
      <c r="F77" s="191">
        <v>122.23452824110582</v>
      </c>
      <c r="G77" s="191">
        <v>56.508138627441824</v>
      </c>
      <c r="H77" s="191">
        <v>105.48872296811503</v>
      </c>
      <c r="I77" s="191">
        <v>75.698075166461336</v>
      </c>
      <c r="J77" s="335">
        <v>81.3726231925516</v>
      </c>
      <c r="K77" s="191">
        <v>94.523571348347502</v>
      </c>
      <c r="L77" s="191">
        <v>68.972962153236978</v>
      </c>
      <c r="M77" s="191">
        <v>80.125820089683288</v>
      </c>
      <c r="N77" s="191">
        <v>89.46260326757735</v>
      </c>
      <c r="O77" s="191">
        <v>84.128492697703606</v>
      </c>
      <c r="P77" s="191">
        <v>83.187597867992338</v>
      </c>
      <c r="Q77" s="191">
        <v>106.17040923577422</v>
      </c>
      <c r="R77" s="191">
        <v>68.285741632416929</v>
      </c>
      <c r="S77" s="191">
        <v>39.271395429110449</v>
      </c>
      <c r="T77" s="191">
        <v>79.673678742421373</v>
      </c>
      <c r="U77" s="191">
        <v>78.578943318975178</v>
      </c>
      <c r="V77" s="191">
        <v>112.07642740010974</v>
      </c>
      <c r="W77" s="191">
        <v>119.38918839354398</v>
      </c>
      <c r="X77" s="336">
        <v>54.633815637223805</v>
      </c>
      <c r="Y77" s="191">
        <v>75.400540148930887</v>
      </c>
      <c r="Z77" s="336">
        <v>95.766450635884425</v>
      </c>
      <c r="AA77" s="191">
        <v>0.24864531074621779</v>
      </c>
      <c r="AB77" s="336">
        <v>139.81524459485317</v>
      </c>
      <c r="AC77" s="191">
        <v>141.45278118438603</v>
      </c>
      <c r="AD77" s="336">
        <v>153.97145555931894</v>
      </c>
      <c r="AE77" s="191">
        <v>90.040545023555779</v>
      </c>
      <c r="AF77" s="336">
        <v>111.93715528604397</v>
      </c>
      <c r="AG77" s="191">
        <v>91.143034828202303</v>
      </c>
      <c r="AH77" s="336">
        <v>97.203424335238296</v>
      </c>
      <c r="AI77" s="191">
        <v>101.1514151552677</v>
      </c>
      <c r="AJ77" s="336">
        <v>172.09336392522098</v>
      </c>
      <c r="AK77" s="191">
        <v>0</v>
      </c>
      <c r="AL77" s="191">
        <v>0</v>
      </c>
      <c r="AM77" s="337">
        <v>97.21009269186041</v>
      </c>
      <c r="AN77" s="191">
        <v>64.539371543613811</v>
      </c>
      <c r="AO77" s="191">
        <v>78.402468248417975</v>
      </c>
      <c r="AP77" s="191">
        <v>0</v>
      </c>
      <c r="AQ77" s="191">
        <v>88.977454790284582</v>
      </c>
      <c r="AR77" s="191">
        <v>0</v>
      </c>
      <c r="AS77" s="191">
        <v>65.365435825473057</v>
      </c>
      <c r="AT77" s="191">
        <v>0</v>
      </c>
      <c r="AU77" s="191">
        <v>0</v>
      </c>
      <c r="AV77" s="191">
        <v>112.70335560141146</v>
      </c>
      <c r="AW77" s="334">
        <v>50.096465862970412</v>
      </c>
      <c r="AX77" s="334">
        <v>65.250676626630224</v>
      </c>
      <c r="AY77" s="184">
        <v>55.6529363080328</v>
      </c>
      <c r="AZ77" s="184">
        <v>125.1441735933405</v>
      </c>
      <c r="BA77" s="331">
        <v>162.30725702259213</v>
      </c>
      <c r="BB77" s="334">
        <v>113.17564842073133</v>
      </c>
      <c r="BC77" s="334">
        <v>118.03417959207975</v>
      </c>
      <c r="BD77" s="334">
        <v>241.98088502457708</v>
      </c>
    </row>
    <row r="78" spans="1:56" x14ac:dyDescent="0.25">
      <c r="A78" s="11">
        <v>44531</v>
      </c>
      <c r="B78" s="347">
        <v>89.81262848806125</v>
      </c>
      <c r="C78" s="338">
        <v>80.205671652453447</v>
      </c>
      <c r="D78" s="334">
        <v>90.089338724669787</v>
      </c>
      <c r="E78" s="191">
        <v>388.66339641120067</v>
      </c>
      <c r="F78" s="191">
        <v>199.91725772949158</v>
      </c>
      <c r="G78" s="191">
        <v>62.359558584493286</v>
      </c>
      <c r="H78" s="191">
        <v>126.95652529748696</v>
      </c>
      <c r="I78" s="191">
        <v>84.208750484699323</v>
      </c>
      <c r="J78" s="335">
        <v>88.22226664355874</v>
      </c>
      <c r="K78" s="191">
        <v>142.61653458766577</v>
      </c>
      <c r="L78" s="191">
        <v>70.501006245077932</v>
      </c>
      <c r="M78" s="191">
        <v>94.503843058470352</v>
      </c>
      <c r="N78" s="191">
        <v>100.74481989806816</v>
      </c>
      <c r="O78" s="191">
        <v>87.292271520884356</v>
      </c>
      <c r="P78" s="191">
        <v>85.723380403139203</v>
      </c>
      <c r="Q78" s="191">
        <v>81.512751379146451</v>
      </c>
      <c r="R78" s="191">
        <v>85.184609108597186</v>
      </c>
      <c r="S78" s="191">
        <v>49.399860193880578</v>
      </c>
      <c r="T78" s="191">
        <v>96.005842477457961</v>
      </c>
      <c r="U78" s="191">
        <v>79.752458651120875</v>
      </c>
      <c r="V78" s="191">
        <v>121.49087033841712</v>
      </c>
      <c r="W78" s="191">
        <v>109.04262437010904</v>
      </c>
      <c r="X78" s="336">
        <v>53.702343560906755</v>
      </c>
      <c r="Y78" s="191">
        <v>88.804326828664884</v>
      </c>
      <c r="Z78" s="336">
        <v>101.56300739149623</v>
      </c>
      <c r="AA78" s="191">
        <v>101.90672745804835</v>
      </c>
      <c r="AB78" s="336">
        <v>129.99664110774918</v>
      </c>
      <c r="AC78" s="191">
        <v>28.170825407492149</v>
      </c>
      <c r="AD78" s="336">
        <v>146.61510493771624</v>
      </c>
      <c r="AE78" s="191">
        <v>106.63795359643433</v>
      </c>
      <c r="AF78" s="336">
        <v>79.313638491171304</v>
      </c>
      <c r="AG78" s="191">
        <v>104.73032662057312</v>
      </c>
      <c r="AH78" s="336">
        <v>92.718814950340004</v>
      </c>
      <c r="AI78" s="191">
        <v>126.89235095738086</v>
      </c>
      <c r="AJ78" s="336">
        <v>224.15512526289837</v>
      </c>
      <c r="AK78" s="191">
        <v>0</v>
      </c>
      <c r="AL78" s="191">
        <v>0</v>
      </c>
      <c r="AM78" s="337">
        <v>115.09782752086477</v>
      </c>
      <c r="AN78" s="191">
        <v>98.701173193100217</v>
      </c>
      <c r="AO78" s="191">
        <v>93.721367753122266</v>
      </c>
      <c r="AP78" s="191">
        <v>0</v>
      </c>
      <c r="AQ78" s="191">
        <v>110.37649255106022</v>
      </c>
      <c r="AR78" s="191">
        <v>0</v>
      </c>
      <c r="AS78" s="191">
        <v>67.799862023632812</v>
      </c>
      <c r="AT78" s="191">
        <v>0</v>
      </c>
      <c r="AU78" s="191">
        <v>0</v>
      </c>
      <c r="AV78" s="191">
        <v>123.38282811470067</v>
      </c>
      <c r="AW78" s="334">
        <v>48.609422547493246</v>
      </c>
      <c r="AX78" s="334">
        <v>155.32282385873668</v>
      </c>
      <c r="AY78" s="184">
        <v>162.54058723224981</v>
      </c>
      <c r="AZ78" s="184">
        <v>105.8963008167736</v>
      </c>
      <c r="BA78" s="331">
        <v>268.04814860880089</v>
      </c>
      <c r="BB78" s="334">
        <v>208.83677493168616</v>
      </c>
      <c r="BC78" s="334">
        <v>150.52453090110001</v>
      </c>
      <c r="BD78" s="334">
        <v>349.10543781177017</v>
      </c>
    </row>
    <row r="79" spans="1:56" x14ac:dyDescent="0.25">
      <c r="A79" s="11">
        <v>44562</v>
      </c>
      <c r="B79" s="347">
        <v>69.420430370625326</v>
      </c>
      <c r="C79" s="338">
        <v>65.088776075282709</v>
      </c>
      <c r="D79" s="334">
        <v>40.57402888972738</v>
      </c>
      <c r="E79" s="191">
        <v>196.51811819332349</v>
      </c>
      <c r="F79" s="191">
        <v>78.396985704037462</v>
      </c>
      <c r="G79" s="191">
        <v>70.079472738376452</v>
      </c>
      <c r="H79" s="191">
        <v>76.725223194772511</v>
      </c>
      <c r="I79" s="191">
        <v>64.002334096964319</v>
      </c>
      <c r="J79" s="335">
        <v>87.323337187598639</v>
      </c>
      <c r="K79" s="191">
        <v>96.293557242285118</v>
      </c>
      <c r="L79" s="191">
        <v>84.356772702381335</v>
      </c>
      <c r="M79" s="191">
        <v>72.945349499645431</v>
      </c>
      <c r="N79" s="191">
        <v>83.097685428368507</v>
      </c>
      <c r="O79" s="191">
        <v>88.280021107107302</v>
      </c>
      <c r="P79" s="191">
        <v>82.644323551326224</v>
      </c>
      <c r="Q79" s="191">
        <v>36.613149885197565</v>
      </c>
      <c r="R79" s="191">
        <v>73.858149721606296</v>
      </c>
      <c r="S79" s="191">
        <v>45.469460303459307</v>
      </c>
      <c r="T79" s="191">
        <v>111.74221772565018</v>
      </c>
      <c r="U79" s="191">
        <v>75.956080031411389</v>
      </c>
      <c r="V79" s="191">
        <v>99.792109369182199</v>
      </c>
      <c r="W79" s="191">
        <v>163.82944963011397</v>
      </c>
      <c r="X79" s="336">
        <v>59.5493105783207</v>
      </c>
      <c r="Y79" s="191">
        <v>80.743885688027518</v>
      </c>
      <c r="Z79" s="336">
        <v>98.876787559497728</v>
      </c>
      <c r="AA79" s="191">
        <v>75.518775339163838</v>
      </c>
      <c r="AB79" s="336">
        <v>81.988653051737003</v>
      </c>
      <c r="AC79" s="191">
        <v>0.44444444444444442</v>
      </c>
      <c r="AD79" s="336">
        <v>132.52832963602555</v>
      </c>
      <c r="AE79" s="191">
        <v>107.70867417419919</v>
      </c>
      <c r="AF79" s="336">
        <v>129.21200034559953</v>
      </c>
      <c r="AG79" s="191">
        <v>80.937744950856342</v>
      </c>
      <c r="AH79" s="336">
        <v>88.894422752105214</v>
      </c>
      <c r="AI79" s="191">
        <v>87.834367635765091</v>
      </c>
      <c r="AJ79" s="336">
        <v>74.56509040046052</v>
      </c>
      <c r="AK79" s="191">
        <v>0</v>
      </c>
      <c r="AL79" s="191">
        <v>0</v>
      </c>
      <c r="AM79" s="337">
        <v>78.823188602476506</v>
      </c>
      <c r="AN79" s="191">
        <v>74.437936039699096</v>
      </c>
      <c r="AO79" s="191">
        <v>71.542276912984207</v>
      </c>
      <c r="AP79" s="191">
        <v>0</v>
      </c>
      <c r="AQ79" s="191">
        <v>64.020264688037614</v>
      </c>
      <c r="AR79" s="191">
        <v>0</v>
      </c>
      <c r="AS79" s="191">
        <v>33.661537109210045</v>
      </c>
      <c r="AT79" s="191">
        <v>0</v>
      </c>
      <c r="AU79" s="191">
        <v>0</v>
      </c>
      <c r="AV79" s="191">
        <v>88.429586186408329</v>
      </c>
      <c r="AW79" s="334">
        <v>43.124963879637328</v>
      </c>
      <c r="AX79" s="334">
        <v>98.439263741620167</v>
      </c>
      <c r="AY79" s="184">
        <v>94.90769916369382</v>
      </c>
      <c r="AZ79" s="184">
        <v>118.88076187730815</v>
      </c>
      <c r="BA79" s="331">
        <v>129.45424386095235</v>
      </c>
      <c r="BB79" s="334">
        <v>70.118854978828807</v>
      </c>
      <c r="BC79" s="334">
        <v>114.84646810630851</v>
      </c>
      <c r="BD79" s="334">
        <v>265.80504062535999</v>
      </c>
    </row>
    <row r="80" spans="1:56" x14ac:dyDescent="0.25">
      <c r="A80" s="11">
        <v>44593</v>
      </c>
      <c r="B80" s="347">
        <v>64.254638669119075</v>
      </c>
      <c r="C80" s="338">
        <v>60.20509262392936</v>
      </c>
      <c r="D80" s="334">
        <v>25.238524731166539</v>
      </c>
      <c r="E80" s="191">
        <v>33.460709166215246</v>
      </c>
      <c r="F80" s="191">
        <v>34.740841975726518</v>
      </c>
      <c r="G80" s="191">
        <v>63.084659207935815</v>
      </c>
      <c r="H80" s="191">
        <v>78.944408361754796</v>
      </c>
      <c r="I80" s="191">
        <v>82.844652657810514</v>
      </c>
      <c r="J80" s="335">
        <v>85.512432870956047</v>
      </c>
      <c r="K80" s="191">
        <v>74.349417275882416</v>
      </c>
      <c r="L80" s="191">
        <v>87.013084620707886</v>
      </c>
      <c r="M80" s="191">
        <v>80.322887273274105</v>
      </c>
      <c r="N80" s="191">
        <v>99.572626051656599</v>
      </c>
      <c r="O80" s="191">
        <v>91.718713240366185</v>
      </c>
      <c r="P80" s="191">
        <v>80.56308440360732</v>
      </c>
      <c r="Q80" s="191">
        <v>105.77188309750993</v>
      </c>
      <c r="R80" s="191">
        <v>81.500578687599699</v>
      </c>
      <c r="S80" s="191">
        <v>42.428935065349208</v>
      </c>
      <c r="T80" s="191">
        <v>99.167809819112449</v>
      </c>
      <c r="U80" s="191">
        <v>75.930131228909033</v>
      </c>
      <c r="V80" s="191">
        <v>91.311358352622477</v>
      </c>
      <c r="W80" s="191">
        <v>95.122893671247795</v>
      </c>
      <c r="X80" s="336">
        <v>54.094570865670207</v>
      </c>
      <c r="Y80" s="191">
        <v>80.09190733460855</v>
      </c>
      <c r="Z80" s="336">
        <v>90.500290923431365</v>
      </c>
      <c r="AA80" s="191">
        <v>255.53146330487897</v>
      </c>
      <c r="AB80" s="336">
        <v>101.15275530849743</v>
      </c>
      <c r="AC80" s="191">
        <v>36.043087936150279</v>
      </c>
      <c r="AD80" s="336">
        <v>141.41145385536487</v>
      </c>
      <c r="AE80" s="191">
        <v>100.30301561274382</v>
      </c>
      <c r="AF80" s="336">
        <v>86.400260694608264</v>
      </c>
      <c r="AG80" s="191">
        <v>98.461227279743937</v>
      </c>
      <c r="AH80" s="336">
        <v>81.233828570133923</v>
      </c>
      <c r="AI80" s="191">
        <v>81.96383957784856</v>
      </c>
      <c r="AJ80" s="336">
        <v>67.639294527619782</v>
      </c>
      <c r="AK80" s="191">
        <v>0</v>
      </c>
      <c r="AL80" s="191">
        <v>0</v>
      </c>
      <c r="AM80" s="337">
        <v>101.53840297071669</v>
      </c>
      <c r="AN80" s="191">
        <v>49.055852243356128</v>
      </c>
      <c r="AO80" s="191">
        <v>122.87631963789603</v>
      </c>
      <c r="AP80" s="191">
        <v>0</v>
      </c>
      <c r="AQ80" s="191">
        <v>90.042805164641152</v>
      </c>
      <c r="AR80" s="191">
        <v>0</v>
      </c>
      <c r="AS80" s="191">
        <v>118.58409498458533</v>
      </c>
      <c r="AT80" s="191">
        <v>0</v>
      </c>
      <c r="AU80" s="191">
        <v>0</v>
      </c>
      <c r="AV80" s="191">
        <v>95.253308786156083</v>
      </c>
      <c r="AW80" s="334">
        <v>41.146068107632303</v>
      </c>
      <c r="AX80" s="334">
        <v>84.184217933401783</v>
      </c>
      <c r="AY80" s="184">
        <v>82.840724339885043</v>
      </c>
      <c r="AZ80" s="184">
        <v>90.958017704292317</v>
      </c>
      <c r="BA80" s="331">
        <v>120.83171261075283</v>
      </c>
      <c r="BB80" s="334">
        <v>66.062667404223546</v>
      </c>
      <c r="BC80" s="334">
        <v>91.71574585440861</v>
      </c>
      <c r="BD80" s="334">
        <v>265.37468117235784</v>
      </c>
    </row>
    <row r="81" spans="1:56" x14ac:dyDescent="0.25">
      <c r="A81" s="11">
        <v>44621</v>
      </c>
      <c r="B81" s="347">
        <v>90.625106870710823</v>
      </c>
      <c r="C81" s="338">
        <v>87.164461178162341</v>
      </c>
      <c r="D81" s="334">
        <v>92.146027015018106</v>
      </c>
      <c r="E81" s="191">
        <v>400.78441562292949</v>
      </c>
      <c r="F81" s="191">
        <v>227.88529123503656</v>
      </c>
      <c r="G81" s="191">
        <v>63.509622510468596</v>
      </c>
      <c r="H81" s="191">
        <v>85.772252494806949</v>
      </c>
      <c r="I81" s="191">
        <v>80.069483471091885</v>
      </c>
      <c r="J81" s="335">
        <v>100.73600081078737</v>
      </c>
      <c r="K81" s="191">
        <v>124.68381390220962</v>
      </c>
      <c r="L81" s="191">
        <v>91.445984524843965</v>
      </c>
      <c r="M81" s="191">
        <v>105.15587122276879</v>
      </c>
      <c r="N81" s="191">
        <v>116.60422242591322</v>
      </c>
      <c r="O81" s="191">
        <v>94.134962998474222</v>
      </c>
      <c r="P81" s="191">
        <v>82.62698021502915</v>
      </c>
      <c r="Q81" s="191">
        <v>117.42595563739464</v>
      </c>
      <c r="R81" s="191">
        <v>96.870094680292212</v>
      </c>
      <c r="S81" s="191">
        <v>56.807308469507205</v>
      </c>
      <c r="T81" s="191">
        <v>140.10813230413174</v>
      </c>
      <c r="U81" s="191">
        <v>78.756733445430712</v>
      </c>
      <c r="V81" s="191">
        <v>103.81121560045521</v>
      </c>
      <c r="W81" s="191">
        <v>136.99780404265181</v>
      </c>
      <c r="X81" s="336">
        <v>66.554689556178062</v>
      </c>
      <c r="Y81" s="191">
        <v>129.6190231933212</v>
      </c>
      <c r="Z81" s="336">
        <v>110.63803326995541</v>
      </c>
      <c r="AA81" s="191">
        <v>255.47822255268414</v>
      </c>
      <c r="AB81" s="336">
        <v>95.094013264159827</v>
      </c>
      <c r="AC81" s="191">
        <v>361.73988968367775</v>
      </c>
      <c r="AD81" s="336">
        <v>149.81634611220272</v>
      </c>
      <c r="AE81" s="191">
        <v>114.90687456527198</v>
      </c>
      <c r="AF81" s="336">
        <v>103.77107667823429</v>
      </c>
      <c r="AG81" s="191">
        <v>98.570069048697277</v>
      </c>
      <c r="AH81" s="336">
        <v>89.055767371882098</v>
      </c>
      <c r="AI81" s="191">
        <v>107.44222522976169</v>
      </c>
      <c r="AJ81" s="336">
        <v>172.08362901946205</v>
      </c>
      <c r="AK81" s="191">
        <v>0</v>
      </c>
      <c r="AL81" s="191">
        <v>0</v>
      </c>
      <c r="AM81" s="337">
        <v>121.57032579621134</v>
      </c>
      <c r="AN81" s="191">
        <v>72.31648399494722</v>
      </c>
      <c r="AO81" s="191">
        <v>149.59596261545349</v>
      </c>
      <c r="AP81" s="191">
        <v>0</v>
      </c>
      <c r="AQ81" s="191">
        <v>102.81633053792892</v>
      </c>
      <c r="AR81" s="191">
        <v>0</v>
      </c>
      <c r="AS81" s="191">
        <v>73.348498039142726</v>
      </c>
      <c r="AT81" s="191">
        <v>0</v>
      </c>
      <c r="AU81" s="191">
        <v>0</v>
      </c>
      <c r="AV81" s="191">
        <v>115.07610354022155</v>
      </c>
      <c r="AW81" s="334">
        <v>39.461368745310097</v>
      </c>
      <c r="AX81" s="334">
        <v>96.105340534394102</v>
      </c>
      <c r="AY81" s="184">
        <v>96.10875003643477</v>
      </c>
      <c r="AZ81" s="184">
        <v>94.021758292758392</v>
      </c>
      <c r="BA81" s="331">
        <v>113.87209957489318</v>
      </c>
      <c r="BB81" s="334">
        <v>56.932210627347267</v>
      </c>
      <c r="BC81" s="334">
        <v>102.39112113945855</v>
      </c>
      <c r="BD81" s="334">
        <v>255.56776407922237</v>
      </c>
    </row>
    <row r="82" spans="1:56" x14ac:dyDescent="0.25">
      <c r="A82" s="11">
        <v>44652</v>
      </c>
      <c r="B82" s="347">
        <v>65.779111289131265</v>
      </c>
      <c r="C82" s="338">
        <v>60.524766450941257</v>
      </c>
      <c r="D82" s="334">
        <v>31.467522016682459</v>
      </c>
      <c r="E82" s="191">
        <v>226.52652556638324</v>
      </c>
      <c r="F82" s="191">
        <v>47.210218455450466</v>
      </c>
      <c r="G82" s="191">
        <v>61.448360045299765</v>
      </c>
      <c r="H82" s="191">
        <v>79.555679770349869</v>
      </c>
      <c r="I82" s="191">
        <v>67.369529940816705</v>
      </c>
      <c r="J82" s="335">
        <v>97.135783520964878</v>
      </c>
      <c r="K82" s="191">
        <v>106.65336541436409</v>
      </c>
      <c r="L82" s="191">
        <v>96.743625022689784</v>
      </c>
      <c r="M82" s="191">
        <v>90.734203611098053</v>
      </c>
      <c r="N82" s="191">
        <v>113.03483629166995</v>
      </c>
      <c r="O82" s="191">
        <v>107.51030608481238</v>
      </c>
      <c r="P82" s="191">
        <v>77.793459958017621</v>
      </c>
      <c r="Q82" s="191">
        <v>72.156397753413913</v>
      </c>
      <c r="R82" s="191">
        <v>85.400995140003928</v>
      </c>
      <c r="S82" s="191">
        <v>62.48859231569228</v>
      </c>
      <c r="T82" s="191">
        <v>121.21433202184177</v>
      </c>
      <c r="U82" s="191">
        <v>80.45583031100027</v>
      </c>
      <c r="V82" s="191">
        <v>114.67855138703037</v>
      </c>
      <c r="W82" s="191">
        <v>88.095360856013329</v>
      </c>
      <c r="X82" s="336">
        <v>35.527099426185302</v>
      </c>
      <c r="Y82" s="191">
        <v>53.593469091114017</v>
      </c>
      <c r="Z82" s="336">
        <v>91.91867069575585</v>
      </c>
      <c r="AA82" s="191">
        <v>216.25988770361408</v>
      </c>
      <c r="AB82" s="336">
        <v>76.59276591807054</v>
      </c>
      <c r="AC82" s="191">
        <v>17.755618381489437</v>
      </c>
      <c r="AD82" s="336">
        <v>177.84565454653304</v>
      </c>
      <c r="AE82" s="191">
        <v>103.43446611663997</v>
      </c>
      <c r="AF82" s="336">
        <v>55.686061125234872</v>
      </c>
      <c r="AG82" s="191">
        <v>86.51136609916891</v>
      </c>
      <c r="AH82" s="336">
        <v>91.034225741974694</v>
      </c>
      <c r="AI82" s="191">
        <v>84.212265442535596</v>
      </c>
      <c r="AJ82" s="336">
        <v>91.934467402458282</v>
      </c>
      <c r="AK82" s="191">
        <v>0</v>
      </c>
      <c r="AL82" s="191">
        <v>0</v>
      </c>
      <c r="AM82" s="337">
        <v>113.39353215004921</v>
      </c>
      <c r="AN82" s="191">
        <v>66.748356864100629</v>
      </c>
      <c r="AO82" s="191">
        <v>80.151109405450427</v>
      </c>
      <c r="AP82" s="191">
        <v>0</v>
      </c>
      <c r="AQ82" s="191">
        <v>115.58985591121666</v>
      </c>
      <c r="AR82" s="191">
        <v>0</v>
      </c>
      <c r="AS82" s="191">
        <v>75.198043377646044</v>
      </c>
      <c r="AT82" s="191">
        <v>0</v>
      </c>
      <c r="AU82" s="191">
        <v>0</v>
      </c>
      <c r="AV82" s="191">
        <v>130.72797890583513</v>
      </c>
      <c r="AW82" s="334">
        <v>41.232185330246921</v>
      </c>
      <c r="AX82" s="334">
        <v>148.93170700033502</v>
      </c>
      <c r="AY82" s="184">
        <v>139.72260393798612</v>
      </c>
      <c r="AZ82" s="184">
        <v>204.54801588923848</v>
      </c>
      <c r="BA82" s="331">
        <v>151.55357624655076</v>
      </c>
      <c r="BB82" s="334">
        <v>96.63217082777858</v>
      </c>
      <c r="BC82" s="334">
        <v>142.58586739179518</v>
      </c>
      <c r="BD82" s="334">
        <v>228.33743910067591</v>
      </c>
    </row>
    <row r="83" spans="1:56" x14ac:dyDescent="0.25">
      <c r="A83" s="11">
        <v>44682</v>
      </c>
      <c r="B83" s="347">
        <v>81.193138567891367</v>
      </c>
      <c r="C83" s="338">
        <v>75.921502729906535</v>
      </c>
      <c r="D83" s="334">
        <v>43.133992543333974</v>
      </c>
      <c r="E83" s="191">
        <v>192.65896636613456</v>
      </c>
      <c r="F83" s="191">
        <v>72.941648940197098</v>
      </c>
      <c r="G83" s="191">
        <v>62.458222349262392</v>
      </c>
      <c r="H83" s="191">
        <v>101.95078081663623</v>
      </c>
      <c r="I83" s="191">
        <v>82.095313369258051</v>
      </c>
      <c r="J83" s="335">
        <v>89.042626074629808</v>
      </c>
      <c r="K83" s="191">
        <v>108.23847398404527</v>
      </c>
      <c r="L83" s="191">
        <v>95.828166650959176</v>
      </c>
      <c r="M83" s="191">
        <v>49.843630620370014</v>
      </c>
      <c r="N83" s="191">
        <v>118.01396250703627</v>
      </c>
      <c r="O83" s="191">
        <v>101.63660323271147</v>
      </c>
      <c r="P83" s="191">
        <v>82.052511361178958</v>
      </c>
      <c r="Q83" s="191">
        <v>96.571450150481169</v>
      </c>
      <c r="R83" s="191">
        <v>73.991566919753183</v>
      </c>
      <c r="S83" s="191">
        <v>44.199396661574248</v>
      </c>
      <c r="T83" s="191">
        <v>96.51453799191232</v>
      </c>
      <c r="U83" s="191">
        <v>79.790684845880861</v>
      </c>
      <c r="V83" s="191">
        <v>87.567448018185985</v>
      </c>
      <c r="W83" s="191">
        <v>100.5153943682478</v>
      </c>
      <c r="X83" s="336">
        <v>107.36391744347986</v>
      </c>
      <c r="Y83" s="191">
        <v>101.30670449022981</v>
      </c>
      <c r="Z83" s="336">
        <v>101.62222847534287</v>
      </c>
      <c r="AA83" s="191">
        <v>355.56030692861185</v>
      </c>
      <c r="AB83" s="336">
        <v>116.64738385707983</v>
      </c>
      <c r="AC83" s="191">
        <v>2.2194132643857243</v>
      </c>
      <c r="AD83" s="336">
        <v>125.01874719068677</v>
      </c>
      <c r="AE83" s="191">
        <v>100.53826898015893</v>
      </c>
      <c r="AF83" s="336">
        <v>74.825445647399022</v>
      </c>
      <c r="AG83" s="191">
        <v>100.66802675569885</v>
      </c>
      <c r="AH83" s="336">
        <v>83.598919968954391</v>
      </c>
      <c r="AI83" s="191">
        <v>93.88507054983512</v>
      </c>
      <c r="AJ83" s="336">
        <v>131.08249153048649</v>
      </c>
      <c r="AK83" s="191">
        <v>0</v>
      </c>
      <c r="AL83" s="191">
        <v>0</v>
      </c>
      <c r="AM83" s="337">
        <v>89.132469943729092</v>
      </c>
      <c r="AN83" s="191">
        <v>52.222860489306477</v>
      </c>
      <c r="AO83" s="191">
        <v>86.149905723504887</v>
      </c>
      <c r="AP83" s="191">
        <v>0</v>
      </c>
      <c r="AQ83" s="191">
        <v>90.724828866819379</v>
      </c>
      <c r="AR83" s="191">
        <v>0</v>
      </c>
      <c r="AS83" s="191">
        <v>18.021682936122367</v>
      </c>
      <c r="AT83" s="191">
        <v>0</v>
      </c>
      <c r="AU83" s="191">
        <v>0</v>
      </c>
      <c r="AV83" s="191">
        <v>87.832851685569281</v>
      </c>
      <c r="AW83" s="334">
        <v>40.675563785004826</v>
      </c>
      <c r="AX83" s="334">
        <v>143.03683240517935</v>
      </c>
      <c r="AY83" s="184">
        <v>123.20946092821255</v>
      </c>
      <c r="AZ83" s="184">
        <v>266.59029397345461</v>
      </c>
      <c r="BA83" s="331">
        <v>156.56809111369284</v>
      </c>
      <c r="BB83" s="334">
        <v>95.548490429405575</v>
      </c>
      <c r="BC83" s="334">
        <v>147.35588151547196</v>
      </c>
      <c r="BD83" s="334">
        <v>257.06715179192292</v>
      </c>
    </row>
    <row r="84" spans="1:56" x14ac:dyDescent="0.25">
      <c r="A84" s="11">
        <v>44713</v>
      </c>
      <c r="B84" s="347">
        <v>105.25511814346463</v>
      </c>
      <c r="C84" s="338">
        <v>100.05500943441106</v>
      </c>
      <c r="D84" s="334">
        <v>77.177021024273515</v>
      </c>
      <c r="E84" s="191">
        <v>229.79322785371542</v>
      </c>
      <c r="F84" s="191">
        <v>143.9207289735559</v>
      </c>
      <c r="G84" s="191">
        <v>41.246164577121576</v>
      </c>
      <c r="H84" s="191">
        <v>166.99614642139051</v>
      </c>
      <c r="I84" s="191">
        <v>82.383514181011677</v>
      </c>
      <c r="J84" s="335">
        <v>97.435672265155887</v>
      </c>
      <c r="K84" s="191">
        <v>74.739843619422317</v>
      </c>
      <c r="L84" s="191">
        <v>115.55749667049363</v>
      </c>
      <c r="M84" s="191">
        <v>65.310292364688067</v>
      </c>
      <c r="N84" s="191">
        <v>108.65108623583664</v>
      </c>
      <c r="O84" s="191">
        <v>108.48736237707203</v>
      </c>
      <c r="P84" s="191">
        <v>96.64086910330991</v>
      </c>
      <c r="Q84" s="191">
        <v>100.11108701447067</v>
      </c>
      <c r="R84" s="191">
        <v>101.24555925378463</v>
      </c>
      <c r="S84" s="191">
        <v>50.698081934997688</v>
      </c>
      <c r="T84" s="191">
        <v>106.87658900297644</v>
      </c>
      <c r="U84" s="191">
        <v>83.897444734712167</v>
      </c>
      <c r="V84" s="191">
        <v>123.5913312665453</v>
      </c>
      <c r="W84" s="191">
        <v>99.592966484781087</v>
      </c>
      <c r="X84" s="336">
        <v>162.3857437634517</v>
      </c>
      <c r="Y84" s="191">
        <v>174.15236290212934</v>
      </c>
      <c r="Z84" s="336">
        <v>95.619092561491129</v>
      </c>
      <c r="AA84" s="191">
        <v>32.274248973388701</v>
      </c>
      <c r="AB84" s="336">
        <v>70.760810091125492</v>
      </c>
      <c r="AC84" s="191">
        <v>2.70223988259393</v>
      </c>
      <c r="AD84" s="336">
        <v>129.25185531212639</v>
      </c>
      <c r="AE84" s="191">
        <v>114.58116355346198</v>
      </c>
      <c r="AF84" s="336">
        <v>81.241506968771034</v>
      </c>
      <c r="AG84" s="191">
        <v>96.027226312988446</v>
      </c>
      <c r="AH84" s="336">
        <v>102.16000527811974</v>
      </c>
      <c r="AI84" s="191">
        <v>115.58529265228125</v>
      </c>
      <c r="AJ84" s="336">
        <v>129.78168858859109</v>
      </c>
      <c r="AK84" s="191">
        <v>0</v>
      </c>
      <c r="AL84" s="191">
        <v>0</v>
      </c>
      <c r="AM84" s="337">
        <v>122.92134940130649</v>
      </c>
      <c r="AN84" s="191">
        <v>85.618273305446564</v>
      </c>
      <c r="AO84" s="191">
        <v>125.07085624667234</v>
      </c>
      <c r="AP84" s="191">
        <v>0</v>
      </c>
      <c r="AQ84" s="191">
        <v>135.67477965641208</v>
      </c>
      <c r="AR84" s="191">
        <v>0</v>
      </c>
      <c r="AS84" s="191">
        <v>14.560473884625972</v>
      </c>
      <c r="AT84" s="191">
        <v>0</v>
      </c>
      <c r="AU84" s="191">
        <v>0</v>
      </c>
      <c r="AV84" s="191">
        <v>104.45745443147248</v>
      </c>
      <c r="AW84" s="334">
        <v>48.06196512528328</v>
      </c>
      <c r="AX84" s="334">
        <v>84.555985859031651</v>
      </c>
      <c r="AY84" s="184">
        <v>80.709042478217896</v>
      </c>
      <c r="AZ84" s="184">
        <v>107.30941173226509</v>
      </c>
      <c r="BA84" s="331">
        <v>161.92081532127796</v>
      </c>
      <c r="BB84" s="334">
        <v>108.48161925875445</v>
      </c>
      <c r="BC84" s="334">
        <v>145.66131161589831</v>
      </c>
      <c r="BD84" s="334">
        <v>226.72579588784785</v>
      </c>
    </row>
    <row r="85" spans="1:56" x14ac:dyDescent="0.25">
      <c r="A85" s="11">
        <v>44743</v>
      </c>
      <c r="B85" s="347">
        <v>75.058253615002286</v>
      </c>
      <c r="C85" s="338">
        <v>70.984349143243421</v>
      </c>
      <c r="D85" s="334">
        <v>31.274498527702704</v>
      </c>
      <c r="E85" s="191">
        <v>582.88660691491737</v>
      </c>
      <c r="F85" s="191">
        <v>29.149501039706845</v>
      </c>
      <c r="G85" s="191">
        <v>39.48912091070742</v>
      </c>
      <c r="H85" s="191">
        <v>88.161279394213679</v>
      </c>
      <c r="I85" s="191">
        <v>74.207700096629097</v>
      </c>
      <c r="J85" s="335">
        <v>92.613449816077306</v>
      </c>
      <c r="K85" s="191">
        <v>75.371258929195946</v>
      </c>
      <c r="L85" s="191">
        <v>72.381457057689289</v>
      </c>
      <c r="M85" s="191">
        <v>58.164384686122609</v>
      </c>
      <c r="N85" s="191">
        <v>114.25858774872036</v>
      </c>
      <c r="O85" s="191">
        <v>91.49309267070916</v>
      </c>
      <c r="P85" s="191">
        <v>103.40646959829564</v>
      </c>
      <c r="Q85" s="191">
        <v>114.57371694768347</v>
      </c>
      <c r="R85" s="191">
        <v>86.032683968760935</v>
      </c>
      <c r="S85" s="191">
        <v>52.28500296995395</v>
      </c>
      <c r="T85" s="191">
        <v>111.1078172746645</v>
      </c>
      <c r="U85" s="191">
        <v>87.728884693509201</v>
      </c>
      <c r="V85" s="191">
        <v>125.74540714505777</v>
      </c>
      <c r="W85" s="191">
        <v>99.631208146754787</v>
      </c>
      <c r="X85" s="336">
        <v>69.582915833273475</v>
      </c>
      <c r="Y85" s="191">
        <v>142.3057013884773</v>
      </c>
      <c r="Z85" s="336">
        <v>86.950458098380793</v>
      </c>
      <c r="AA85" s="191">
        <v>0.63381509400474301</v>
      </c>
      <c r="AB85" s="336">
        <v>121.66071125049454</v>
      </c>
      <c r="AC85" s="191">
        <v>40.452692275052577</v>
      </c>
      <c r="AD85" s="336">
        <v>118.60065015806585</v>
      </c>
      <c r="AE85" s="191">
        <v>97.884529852300503</v>
      </c>
      <c r="AF85" s="336">
        <v>73.268856724567982</v>
      </c>
      <c r="AG85" s="191">
        <v>88.878367294002686</v>
      </c>
      <c r="AH85" s="336">
        <v>98.104664260064723</v>
      </c>
      <c r="AI85" s="191">
        <v>89.051285914120243</v>
      </c>
      <c r="AJ85" s="336">
        <v>103.5038087896869</v>
      </c>
      <c r="AK85" s="191">
        <v>0</v>
      </c>
      <c r="AL85" s="191">
        <v>0</v>
      </c>
      <c r="AM85" s="337">
        <v>86.025638794793721</v>
      </c>
      <c r="AN85" s="191">
        <v>47.273132720718976</v>
      </c>
      <c r="AO85" s="191">
        <v>80.832823085071368</v>
      </c>
      <c r="AP85" s="191">
        <v>0</v>
      </c>
      <c r="AQ85" s="191">
        <v>83.493141467805799</v>
      </c>
      <c r="AR85" s="191">
        <v>0</v>
      </c>
      <c r="AS85" s="191">
        <v>23.241735902881025</v>
      </c>
      <c r="AT85" s="191">
        <v>0</v>
      </c>
      <c r="AU85" s="191">
        <v>0</v>
      </c>
      <c r="AV85" s="191">
        <v>90.600445326548268</v>
      </c>
      <c r="AW85" s="334">
        <v>48.532187065611403</v>
      </c>
      <c r="AX85" s="334">
        <v>107.6415749585629</v>
      </c>
      <c r="AY85" s="184">
        <v>104.07147644563472</v>
      </c>
      <c r="AZ85" s="184">
        <v>128.13173662361149</v>
      </c>
      <c r="BA85" s="331">
        <v>124.65385515992276</v>
      </c>
      <c r="BB85" s="334">
        <v>59.000919341846327</v>
      </c>
      <c r="BC85" s="334">
        <v>148.00367439566676</v>
      </c>
      <c r="BD85" s="334">
        <v>249.10043002762993</v>
      </c>
    </row>
    <row r="86" spans="1:56" x14ac:dyDescent="0.25">
      <c r="A86" s="11">
        <v>44774</v>
      </c>
      <c r="B86" s="347">
        <v>89.777958065483929</v>
      </c>
      <c r="C86" s="338">
        <v>85.78971026941737</v>
      </c>
      <c r="D86" s="334">
        <v>40.96606420492752</v>
      </c>
      <c r="E86" s="191">
        <v>888.03776999686158</v>
      </c>
      <c r="F86" s="191">
        <v>60.518279922286126</v>
      </c>
      <c r="G86" s="191">
        <v>35.491646192013235</v>
      </c>
      <c r="H86" s="191">
        <v>65.658834597662633</v>
      </c>
      <c r="I86" s="191">
        <v>75.550872268998759</v>
      </c>
      <c r="J86" s="335">
        <v>94.361056443046365</v>
      </c>
      <c r="K86" s="191">
        <v>118.63057028411355</v>
      </c>
      <c r="L86" s="191">
        <v>86.44181780955185</v>
      </c>
      <c r="M86" s="191">
        <v>84.574940987219435</v>
      </c>
      <c r="N86" s="191">
        <v>110.194954894304</v>
      </c>
      <c r="O86" s="191">
        <v>102.27633643724342</v>
      </c>
      <c r="P86" s="191">
        <v>108.00314710040215</v>
      </c>
      <c r="Q86" s="191">
        <v>137.29340377734772</v>
      </c>
      <c r="R86" s="191">
        <v>95.044290164411208</v>
      </c>
      <c r="S86" s="191">
        <v>59.920492693619266</v>
      </c>
      <c r="T86" s="191">
        <v>82.930481193352676</v>
      </c>
      <c r="U86" s="191">
        <v>88.190402431198194</v>
      </c>
      <c r="V86" s="191">
        <v>127.37863240563455</v>
      </c>
      <c r="W86" s="191">
        <v>108.00080194244221</v>
      </c>
      <c r="X86" s="336">
        <v>160.12937370688314</v>
      </c>
      <c r="Y86" s="191">
        <v>107.64479727476848</v>
      </c>
      <c r="Z86" s="336">
        <v>98.298186310853211</v>
      </c>
      <c r="AA86" s="191">
        <v>0.98334169655562287</v>
      </c>
      <c r="AB86" s="336">
        <v>81.695874007827783</v>
      </c>
      <c r="AC86" s="191">
        <v>7.5590905094896979</v>
      </c>
      <c r="AD86" s="336">
        <v>52.906129112439743</v>
      </c>
      <c r="AE86" s="191">
        <v>107.40599951742119</v>
      </c>
      <c r="AF86" s="336">
        <v>75.155740992023425</v>
      </c>
      <c r="AG86" s="191">
        <v>101.64979400881772</v>
      </c>
      <c r="AH86" s="336">
        <v>106.24514975371538</v>
      </c>
      <c r="AI86" s="191">
        <v>109.7834005643961</v>
      </c>
      <c r="AJ86" s="336">
        <v>39.320700393091897</v>
      </c>
      <c r="AK86" s="191">
        <v>0</v>
      </c>
      <c r="AL86" s="191">
        <v>0</v>
      </c>
      <c r="AM86" s="337">
        <v>106.90170881536955</v>
      </c>
      <c r="AN86" s="191">
        <v>58.228076850404911</v>
      </c>
      <c r="AO86" s="191">
        <v>90.008798906055333</v>
      </c>
      <c r="AP86" s="191">
        <v>0</v>
      </c>
      <c r="AQ86" s="191">
        <v>104.39664422319036</v>
      </c>
      <c r="AR86" s="191">
        <v>0</v>
      </c>
      <c r="AS86" s="191">
        <v>23.241735902881025</v>
      </c>
      <c r="AT86" s="191">
        <v>0</v>
      </c>
      <c r="AU86" s="191">
        <v>0</v>
      </c>
      <c r="AV86" s="191">
        <v>119.44841062973674</v>
      </c>
      <c r="AW86" s="334">
        <v>48.137363477686712</v>
      </c>
      <c r="AX86" s="334">
        <v>152.79015156687842</v>
      </c>
      <c r="AY86" s="184">
        <v>162.12932630368357</v>
      </c>
      <c r="AZ86" s="184">
        <v>89.870146258778931</v>
      </c>
      <c r="BA86" s="331">
        <v>126.87564359942343</v>
      </c>
      <c r="BB86" s="334">
        <v>67.424241047808877</v>
      </c>
      <c r="BC86" s="334">
        <v>137.74063389433536</v>
      </c>
      <c r="BD86" s="334">
        <v>233.89527997575277</v>
      </c>
    </row>
    <row r="87" spans="1:56" x14ac:dyDescent="0.25">
      <c r="A87" s="11">
        <v>44805</v>
      </c>
      <c r="B87" s="347">
        <v>91.414483453637772</v>
      </c>
      <c r="C87" s="338">
        <v>87.558523535553661</v>
      </c>
      <c r="D87" s="334">
        <v>85.315056540331881</v>
      </c>
      <c r="E87" s="191">
        <v>560.26930164999442</v>
      </c>
      <c r="F87" s="191">
        <v>177.69550970331179</v>
      </c>
      <c r="G87" s="191">
        <v>38.975881653260316</v>
      </c>
      <c r="H87" s="191">
        <v>129.2887046727767</v>
      </c>
      <c r="I87" s="191">
        <v>74.973346544976508</v>
      </c>
      <c r="J87" s="335">
        <v>91.185389850262808</v>
      </c>
      <c r="K87" s="191">
        <v>80.308680342726248</v>
      </c>
      <c r="L87" s="191">
        <v>84.270497191800928</v>
      </c>
      <c r="M87" s="191">
        <v>127.97158870363012</v>
      </c>
      <c r="N87" s="191">
        <v>110.10041593779287</v>
      </c>
      <c r="O87" s="191">
        <v>90.086021991581347</v>
      </c>
      <c r="P87" s="191">
        <v>112.18090648545829</v>
      </c>
      <c r="Q87" s="191">
        <v>139.6649114714171</v>
      </c>
      <c r="R87" s="191">
        <v>91.588052328771411</v>
      </c>
      <c r="S87" s="191">
        <v>50.27026659356072</v>
      </c>
      <c r="T87" s="191">
        <v>72.666184140603761</v>
      </c>
      <c r="U87" s="191">
        <v>87.377536362275166</v>
      </c>
      <c r="V87" s="191">
        <v>112.35216163836002</v>
      </c>
      <c r="W87" s="191">
        <v>97.03293953035481</v>
      </c>
      <c r="X87" s="336">
        <v>116.41436804484125</v>
      </c>
      <c r="Y87" s="191">
        <v>106.47130376993023</v>
      </c>
      <c r="Z87" s="336">
        <v>86.396915476871001</v>
      </c>
      <c r="AA87" s="191">
        <v>0.55809740796131957</v>
      </c>
      <c r="AB87" s="336">
        <v>103.04916434885139</v>
      </c>
      <c r="AC87" s="191">
        <v>7.5590905094896979</v>
      </c>
      <c r="AD87" s="336">
        <v>68.924511448360875</v>
      </c>
      <c r="AE87" s="191">
        <v>129.42832153792568</v>
      </c>
      <c r="AF87" s="336">
        <v>82.365367231168122</v>
      </c>
      <c r="AG87" s="191">
        <v>109.26819325058116</v>
      </c>
      <c r="AH87" s="336">
        <v>98.591883176383448</v>
      </c>
      <c r="AI87" s="191">
        <v>94.169014650050627</v>
      </c>
      <c r="AJ87" s="336">
        <v>49.607851274626903</v>
      </c>
      <c r="AK87" s="191">
        <v>0</v>
      </c>
      <c r="AL87" s="191">
        <v>0</v>
      </c>
      <c r="AM87" s="337">
        <v>89.665156683310329</v>
      </c>
      <c r="AN87" s="191">
        <v>92.696920636756872</v>
      </c>
      <c r="AO87" s="191">
        <v>97.279258324918203</v>
      </c>
      <c r="AP87" s="191">
        <v>0</v>
      </c>
      <c r="AQ87" s="191">
        <v>54.632405615440717</v>
      </c>
      <c r="AR87" s="191">
        <v>0</v>
      </c>
      <c r="AS87" s="191">
        <v>5.2315088898781106</v>
      </c>
      <c r="AT87" s="191">
        <v>0</v>
      </c>
      <c r="AU87" s="191">
        <v>0</v>
      </c>
      <c r="AV87" s="191">
        <v>104.70066381968317</v>
      </c>
      <c r="AW87" s="334">
        <v>52.183285639602445</v>
      </c>
      <c r="AX87" s="334">
        <v>96.200150760072958</v>
      </c>
      <c r="AY87" s="184">
        <v>92.015482845881365</v>
      </c>
      <c r="AZ87" s="184">
        <v>120.86055300385053</v>
      </c>
      <c r="BA87" s="331">
        <v>124.0383706427731</v>
      </c>
      <c r="BB87" s="334">
        <v>58.491699089430718</v>
      </c>
      <c r="BC87" s="334">
        <v>154.70049526972744</v>
      </c>
      <c r="BD87" s="334">
        <v>239.20167043964537</v>
      </c>
    </row>
    <row r="88" spans="1:56" x14ac:dyDescent="0.25">
      <c r="A88" s="11">
        <v>44835</v>
      </c>
      <c r="B88" s="347">
        <v>79.037162985381372</v>
      </c>
      <c r="C88" s="338">
        <v>72.671778111094071</v>
      </c>
      <c r="D88" s="334">
        <v>30.369100534638893</v>
      </c>
      <c r="E88" s="191">
        <v>240.41531193801441</v>
      </c>
      <c r="F88" s="191">
        <v>46.927981696005602</v>
      </c>
      <c r="G88" s="191">
        <v>63.522151655742867</v>
      </c>
      <c r="H88" s="191">
        <v>72.334567139349645</v>
      </c>
      <c r="I88" s="191">
        <v>80.029980267799843</v>
      </c>
      <c r="J88" s="335">
        <v>95.197140797374431</v>
      </c>
      <c r="K88" s="191">
        <v>126.2042662528869</v>
      </c>
      <c r="L88" s="191">
        <v>79.823036919597016</v>
      </c>
      <c r="M88" s="191">
        <v>148.95593028000178</v>
      </c>
      <c r="N88" s="191">
        <v>98.486660836795153</v>
      </c>
      <c r="O88" s="191">
        <v>93.822798161563057</v>
      </c>
      <c r="P88" s="191">
        <v>110.81010209276221</v>
      </c>
      <c r="Q88" s="191">
        <v>142.16349289131151</v>
      </c>
      <c r="R88" s="191">
        <v>91.234611861521188</v>
      </c>
      <c r="S88" s="191">
        <v>53.722259252509858</v>
      </c>
      <c r="T88" s="191">
        <v>87.969038760896581</v>
      </c>
      <c r="U88" s="191">
        <v>86.192567705893325</v>
      </c>
      <c r="V88" s="191">
        <v>119.56795735351255</v>
      </c>
      <c r="W88" s="191">
        <v>128.68669987006754</v>
      </c>
      <c r="X88" s="336">
        <v>101.76311828328198</v>
      </c>
      <c r="Y88" s="191">
        <v>69.872750458261748</v>
      </c>
      <c r="Z88" s="336">
        <v>97.512742340417375</v>
      </c>
      <c r="AA88" s="191">
        <v>0.55809740796131957</v>
      </c>
      <c r="AB88" s="336">
        <v>119.94838274792932</v>
      </c>
      <c r="AC88" s="191">
        <v>38.293411509189376</v>
      </c>
      <c r="AD88" s="336">
        <v>70.718623650730237</v>
      </c>
      <c r="AE88" s="191">
        <v>109.37272589100262</v>
      </c>
      <c r="AF88" s="336">
        <v>73.751643762589438</v>
      </c>
      <c r="AG88" s="191">
        <v>121.10634133593138</v>
      </c>
      <c r="AH88" s="336">
        <v>102.48098732220298</v>
      </c>
      <c r="AI88" s="191">
        <v>99.106265087225438</v>
      </c>
      <c r="AJ88" s="336">
        <v>132.38724203830904</v>
      </c>
      <c r="AK88" s="191">
        <v>0</v>
      </c>
      <c r="AL88" s="191">
        <v>0</v>
      </c>
      <c r="AM88" s="337">
        <v>110.58048989074079</v>
      </c>
      <c r="AN88" s="191">
        <v>91.892397196581953</v>
      </c>
      <c r="AO88" s="191">
        <v>87.157834714956394</v>
      </c>
      <c r="AP88" s="191">
        <v>0</v>
      </c>
      <c r="AQ88" s="191">
        <v>118.27795908277184</v>
      </c>
      <c r="AR88" s="191">
        <v>0</v>
      </c>
      <c r="AS88" s="191">
        <v>11.976796904461578</v>
      </c>
      <c r="AT88" s="191">
        <v>0</v>
      </c>
      <c r="AU88" s="191">
        <v>0</v>
      </c>
      <c r="AV88" s="191">
        <v>111.40094563240616</v>
      </c>
      <c r="AW88" s="334">
        <v>51.356812372198043</v>
      </c>
      <c r="AX88" s="334">
        <v>113.63386351329973</v>
      </c>
      <c r="AY88" s="184">
        <v>89.784275755266904</v>
      </c>
      <c r="AZ88" s="184">
        <v>263.50491692077469</v>
      </c>
      <c r="BA88" s="331">
        <v>183.40638171490107</v>
      </c>
      <c r="BB88" s="334">
        <v>112.69595421796622</v>
      </c>
      <c r="BC88" s="334">
        <v>213.22231667822453</v>
      </c>
      <c r="BD88" s="334">
        <v>244.01260478675445</v>
      </c>
    </row>
    <row r="89" spans="1:56" x14ac:dyDescent="0.25">
      <c r="A89" s="11">
        <v>44866</v>
      </c>
      <c r="B89" s="347">
        <v>91.298737578111727</v>
      </c>
      <c r="C89" s="338">
        <v>85.744285714989573</v>
      </c>
      <c r="D89" s="334">
        <v>47.551932060358396</v>
      </c>
      <c r="E89" s="191">
        <v>127.83812731818985</v>
      </c>
      <c r="F89" s="191">
        <v>89.050305468329427</v>
      </c>
      <c r="G89" s="191">
        <v>45.423892343961029</v>
      </c>
      <c r="H89" s="191">
        <v>102.36935795463231</v>
      </c>
      <c r="I89" s="191">
        <v>76.405251566619029</v>
      </c>
      <c r="J89" s="335">
        <v>98.26906819034879</v>
      </c>
      <c r="K89" s="191">
        <v>97.205011192126463</v>
      </c>
      <c r="L89" s="191">
        <v>80.7765370943779</v>
      </c>
      <c r="M89" s="191">
        <v>91.762173185003533</v>
      </c>
      <c r="N89" s="191">
        <v>138.81966864943695</v>
      </c>
      <c r="O89" s="191">
        <v>103.75749649667596</v>
      </c>
      <c r="P89" s="191">
        <v>100.79331109602427</v>
      </c>
      <c r="Q89" s="191">
        <v>128.02383192559867</v>
      </c>
      <c r="R89" s="191">
        <v>94.694519956019917</v>
      </c>
      <c r="S89" s="191">
        <v>51.826793276182912</v>
      </c>
      <c r="T89" s="191">
        <v>87.840322111731254</v>
      </c>
      <c r="U89" s="191">
        <v>87.695536479688926</v>
      </c>
      <c r="V89" s="191">
        <v>116.17165134154193</v>
      </c>
      <c r="W89" s="191">
        <v>131.27407969879712</v>
      </c>
      <c r="X89" s="336">
        <v>128.52169244699584</v>
      </c>
      <c r="Y89" s="191">
        <v>95.767826483954366</v>
      </c>
      <c r="Z89" s="336">
        <v>113.47145402090098</v>
      </c>
      <c r="AA89" s="191">
        <v>0.84333810913902496</v>
      </c>
      <c r="AB89" s="336">
        <v>99.397767221088017</v>
      </c>
      <c r="AC89" s="191">
        <v>4.5529112426576734</v>
      </c>
      <c r="AD89" s="336">
        <v>84.95734653977344</v>
      </c>
      <c r="AE89" s="191">
        <v>114.27090695284302</v>
      </c>
      <c r="AF89" s="336">
        <v>59.181218898805255</v>
      </c>
      <c r="AG89" s="191">
        <v>128.32659580289936</v>
      </c>
      <c r="AH89" s="336">
        <v>104.11040185800934</v>
      </c>
      <c r="AI89" s="191">
        <v>111.78940645836967</v>
      </c>
      <c r="AJ89" s="336">
        <v>91.198839515117527</v>
      </c>
      <c r="AK89" s="191">
        <v>0</v>
      </c>
      <c r="AL89" s="191">
        <v>0</v>
      </c>
      <c r="AM89" s="337">
        <v>114.67467255767632</v>
      </c>
      <c r="AN89" s="191">
        <v>120.74658722451871</v>
      </c>
      <c r="AO89" s="191">
        <v>111.49755230912839</v>
      </c>
      <c r="AP89" s="191">
        <v>0</v>
      </c>
      <c r="AQ89" s="191">
        <v>109.94172984677732</v>
      </c>
      <c r="AR89" s="191">
        <v>0</v>
      </c>
      <c r="AS89" s="191">
        <v>76.730263785188725</v>
      </c>
      <c r="AT89" s="191">
        <v>0</v>
      </c>
      <c r="AU89" s="191">
        <v>0</v>
      </c>
      <c r="AV89" s="191">
        <v>105.08353730070414</v>
      </c>
      <c r="AW89" s="334">
        <v>59.13868771867682</v>
      </c>
      <c r="AX89" s="334">
        <v>132.22867880433014</v>
      </c>
      <c r="AY89" s="184">
        <v>108.67167024682409</v>
      </c>
      <c r="AZ89" s="184">
        <v>279.83232836139013</v>
      </c>
      <c r="BA89" s="331">
        <v>166.67621171355552</v>
      </c>
      <c r="BB89" s="334">
        <v>106.86476708459773</v>
      </c>
      <c r="BC89" s="334">
        <v>142.67059783884588</v>
      </c>
      <c r="BD89" s="334">
        <v>266.75834324998158</v>
      </c>
    </row>
    <row r="90" spans="1:56" x14ac:dyDescent="0.25">
      <c r="A90" s="11">
        <v>44896</v>
      </c>
      <c r="B90" s="347">
        <v>125.63121468947132</v>
      </c>
      <c r="C90" s="338">
        <v>120.02342463658459</v>
      </c>
      <c r="D90" s="334">
        <v>82.896955605730312</v>
      </c>
      <c r="E90" s="191">
        <v>23.851140248102197</v>
      </c>
      <c r="F90" s="191">
        <v>178.02729785641395</v>
      </c>
      <c r="G90" s="191">
        <v>29.645670446896421</v>
      </c>
      <c r="H90" s="191">
        <v>150.08739066960149</v>
      </c>
      <c r="I90" s="191">
        <v>105.1927856362756</v>
      </c>
      <c r="J90" s="335">
        <v>113.63762015703558</v>
      </c>
      <c r="K90" s="191">
        <v>117.32174156074198</v>
      </c>
      <c r="L90" s="191">
        <v>104.11854328846732</v>
      </c>
      <c r="M90" s="191">
        <v>147.39737698815256</v>
      </c>
      <c r="N90" s="191">
        <v>116.59101576076486</v>
      </c>
      <c r="O90" s="191">
        <v>114.12476359090773</v>
      </c>
      <c r="P90" s="191">
        <v>120.45712398192096</v>
      </c>
      <c r="Q90" s="191">
        <v>95.892208233681018</v>
      </c>
      <c r="R90" s="191">
        <v>101.63612242866995</v>
      </c>
      <c r="S90" s="191">
        <v>53.192957790440545</v>
      </c>
      <c r="T90" s="191">
        <v>138.86414970852789</v>
      </c>
      <c r="U90" s="191">
        <v>103.78297196455983</v>
      </c>
      <c r="V90" s="191">
        <v>129.73195600176177</v>
      </c>
      <c r="W90" s="191">
        <v>125.33283350867721</v>
      </c>
      <c r="X90" s="336">
        <v>138.37180995690488</v>
      </c>
      <c r="Y90" s="191">
        <v>53.002298569193812</v>
      </c>
      <c r="Z90" s="336">
        <v>124.21957144877034</v>
      </c>
      <c r="AA90" s="191">
        <v>64.613028334431036</v>
      </c>
      <c r="AB90" s="336">
        <v>121.57943912635547</v>
      </c>
      <c r="AC90" s="191">
        <v>21.42316137592352</v>
      </c>
      <c r="AD90" s="336">
        <v>81.64932348820777</v>
      </c>
      <c r="AE90" s="191">
        <v>112.04059663215025</v>
      </c>
      <c r="AF90" s="336">
        <v>56.613168534188333</v>
      </c>
      <c r="AG90" s="191">
        <v>108.70781514261685</v>
      </c>
      <c r="AH90" s="336">
        <v>120.46836481973783</v>
      </c>
      <c r="AI90" s="191">
        <v>109.3831015255094</v>
      </c>
      <c r="AJ90" s="336">
        <v>108.17140068656639</v>
      </c>
      <c r="AK90" s="191">
        <v>169.74361834949468</v>
      </c>
      <c r="AL90" s="191">
        <v>96.3716812198643</v>
      </c>
      <c r="AM90" s="337">
        <v>132.68177805638283</v>
      </c>
      <c r="AN90" s="191">
        <v>166.03986906119712</v>
      </c>
      <c r="AO90" s="191">
        <v>123.00595761892549</v>
      </c>
      <c r="AP90" s="191">
        <v>498.41702031423347</v>
      </c>
      <c r="AQ90" s="191">
        <v>134.68398852587006</v>
      </c>
      <c r="AR90" s="191">
        <v>23.565167195440136</v>
      </c>
      <c r="AS90" s="191">
        <v>881.21943971075507</v>
      </c>
      <c r="AT90" s="191">
        <v>146.13060932854327</v>
      </c>
      <c r="AU90" s="191">
        <v>173.85599059947575</v>
      </c>
      <c r="AV90" s="191">
        <v>96.43287044282539</v>
      </c>
      <c r="AW90" s="334">
        <v>236.50931578624079</v>
      </c>
      <c r="AX90" s="334">
        <v>98.010142073341598</v>
      </c>
      <c r="AY90" s="184">
        <v>96.823809615990783</v>
      </c>
      <c r="AZ90" s="184">
        <v>103.48365869306767</v>
      </c>
      <c r="BA90" s="331">
        <v>178.21776374080298</v>
      </c>
      <c r="BB90" s="334">
        <v>97.787258214847597</v>
      </c>
      <c r="BC90" s="334">
        <v>170.49368129640675</v>
      </c>
      <c r="BD90" s="334">
        <v>343.4398853941791</v>
      </c>
    </row>
    <row r="91" spans="1:56" x14ac:dyDescent="0.25">
      <c r="A91" s="11">
        <v>44927</v>
      </c>
      <c r="B91" s="347">
        <v>78.765068988232727</v>
      </c>
      <c r="C91" s="338">
        <v>77.531136699933498</v>
      </c>
      <c r="D91" s="334">
        <v>46.492925980004713</v>
      </c>
      <c r="E91" s="191">
        <v>86.562124104866655</v>
      </c>
      <c r="F91" s="191">
        <v>72.642602967871596</v>
      </c>
      <c r="G91" s="191">
        <v>29.654966659104868</v>
      </c>
      <c r="H91" s="191">
        <v>40.891998895051032</v>
      </c>
      <c r="I91" s="191">
        <v>97.53284146640965</v>
      </c>
      <c r="J91" s="335">
        <v>99.667775858744477</v>
      </c>
      <c r="K91" s="191">
        <v>94.779973206696212</v>
      </c>
      <c r="L91" s="191">
        <v>107.76679190238373</v>
      </c>
      <c r="M91" s="191">
        <v>70.989871931876053</v>
      </c>
      <c r="N91" s="191">
        <v>94.019371605573269</v>
      </c>
      <c r="O91" s="191">
        <v>111.92471438846789</v>
      </c>
      <c r="P91" s="191">
        <v>114.1292785220715</v>
      </c>
      <c r="Q91" s="191">
        <v>104.4415895448719</v>
      </c>
      <c r="R91" s="191">
        <v>85.438027556788199</v>
      </c>
      <c r="S91" s="191">
        <v>53.876382831075105</v>
      </c>
      <c r="T91" s="191">
        <v>131.28679024633365</v>
      </c>
      <c r="U91" s="191">
        <v>103.41783616524046</v>
      </c>
      <c r="V91" s="191">
        <v>97.78450280843505</v>
      </c>
      <c r="W91" s="191">
        <v>96.057138375511016</v>
      </c>
      <c r="X91" s="336">
        <v>81.717491997284995</v>
      </c>
      <c r="Y91" s="191">
        <v>67.142147535394145</v>
      </c>
      <c r="Z91" s="336">
        <v>135.68075562951012</v>
      </c>
      <c r="AA91" s="191">
        <v>22.786026341129183</v>
      </c>
      <c r="AB91" s="336">
        <v>111.71179701046466</v>
      </c>
      <c r="AC91" s="191">
        <v>0.66666666666666663</v>
      </c>
      <c r="AD91" s="336">
        <v>110.06633582152429</v>
      </c>
      <c r="AE91" s="191">
        <v>107.36518083551262</v>
      </c>
      <c r="AF91" s="336">
        <v>64.803109268629811</v>
      </c>
      <c r="AG91" s="191">
        <v>94.837015861528769</v>
      </c>
      <c r="AH91" s="336">
        <v>99.172946936327477</v>
      </c>
      <c r="AI91" s="191">
        <v>97.829939633338924</v>
      </c>
      <c r="AJ91" s="336">
        <v>73.638395241032271</v>
      </c>
      <c r="AK91" s="191">
        <v>22.594426745743785</v>
      </c>
      <c r="AL91" s="191">
        <v>83.420477673223473</v>
      </c>
      <c r="AM91" s="337">
        <v>95.837836835288897</v>
      </c>
      <c r="AN91" s="191">
        <v>71.804394226057724</v>
      </c>
      <c r="AO91" s="191">
        <v>170.64994271380672</v>
      </c>
      <c r="AP91" s="191">
        <v>59.967899469866467</v>
      </c>
      <c r="AQ91" s="191">
        <v>74.941138086049946</v>
      </c>
      <c r="AR91" s="191">
        <v>23.565167195440136</v>
      </c>
      <c r="AS91" s="191">
        <v>2.5927083925718017</v>
      </c>
      <c r="AT91" s="191">
        <v>51.347687689474057</v>
      </c>
      <c r="AU91" s="191">
        <v>72.283054047258219</v>
      </c>
      <c r="AV91" s="191">
        <v>78.346011663956432</v>
      </c>
      <c r="AW91" s="334">
        <v>66.711569634705882</v>
      </c>
      <c r="AX91" s="334">
        <v>99.517348786217354</v>
      </c>
      <c r="AY91" s="184">
        <v>109.6301786138996</v>
      </c>
      <c r="AZ91" s="184">
        <v>52.858638749835052</v>
      </c>
      <c r="BA91" s="331">
        <v>90.336158524879508</v>
      </c>
      <c r="BB91" s="334">
        <v>98.155008791363514</v>
      </c>
      <c r="BC91" s="334">
        <v>77.803059787641018</v>
      </c>
      <c r="BD91" s="334">
        <v>77.843726810028997</v>
      </c>
    </row>
    <row r="92" spans="1:56" x14ac:dyDescent="0.25">
      <c r="A92" s="11">
        <v>44958</v>
      </c>
      <c r="B92" s="347">
        <v>81.655232980497587</v>
      </c>
      <c r="C92" s="338">
        <v>83.661753977481297</v>
      </c>
      <c r="D92" s="334">
        <v>50.160768951198037</v>
      </c>
      <c r="E92" s="191">
        <v>54.62931708390412</v>
      </c>
      <c r="F92" s="191">
        <v>79.313177899555825</v>
      </c>
      <c r="G92" s="191">
        <v>29.650103519345066</v>
      </c>
      <c r="H92" s="191">
        <v>44.122323951030012</v>
      </c>
      <c r="I92" s="191">
        <v>150.18584621816552</v>
      </c>
      <c r="J92" s="335">
        <v>103.17524248948673</v>
      </c>
      <c r="K92" s="191">
        <v>98.58448888104148</v>
      </c>
      <c r="L92" s="191">
        <v>87.073413629394423</v>
      </c>
      <c r="M92" s="191">
        <v>77.824918869692141</v>
      </c>
      <c r="N92" s="191">
        <v>99.429969165716628</v>
      </c>
      <c r="O92" s="191">
        <v>109.16084138448591</v>
      </c>
      <c r="P92" s="191">
        <v>111.44512240328757</v>
      </c>
      <c r="Q92" s="191">
        <v>100.26740090655699</v>
      </c>
      <c r="R92" s="191">
        <v>142.16658935903169</v>
      </c>
      <c r="S92" s="191">
        <v>60.153038711200807</v>
      </c>
      <c r="T92" s="191">
        <v>142.90176323113738</v>
      </c>
      <c r="U92" s="191">
        <v>122.48983181932049</v>
      </c>
      <c r="V92" s="191">
        <v>93.736328210845201</v>
      </c>
      <c r="W92" s="191">
        <v>85.638936485744694</v>
      </c>
      <c r="X92" s="336">
        <v>102.54104982323989</v>
      </c>
      <c r="Y92" s="191">
        <v>79.506648349734093</v>
      </c>
      <c r="Z92" s="336">
        <v>128.60806790105474</v>
      </c>
      <c r="AA92" s="191">
        <v>40.042232974038399</v>
      </c>
      <c r="AB92" s="336">
        <v>100.26351483532206</v>
      </c>
      <c r="AC92" s="191">
        <v>0.66666666666666663</v>
      </c>
      <c r="AD92" s="336">
        <v>112.9366609256287</v>
      </c>
      <c r="AE92" s="191">
        <v>100.41035003640718</v>
      </c>
      <c r="AF92" s="336">
        <v>57.299726667122123</v>
      </c>
      <c r="AG92" s="191">
        <v>103.55290229825157</v>
      </c>
      <c r="AH92" s="336">
        <v>97.917714813164167</v>
      </c>
      <c r="AI92" s="191">
        <v>92.688132218336506</v>
      </c>
      <c r="AJ92" s="336">
        <v>110.0119203529139</v>
      </c>
      <c r="AK92" s="191">
        <v>19.906836259319245</v>
      </c>
      <c r="AL92" s="191">
        <v>127.27968745931396</v>
      </c>
      <c r="AM92" s="337">
        <v>120.04134582768228</v>
      </c>
      <c r="AN92" s="191">
        <v>56.625586175886525</v>
      </c>
      <c r="AO92" s="191">
        <v>203.34399193878465</v>
      </c>
      <c r="AP92" s="191">
        <v>34.852947301274099</v>
      </c>
      <c r="AQ92" s="191">
        <v>138.20188542476401</v>
      </c>
      <c r="AR92" s="191">
        <v>58.34747706498765</v>
      </c>
      <c r="AS92" s="191">
        <v>22.871535998195974</v>
      </c>
      <c r="AT92" s="191">
        <v>48.431530333379811</v>
      </c>
      <c r="AU92" s="191">
        <v>78.714335186164021</v>
      </c>
      <c r="AV92" s="191">
        <v>85.174283911160288</v>
      </c>
      <c r="AW92" s="334">
        <v>66.369906558373202</v>
      </c>
      <c r="AX92" s="334">
        <v>171.5539489097936</v>
      </c>
      <c r="AY92" s="184">
        <v>190.82819242259657</v>
      </c>
      <c r="AZ92" s="184">
        <v>82.62618540953396</v>
      </c>
      <c r="BA92" s="331">
        <v>62.839262012380814</v>
      </c>
      <c r="BB92" s="334">
        <v>55.350650186957765</v>
      </c>
      <c r="BC92" s="334">
        <v>80.004176588319808</v>
      </c>
      <c r="BD92" s="334">
        <v>73.417326027814866</v>
      </c>
    </row>
    <row r="93" spans="1:56" x14ac:dyDescent="0.25">
      <c r="A93" s="11">
        <v>44986</v>
      </c>
      <c r="B93" s="347">
        <v>92.158344849202621</v>
      </c>
      <c r="C93" s="338">
        <v>94.321994016174287</v>
      </c>
      <c r="D93" s="334">
        <v>63.55693979022918</v>
      </c>
      <c r="E93" s="191">
        <v>93.834759880019263</v>
      </c>
      <c r="F93" s="191">
        <v>104.74361941001541</v>
      </c>
      <c r="G93" s="191">
        <v>29.665102488851549</v>
      </c>
      <c r="H93" s="191">
        <v>101.30728849979371</v>
      </c>
      <c r="I93" s="191">
        <v>134.45694411739132</v>
      </c>
      <c r="J93" s="335">
        <v>122.11054845727682</v>
      </c>
      <c r="K93" s="191">
        <v>122.08153069498901</v>
      </c>
      <c r="L93" s="191">
        <v>114.76300740804461</v>
      </c>
      <c r="M93" s="191">
        <v>57.860607379752373</v>
      </c>
      <c r="N93" s="191">
        <v>123.71189423465296</v>
      </c>
      <c r="O93" s="191">
        <v>135.47754120939891</v>
      </c>
      <c r="P93" s="191">
        <v>125.14140688979809</v>
      </c>
      <c r="Q93" s="191">
        <v>80.979316030895617</v>
      </c>
      <c r="R93" s="191">
        <v>212.30879667283801</v>
      </c>
      <c r="S93" s="191">
        <v>76.626391941612454</v>
      </c>
      <c r="T93" s="191">
        <v>184.22741651679914</v>
      </c>
      <c r="U93" s="191">
        <v>121.99205189533745</v>
      </c>
      <c r="V93" s="191">
        <v>113.27065754889097</v>
      </c>
      <c r="W93" s="191">
        <v>163.00356381359722</v>
      </c>
      <c r="X93" s="336">
        <v>111.57379282076046</v>
      </c>
      <c r="Y93" s="191">
        <v>77.320735243519252</v>
      </c>
      <c r="Z93" s="336">
        <v>144.91280593838397</v>
      </c>
      <c r="AA93" s="191">
        <v>160.50117242916485</v>
      </c>
      <c r="AB93" s="336">
        <v>133.12944447823779</v>
      </c>
      <c r="AC93" s="191">
        <v>0.66666666666666663</v>
      </c>
      <c r="AD93" s="336">
        <v>103.36921562889898</v>
      </c>
      <c r="AE93" s="191">
        <v>116.1780243945153</v>
      </c>
      <c r="AF93" s="336">
        <v>81.925498309543499</v>
      </c>
      <c r="AG93" s="191">
        <v>116.96202361885038</v>
      </c>
      <c r="AH93" s="336">
        <v>99.271496556948662</v>
      </c>
      <c r="AI93" s="191">
        <v>89.489190457069199</v>
      </c>
      <c r="AJ93" s="336">
        <v>145.50974100945572</v>
      </c>
      <c r="AK93" s="191">
        <v>17.219245772894702</v>
      </c>
      <c r="AL93" s="191">
        <v>170.09537250843502</v>
      </c>
      <c r="AM93" s="337">
        <v>126.44038952468658</v>
      </c>
      <c r="AN93" s="191">
        <v>73.195736745238193</v>
      </c>
      <c r="AO93" s="191">
        <v>194.49326116345367</v>
      </c>
      <c r="AP93" s="191">
        <v>27.530970574553571</v>
      </c>
      <c r="AQ93" s="191">
        <v>97.816940278556999</v>
      </c>
      <c r="AR93" s="191">
        <v>23.565167195440136</v>
      </c>
      <c r="AS93" s="191">
        <v>27.040774780926004</v>
      </c>
      <c r="AT93" s="191">
        <v>55.419144644149895</v>
      </c>
      <c r="AU93" s="191">
        <v>352.38040875924912</v>
      </c>
      <c r="AV93" s="191">
        <v>99.411358081643826</v>
      </c>
      <c r="AW93" s="334">
        <v>69.86741995329551</v>
      </c>
      <c r="AX93" s="334">
        <v>119.78323530244607</v>
      </c>
      <c r="AY93" s="184">
        <v>131.2446511397614</v>
      </c>
      <c r="AZ93" s="184">
        <v>66.902401028360316</v>
      </c>
      <c r="BA93" s="331">
        <v>71.868918537627607</v>
      </c>
      <c r="BB93" s="334">
        <v>74.645001470127696</v>
      </c>
      <c r="BC93" s="334">
        <v>69.918919367213263</v>
      </c>
      <c r="BD93" s="334">
        <v>66.761797349741727</v>
      </c>
    </row>
    <row r="94" spans="1:56" x14ac:dyDescent="0.25">
      <c r="A94" s="11">
        <v>45017</v>
      </c>
      <c r="B94" s="347">
        <v>78.667310578673835</v>
      </c>
      <c r="C94" s="338">
        <v>76.722883481432348</v>
      </c>
      <c r="D94" s="334">
        <v>45.93198092536241</v>
      </c>
      <c r="E94" s="191">
        <v>92.755041491615998</v>
      </c>
      <c r="F94" s="191">
        <v>53.219622371798572</v>
      </c>
      <c r="G94" s="191">
        <v>29.657935317544208</v>
      </c>
      <c r="H94" s="191">
        <v>77.025909599989305</v>
      </c>
      <c r="I94" s="191">
        <v>85.815341679643424</v>
      </c>
      <c r="J94" s="335">
        <v>99.040622418004034</v>
      </c>
      <c r="K94" s="191">
        <v>88.03524632758409</v>
      </c>
      <c r="L94" s="191">
        <v>98.166204183791564</v>
      </c>
      <c r="M94" s="191">
        <v>70.171385586512983</v>
      </c>
      <c r="N94" s="191">
        <v>104.28925038737366</v>
      </c>
      <c r="O94" s="191">
        <v>106.77126936736499</v>
      </c>
      <c r="P94" s="191">
        <v>112.20784872053554</v>
      </c>
      <c r="Q94" s="191">
        <v>79.424267035225057</v>
      </c>
      <c r="R94" s="191">
        <v>120.70739287388683</v>
      </c>
      <c r="S94" s="191">
        <v>60.650517752218235</v>
      </c>
      <c r="T94" s="191">
        <v>122.89978081244726</v>
      </c>
      <c r="U94" s="191">
        <v>101.03047731624861</v>
      </c>
      <c r="V94" s="191">
        <v>96.033794367384417</v>
      </c>
      <c r="W94" s="191">
        <v>105.8529203274645</v>
      </c>
      <c r="X94" s="336">
        <v>86.340987390925861</v>
      </c>
      <c r="Y94" s="191">
        <v>63.095854422849527</v>
      </c>
      <c r="Z94" s="336">
        <v>106.89438784583582</v>
      </c>
      <c r="AA94" s="191">
        <v>1.0687098977459895</v>
      </c>
      <c r="AB94" s="336">
        <v>98.095171499949828</v>
      </c>
      <c r="AC94" s="191">
        <v>6.6908786195843115</v>
      </c>
      <c r="AD94" s="336">
        <v>88.307941436607734</v>
      </c>
      <c r="AE94" s="191">
        <v>92.154189409783058</v>
      </c>
      <c r="AF94" s="336">
        <v>46.336468181734503</v>
      </c>
      <c r="AG94" s="191">
        <v>83.717190949486039</v>
      </c>
      <c r="AH94" s="336">
        <v>91.108075130952756</v>
      </c>
      <c r="AI94" s="191">
        <v>78.715116622821057</v>
      </c>
      <c r="AJ94" s="336">
        <v>110.31522650694691</v>
      </c>
      <c r="AK94" s="191">
        <v>28.767432671023904</v>
      </c>
      <c r="AL94" s="191">
        <v>125.94307177411031</v>
      </c>
      <c r="AM94" s="337">
        <v>102.72144860817967</v>
      </c>
      <c r="AN94" s="191">
        <v>66.179177373183236</v>
      </c>
      <c r="AO94" s="191">
        <v>119.45513118394939</v>
      </c>
      <c r="AP94" s="191">
        <v>67.699731485908529</v>
      </c>
      <c r="AQ94" s="191">
        <v>93.341115257557334</v>
      </c>
      <c r="AR94" s="191">
        <v>35.159270485289305</v>
      </c>
      <c r="AS94" s="191">
        <v>31.107220469746455</v>
      </c>
      <c r="AT94" s="191">
        <v>53.729450156267525</v>
      </c>
      <c r="AU94" s="191">
        <v>331.90236952255674</v>
      </c>
      <c r="AV94" s="191">
        <v>86.460638773450839</v>
      </c>
      <c r="AW94" s="334">
        <v>75.872884219379273</v>
      </c>
      <c r="AX94" s="334">
        <v>147.26557603056577</v>
      </c>
      <c r="AY94" s="184">
        <v>167.728940482638</v>
      </c>
      <c r="AZ94" s="184">
        <v>52.851430375266013</v>
      </c>
      <c r="BA94" s="331">
        <v>96.901001562378326</v>
      </c>
      <c r="BB94" s="334">
        <v>96.41126262051759</v>
      </c>
      <c r="BC94" s="334">
        <v>85.195164519166397</v>
      </c>
      <c r="BD94" s="334">
        <v>101.03959616496991</v>
      </c>
    </row>
    <row r="95" spans="1:56" x14ac:dyDescent="0.25">
      <c r="A95" s="11">
        <v>45047</v>
      </c>
      <c r="B95" s="347">
        <v>85.041222007277668</v>
      </c>
      <c r="C95" s="338">
        <v>84.546522186718676</v>
      </c>
      <c r="D95" s="334">
        <v>65.462137388994734</v>
      </c>
      <c r="E95" s="191">
        <v>173.33468884930659</v>
      </c>
      <c r="F95" s="191">
        <v>109.91927813882127</v>
      </c>
      <c r="G95" s="191">
        <v>29.659923073648205</v>
      </c>
      <c r="H95" s="191">
        <v>60.913035455234002</v>
      </c>
      <c r="I95" s="191">
        <v>192.85169900013716</v>
      </c>
      <c r="J95" s="335">
        <v>109.44377462347789</v>
      </c>
      <c r="K95" s="191">
        <v>99.57648397444747</v>
      </c>
      <c r="L95" s="191">
        <v>129.50162547828214</v>
      </c>
      <c r="M95" s="191">
        <v>64.079701578925068</v>
      </c>
      <c r="N95" s="191">
        <v>115.56989567255309</v>
      </c>
      <c r="O95" s="191">
        <v>123.62119326731143</v>
      </c>
      <c r="P95" s="191">
        <v>122.15002780683156</v>
      </c>
      <c r="Q95" s="191">
        <v>104.05169321884262</v>
      </c>
      <c r="R95" s="191">
        <v>104.42413809000507</v>
      </c>
      <c r="S95" s="191">
        <v>49.896125694037103</v>
      </c>
      <c r="T95" s="191">
        <v>94.391812850997027</v>
      </c>
      <c r="U95" s="191">
        <v>117.69489922358741</v>
      </c>
      <c r="V95" s="191">
        <v>96.971082439239069</v>
      </c>
      <c r="W95" s="191">
        <v>145.92800396572153</v>
      </c>
      <c r="X95" s="336">
        <v>64.316156665904373</v>
      </c>
      <c r="Y95" s="191">
        <v>54.454758523321523</v>
      </c>
      <c r="Z95" s="336">
        <v>143.5981996697185</v>
      </c>
      <c r="AA95" s="191">
        <v>208.84931500964976</v>
      </c>
      <c r="AB95" s="336">
        <v>102.09645760759399</v>
      </c>
      <c r="AC95" s="191">
        <v>0.66666666666666663</v>
      </c>
      <c r="AD95" s="336">
        <v>40.429142175860683</v>
      </c>
      <c r="AE95" s="191">
        <v>122.92264670515023</v>
      </c>
      <c r="AF95" s="336">
        <v>43.591514020574564</v>
      </c>
      <c r="AG95" s="191">
        <v>93.061386750256602</v>
      </c>
      <c r="AH95" s="336">
        <v>96.007068033134644</v>
      </c>
      <c r="AI95" s="191">
        <v>101.90029808921929</v>
      </c>
      <c r="AJ95" s="336">
        <v>107.67391423949802</v>
      </c>
      <c r="AK95" s="191">
        <v>51.199968301086109</v>
      </c>
      <c r="AL95" s="191">
        <v>118.49659928389551</v>
      </c>
      <c r="AM95" s="337">
        <v>127.25196769469173</v>
      </c>
      <c r="AN95" s="191">
        <v>86.142258954078542</v>
      </c>
      <c r="AO95" s="191">
        <v>144.41627764409546</v>
      </c>
      <c r="AP95" s="191">
        <v>26.678528565532432</v>
      </c>
      <c r="AQ95" s="191">
        <v>158.67784059983293</v>
      </c>
      <c r="AR95" s="191">
        <v>35.159270485289305</v>
      </c>
      <c r="AS95" s="191">
        <v>51.993984235964817</v>
      </c>
      <c r="AT95" s="191">
        <v>59.829201181200922</v>
      </c>
      <c r="AU95" s="191">
        <v>336.01363018065791</v>
      </c>
      <c r="AV95" s="191">
        <v>88.50997491993509</v>
      </c>
      <c r="AW95" s="334">
        <v>76.143218882575297</v>
      </c>
      <c r="AX95" s="334">
        <v>56.497769365194671</v>
      </c>
      <c r="AY95" s="184">
        <v>51.965304706500348</v>
      </c>
      <c r="AZ95" s="184">
        <v>77.409715661500385</v>
      </c>
      <c r="BA95" s="331">
        <v>89.680225274905112</v>
      </c>
      <c r="BB95" s="334">
        <v>85.914875625725159</v>
      </c>
      <c r="BC95" s="334">
        <v>89.162085333221583</v>
      </c>
      <c r="BD95" s="334">
        <v>97.457149202846551</v>
      </c>
    </row>
    <row r="96" spans="1:56" x14ac:dyDescent="0.25">
      <c r="A96" s="11">
        <v>45078</v>
      </c>
      <c r="B96" s="347">
        <v>89.991183702558374</v>
      </c>
      <c r="C96" s="338">
        <v>88.631596533611585</v>
      </c>
      <c r="D96" s="334">
        <v>80.846098917111988</v>
      </c>
      <c r="E96" s="191">
        <v>179.04403265550286</v>
      </c>
      <c r="F96" s="191">
        <v>124.12828169947046</v>
      </c>
      <c r="G96" s="191">
        <v>29.711563811380309</v>
      </c>
      <c r="H96" s="191">
        <v>152.60183367184734</v>
      </c>
      <c r="I96" s="191">
        <v>205.47241756326736</v>
      </c>
      <c r="J96" s="335">
        <v>97.143912145150196</v>
      </c>
      <c r="K96" s="191">
        <v>82.190556303377207</v>
      </c>
      <c r="L96" s="191">
        <v>85.979141266675128</v>
      </c>
      <c r="M96" s="191">
        <v>77.078704499487486</v>
      </c>
      <c r="N96" s="191">
        <v>118.50464245755917</v>
      </c>
      <c r="O96" s="191">
        <v>94.899625714880472</v>
      </c>
      <c r="P96" s="191">
        <v>120.27756300516545</v>
      </c>
      <c r="Q96" s="191">
        <v>96.650248035005092</v>
      </c>
      <c r="R96" s="191">
        <v>117.21068773969047</v>
      </c>
      <c r="S96" s="191">
        <v>59.594607309899402</v>
      </c>
      <c r="T96" s="191">
        <v>86.069562847025168</v>
      </c>
      <c r="U96" s="191">
        <v>97.329293597972338</v>
      </c>
      <c r="V96" s="191">
        <v>122.50947499437615</v>
      </c>
      <c r="W96" s="191">
        <v>93.992242235825515</v>
      </c>
      <c r="X96" s="336">
        <v>91.348166669707751</v>
      </c>
      <c r="Y96" s="191">
        <v>56.695769864185024</v>
      </c>
      <c r="Z96" s="336">
        <v>121.59625597490995</v>
      </c>
      <c r="AA96" s="191">
        <v>9.9609600432680772</v>
      </c>
      <c r="AB96" s="336">
        <v>94.579241118352726</v>
      </c>
      <c r="AC96" s="191">
        <v>0.66666666666666663</v>
      </c>
      <c r="AD96" s="336">
        <v>62.626024683669776</v>
      </c>
      <c r="AE96" s="191">
        <v>96.116075907525371</v>
      </c>
      <c r="AF96" s="336">
        <v>82.99889207915588</v>
      </c>
      <c r="AG96" s="191">
        <v>90.866442919170879</v>
      </c>
      <c r="AH96" s="336">
        <v>90.410263901623736</v>
      </c>
      <c r="AI96" s="191">
        <v>87.375096781534268</v>
      </c>
      <c r="AJ96" s="336">
        <v>58.685755738749528</v>
      </c>
      <c r="AK96" s="191">
        <v>73.632503931148307</v>
      </c>
      <c r="AL96" s="191">
        <v>55.821356139318986</v>
      </c>
      <c r="AM96" s="337">
        <v>117.65349335186815</v>
      </c>
      <c r="AN96" s="191">
        <v>74.468985702470945</v>
      </c>
      <c r="AO96" s="191">
        <v>143.60715395035194</v>
      </c>
      <c r="AP96" s="191">
        <v>25.160423668084025</v>
      </c>
      <c r="AQ96" s="191">
        <v>110.86514952934112</v>
      </c>
      <c r="AR96" s="191">
        <v>39.023971581905698</v>
      </c>
      <c r="AS96" s="191">
        <v>21.696840757304059</v>
      </c>
      <c r="AT96" s="191">
        <v>52.116586982211452</v>
      </c>
      <c r="AU96" s="191">
        <v>345.84128592100404</v>
      </c>
      <c r="AV96" s="191">
        <v>99.838795885406526</v>
      </c>
      <c r="AW96" s="334">
        <v>81.295038872521118</v>
      </c>
      <c r="AX96" s="334">
        <v>150.37975810651372</v>
      </c>
      <c r="AY96" s="184">
        <v>158.28742497787363</v>
      </c>
      <c r="AZ96" s="184">
        <v>113.8952585250894</v>
      </c>
      <c r="BA96" s="331">
        <v>102.74059063026208</v>
      </c>
      <c r="BB96" s="334">
        <v>115.91671378043311</v>
      </c>
      <c r="BC96" s="334">
        <v>78.064679650542942</v>
      </c>
      <c r="BD96" s="334">
        <v>82.643972886250936</v>
      </c>
    </row>
    <row r="97" spans="1:56" x14ac:dyDescent="0.25">
      <c r="A97" s="11">
        <v>45108</v>
      </c>
      <c r="B97" s="347">
        <v>76.681915553950574</v>
      </c>
      <c r="C97" s="338">
        <v>75.941446526206747</v>
      </c>
      <c r="D97" s="334">
        <v>42.413315358478627</v>
      </c>
      <c r="E97" s="191">
        <v>143.92381137986763</v>
      </c>
      <c r="F97" s="191">
        <v>38.265785814879543</v>
      </c>
      <c r="G97" s="191">
        <v>29.685960817403434</v>
      </c>
      <c r="H97" s="191">
        <v>37.282388720438782</v>
      </c>
      <c r="I97" s="191">
        <v>146.48449921758572</v>
      </c>
      <c r="J97" s="335">
        <v>97.293861891250927</v>
      </c>
      <c r="K97" s="191">
        <v>89.214114555532788</v>
      </c>
      <c r="L97" s="191">
        <v>84.203425913536776</v>
      </c>
      <c r="M97" s="191">
        <v>77.964127514574542</v>
      </c>
      <c r="N97" s="191">
        <v>100.25918626741833</v>
      </c>
      <c r="O97" s="191">
        <v>102.92906579603297</v>
      </c>
      <c r="P97" s="191">
        <v>115.13782245467429</v>
      </c>
      <c r="Q97" s="191">
        <v>111.44041733659566</v>
      </c>
      <c r="R97" s="191">
        <v>138.70495931864377</v>
      </c>
      <c r="S97" s="191">
        <v>57.989723777370664</v>
      </c>
      <c r="T97" s="191">
        <v>54.635072157468329</v>
      </c>
      <c r="U97" s="191">
        <v>104.52750277820132</v>
      </c>
      <c r="V97" s="191">
        <v>119.03089715763198</v>
      </c>
      <c r="W97" s="191">
        <v>159.56946482594088</v>
      </c>
      <c r="X97" s="336">
        <v>76.203752765283312</v>
      </c>
      <c r="Y97" s="191">
        <v>69.503515077804778</v>
      </c>
      <c r="Z97" s="336">
        <v>120.22370020151952</v>
      </c>
      <c r="AA97" s="191">
        <v>12.49687425384348</v>
      </c>
      <c r="AB97" s="336">
        <v>124.23295748897806</v>
      </c>
      <c r="AC97" s="191">
        <v>1.3333333333333333</v>
      </c>
      <c r="AD97" s="336">
        <v>52.354741573208706</v>
      </c>
      <c r="AE97" s="191">
        <v>93.71956101947282</v>
      </c>
      <c r="AF97" s="336">
        <v>82.361530471574156</v>
      </c>
      <c r="AG97" s="191">
        <v>82.441111219439449</v>
      </c>
      <c r="AH97" s="336">
        <v>93.40095786355667</v>
      </c>
      <c r="AI97" s="191">
        <v>75.03620257322865</v>
      </c>
      <c r="AJ97" s="336">
        <v>62.060367947659607</v>
      </c>
      <c r="AK97" s="191">
        <v>23.072741416348581</v>
      </c>
      <c r="AL97" s="191">
        <v>69.531969153588022</v>
      </c>
      <c r="AM97" s="337">
        <v>125.84181863946307</v>
      </c>
      <c r="AN97" s="191">
        <v>76.66947977049648</v>
      </c>
      <c r="AO97" s="191">
        <v>163.4474499941102</v>
      </c>
      <c r="AP97" s="191">
        <v>10.21640940346861</v>
      </c>
      <c r="AQ97" s="191">
        <v>119.54989877108252</v>
      </c>
      <c r="AR97" s="191">
        <v>31.294569388672915</v>
      </c>
      <c r="AS97" s="191">
        <v>13.837094052450446</v>
      </c>
      <c r="AT97" s="191">
        <v>36.440591990089857</v>
      </c>
      <c r="AU97" s="191">
        <v>430.12537424729135</v>
      </c>
      <c r="AV97" s="191">
        <v>92.332786535988674</v>
      </c>
      <c r="AW97" s="334">
        <v>82.999833014129408</v>
      </c>
      <c r="AX97" s="334">
        <v>70.914139310593725</v>
      </c>
      <c r="AY97" s="184">
        <v>65.706983234587724</v>
      </c>
      <c r="AZ97" s="184">
        <v>94.938985926670412</v>
      </c>
      <c r="BA97" s="331">
        <v>83.625597553671255</v>
      </c>
      <c r="BB97" s="334">
        <v>75.240040264870899</v>
      </c>
      <c r="BC97" s="334">
        <v>100.23708403955615</v>
      </c>
      <c r="BD97" s="334">
        <v>96.171741376419575</v>
      </c>
    </row>
    <row r="98" spans="1:56" x14ac:dyDescent="0.25">
      <c r="A98" s="11">
        <v>45139</v>
      </c>
      <c r="B98" s="347">
        <v>109.54946776168863</v>
      </c>
      <c r="C98" s="338">
        <v>86.432562779781378</v>
      </c>
      <c r="D98" s="334">
        <v>57.210560815729046</v>
      </c>
      <c r="E98" s="191">
        <v>150.92122667071661</v>
      </c>
      <c r="F98" s="191">
        <v>80.602790125580867</v>
      </c>
      <c r="G98" s="191">
        <v>29.698857469340588</v>
      </c>
      <c r="H98" s="191">
        <v>81.239772143564238</v>
      </c>
      <c r="I98" s="191">
        <v>132.49339501597893</v>
      </c>
      <c r="J98" s="335">
        <v>108.48304198065415</v>
      </c>
      <c r="K98" s="191">
        <v>99.037844910495366</v>
      </c>
      <c r="L98" s="191">
        <v>88.063842343170563</v>
      </c>
      <c r="M98" s="191">
        <v>185.6192133368636</v>
      </c>
      <c r="N98" s="191">
        <v>106.69056005952608</v>
      </c>
      <c r="O98" s="191">
        <v>113.99769442265047</v>
      </c>
      <c r="P98" s="191">
        <v>119.61795928419861</v>
      </c>
      <c r="Q98" s="191">
        <v>115.26409630528615</v>
      </c>
      <c r="R98" s="191">
        <v>158.65050635719075</v>
      </c>
      <c r="S98" s="191">
        <v>65.375750985746095</v>
      </c>
      <c r="T98" s="191">
        <v>52.233290506231057</v>
      </c>
      <c r="U98" s="191">
        <v>97.421731648990402</v>
      </c>
      <c r="V98" s="191">
        <v>127.69676544840402</v>
      </c>
      <c r="W98" s="191">
        <v>150.28431397356999</v>
      </c>
      <c r="X98" s="336">
        <v>79.471930073600319</v>
      </c>
      <c r="Y98" s="191">
        <v>72.806013979955793</v>
      </c>
      <c r="Z98" s="336">
        <v>119.68195435293828</v>
      </c>
      <c r="AA98" s="191">
        <v>122.01359912719141</v>
      </c>
      <c r="AB98" s="336">
        <v>142.07336148636455</v>
      </c>
      <c r="AC98" s="191">
        <v>1</v>
      </c>
      <c r="AD98" s="336">
        <v>58.420624086712969</v>
      </c>
      <c r="AE98" s="191">
        <v>104.81604849483341</v>
      </c>
      <c r="AF98" s="336">
        <v>80.443522959981962</v>
      </c>
      <c r="AG98" s="191">
        <v>103.21466790012947</v>
      </c>
      <c r="AH98" s="336">
        <v>108.71420670550395</v>
      </c>
      <c r="AI98" s="191">
        <v>87.350313476393211</v>
      </c>
      <c r="AJ98" s="336">
        <v>75.791795278910172</v>
      </c>
      <c r="AK98" s="191">
        <v>2.0480357086669043</v>
      </c>
      <c r="AL98" s="191">
        <v>89.924072925825342</v>
      </c>
      <c r="AM98" s="337">
        <v>131.70551181422272</v>
      </c>
      <c r="AN98" s="191">
        <v>82.896450833434969</v>
      </c>
      <c r="AO98" s="191">
        <v>179.70270187307511</v>
      </c>
      <c r="AP98" s="191">
        <v>52.304999900855066</v>
      </c>
      <c r="AQ98" s="191">
        <v>108.88769132009736</v>
      </c>
      <c r="AR98" s="191">
        <v>36.447504184161438</v>
      </c>
      <c r="AS98" s="191">
        <v>12.969702244160041</v>
      </c>
      <c r="AT98" s="191">
        <v>59.315650396065585</v>
      </c>
      <c r="AU98" s="191">
        <v>422.4663348512081</v>
      </c>
      <c r="AV98" s="191">
        <v>102.75149026599304</v>
      </c>
      <c r="AW98" s="334">
        <v>87.844749580574842</v>
      </c>
      <c r="AX98" s="334">
        <v>177.37549378083111</v>
      </c>
      <c r="AY98" s="184">
        <v>187.27181201957433</v>
      </c>
      <c r="AZ98" s="184">
        <v>131.71572782043521</v>
      </c>
      <c r="BA98" s="331">
        <v>326.32617414360192</v>
      </c>
      <c r="BB98" s="334">
        <v>83.49156171563898</v>
      </c>
      <c r="BC98" s="334">
        <v>75.495218923103991</v>
      </c>
      <c r="BD98" s="334">
        <v>886.29137514265233</v>
      </c>
    </row>
    <row r="99" spans="1:56" x14ac:dyDescent="0.25">
      <c r="A99" s="11">
        <v>45170</v>
      </c>
      <c r="B99" s="347">
        <v>81.387369613460038</v>
      </c>
      <c r="C99" s="338">
        <v>79.455629886262884</v>
      </c>
      <c r="D99" s="334">
        <v>69.894487616080184</v>
      </c>
      <c r="E99" s="191">
        <v>116.57695060292015</v>
      </c>
      <c r="F99" s="191">
        <v>127.67340282052001</v>
      </c>
      <c r="G99" s="191">
        <v>29.707041035817792</v>
      </c>
      <c r="H99" s="191">
        <v>85.670562412347792</v>
      </c>
      <c r="I99" s="191">
        <v>174.80976866969129</v>
      </c>
      <c r="J99" s="335">
        <v>88.779104330387256</v>
      </c>
      <c r="K99" s="191">
        <v>83.888536518181269</v>
      </c>
      <c r="L99" s="191">
        <v>88.067681097302398</v>
      </c>
      <c r="M99" s="191">
        <v>71.035215669114692</v>
      </c>
      <c r="N99" s="191">
        <v>94.16899142086713</v>
      </c>
      <c r="O99" s="191">
        <v>86.17773552919931</v>
      </c>
      <c r="P99" s="191">
        <v>115.57782652106803</v>
      </c>
      <c r="Q99" s="191">
        <v>106.08210822732275</v>
      </c>
      <c r="R99" s="191">
        <v>125.47221271499916</v>
      </c>
      <c r="S99" s="191">
        <v>52.158323709234189</v>
      </c>
      <c r="T99" s="191">
        <v>87.982499595918128</v>
      </c>
      <c r="U99" s="191">
        <v>87.020877860908115</v>
      </c>
      <c r="V99" s="191">
        <v>97.304442431773992</v>
      </c>
      <c r="W99" s="191">
        <v>104.43724386079138</v>
      </c>
      <c r="X99" s="336">
        <v>92.401061426837884</v>
      </c>
      <c r="Y99" s="191">
        <v>27.813360628784178</v>
      </c>
      <c r="Z99" s="336">
        <v>87.268756653622773</v>
      </c>
      <c r="AA99" s="191">
        <v>37.6625469647947</v>
      </c>
      <c r="AB99" s="336">
        <v>91.342608670183893</v>
      </c>
      <c r="AC99" s="191">
        <v>1</v>
      </c>
      <c r="AD99" s="336">
        <v>100.78032830815167</v>
      </c>
      <c r="AE99" s="191">
        <v>72.003218187543681</v>
      </c>
      <c r="AF99" s="336">
        <v>63.03363531521174</v>
      </c>
      <c r="AG99" s="191">
        <v>91.014524467023875</v>
      </c>
      <c r="AH99" s="336">
        <v>76.568212259395679</v>
      </c>
      <c r="AI99" s="191">
        <v>72.195928719852816</v>
      </c>
      <c r="AJ99" s="336">
        <v>224.33283565870141</v>
      </c>
      <c r="AK99" s="191">
        <v>10.253905579698104</v>
      </c>
      <c r="AL99" s="191">
        <v>265.35899022231848</v>
      </c>
      <c r="AM99" s="337">
        <v>95.567873890941428</v>
      </c>
      <c r="AN99" s="191">
        <v>61.517130220426793</v>
      </c>
      <c r="AO99" s="191">
        <v>87.129833352664036</v>
      </c>
      <c r="AP99" s="191">
        <v>26.28356278642805</v>
      </c>
      <c r="AQ99" s="191">
        <v>81.435391218443939</v>
      </c>
      <c r="AR99" s="191">
        <v>35.159270485289305</v>
      </c>
      <c r="AS99" s="191">
        <v>83.387838194447355</v>
      </c>
      <c r="AT99" s="191">
        <v>57.025697688112018</v>
      </c>
      <c r="AU99" s="191">
        <v>424.96038337967667</v>
      </c>
      <c r="AV99" s="191">
        <v>85.596877925404584</v>
      </c>
      <c r="AW99" s="334">
        <v>87.456725670717475</v>
      </c>
      <c r="AX99" s="334">
        <v>140.50811942273552</v>
      </c>
      <c r="AY99" s="184">
        <v>155.16695734863987</v>
      </c>
      <c r="AZ99" s="184">
        <v>72.874976186916683</v>
      </c>
      <c r="BA99" s="331">
        <v>99.502085920709732</v>
      </c>
      <c r="BB99" s="334">
        <v>86.291099920122591</v>
      </c>
      <c r="BC99" s="334">
        <v>77.045620249349909</v>
      </c>
      <c r="BD99" s="334">
        <v>132.33324717351843</v>
      </c>
    </row>
    <row r="100" spans="1:56" x14ac:dyDescent="0.25">
      <c r="A100" s="11">
        <v>45200</v>
      </c>
      <c r="B100" s="347">
        <v>86.820577360487334</v>
      </c>
      <c r="C100" s="338">
        <v>83.30561461978175</v>
      </c>
      <c r="D100" s="334">
        <v>43.727941531905344</v>
      </c>
      <c r="E100" s="191">
        <v>54.885506578643522</v>
      </c>
      <c r="F100" s="191">
        <v>38.63715398000722</v>
      </c>
      <c r="G100" s="191">
        <v>29.681528442999479</v>
      </c>
      <c r="H100" s="191">
        <v>80.987902576762352</v>
      </c>
      <c r="I100" s="191">
        <v>123.1634959653002</v>
      </c>
      <c r="J100" s="335">
        <v>92.984624464955274</v>
      </c>
      <c r="K100" s="191">
        <v>94.851943118892493</v>
      </c>
      <c r="L100" s="191">
        <v>88.313268615714605</v>
      </c>
      <c r="M100" s="191">
        <v>66.173756490578882</v>
      </c>
      <c r="N100" s="191">
        <v>96.53866675790924</v>
      </c>
      <c r="O100" s="191">
        <v>97.208045470648713</v>
      </c>
      <c r="P100" s="191">
        <v>111.79912042716916</v>
      </c>
      <c r="Q100" s="191">
        <v>113.83656714514332</v>
      </c>
      <c r="R100" s="191">
        <v>147.95637120265636</v>
      </c>
      <c r="S100" s="191">
        <v>62.596615251496132</v>
      </c>
      <c r="T100" s="191">
        <v>59.931758582587001</v>
      </c>
      <c r="U100" s="191">
        <v>96.400262520968923</v>
      </c>
      <c r="V100" s="191">
        <v>107.87902605546103</v>
      </c>
      <c r="W100" s="191">
        <v>134.45376190308571</v>
      </c>
      <c r="X100" s="336">
        <v>121.51183776974054</v>
      </c>
      <c r="Y100" s="191">
        <v>81.111851687606091</v>
      </c>
      <c r="Z100" s="336">
        <v>116.74402310418067</v>
      </c>
      <c r="AA100" s="191">
        <v>58.817483560910759</v>
      </c>
      <c r="AB100" s="336">
        <v>140.34787923286737</v>
      </c>
      <c r="AC100" s="191">
        <v>1</v>
      </c>
      <c r="AD100" s="336">
        <v>61.46484978956277</v>
      </c>
      <c r="AE100" s="191">
        <v>80.625618318628241</v>
      </c>
      <c r="AF100" s="336">
        <v>77.115517567636303</v>
      </c>
      <c r="AG100" s="191">
        <v>111.78922112955598</v>
      </c>
      <c r="AH100" s="336">
        <v>90.123653503159844</v>
      </c>
      <c r="AI100" s="191">
        <v>84.45605294885118</v>
      </c>
      <c r="AJ100" s="336">
        <v>120.48173160299648</v>
      </c>
      <c r="AK100" s="191">
        <v>38.165342568232411</v>
      </c>
      <c r="AL100" s="191">
        <v>136.25687069965011</v>
      </c>
      <c r="AM100" s="337">
        <v>126.65273456724813</v>
      </c>
      <c r="AN100" s="191">
        <v>109.16277696111409</v>
      </c>
      <c r="AO100" s="191">
        <v>109.07786512323695</v>
      </c>
      <c r="AP100" s="191">
        <v>32.300848589578486</v>
      </c>
      <c r="AQ100" s="191">
        <v>138.73865283855511</v>
      </c>
      <c r="AR100" s="191">
        <v>35.588681718246683</v>
      </c>
      <c r="AS100" s="191">
        <v>29.240139311974829</v>
      </c>
      <c r="AT100" s="191">
        <v>24.874874250318509</v>
      </c>
      <c r="AU100" s="191">
        <v>425.67929821136664</v>
      </c>
      <c r="AV100" s="191">
        <v>110.91147295281557</v>
      </c>
      <c r="AW100" s="334">
        <v>87.075129478970666</v>
      </c>
      <c r="AX100" s="334">
        <v>119.12215649944632</v>
      </c>
      <c r="AY100" s="184">
        <v>128.50995711350529</v>
      </c>
      <c r="AZ100" s="184">
        <v>75.808595983305423</v>
      </c>
      <c r="BA100" s="331">
        <v>119.78182570154583</v>
      </c>
      <c r="BB100" s="334">
        <v>121.13886019414399</v>
      </c>
      <c r="BC100" s="334">
        <v>81.580241605870469</v>
      </c>
      <c r="BD100" s="334">
        <v>127.29343598227726</v>
      </c>
    </row>
    <row r="101" spans="1:56" x14ac:dyDescent="0.25">
      <c r="A101" s="11">
        <v>45231</v>
      </c>
      <c r="B101" s="347">
        <v>92.647737115845842</v>
      </c>
      <c r="C101" s="338">
        <v>87.163494426663192</v>
      </c>
      <c r="D101" s="334">
        <v>64.148715395373756</v>
      </c>
      <c r="E101" s="191">
        <v>78.799996717185451</v>
      </c>
      <c r="F101" s="191">
        <v>112.75768612212202</v>
      </c>
      <c r="G101" s="191">
        <v>29.656015850181166</v>
      </c>
      <c r="H101" s="191">
        <v>104.2718558733356</v>
      </c>
      <c r="I101" s="191">
        <v>112.24225676314009</v>
      </c>
      <c r="J101" s="335">
        <v>98.105074397727961</v>
      </c>
      <c r="K101" s="191">
        <v>93.761657140634853</v>
      </c>
      <c r="L101" s="191">
        <v>82.035844360726827</v>
      </c>
      <c r="M101" s="191">
        <v>78.947899282005281</v>
      </c>
      <c r="N101" s="191">
        <v>90.420696616597866</v>
      </c>
      <c r="O101" s="191">
        <v>113.12416439333565</v>
      </c>
      <c r="P101" s="191">
        <v>111.22893986765492</v>
      </c>
      <c r="Q101" s="191">
        <v>94.90761135796528</v>
      </c>
      <c r="R101" s="191">
        <v>139.48837161094647</v>
      </c>
      <c r="S101" s="191">
        <v>64.550128119426688</v>
      </c>
      <c r="T101" s="191">
        <v>108.95147963277017</v>
      </c>
      <c r="U101" s="191">
        <v>97.612250573941324</v>
      </c>
      <c r="V101" s="191">
        <v>111.83961661561133</v>
      </c>
      <c r="W101" s="191">
        <v>145.94416035052487</v>
      </c>
      <c r="X101" s="336">
        <v>103.74169672230315</v>
      </c>
      <c r="Y101" s="191">
        <v>50.251510278497911</v>
      </c>
      <c r="Z101" s="336">
        <v>123.71629415776755</v>
      </c>
      <c r="AA101" s="191">
        <v>10.195894691220271</v>
      </c>
      <c r="AB101" s="336">
        <v>133.15560388909142</v>
      </c>
      <c r="AC101" s="191">
        <v>1</v>
      </c>
      <c r="AD101" s="336">
        <v>84.03284910610833</v>
      </c>
      <c r="AE101" s="191">
        <v>100.5998556491803</v>
      </c>
      <c r="AF101" s="336">
        <v>84.417989984400776</v>
      </c>
      <c r="AG101" s="191">
        <v>117.43595414128887</v>
      </c>
      <c r="AH101" s="336">
        <v>91.384417997636731</v>
      </c>
      <c r="AI101" s="191">
        <v>83.853401072149964</v>
      </c>
      <c r="AJ101" s="336">
        <v>143.48934916079435</v>
      </c>
      <c r="AK101" s="191">
        <v>111.17380396738687</v>
      </c>
      <c r="AL101" s="191">
        <v>149.68231056723928</v>
      </c>
      <c r="AM101" s="337">
        <v>159.82953391090643</v>
      </c>
      <c r="AN101" s="191">
        <v>135.2928482344112</v>
      </c>
      <c r="AO101" s="191">
        <v>120.3305400082717</v>
      </c>
      <c r="AP101" s="191">
        <v>39.992869285146035</v>
      </c>
      <c r="AQ101" s="191">
        <v>129.47217072269393</v>
      </c>
      <c r="AR101" s="191">
        <v>162.20247495989361</v>
      </c>
      <c r="AS101" s="191">
        <v>43.936813716015919</v>
      </c>
      <c r="AT101" s="191">
        <v>127.38286256359176</v>
      </c>
      <c r="AU101" s="191">
        <v>925.87858176055556</v>
      </c>
      <c r="AV101" s="191">
        <v>110.74762852286571</v>
      </c>
      <c r="AW101" s="334">
        <v>86.503110857843453</v>
      </c>
      <c r="AX101" s="334">
        <v>111.11470972051274</v>
      </c>
      <c r="AY101" s="184">
        <v>118.39905119008371</v>
      </c>
      <c r="AZ101" s="184">
        <v>77.506117246787369</v>
      </c>
      <c r="BA101" s="331">
        <v>144.07573182753302</v>
      </c>
      <c r="BB101" s="334">
        <v>158.41582405587872</v>
      </c>
      <c r="BC101" s="334">
        <v>143.1861234469344</v>
      </c>
      <c r="BD101" s="334">
        <v>115.22704185925123</v>
      </c>
    </row>
    <row r="102" spans="1:56" x14ac:dyDescent="0.25">
      <c r="A102" s="11">
        <v>45261</v>
      </c>
      <c r="B102" s="347">
        <v>97.921788838981385</v>
      </c>
      <c r="C102" s="338">
        <v>88.711683509768051</v>
      </c>
      <c r="D102" s="334">
        <v>72.699003737480339</v>
      </c>
      <c r="E102" s="191">
        <v>108.23227202765659</v>
      </c>
      <c r="F102" s="191">
        <v>157.11253513151914</v>
      </c>
      <c r="G102" s="191">
        <v>29.684688624286675</v>
      </c>
      <c r="H102" s="191">
        <v>92.228188517661891</v>
      </c>
      <c r="I102" s="191">
        <v>86.203497672989371</v>
      </c>
      <c r="J102" s="335">
        <v>96.957862640820281</v>
      </c>
      <c r="K102" s="191">
        <v>114.02839761318235</v>
      </c>
      <c r="L102" s="191">
        <v>86.136758892094704</v>
      </c>
      <c r="M102" s="191">
        <v>70.042102846284166</v>
      </c>
      <c r="N102" s="191">
        <v>93.255403603772564</v>
      </c>
      <c r="O102" s="191">
        <v>122.97642754021595</v>
      </c>
      <c r="P102" s="191">
        <v>133.7457046247047</v>
      </c>
      <c r="Q102" s="191">
        <v>81.738157129397536</v>
      </c>
      <c r="R102" s="191">
        <v>98.705035123593191</v>
      </c>
      <c r="S102" s="191">
        <v>60.665982306767894</v>
      </c>
      <c r="T102" s="191">
        <v>102.43527606746073</v>
      </c>
      <c r="U102" s="191">
        <v>94.772096535996241</v>
      </c>
      <c r="V102" s="191">
        <v>99.218024368699119</v>
      </c>
      <c r="W102" s="191">
        <v>134.0404887644064</v>
      </c>
      <c r="X102" s="336">
        <v>96.984179956249619</v>
      </c>
      <c r="Y102" s="191">
        <v>43.897357089098612</v>
      </c>
      <c r="Z102" s="336">
        <v>134.87860164952494</v>
      </c>
      <c r="AA102" s="191">
        <v>9.694627518943868</v>
      </c>
      <c r="AB102" s="336">
        <v>105.28187902324228</v>
      </c>
      <c r="AC102" s="191">
        <v>1</v>
      </c>
      <c r="AD102" s="336">
        <v>64.536249135813861</v>
      </c>
      <c r="AE102" s="191">
        <v>102.91150565189787</v>
      </c>
      <c r="AF102" s="336">
        <v>75.991257973043744</v>
      </c>
      <c r="AG102" s="191">
        <v>110.02783831033058</v>
      </c>
      <c r="AH102" s="336">
        <v>103.35322229878032</v>
      </c>
      <c r="AI102" s="191">
        <v>95.856989765870509</v>
      </c>
      <c r="AJ102" s="336">
        <v>137.59374205176374</v>
      </c>
      <c r="AK102" s="191">
        <v>263.905035685006</v>
      </c>
      <c r="AL102" s="191">
        <v>113.3874053804461</v>
      </c>
      <c r="AM102" s="337">
        <v>134.27560703495263</v>
      </c>
      <c r="AN102" s="191">
        <v>192.38875583191856</v>
      </c>
      <c r="AO102" s="191">
        <v>106.04932979366795</v>
      </c>
      <c r="AP102" s="191">
        <v>40.100153558071696</v>
      </c>
      <c r="AQ102" s="191">
        <v>158.59911050767681</v>
      </c>
      <c r="AR102" s="191">
        <v>162.20247495989361</v>
      </c>
      <c r="AS102" s="191">
        <v>692.47326636841103</v>
      </c>
      <c r="AT102" s="191">
        <v>77.089119754356844</v>
      </c>
      <c r="AU102" s="191">
        <v>73.96002014272571</v>
      </c>
      <c r="AV102" s="191">
        <v>118.87718719876855</v>
      </c>
      <c r="AW102" s="334">
        <v>84.513079363233231</v>
      </c>
      <c r="AX102" s="334">
        <v>155.54868837388113</v>
      </c>
      <c r="AY102" s="184">
        <v>166.78910572549805</v>
      </c>
      <c r="AZ102" s="184">
        <v>103.68749988029253</v>
      </c>
      <c r="BA102" s="331">
        <v>184.28872681186269</v>
      </c>
      <c r="BB102" s="334">
        <v>196.12735948807077</v>
      </c>
      <c r="BC102" s="334">
        <v>272.4183237253755</v>
      </c>
      <c r="BD102" s="334">
        <v>136.59579809502534</v>
      </c>
    </row>
    <row r="103" spans="1:56" x14ac:dyDescent="0.25">
      <c r="A103" s="11">
        <v>45292</v>
      </c>
      <c r="B103" s="347">
        <v>78.479461246808739</v>
      </c>
      <c r="C103" s="338">
        <v>79.124547647378094</v>
      </c>
      <c r="D103" s="334">
        <v>50.236338295056875</v>
      </c>
      <c r="E103" s="191">
        <v>136.32169071551471</v>
      </c>
      <c r="F103" s="191">
        <v>73.162247238497329</v>
      </c>
      <c r="G103" s="191">
        <v>29.654234297490451</v>
      </c>
      <c r="H103" s="191">
        <v>62.068593837948008</v>
      </c>
      <c r="I103" s="191">
        <v>86.586947958206878</v>
      </c>
      <c r="J103" s="335">
        <v>94.470438411918465</v>
      </c>
      <c r="K103" s="191">
        <v>88.266611633610083</v>
      </c>
      <c r="L103" s="191">
        <v>68.042885114379004</v>
      </c>
      <c r="M103" s="191">
        <v>64.386191888926504</v>
      </c>
      <c r="N103" s="191">
        <v>86.284436262657294</v>
      </c>
      <c r="O103" s="191">
        <v>109.39567460757293</v>
      </c>
      <c r="P103" s="191">
        <v>109.03889418942011</v>
      </c>
      <c r="Q103" s="191">
        <v>106.07089348375719</v>
      </c>
      <c r="R103" s="191">
        <v>128.20152796484601</v>
      </c>
      <c r="S103" s="191">
        <v>64.961759913180686</v>
      </c>
      <c r="T103" s="191">
        <v>123.26487132937704</v>
      </c>
      <c r="U103" s="191">
        <v>100.47556224214966</v>
      </c>
      <c r="V103" s="191">
        <v>109.6859455641775</v>
      </c>
      <c r="W103" s="191">
        <v>129.4305804805231</v>
      </c>
      <c r="X103" s="336">
        <v>86.392723398988977</v>
      </c>
      <c r="Y103" s="191">
        <v>54.648000430268617</v>
      </c>
      <c r="Z103" s="336">
        <v>145.06178802609443</v>
      </c>
      <c r="AA103" s="191">
        <v>63.449259476403299</v>
      </c>
      <c r="AB103" s="336">
        <v>85.629071372997515</v>
      </c>
      <c r="AC103" s="191">
        <v>1</v>
      </c>
      <c r="AD103" s="336">
        <v>72.502233283165012</v>
      </c>
      <c r="AE103" s="191">
        <v>103.29094423304616</v>
      </c>
      <c r="AF103" s="336">
        <v>60.256578264266587</v>
      </c>
      <c r="AG103" s="191">
        <v>87.944233479270977</v>
      </c>
      <c r="AH103" s="336">
        <v>87.800901954400558</v>
      </c>
      <c r="AI103" s="191">
        <v>74.841072103267763</v>
      </c>
      <c r="AJ103" s="336">
        <v>145.87607488664781</v>
      </c>
      <c r="AK103" s="191">
        <v>20.931198324527163</v>
      </c>
      <c r="AL103" s="191">
        <v>169.82055095385314</v>
      </c>
      <c r="AM103" s="337">
        <v>92.767644507357844</v>
      </c>
      <c r="AN103" s="191">
        <v>103.26828059044895</v>
      </c>
      <c r="AO103" s="191">
        <v>106.83817716986448</v>
      </c>
      <c r="AP103" s="191">
        <v>33.003550924263585</v>
      </c>
      <c r="AQ103" s="191">
        <v>93.686099175068023</v>
      </c>
      <c r="AR103" s="191">
        <v>42.682477502473873</v>
      </c>
      <c r="AS103" s="191">
        <v>3.0592396961017361</v>
      </c>
      <c r="AT103" s="191">
        <v>62.600827396264428</v>
      </c>
      <c r="AU103" s="191">
        <v>42.128174658597956</v>
      </c>
      <c r="AV103" s="191">
        <v>95.872788061080527</v>
      </c>
      <c r="AW103" s="334">
        <v>78.017822117739883</v>
      </c>
      <c r="AX103" s="334">
        <v>189.04044741921984</v>
      </c>
      <c r="AY103" s="184">
        <v>215.18114594462227</v>
      </c>
      <c r="AZ103" s="184">
        <v>68.432141591059761</v>
      </c>
      <c r="BA103" s="331">
        <v>72.430221292038212</v>
      </c>
      <c r="BB103" s="334">
        <v>57.786130637231231</v>
      </c>
      <c r="BC103" s="334">
        <v>68.343737352422878</v>
      </c>
      <c r="BD103" s="334">
        <v>103.23255561241474</v>
      </c>
    </row>
    <row r="104" spans="1:56" x14ac:dyDescent="0.25">
      <c r="A104" s="11">
        <v>45323</v>
      </c>
      <c r="B104" s="347">
        <v>85.129477137823642</v>
      </c>
      <c r="C104" s="338">
        <v>83.203730745790594</v>
      </c>
      <c r="D104" s="334">
        <v>53.382393545411794</v>
      </c>
      <c r="E104" s="191">
        <v>166.34569993436313</v>
      </c>
      <c r="F104" s="191">
        <v>82.097952493673887</v>
      </c>
      <c r="G104" s="191">
        <v>29.654336501908269</v>
      </c>
      <c r="H104" s="191">
        <v>46.011274927514798</v>
      </c>
      <c r="I104" s="191">
        <v>125.61640192350627</v>
      </c>
      <c r="J104" s="335">
        <v>103.20381772322138</v>
      </c>
      <c r="K104" s="191">
        <v>89.513850526356094</v>
      </c>
      <c r="L104" s="191">
        <v>84.446643609777141</v>
      </c>
      <c r="M104" s="191">
        <v>67.752350539591632</v>
      </c>
      <c r="N104" s="191">
        <v>99.099112585152909</v>
      </c>
      <c r="O104" s="191">
        <v>110.24854109048708</v>
      </c>
      <c r="P104" s="191">
        <v>108.37183422267799</v>
      </c>
      <c r="Q104" s="191">
        <v>101.19826511304919</v>
      </c>
      <c r="R104" s="191">
        <v>139.49077561209148</v>
      </c>
      <c r="S104" s="191">
        <v>71.228813572732008</v>
      </c>
      <c r="T104" s="191">
        <v>160.88886397070706</v>
      </c>
      <c r="U104" s="191">
        <v>105.93106183854525</v>
      </c>
      <c r="V104" s="191">
        <v>104.824673005801</v>
      </c>
      <c r="W104" s="191">
        <v>138.69456912972581</v>
      </c>
      <c r="X104" s="336">
        <v>88.664026801098913</v>
      </c>
      <c r="Y104" s="191">
        <v>80.605729238231675</v>
      </c>
      <c r="Z104" s="336">
        <v>140.79244046772655</v>
      </c>
      <c r="AA104" s="191">
        <v>91.374307030978329</v>
      </c>
      <c r="AB104" s="336">
        <v>85.334458129871464</v>
      </c>
      <c r="AC104" s="191">
        <v>1</v>
      </c>
      <c r="AD104" s="336">
        <v>92.323180993515251</v>
      </c>
      <c r="AE104" s="191">
        <v>98.593641334413192</v>
      </c>
      <c r="AF104" s="336">
        <v>76.85339997569055</v>
      </c>
      <c r="AG104" s="191">
        <v>98.211746349447751</v>
      </c>
      <c r="AH104" s="336">
        <v>85.240158507188113</v>
      </c>
      <c r="AI104" s="191">
        <v>82.11253663434897</v>
      </c>
      <c r="AJ104" s="336">
        <v>155.48869536593256</v>
      </c>
      <c r="AK104" s="191">
        <v>21.470222602267235</v>
      </c>
      <c r="AL104" s="191">
        <v>181.1720383084303</v>
      </c>
      <c r="AM104" s="337">
        <v>96.554347072094174</v>
      </c>
      <c r="AN104" s="191">
        <v>89.991473931687267</v>
      </c>
      <c r="AO104" s="191">
        <v>113.09723188800191</v>
      </c>
      <c r="AP104" s="191">
        <v>47.132471884353528</v>
      </c>
      <c r="AQ104" s="191">
        <v>106.46886898066037</v>
      </c>
      <c r="AR104" s="191">
        <v>110.76767544011112</v>
      </c>
      <c r="AS104" s="191">
        <v>11.022503327917796</v>
      </c>
      <c r="AT104" s="191">
        <v>69.536709516214259</v>
      </c>
      <c r="AU104" s="191">
        <v>35.96534673473149</v>
      </c>
      <c r="AV104" s="191">
        <v>91.803411711282678</v>
      </c>
      <c r="AW104" s="334">
        <v>75.373592544688847</v>
      </c>
      <c r="AX104" s="334">
        <v>112.54922115777171</v>
      </c>
      <c r="AY104" s="184">
        <v>123.83330980300929</v>
      </c>
      <c r="AZ104" s="184">
        <v>60.48654146333422</v>
      </c>
      <c r="BA104" s="331">
        <v>103.18799148126648</v>
      </c>
      <c r="BB104" s="334">
        <v>104.28895758830873</v>
      </c>
      <c r="BC104" s="334">
        <v>96.594668702743917</v>
      </c>
      <c r="BD104" s="334">
        <v>102.72630684810777</v>
      </c>
    </row>
    <row r="105" spans="1:56" x14ac:dyDescent="0.25">
      <c r="A105" s="11">
        <v>45352</v>
      </c>
      <c r="B105" s="347">
        <v>84.926475553579877</v>
      </c>
      <c r="C105" s="338">
        <v>85.492390942499256</v>
      </c>
      <c r="D105" s="334">
        <v>56.850640187586905</v>
      </c>
      <c r="E105" s="191">
        <v>146.07405265613014</v>
      </c>
      <c r="F105" s="191">
        <v>69.663618434393271</v>
      </c>
      <c r="G105" s="191">
        <v>30.034292969343124</v>
      </c>
      <c r="H105" s="191">
        <v>95.976971687522735</v>
      </c>
      <c r="I105" s="191">
        <v>139.77364902413024</v>
      </c>
      <c r="J105" s="335">
        <v>110.89068765233854</v>
      </c>
      <c r="K105" s="191">
        <v>87.296843603402635</v>
      </c>
      <c r="L105" s="191">
        <v>75.221101768529508</v>
      </c>
      <c r="M105" s="191">
        <v>65.409072696814235</v>
      </c>
      <c r="N105" s="191">
        <v>127.21159731485496</v>
      </c>
      <c r="O105" s="191">
        <v>128.15490611676228</v>
      </c>
      <c r="P105" s="191">
        <v>117.80062965107446</v>
      </c>
      <c r="Q105" s="191">
        <v>98.661751934634367</v>
      </c>
      <c r="R105" s="191">
        <v>209.38131641901447</v>
      </c>
      <c r="S105" s="191">
        <v>77.125035323997821</v>
      </c>
      <c r="T105" s="191">
        <v>184.23704244152748</v>
      </c>
      <c r="U105" s="191">
        <v>115.0478168797211</v>
      </c>
      <c r="V105" s="191">
        <v>94.667407233368593</v>
      </c>
      <c r="W105" s="191">
        <v>95.096536951115169</v>
      </c>
      <c r="X105" s="336">
        <v>93.738945028129152</v>
      </c>
      <c r="Y105" s="191">
        <v>61.849043067926388</v>
      </c>
      <c r="Z105" s="336">
        <v>136.75201071902282</v>
      </c>
      <c r="AA105" s="191">
        <v>143.33177379796442</v>
      </c>
      <c r="AB105" s="336">
        <v>114.41928749564067</v>
      </c>
      <c r="AC105" s="191">
        <v>1</v>
      </c>
      <c r="AD105" s="336">
        <v>64.046489077473026</v>
      </c>
      <c r="AE105" s="191">
        <v>94.827843919924732</v>
      </c>
      <c r="AF105" s="336">
        <v>51.311072275981985</v>
      </c>
      <c r="AG105" s="191">
        <v>91.447681596334888</v>
      </c>
      <c r="AH105" s="336">
        <v>86.419266266274093</v>
      </c>
      <c r="AI105" s="191">
        <v>72.888090322598174</v>
      </c>
      <c r="AJ105" s="336">
        <v>165.8575983214736</v>
      </c>
      <c r="AK105" s="191">
        <v>39.806287867921654</v>
      </c>
      <c r="AL105" s="191">
        <v>190.01411173316461</v>
      </c>
      <c r="AM105" s="337">
        <v>111.19058720536154</v>
      </c>
      <c r="AN105" s="191">
        <v>90.056701407760045</v>
      </c>
      <c r="AO105" s="191">
        <v>113.30625477751992</v>
      </c>
      <c r="AP105" s="191">
        <v>37.714770972445997</v>
      </c>
      <c r="AQ105" s="191">
        <v>98.84521922171534</v>
      </c>
      <c r="AR105" s="191">
        <v>110.76767544011112</v>
      </c>
      <c r="AS105" s="191">
        <v>23.44757070205268</v>
      </c>
      <c r="AT105" s="191">
        <v>56.856261052519145</v>
      </c>
      <c r="AU105" s="191">
        <v>260.26554595667869</v>
      </c>
      <c r="AV105" s="191">
        <v>112.74440321860151</v>
      </c>
      <c r="AW105" s="334">
        <v>77.245250234573703</v>
      </c>
      <c r="AX105" s="334">
        <v>130.09944455610764</v>
      </c>
      <c r="AY105" s="184">
        <v>145.90560761267179</v>
      </c>
      <c r="AZ105" s="184">
        <v>57.172757228171811</v>
      </c>
      <c r="BA105" s="331">
        <v>79.619654670905661</v>
      </c>
      <c r="BB105" s="334">
        <v>71.773344026153964</v>
      </c>
      <c r="BC105" s="334">
        <v>77.207198048839274</v>
      </c>
      <c r="BD105" s="334">
        <v>96.183454508036903</v>
      </c>
    </row>
    <row r="106" spans="1:56" x14ac:dyDescent="0.25">
      <c r="A106" s="11">
        <v>45383</v>
      </c>
      <c r="B106" s="347">
        <v>78.334707943440776</v>
      </c>
      <c r="C106" s="338">
        <v>79.79093079636236</v>
      </c>
      <c r="D106" s="334">
        <v>48.478465915129327</v>
      </c>
      <c r="E106" s="191">
        <v>69.840461066808601</v>
      </c>
      <c r="F106" s="191">
        <v>69.328248325692726</v>
      </c>
      <c r="G106" s="191">
        <v>29.651669700631484</v>
      </c>
      <c r="H106" s="191">
        <v>65.529922297739162</v>
      </c>
      <c r="I106" s="191">
        <v>103.33766195278416</v>
      </c>
      <c r="J106" s="335">
        <v>96.126050627770766</v>
      </c>
      <c r="K106" s="191">
        <v>82.167101925444328</v>
      </c>
      <c r="L106" s="191">
        <v>80.047720095089431</v>
      </c>
      <c r="M106" s="191">
        <v>77.413973366572151</v>
      </c>
      <c r="N106" s="191">
        <v>125.08468599277141</v>
      </c>
      <c r="O106" s="191">
        <v>113.36510378728852</v>
      </c>
      <c r="P106" s="191">
        <v>107.41031842005148</v>
      </c>
      <c r="Q106" s="191">
        <v>110.26027553206973</v>
      </c>
      <c r="R106" s="191">
        <v>130.77357867416197</v>
      </c>
      <c r="S106" s="191">
        <v>57.697266747611621</v>
      </c>
      <c r="T106" s="191">
        <v>43.904696154846249</v>
      </c>
      <c r="U106" s="191">
        <v>95.011661152276019</v>
      </c>
      <c r="V106" s="191">
        <v>107.84752725266939</v>
      </c>
      <c r="W106" s="191">
        <v>130.76713102420536</v>
      </c>
      <c r="X106" s="336">
        <v>97.633036361144136</v>
      </c>
      <c r="Y106" s="191">
        <v>61.214487100433956</v>
      </c>
      <c r="Z106" s="336">
        <v>124.11566306948129</v>
      </c>
      <c r="AA106" s="191">
        <v>37.884729377625206</v>
      </c>
      <c r="AB106" s="336">
        <v>66.517740086255742</v>
      </c>
      <c r="AC106" s="191">
        <v>1</v>
      </c>
      <c r="AD106" s="336">
        <v>50.973932224543745</v>
      </c>
      <c r="AE106" s="191">
        <v>94.441415823140531</v>
      </c>
      <c r="AF106" s="336">
        <v>91.736979507028394</v>
      </c>
      <c r="AG106" s="191">
        <v>92.557227346700174</v>
      </c>
      <c r="AH106" s="336">
        <v>81.036171477658002</v>
      </c>
      <c r="AI106" s="191">
        <v>69.11428287475735</v>
      </c>
      <c r="AJ106" s="336">
        <v>160.05762731739364</v>
      </c>
      <c r="AK106" s="191">
        <v>34.136159855078695</v>
      </c>
      <c r="AL106" s="191">
        <v>184.18925757675609</v>
      </c>
      <c r="AM106" s="337">
        <v>106.11196812254497</v>
      </c>
      <c r="AN106" s="191">
        <v>87.761775987589019</v>
      </c>
      <c r="AO106" s="191">
        <v>134.73724718418813</v>
      </c>
      <c r="AP106" s="191">
        <v>35.564987858043089</v>
      </c>
      <c r="AQ106" s="191">
        <v>107.41463489552605</v>
      </c>
      <c r="AR106" s="191">
        <v>88.072609460898704</v>
      </c>
      <c r="AS106" s="191">
        <v>58.538364576367222</v>
      </c>
      <c r="AT106" s="191">
        <v>89.982960044641999</v>
      </c>
      <c r="AU106" s="191">
        <v>104.6746620123256</v>
      </c>
      <c r="AV106" s="191">
        <v>96.027808338581309</v>
      </c>
      <c r="AW106" s="334">
        <v>84.709535874415806</v>
      </c>
      <c r="AX106" s="334">
        <v>111.32914895413239</v>
      </c>
      <c r="AY106" s="184">
        <v>123.23761794923387</v>
      </c>
      <c r="AZ106" s="184">
        <v>56.385694818403721</v>
      </c>
      <c r="BA106" s="331">
        <v>64.679108542851395</v>
      </c>
      <c r="BB106" s="334">
        <v>57.313556532468262</v>
      </c>
      <c r="BC106" s="334">
        <v>97.460759509322983</v>
      </c>
      <c r="BD106" s="334">
        <v>70.811551528834784</v>
      </c>
    </row>
    <row r="107" spans="1:56" x14ac:dyDescent="0.25">
      <c r="A107" s="11">
        <v>45413</v>
      </c>
      <c r="B107" s="347">
        <v>84.223357061265304</v>
      </c>
      <c r="C107" s="338">
        <v>85.546049287338292</v>
      </c>
      <c r="D107" s="334">
        <v>58.724210750579019</v>
      </c>
      <c r="E107" s="191">
        <v>100.82220761014102</v>
      </c>
      <c r="F107" s="191">
        <v>92.226251415674668</v>
      </c>
      <c r="G107" s="191">
        <v>29.649355854124686</v>
      </c>
      <c r="H107" s="191">
        <v>98.63219231186234</v>
      </c>
      <c r="I107" s="191">
        <v>100.18508312698097</v>
      </c>
      <c r="J107" s="335">
        <v>96.176504130245249</v>
      </c>
      <c r="K107" s="191">
        <v>101.31271605535144</v>
      </c>
      <c r="L107" s="191">
        <v>98.08929674369314</v>
      </c>
      <c r="M107" s="191">
        <v>63.046660968080019</v>
      </c>
      <c r="N107" s="191">
        <v>109.76812964221924</v>
      </c>
      <c r="O107" s="191">
        <v>107.54970673689843</v>
      </c>
      <c r="P107" s="191">
        <v>102.63238521479425</v>
      </c>
      <c r="Q107" s="191">
        <v>104.73781203543872</v>
      </c>
      <c r="R107" s="191">
        <v>118.66911611005338</v>
      </c>
      <c r="S107" s="191">
        <v>52.188809980524724</v>
      </c>
      <c r="T107" s="191">
        <v>43.248171890253424</v>
      </c>
      <c r="U107" s="191">
        <v>106.6894155839927</v>
      </c>
      <c r="V107" s="191">
        <v>98.697329731060904</v>
      </c>
      <c r="W107" s="191">
        <v>143.743181758215</v>
      </c>
      <c r="X107" s="336">
        <v>106.00167232233393</v>
      </c>
      <c r="Y107" s="191">
        <v>39.47497008682673</v>
      </c>
      <c r="Z107" s="336">
        <v>154.81541527204752</v>
      </c>
      <c r="AA107" s="191">
        <v>70.56995227508915</v>
      </c>
      <c r="AB107" s="336">
        <v>135.20534081891381</v>
      </c>
      <c r="AC107" s="191">
        <v>1</v>
      </c>
      <c r="AD107" s="336">
        <v>62.456758596040764</v>
      </c>
      <c r="AE107" s="191">
        <v>99.580203898441866</v>
      </c>
      <c r="AF107" s="336">
        <v>66.628205893376503</v>
      </c>
      <c r="AG107" s="191">
        <v>84.66108669130881</v>
      </c>
      <c r="AH107" s="336">
        <v>92.477549899873409</v>
      </c>
      <c r="AI107" s="191">
        <v>86.383602769233008</v>
      </c>
      <c r="AJ107" s="336">
        <v>206.36095842711723</v>
      </c>
      <c r="AK107" s="191">
        <v>35.653435304506701</v>
      </c>
      <c r="AL107" s="191">
        <v>239.07540270342179</v>
      </c>
      <c r="AM107" s="337">
        <v>117.99410597248159</v>
      </c>
      <c r="AN107" s="191">
        <v>119.78330009960689</v>
      </c>
      <c r="AO107" s="191">
        <v>152.81635307973713</v>
      </c>
      <c r="AP107" s="191">
        <v>16.496124359662705</v>
      </c>
      <c r="AQ107" s="191">
        <v>109.83299230981952</v>
      </c>
      <c r="AR107" s="191">
        <v>103.20265344704032</v>
      </c>
      <c r="AS107" s="191">
        <v>22.534529009221167</v>
      </c>
      <c r="AT107" s="191">
        <v>42.539860958149539</v>
      </c>
      <c r="AU107" s="191">
        <v>113.33426030502002</v>
      </c>
      <c r="AV107" s="191">
        <v>109.34895160417132</v>
      </c>
      <c r="AW107" s="334">
        <v>87.915158684882712</v>
      </c>
      <c r="AX107" s="334">
        <v>131.52658287367177</v>
      </c>
      <c r="AY107" s="184">
        <v>124.00162375611117</v>
      </c>
      <c r="AZ107" s="184">
        <v>166.24534028228541</v>
      </c>
      <c r="BA107" s="331">
        <v>71.819929156471119</v>
      </c>
      <c r="BB107" s="334">
        <v>66.589217110846491</v>
      </c>
      <c r="BC107" s="334">
        <v>94.388343178609418</v>
      </c>
      <c r="BD107" s="334">
        <v>76.366179712645646</v>
      </c>
    </row>
    <row r="108" spans="1:56" x14ac:dyDescent="0.25">
      <c r="A108" s="11">
        <v>45444</v>
      </c>
      <c r="B108" s="347">
        <v>81.75356542406135</v>
      </c>
      <c r="C108" s="338">
        <v>84.128728423124912</v>
      </c>
      <c r="D108" s="334">
        <v>60.510742894717254</v>
      </c>
      <c r="E108" s="191">
        <v>21.667927561757331</v>
      </c>
      <c r="F108" s="191">
        <v>102.17462904676283</v>
      </c>
      <c r="G108" s="191">
        <v>29.723828359924404</v>
      </c>
      <c r="H108" s="191">
        <v>116.96346348969084</v>
      </c>
      <c r="I108" s="191">
        <v>95.164505600484773</v>
      </c>
      <c r="J108" s="335">
        <v>94.751626763986224</v>
      </c>
      <c r="K108" s="191">
        <v>85.479406526353458</v>
      </c>
      <c r="L108" s="191">
        <v>64.118212528774322</v>
      </c>
      <c r="M108" s="191">
        <v>88.31651221750468</v>
      </c>
      <c r="N108" s="191">
        <v>109.52115414804418</v>
      </c>
      <c r="O108" s="191">
        <v>92.59859083882931</v>
      </c>
      <c r="P108" s="191">
        <v>105.10448812332291</v>
      </c>
      <c r="Q108" s="191">
        <v>106.61956276946847</v>
      </c>
      <c r="R108" s="191">
        <v>149.76925610051708</v>
      </c>
      <c r="S108" s="191">
        <v>56.937426871148404</v>
      </c>
      <c r="T108" s="191">
        <v>91.497748601854994</v>
      </c>
      <c r="U108" s="191">
        <v>101.32856552244681</v>
      </c>
      <c r="V108" s="191">
        <v>107.36403150217986</v>
      </c>
      <c r="W108" s="191">
        <v>123.81241374915039</v>
      </c>
      <c r="X108" s="336">
        <v>92.216891502902399</v>
      </c>
      <c r="Y108" s="191">
        <v>77.97767171853134</v>
      </c>
      <c r="Z108" s="336">
        <v>114.90297789177383</v>
      </c>
      <c r="AA108" s="191">
        <v>60.521536268062789</v>
      </c>
      <c r="AB108" s="336">
        <v>111.42607122963385</v>
      </c>
      <c r="AC108" s="191">
        <v>1</v>
      </c>
      <c r="AD108" s="336">
        <v>49.856954582695941</v>
      </c>
      <c r="AE108" s="191">
        <v>73.943201965426127</v>
      </c>
      <c r="AF108" s="336">
        <v>60.108795774156498</v>
      </c>
      <c r="AG108" s="191">
        <v>73.508745151432336</v>
      </c>
      <c r="AH108" s="336">
        <v>83.30338868045466</v>
      </c>
      <c r="AI108" s="191">
        <v>79.691500180374192</v>
      </c>
      <c r="AJ108" s="336">
        <v>117.06019815988792</v>
      </c>
      <c r="AK108" s="191">
        <v>209.75454186673409</v>
      </c>
      <c r="AL108" s="191">
        <v>99.296224513874733</v>
      </c>
      <c r="AM108" s="337">
        <v>108.20524550243663</v>
      </c>
      <c r="AN108" s="191">
        <v>86.09450876883794</v>
      </c>
      <c r="AO108" s="191">
        <v>160.72310673974394</v>
      </c>
      <c r="AP108" s="191">
        <v>42.111049961638265</v>
      </c>
      <c r="AQ108" s="191">
        <v>88.93303650050683</v>
      </c>
      <c r="AR108" s="191">
        <v>100.68097944935006</v>
      </c>
      <c r="AS108" s="191">
        <v>4.7895989106481229</v>
      </c>
      <c r="AT108" s="191">
        <v>40.574634587327239</v>
      </c>
      <c r="AU108" s="191">
        <v>156.30166737583326</v>
      </c>
      <c r="AV108" s="191">
        <v>92.36894489569346</v>
      </c>
      <c r="AW108" s="334">
        <v>91.055307854119491</v>
      </c>
      <c r="AX108" s="334">
        <v>169.6475583065681</v>
      </c>
      <c r="AY108" s="184">
        <v>177.05470805204951</v>
      </c>
      <c r="AZ108" s="184">
        <v>135.47235136059203</v>
      </c>
      <c r="BA108" s="331">
        <v>59.480687092807052</v>
      </c>
      <c r="BB108" s="334">
        <v>57.983671230064296</v>
      </c>
      <c r="BC108" s="334">
        <v>80.044040916997105</v>
      </c>
      <c r="BD108" s="334">
        <v>56.992169691854215</v>
      </c>
    </row>
    <row r="109" spans="1:56" x14ac:dyDescent="0.25">
      <c r="A109" s="11">
        <v>45474</v>
      </c>
      <c r="B109" s="347">
        <v>97.226123832284728</v>
      </c>
      <c r="C109" s="338">
        <v>100.59766243083988</v>
      </c>
      <c r="D109" s="334">
        <v>91.968378583451056</v>
      </c>
      <c r="E109" s="191">
        <v>91.486621165773414</v>
      </c>
      <c r="F109" s="191">
        <v>97.215424845002701</v>
      </c>
      <c r="G109" s="191">
        <v>89.922243107230301</v>
      </c>
      <c r="H109" s="191">
        <v>83.296359650296651</v>
      </c>
      <c r="I109" s="191">
        <v>110.86625605560999</v>
      </c>
      <c r="J109" s="335">
        <v>104.7063718492755</v>
      </c>
      <c r="K109" s="191">
        <v>83.301181746618425</v>
      </c>
      <c r="L109" s="191">
        <v>71.944624504932932</v>
      </c>
      <c r="M109" s="191">
        <v>94.836424251684036</v>
      </c>
      <c r="N109" s="191">
        <v>91.844629996962624</v>
      </c>
      <c r="O109" s="191">
        <v>127.77122778936332</v>
      </c>
      <c r="P109" s="191">
        <v>121.506419765011</v>
      </c>
      <c r="Q109" s="191">
        <v>133.03609810442651</v>
      </c>
      <c r="R109" s="191">
        <v>171.2552878130949</v>
      </c>
      <c r="S109" s="191">
        <v>61.435985856613421</v>
      </c>
      <c r="T109" s="191">
        <v>116.87101486077026</v>
      </c>
      <c r="U109" s="191">
        <v>108.2368281297698</v>
      </c>
      <c r="V109" s="191">
        <v>127.02546999007566</v>
      </c>
      <c r="W109" s="191">
        <v>139.81015037016462</v>
      </c>
      <c r="X109" s="336">
        <v>120.16023358471659</v>
      </c>
      <c r="Y109" s="191">
        <v>60.136181018837156</v>
      </c>
      <c r="Z109" s="336">
        <v>144.82485089920743</v>
      </c>
      <c r="AA109" s="191">
        <v>60.127879157828055</v>
      </c>
      <c r="AB109" s="336">
        <v>126.86599820703535</v>
      </c>
      <c r="AC109" s="191">
        <v>1</v>
      </c>
      <c r="AD109" s="336">
        <v>46.89491196294793</v>
      </c>
      <c r="AE109" s="191">
        <v>93.637480232765043</v>
      </c>
      <c r="AF109" s="336">
        <v>75.061175807401014</v>
      </c>
      <c r="AG109" s="191">
        <v>74.472125685911138</v>
      </c>
      <c r="AH109" s="336">
        <v>102.28540998759567</v>
      </c>
      <c r="AI109" s="191">
        <v>92.2360747909526</v>
      </c>
      <c r="AJ109" s="336">
        <v>335.59006591081766</v>
      </c>
      <c r="AK109" s="191">
        <v>1539.7728774597826</v>
      </c>
      <c r="AL109" s="191">
        <v>104.82008714071074</v>
      </c>
      <c r="AM109" s="337">
        <v>136.20993560225685</v>
      </c>
      <c r="AN109" s="191">
        <v>82.589662315392744</v>
      </c>
      <c r="AO109" s="191">
        <v>185.45067496980602</v>
      </c>
      <c r="AP109" s="191">
        <v>64.060218450895192</v>
      </c>
      <c r="AQ109" s="191">
        <v>187.51648910262804</v>
      </c>
      <c r="AR109" s="191">
        <v>25.867825945757737</v>
      </c>
      <c r="AS109" s="191">
        <v>28.430956661728011</v>
      </c>
      <c r="AT109" s="191">
        <v>39.486944660637768</v>
      </c>
      <c r="AU109" s="191">
        <v>117.02954583704386</v>
      </c>
      <c r="AV109" s="191">
        <v>100.28074295508374</v>
      </c>
      <c r="AW109" s="334">
        <v>91.071413353138198</v>
      </c>
      <c r="AX109" s="334">
        <v>123.09393017034638</v>
      </c>
      <c r="AY109" s="184">
        <v>127.10858506613486</v>
      </c>
      <c r="AZ109" s="184">
        <v>104.57106151038116</v>
      </c>
      <c r="BA109" s="331">
        <v>65.609822540814307</v>
      </c>
      <c r="BB109" s="334">
        <v>51.16124474190012</v>
      </c>
      <c r="BC109" s="334">
        <v>89.508359460746462</v>
      </c>
      <c r="BD109" s="334">
        <v>88.496381289317512</v>
      </c>
    </row>
    <row r="110" spans="1:56" x14ac:dyDescent="0.25">
      <c r="A110" s="11">
        <v>45505</v>
      </c>
      <c r="B110" s="347">
        <v>103.90895318419864</v>
      </c>
      <c r="C110" s="338">
        <v>106.41607920127272</v>
      </c>
      <c r="D110" s="334">
        <v>93.918302804554841</v>
      </c>
      <c r="E110" s="191">
        <v>167.9112611501096</v>
      </c>
      <c r="F110" s="191">
        <v>57.564843088809113</v>
      </c>
      <c r="G110" s="191">
        <v>107.86698461804579</v>
      </c>
      <c r="H110" s="191">
        <v>80.659483971251007</v>
      </c>
      <c r="I110" s="191">
        <v>93.048829554665019</v>
      </c>
      <c r="J110" s="335">
        <v>91.655558535117663</v>
      </c>
      <c r="K110" s="191">
        <v>105.63958301642965</v>
      </c>
      <c r="L110" s="191">
        <v>61.768852412663115</v>
      </c>
      <c r="M110" s="191">
        <v>67.801659880222559</v>
      </c>
      <c r="N110" s="191">
        <v>89.130658990533888</v>
      </c>
      <c r="O110" s="191">
        <v>96.576066652774401</v>
      </c>
      <c r="P110" s="191">
        <v>124.50890889869517</v>
      </c>
      <c r="Q110" s="191">
        <v>140.01205955527189</v>
      </c>
      <c r="R110" s="191">
        <v>137.11453023508864</v>
      </c>
      <c r="S110" s="191">
        <v>69.002688729049666</v>
      </c>
      <c r="T110" s="191">
        <v>69.51885595087596</v>
      </c>
      <c r="U110" s="191">
        <v>101.6654533514545</v>
      </c>
      <c r="V110" s="191">
        <v>118.53369157647921</v>
      </c>
      <c r="W110" s="191">
        <v>130.23009616365786</v>
      </c>
      <c r="X110" s="336">
        <v>82.740973235785134</v>
      </c>
      <c r="Y110" s="191">
        <v>68.687351908899416</v>
      </c>
      <c r="Z110" s="336">
        <v>111.48229908397163</v>
      </c>
      <c r="AA110" s="191">
        <v>56.457035538872027</v>
      </c>
      <c r="AB110" s="336">
        <v>93.463825635182531</v>
      </c>
      <c r="AC110" s="191">
        <v>1</v>
      </c>
      <c r="AD110" s="336">
        <v>48.640863042457823</v>
      </c>
      <c r="AE110" s="191">
        <v>95.199657772808152</v>
      </c>
      <c r="AF110" s="336">
        <v>82.163925207558492</v>
      </c>
      <c r="AG110" s="191">
        <v>71.625480884773651</v>
      </c>
      <c r="AH110" s="336">
        <v>89.978584065445929</v>
      </c>
      <c r="AI110" s="191">
        <v>67.347971549342418</v>
      </c>
      <c r="AJ110" s="336">
        <v>169.20453632375782</v>
      </c>
      <c r="AK110" s="191">
        <v>157.07714757099606</v>
      </c>
      <c r="AL110" s="191">
        <v>171.52863297932439</v>
      </c>
      <c r="AM110" s="337">
        <v>112.00379979028031</v>
      </c>
      <c r="AN110" s="191">
        <v>87.193445738669027</v>
      </c>
      <c r="AO110" s="191">
        <v>160.72442170446419</v>
      </c>
      <c r="AP110" s="191">
        <v>43.571370084840176</v>
      </c>
      <c r="AQ110" s="191">
        <v>102.89799396609121</v>
      </c>
      <c r="AR110" s="191">
        <v>31.053836137082502</v>
      </c>
      <c r="AS110" s="191">
        <v>12.971187311973683</v>
      </c>
      <c r="AT110" s="191">
        <v>30.529326472211398</v>
      </c>
      <c r="AU110" s="191">
        <v>116.36267966829826</v>
      </c>
      <c r="AV110" s="191">
        <v>107.19324531766632</v>
      </c>
      <c r="AW110" s="334">
        <v>216.02744868290949</v>
      </c>
      <c r="AX110" s="334">
        <v>123.5972991976987</v>
      </c>
      <c r="AY110" s="184">
        <v>131.86157720551941</v>
      </c>
      <c r="AZ110" s="184">
        <v>85.467462366919705</v>
      </c>
      <c r="BA110" s="331">
        <v>80.398603468651032</v>
      </c>
      <c r="BB110" s="334">
        <v>85.692376521986773</v>
      </c>
      <c r="BC110" s="334">
        <v>81.207692253210453</v>
      </c>
      <c r="BD110" s="334">
        <v>69.443222472253524</v>
      </c>
    </row>
    <row r="111" spans="1:56" x14ac:dyDescent="0.25">
      <c r="A111" s="11">
        <v>45536</v>
      </c>
      <c r="B111" s="347">
        <v>94.509060254558548</v>
      </c>
      <c r="C111" s="338">
        <v>96.647270227472589</v>
      </c>
      <c r="D111" s="334">
        <v>124.3988191481954</v>
      </c>
      <c r="E111" s="191">
        <v>122.42837168134905</v>
      </c>
      <c r="F111" s="191">
        <v>169.86247471290451</v>
      </c>
      <c r="G111" s="191">
        <v>117.65103107848084</v>
      </c>
      <c r="H111" s="191">
        <v>83.174192519031493</v>
      </c>
      <c r="I111" s="191">
        <v>89.754743552116253</v>
      </c>
      <c r="J111" s="335">
        <v>93.06853847212227</v>
      </c>
      <c r="K111" s="191">
        <v>96.10966263551272</v>
      </c>
      <c r="L111" s="191">
        <v>71.921426528119298</v>
      </c>
      <c r="M111" s="191">
        <v>60.685643387123314</v>
      </c>
      <c r="N111" s="191">
        <v>93.136739462727363</v>
      </c>
      <c r="O111" s="191">
        <v>86.433662413933803</v>
      </c>
      <c r="P111" s="191">
        <v>128.02868117512867</v>
      </c>
      <c r="Q111" s="191">
        <v>132.97414744797814</v>
      </c>
      <c r="R111" s="191">
        <v>144.31124032078489</v>
      </c>
      <c r="S111" s="191">
        <v>65.310726361766115</v>
      </c>
      <c r="T111" s="191">
        <v>35.544671202115495</v>
      </c>
      <c r="U111" s="191">
        <v>123.48466061778677</v>
      </c>
      <c r="V111" s="191">
        <v>101.33106612986953</v>
      </c>
      <c r="W111" s="191">
        <v>138.41139917290238</v>
      </c>
      <c r="X111" s="336">
        <v>83.316790478076328</v>
      </c>
      <c r="Y111" s="191">
        <v>42.633268632040433</v>
      </c>
      <c r="Z111" s="336">
        <v>104.62918158980594</v>
      </c>
      <c r="AA111" s="191">
        <v>58.292457348350034</v>
      </c>
      <c r="AB111" s="336">
        <v>117.95880652170521</v>
      </c>
      <c r="AC111" s="191">
        <v>1</v>
      </c>
      <c r="AD111" s="336">
        <v>53.491256623225567</v>
      </c>
      <c r="AE111" s="191">
        <v>82.145725110552647</v>
      </c>
      <c r="AF111" s="336">
        <v>61.287211487650552</v>
      </c>
      <c r="AG111" s="191">
        <v>85.788597200445864</v>
      </c>
      <c r="AH111" s="336">
        <v>80.859984239240305</v>
      </c>
      <c r="AI111" s="191">
        <v>78.589924316205781</v>
      </c>
      <c r="AJ111" s="336">
        <v>64.585228375024784</v>
      </c>
      <c r="AK111" s="191">
        <v>28.240618643439241</v>
      </c>
      <c r="AL111" s="191">
        <v>71.550320996947477</v>
      </c>
      <c r="AM111" s="337">
        <v>95.072798975080218</v>
      </c>
      <c r="AN111" s="191">
        <v>80.228224509785434</v>
      </c>
      <c r="AO111" s="191">
        <v>95.241107465619294</v>
      </c>
      <c r="AP111" s="191">
        <v>26.284044305265812</v>
      </c>
      <c r="AQ111" s="191">
        <v>110.40941282852084</v>
      </c>
      <c r="AR111" s="191">
        <v>52.534213844063437</v>
      </c>
      <c r="AS111" s="191">
        <v>28.194287454544227</v>
      </c>
      <c r="AT111" s="191">
        <v>61.253117373409303</v>
      </c>
      <c r="AU111" s="191">
        <v>57.388576294112305</v>
      </c>
      <c r="AV111" s="191">
        <v>105.43017645894071</v>
      </c>
      <c r="AW111" s="334">
        <v>86.146979197102851</v>
      </c>
      <c r="AX111" s="334">
        <v>151.81956750485617</v>
      </c>
      <c r="AY111" s="184">
        <v>165.11104782324483</v>
      </c>
      <c r="AZ111" s="184">
        <v>90.495157157083639</v>
      </c>
      <c r="BA111" s="331">
        <v>74.458187707215501</v>
      </c>
      <c r="BB111" s="334">
        <v>64.613795157472083</v>
      </c>
      <c r="BC111" s="334">
        <v>72.542823696898751</v>
      </c>
      <c r="BD111" s="334">
        <v>94.94137284651886</v>
      </c>
    </row>
    <row r="112" spans="1:56" x14ac:dyDescent="0.25">
      <c r="A112" s="11">
        <v>45566</v>
      </c>
      <c r="B112" s="347">
        <v>91.552055204552389</v>
      </c>
      <c r="C112" s="338">
        <v>90.905179914672615</v>
      </c>
      <c r="D112" s="334">
        <v>92.227465571955108</v>
      </c>
      <c r="E112" s="191">
        <v>39.695169324519064</v>
      </c>
      <c r="F112" s="191">
        <v>69.848664063437155</v>
      </c>
      <c r="G112" s="191">
        <v>112.12098012417407</v>
      </c>
      <c r="H112" s="191">
        <v>69.616554370635072</v>
      </c>
      <c r="I112" s="191">
        <v>65.166656242969509</v>
      </c>
      <c r="J112" s="335">
        <v>93.349612903603742</v>
      </c>
      <c r="K112" s="191">
        <v>118.96458427002537</v>
      </c>
      <c r="L112" s="191">
        <v>73.481075903984632</v>
      </c>
      <c r="M112" s="191">
        <v>70.960874234486639</v>
      </c>
      <c r="N112" s="191">
        <v>89.101878932204855</v>
      </c>
      <c r="O112" s="191">
        <v>97.863663383784001</v>
      </c>
      <c r="P112" s="191">
        <v>133.71486167623374</v>
      </c>
      <c r="Q112" s="191">
        <v>122.7987814549298</v>
      </c>
      <c r="R112" s="191">
        <v>157.18928843684969</v>
      </c>
      <c r="S112" s="191">
        <v>63.565418154957293</v>
      </c>
      <c r="T112" s="191">
        <v>30.119547668122337</v>
      </c>
      <c r="U112" s="191">
        <v>113.59183837864182</v>
      </c>
      <c r="V112" s="191">
        <v>111.1710044569529</v>
      </c>
      <c r="W112" s="191">
        <v>130.82704616714804</v>
      </c>
      <c r="X112" s="336">
        <v>88.663681983087656</v>
      </c>
      <c r="Y112" s="191">
        <v>43.395836164790715</v>
      </c>
      <c r="Z112" s="336">
        <v>116.50251535940542</v>
      </c>
      <c r="AA112" s="191">
        <v>57.374746443611038</v>
      </c>
      <c r="AB112" s="336">
        <v>148.71572009414862</v>
      </c>
      <c r="AC112" s="191">
        <v>1</v>
      </c>
      <c r="AD112" s="336">
        <v>37.676502508001775</v>
      </c>
      <c r="AE112" s="191">
        <v>97.454004362693169</v>
      </c>
      <c r="AF112" s="336">
        <v>63.021545215070255</v>
      </c>
      <c r="AG112" s="191">
        <v>93.375369110865236</v>
      </c>
      <c r="AH112" s="336">
        <v>93.726121512900363</v>
      </c>
      <c r="AI112" s="191">
        <v>87.703872039642775</v>
      </c>
      <c r="AJ112" s="336">
        <v>82.537404573444149</v>
      </c>
      <c r="AK112" s="191">
        <v>49.258419419106971</v>
      </c>
      <c r="AL112" s="191">
        <v>88.914999921843474</v>
      </c>
      <c r="AM112" s="337">
        <v>101.65984495337254</v>
      </c>
      <c r="AN112" s="191">
        <v>92.134150901142661</v>
      </c>
      <c r="AO112" s="191">
        <v>101.47362412703566</v>
      </c>
      <c r="AP112" s="191">
        <v>53.923287660421046</v>
      </c>
      <c r="AQ112" s="191">
        <v>119.05315819890986</v>
      </c>
      <c r="AR112" s="191">
        <v>7.6736772328781333</v>
      </c>
      <c r="AS112" s="191">
        <v>44.809501166124747</v>
      </c>
      <c r="AT112" s="191">
        <v>38.447081692323302</v>
      </c>
      <c r="AU112" s="191">
        <v>77.840652919575717</v>
      </c>
      <c r="AV112" s="191">
        <v>111.94595088563395</v>
      </c>
      <c r="AW112" s="334">
        <v>87.20279820117689</v>
      </c>
      <c r="AX112" s="334">
        <v>230.86111125194174</v>
      </c>
      <c r="AY112" s="184">
        <v>249.81089442605187</v>
      </c>
      <c r="AZ112" s="184">
        <v>143.43034721863023</v>
      </c>
      <c r="BA112" s="331">
        <v>97.618070308638991</v>
      </c>
      <c r="BB112" s="334">
        <v>85.207668810333033</v>
      </c>
      <c r="BC112" s="334">
        <v>77.089404062778456</v>
      </c>
      <c r="BD112" s="334">
        <v>128.30733731824</v>
      </c>
    </row>
    <row r="113" spans="1:56" x14ac:dyDescent="0.25">
      <c r="A113" s="11">
        <v>45597</v>
      </c>
      <c r="B113" s="347">
        <v>105.94064181155345</v>
      </c>
      <c r="C113" s="338">
        <v>107.91614660882587</v>
      </c>
      <c r="D113" s="334">
        <v>113.07011723727679</v>
      </c>
      <c r="E113" s="191">
        <v>84.688756672083784</v>
      </c>
      <c r="F113" s="191">
        <v>118.28229049747438</v>
      </c>
      <c r="G113" s="191">
        <v>120.11080360939989</v>
      </c>
      <c r="H113" s="191">
        <v>108.65256881016472</v>
      </c>
      <c r="I113" s="191">
        <v>42.089786728975412</v>
      </c>
      <c r="J113" s="335">
        <v>92.890135192352062</v>
      </c>
      <c r="K113" s="191">
        <v>86.107170874748817</v>
      </c>
      <c r="L113" s="191">
        <v>52.647342017340939</v>
      </c>
      <c r="M113" s="191">
        <v>94.012753789129292</v>
      </c>
      <c r="N113" s="191">
        <v>88.478414153539262</v>
      </c>
      <c r="O113" s="191">
        <v>110.26537969472477</v>
      </c>
      <c r="P113" s="191">
        <v>150.14891731275875</v>
      </c>
      <c r="Q113" s="191">
        <v>124.451460571642</v>
      </c>
      <c r="R113" s="191">
        <v>131.14863002800004</v>
      </c>
      <c r="S113" s="191">
        <v>61.420730709745882</v>
      </c>
      <c r="T113" s="191">
        <v>42.781383692872232</v>
      </c>
      <c r="U113" s="191">
        <v>107.11534403116582</v>
      </c>
      <c r="V113" s="191">
        <v>101.44197079571516</v>
      </c>
      <c r="W113" s="191">
        <v>147.46952723757897</v>
      </c>
      <c r="X113" s="336">
        <v>89.640504475966225</v>
      </c>
      <c r="Y113" s="191">
        <v>62.62155305680043</v>
      </c>
      <c r="Z113" s="336">
        <v>115.83208674224832</v>
      </c>
      <c r="AA113" s="191">
        <v>48.812139024034835</v>
      </c>
      <c r="AB113" s="336">
        <v>107.91088227196551</v>
      </c>
      <c r="AC113" s="191">
        <v>1</v>
      </c>
      <c r="AD113" s="336">
        <v>23.907248860302424</v>
      </c>
      <c r="AE113" s="191">
        <v>93.70855122437267</v>
      </c>
      <c r="AF113" s="336">
        <v>102.6800053090211</v>
      </c>
      <c r="AG113" s="191">
        <v>98.86685274621459</v>
      </c>
      <c r="AH113" s="336">
        <v>86.183604505765416</v>
      </c>
      <c r="AI113" s="191">
        <v>98.200768001802516</v>
      </c>
      <c r="AJ113" s="336">
        <v>136.41796162143487</v>
      </c>
      <c r="AK113" s="191">
        <v>102.89097071236013</v>
      </c>
      <c r="AL113" s="191">
        <v>142.84308487191581</v>
      </c>
      <c r="AM113" s="337">
        <v>116.90739479870469</v>
      </c>
      <c r="AN113" s="191">
        <v>171.71200463670803</v>
      </c>
      <c r="AO113" s="191">
        <v>100.47583681553103</v>
      </c>
      <c r="AP113" s="191">
        <v>78.143507952655625</v>
      </c>
      <c r="AQ113" s="191">
        <v>130.71210476781448</v>
      </c>
      <c r="AR113" s="191">
        <v>4.9122201435139949</v>
      </c>
      <c r="AS113" s="191">
        <v>463.8668718622144</v>
      </c>
      <c r="AT113" s="191">
        <v>47.54930610289265</v>
      </c>
      <c r="AU113" s="191">
        <v>101.73801026138867</v>
      </c>
      <c r="AV113" s="191">
        <v>109.95720720772871</v>
      </c>
      <c r="AW113" s="334">
        <v>166.86648093056564</v>
      </c>
      <c r="AX113" s="334">
        <v>124.30355508079883</v>
      </c>
      <c r="AY113" s="184">
        <v>119.75524571391723</v>
      </c>
      <c r="AZ113" s="184">
        <v>145.28860590447408</v>
      </c>
      <c r="BA113" s="331">
        <v>87.415522478772743</v>
      </c>
      <c r="BB113" s="334">
        <v>94.062822162970207</v>
      </c>
      <c r="BC113" s="334">
        <v>84.272553835593911</v>
      </c>
      <c r="BD113" s="334">
        <v>74.776486291920335</v>
      </c>
    </row>
    <row r="114" spans="1:56" x14ac:dyDescent="0.25">
      <c r="A114" s="11">
        <v>45627</v>
      </c>
      <c r="B114" s="347">
        <v>124.1597651309919</v>
      </c>
      <c r="C114" s="338">
        <v>122.85994431544098</v>
      </c>
      <c r="D114" s="334">
        <v>131.95725520289469</v>
      </c>
      <c r="E114" s="191">
        <v>190.91240047711335</v>
      </c>
      <c r="F114" s="191">
        <v>163.8294875841201</v>
      </c>
      <c r="G114" s="191">
        <v>122.61855208624415</v>
      </c>
      <c r="H114" s="191">
        <v>138.33586247849817</v>
      </c>
      <c r="I114" s="191">
        <v>37.116255994899909</v>
      </c>
      <c r="J114" s="335">
        <v>104.31226070929507</v>
      </c>
      <c r="K114" s="191">
        <v>98.354486971175618</v>
      </c>
      <c r="L114" s="191">
        <v>73.840857555178758</v>
      </c>
      <c r="M114" s="191">
        <v>85.416490421612352</v>
      </c>
      <c r="N114" s="191">
        <v>93.391081563343533</v>
      </c>
      <c r="O114" s="191">
        <v>111.22287595253177</v>
      </c>
      <c r="P114" s="191">
        <v>138.46443936136782</v>
      </c>
      <c r="Q114" s="191">
        <v>109.09355739864807</v>
      </c>
      <c r="R114" s="191">
        <v>111.75656981350761</v>
      </c>
      <c r="S114" s="191">
        <v>93.612367392563527</v>
      </c>
      <c r="T114" s="191">
        <v>88.244562470459343</v>
      </c>
      <c r="U114" s="191">
        <v>127.99428554075908</v>
      </c>
      <c r="V114" s="191">
        <v>113.19897418852405</v>
      </c>
      <c r="W114" s="191">
        <v>132.09733198438266</v>
      </c>
      <c r="X114" s="336">
        <v>119.12574149495653</v>
      </c>
      <c r="Y114" s="191">
        <v>97.986580090651117</v>
      </c>
      <c r="Z114" s="336">
        <v>127.28786970588511</v>
      </c>
      <c r="AA114" s="191">
        <v>70.325860748012275</v>
      </c>
      <c r="AB114" s="336">
        <v>167.28829760802037</v>
      </c>
      <c r="AC114" s="191">
        <v>1</v>
      </c>
      <c r="AD114" s="336">
        <v>51.170406007629886</v>
      </c>
      <c r="AE114" s="191">
        <v>104.34132448216994</v>
      </c>
      <c r="AF114" s="336">
        <v>111.01272475231865</v>
      </c>
      <c r="AG114" s="191">
        <v>99.808989569195873</v>
      </c>
      <c r="AH114" s="336">
        <v>110.03597198669442</v>
      </c>
      <c r="AI114" s="191">
        <v>138.9084665535662</v>
      </c>
      <c r="AJ114" s="336">
        <v>197.39627735512579</v>
      </c>
      <c r="AK114" s="191">
        <v>71.41103167132033</v>
      </c>
      <c r="AL114" s="191">
        <v>221.54013009323333</v>
      </c>
      <c r="AM114" s="337">
        <v>127.75835251967158</v>
      </c>
      <c r="AN114" s="191">
        <v>251.04129576997457</v>
      </c>
      <c r="AO114" s="191">
        <v>109.67086827703916</v>
      </c>
      <c r="AP114" s="191">
        <v>136.35789098166558</v>
      </c>
      <c r="AQ114" s="191">
        <v>107.60430117951965</v>
      </c>
      <c r="AR114" s="191">
        <v>4.9122201435139949</v>
      </c>
      <c r="AS114" s="191">
        <v>450.24223271123373</v>
      </c>
      <c r="AT114" s="191">
        <v>65.926613675893734</v>
      </c>
      <c r="AU114" s="191">
        <v>68.059016962582987</v>
      </c>
      <c r="AV114" s="191">
        <v>128.75893265091767</v>
      </c>
      <c r="AW114" s="334">
        <v>146.87603851497161</v>
      </c>
      <c r="AX114" s="334">
        <v>177.03847843620443</v>
      </c>
      <c r="AY114" s="184">
        <v>195.29346415302243</v>
      </c>
      <c r="AZ114" s="184">
        <v>92.813380239874363</v>
      </c>
      <c r="BA114" s="331">
        <v>136.34871843171763</v>
      </c>
      <c r="BB114" s="334">
        <v>120.37115983781926</v>
      </c>
      <c r="BC114" s="334">
        <v>135.00334532910645</v>
      </c>
      <c r="BD114" s="334">
        <v>169.11938535078127</v>
      </c>
    </row>
    <row r="115" spans="1:56" x14ac:dyDescent="0.25">
      <c r="A115" s="11">
        <v>45658</v>
      </c>
      <c r="B115" s="347">
        <v>96.880473492974303</v>
      </c>
      <c r="C115" s="338">
        <v>95.751370200261846</v>
      </c>
      <c r="D115" s="334">
        <v>99.873161976509905</v>
      </c>
      <c r="E115" s="191">
        <v>63.91894805153845</v>
      </c>
      <c r="F115" s="191">
        <v>72.439719415108115</v>
      </c>
      <c r="G115" s="191">
        <v>130.08264658697016</v>
      </c>
      <c r="H115" s="191">
        <v>50.746862118149252</v>
      </c>
      <c r="I115" s="191">
        <v>36.679205597164845</v>
      </c>
      <c r="J115" s="335">
        <v>100.09742873622652</v>
      </c>
      <c r="K115" s="191">
        <v>95.216485894359963</v>
      </c>
      <c r="L115" s="191">
        <v>71.734881192493617</v>
      </c>
      <c r="M115" s="191">
        <v>62.432976835568063</v>
      </c>
      <c r="N115" s="191">
        <v>90.874749715603372</v>
      </c>
      <c r="O115" s="191">
        <v>121.02614215544345</v>
      </c>
      <c r="P115" s="191">
        <v>118.17912628694788</v>
      </c>
      <c r="Q115" s="191">
        <v>134.78676873885357</v>
      </c>
      <c r="R115" s="191">
        <v>127.28992691638628</v>
      </c>
      <c r="S115" s="191">
        <v>65.550658716979044</v>
      </c>
      <c r="T115" s="191">
        <v>138.68368974180299</v>
      </c>
      <c r="U115" s="191">
        <v>110.17611867991795</v>
      </c>
      <c r="V115" s="191">
        <v>105.24246949558299</v>
      </c>
      <c r="W115" s="191">
        <v>124.56667446711184</v>
      </c>
      <c r="X115" s="336">
        <v>93.690773128368093</v>
      </c>
      <c r="Y115" s="191">
        <v>67.609242973317507</v>
      </c>
      <c r="Z115" s="336">
        <v>135.71970221372791</v>
      </c>
      <c r="AA115" s="191">
        <v>133.36928189399603</v>
      </c>
      <c r="AB115" s="336">
        <v>123.98906223766947</v>
      </c>
      <c r="AC115" s="191">
        <v>1</v>
      </c>
      <c r="AD115" s="336">
        <v>47.882456803926196</v>
      </c>
      <c r="AE115" s="191">
        <v>104.74084980667055</v>
      </c>
      <c r="AF115" s="336">
        <v>67.266102731444263</v>
      </c>
      <c r="AG115" s="191">
        <v>96.755701145353527</v>
      </c>
      <c r="AH115" s="336">
        <v>85.209780148859792</v>
      </c>
      <c r="AI115" s="191">
        <v>88.689022008800123</v>
      </c>
      <c r="AJ115" s="336">
        <v>108.15770278558681</v>
      </c>
      <c r="AK115" s="191">
        <v>53.268960557550436</v>
      </c>
      <c r="AL115" s="191">
        <v>118.67659888441788</v>
      </c>
      <c r="AM115" s="337">
        <v>95.089214095659145</v>
      </c>
      <c r="AN115" s="191">
        <v>109.34096334997102</v>
      </c>
      <c r="AO115" s="191">
        <v>112.41773914722322</v>
      </c>
      <c r="AP115" s="191">
        <v>34.934526413322352</v>
      </c>
      <c r="AQ115" s="191">
        <v>93.835521692636121</v>
      </c>
      <c r="AR115" s="191">
        <v>1.2926173032475445</v>
      </c>
      <c r="AS115" s="191">
        <v>14.467860655566355</v>
      </c>
      <c r="AT115" s="191">
        <v>41.110296868993444</v>
      </c>
      <c r="AU115" s="191">
        <v>55.658547689166149</v>
      </c>
      <c r="AV115" s="191">
        <v>99.624983975128899</v>
      </c>
      <c r="AW115" s="334">
        <v>79.537288657963629</v>
      </c>
      <c r="AX115" s="334">
        <v>107.10665391393987</v>
      </c>
      <c r="AY115" s="184">
        <v>111.83193446721408</v>
      </c>
      <c r="AZ115" s="184">
        <v>85.30509105442637</v>
      </c>
      <c r="BA115" s="331">
        <v>107.46853851079361</v>
      </c>
      <c r="BB115" s="334">
        <v>94.721831921133827</v>
      </c>
      <c r="BC115" s="334">
        <v>65.075479630341448</v>
      </c>
      <c r="BD115" s="334">
        <v>144.71463737823763</v>
      </c>
    </row>
    <row r="116" spans="1:56" x14ac:dyDescent="0.25">
      <c r="A116" s="11">
        <v>45689</v>
      </c>
      <c r="B116" s="347">
        <v>95.974951848639236</v>
      </c>
      <c r="C116" s="338">
        <v>97.559322805154196</v>
      </c>
      <c r="D116" s="334">
        <v>112.59549166501343</v>
      </c>
      <c r="E116" s="191">
        <v>266.20485013904346</v>
      </c>
      <c r="F116" s="191">
        <v>132.88267332135652</v>
      </c>
      <c r="G116" s="191">
        <v>112.49688504517536</v>
      </c>
      <c r="H116" s="191">
        <v>64.921158703813575</v>
      </c>
      <c r="I116" s="191">
        <v>38.455405237443458</v>
      </c>
      <c r="J116" s="335">
        <v>103.70461388975514</v>
      </c>
      <c r="K116" s="191">
        <v>108.01673993205667</v>
      </c>
      <c r="L116" s="191">
        <v>76.350704703195106</v>
      </c>
      <c r="M116" s="191">
        <v>81.82633469787487</v>
      </c>
      <c r="N116" s="191">
        <v>95.501200824174859</v>
      </c>
      <c r="O116" s="191">
        <v>117.03938260264422</v>
      </c>
      <c r="P116" s="191">
        <v>110.33585469402912</v>
      </c>
      <c r="Q116" s="191">
        <v>112.8917595533899</v>
      </c>
      <c r="R116" s="191">
        <v>166.12984385346357</v>
      </c>
      <c r="S116" s="191">
        <v>68.114271180860598</v>
      </c>
      <c r="T116" s="191">
        <v>128.81649227582713</v>
      </c>
      <c r="U116" s="191">
        <v>115.16067379222713</v>
      </c>
      <c r="V116" s="191">
        <v>91.275021191973337</v>
      </c>
      <c r="W116" s="191">
        <v>158.90695958132676</v>
      </c>
      <c r="X116" s="336">
        <v>88.187729217783456</v>
      </c>
      <c r="Y116" s="191">
        <v>39.304248292768712</v>
      </c>
      <c r="Z116" s="336">
        <v>123.23883850419217</v>
      </c>
      <c r="AA116" s="191">
        <v>91.895471379360671</v>
      </c>
      <c r="AB116" s="336">
        <v>73.835358299142044</v>
      </c>
      <c r="AC116" s="191">
        <v>1</v>
      </c>
      <c r="AD116" s="336">
        <v>48.218223100476649</v>
      </c>
      <c r="AE116" s="191">
        <v>86.515572089680688</v>
      </c>
      <c r="AF116" s="336">
        <v>62.440050939807485</v>
      </c>
      <c r="AG116" s="191">
        <v>85.935732476355298</v>
      </c>
      <c r="AH116" s="336">
        <v>81.391273698034652</v>
      </c>
      <c r="AI116" s="191">
        <v>98.969110677073786</v>
      </c>
      <c r="AJ116" s="336">
        <v>93.80014019995636</v>
      </c>
      <c r="AK116" s="191">
        <v>47.633497206216141</v>
      </c>
      <c r="AL116" s="191">
        <v>102.6475304146101</v>
      </c>
      <c r="AM116" s="337">
        <v>85.600312524774822</v>
      </c>
      <c r="AN116" s="191">
        <v>122.68954095861835</v>
      </c>
      <c r="AO116" s="191">
        <v>106.24023732800666</v>
      </c>
      <c r="AP116" s="191">
        <v>68.8486037433468</v>
      </c>
      <c r="AQ116" s="191">
        <v>79.37671345262909</v>
      </c>
      <c r="AR116" s="191">
        <v>3.1024187233807696</v>
      </c>
      <c r="AS116" s="191">
        <v>10.568732607082858</v>
      </c>
      <c r="AT116" s="191">
        <v>53.937729509903228</v>
      </c>
      <c r="AU116" s="191">
        <v>44.317954652574926</v>
      </c>
      <c r="AV116" s="191">
        <v>77.663977306416996</v>
      </c>
      <c r="AW116" s="334">
        <v>82.080562267521856</v>
      </c>
      <c r="AX116" s="334">
        <v>180.67332214810315</v>
      </c>
      <c r="AY116" s="184">
        <v>201.59536752749449</v>
      </c>
      <c r="AZ116" s="184">
        <v>84.142908271971621</v>
      </c>
      <c r="BA116" s="331">
        <v>81.117655082083147</v>
      </c>
      <c r="BB116" s="334">
        <v>62.542790921285516</v>
      </c>
      <c r="BC116" s="334">
        <v>51.067893873139148</v>
      </c>
      <c r="BD116" s="334">
        <v>126.86922372643936</v>
      </c>
    </row>
    <row r="117" spans="1:56" x14ac:dyDescent="0.25">
      <c r="A117" s="11">
        <v>45717</v>
      </c>
      <c r="B117" s="347">
        <v>101.82918279840139</v>
      </c>
      <c r="C117" s="338">
        <v>104.23720521462378</v>
      </c>
      <c r="D117" s="334">
        <v>132.31843672891847</v>
      </c>
      <c r="E117" s="191">
        <v>196.49765623579555</v>
      </c>
      <c r="F117" s="191">
        <v>167.17876353343883</v>
      </c>
      <c r="G117" s="191">
        <v>123.43368584415008</v>
      </c>
      <c r="H117" s="191">
        <v>130.66164167081294</v>
      </c>
      <c r="I117" s="191">
        <v>34.709149665649115</v>
      </c>
      <c r="J117" s="335">
        <v>106.47789636944502</v>
      </c>
      <c r="K117" s="191">
        <v>93.656306652128052</v>
      </c>
      <c r="L117" s="191">
        <v>69.680128111785081</v>
      </c>
      <c r="M117" s="191">
        <v>94.720074850431345</v>
      </c>
      <c r="N117" s="191">
        <v>111.28203433395281</v>
      </c>
      <c r="O117" s="191">
        <v>121.60559944926901</v>
      </c>
      <c r="P117" s="191">
        <v>121.09688161060706</v>
      </c>
      <c r="Q117" s="191">
        <v>97.382223653126246</v>
      </c>
      <c r="R117" s="191">
        <v>192.77827876445068</v>
      </c>
      <c r="S117" s="191">
        <v>63.0574834364227</v>
      </c>
      <c r="T117" s="191">
        <v>97.940914341651876</v>
      </c>
      <c r="U117" s="191">
        <v>129.13183166475653</v>
      </c>
      <c r="V117" s="191">
        <v>98.856665377697482</v>
      </c>
      <c r="W117" s="191">
        <v>112.54967512429081</v>
      </c>
      <c r="X117" s="336">
        <v>86.157403684447459</v>
      </c>
      <c r="Y117" s="191">
        <v>65.104217962553022</v>
      </c>
      <c r="Z117" s="336">
        <v>118.74584100067446</v>
      </c>
      <c r="AA117" s="191">
        <v>41.725850134377218</v>
      </c>
      <c r="AB117" s="336">
        <v>57.07528348093981</v>
      </c>
      <c r="AC117" s="191">
        <v>1</v>
      </c>
      <c r="AD117" s="336">
        <v>38.152363148601687</v>
      </c>
      <c r="AE117" s="191">
        <v>92.25357166540023</v>
      </c>
      <c r="AF117" s="336">
        <v>72.682599113171193</v>
      </c>
      <c r="AG117" s="191">
        <v>89.902631083976431</v>
      </c>
      <c r="AH117" s="336">
        <v>76.489588202427427</v>
      </c>
      <c r="AI117" s="191">
        <v>81.029271258800492</v>
      </c>
      <c r="AJ117" s="336">
        <v>174.348180029741</v>
      </c>
      <c r="AK117" s="191">
        <v>81.871938615567103</v>
      </c>
      <c r="AL117" s="191">
        <v>192.07035648269766</v>
      </c>
      <c r="AM117" s="337">
        <v>97.699363976533775</v>
      </c>
      <c r="AN117" s="191">
        <v>95.964153074170639</v>
      </c>
      <c r="AO117" s="191">
        <v>111.20761844409358</v>
      </c>
      <c r="AP117" s="191">
        <v>79.170002534181421</v>
      </c>
      <c r="AQ117" s="191">
        <v>123.1124304464152</v>
      </c>
      <c r="AR117" s="191">
        <v>13.663945689647029</v>
      </c>
      <c r="AS117" s="191">
        <v>12.703771700796354</v>
      </c>
      <c r="AT117" s="191">
        <v>41.60029591978131</v>
      </c>
      <c r="AU117" s="191">
        <v>30.703939255570212</v>
      </c>
      <c r="AV117" s="191">
        <v>91.556751280274398</v>
      </c>
      <c r="AW117" s="334">
        <v>77.69334483866777</v>
      </c>
      <c r="AX117" s="334">
        <v>166.43259867469285</v>
      </c>
      <c r="AY117" s="184">
        <v>186.00956759557172</v>
      </c>
      <c r="AZ117" s="184">
        <v>76.108116622184383</v>
      </c>
      <c r="BA117" s="331">
        <v>79.248168225254204</v>
      </c>
      <c r="BB117" s="334">
        <v>66.350860156994798</v>
      </c>
      <c r="BC117" s="334">
        <v>56.616725430136121</v>
      </c>
      <c r="BD117" s="334">
        <v>111.49007316627903</v>
      </c>
    </row>
    <row r="118" spans="1:56" x14ac:dyDescent="0.25">
      <c r="A118" s="11">
        <v>45748</v>
      </c>
      <c r="B118" s="347">
        <v>92.540722812429806</v>
      </c>
      <c r="C118" s="338">
        <v>94.275318776027902</v>
      </c>
      <c r="D118" s="334">
        <v>101.46389072924352</v>
      </c>
      <c r="E118" s="191">
        <v>184.93163656807826</v>
      </c>
      <c r="F118" s="191">
        <v>101.16510649645417</v>
      </c>
      <c r="G118" s="191">
        <v>115.95478643665086</v>
      </c>
      <c r="H118" s="191">
        <v>43.178293639013901</v>
      </c>
      <c r="I118" s="191">
        <v>31.928759942938314</v>
      </c>
      <c r="J118" s="335">
        <v>96.421388407342732</v>
      </c>
      <c r="K118" s="191">
        <v>44.464974182671646</v>
      </c>
      <c r="L118" s="191">
        <v>74.38574792977515</v>
      </c>
      <c r="M118" s="191">
        <v>68.072260624719064</v>
      </c>
      <c r="N118" s="191">
        <v>106.10387095188908</v>
      </c>
      <c r="O118" s="191">
        <v>106.1076705574673</v>
      </c>
      <c r="P118" s="191">
        <v>111.55687165284297</v>
      </c>
      <c r="Q118" s="191">
        <v>113.72835367116269</v>
      </c>
      <c r="R118" s="191">
        <v>127.83428538269241</v>
      </c>
      <c r="S118" s="191">
        <v>50.465309169191116</v>
      </c>
      <c r="T118" s="191">
        <v>121.51325880234374</v>
      </c>
      <c r="U118" s="191">
        <v>95.188831832679611</v>
      </c>
      <c r="V118" s="191">
        <v>92.694239157103382</v>
      </c>
      <c r="W118" s="191">
        <v>170.92102285517316</v>
      </c>
      <c r="X118" s="336">
        <v>89.320658952909156</v>
      </c>
      <c r="Y118" s="191">
        <v>71.294934333427335</v>
      </c>
      <c r="Z118" s="336">
        <v>126.67868439317321</v>
      </c>
      <c r="AA118" s="191">
        <v>56.91803311767859</v>
      </c>
      <c r="AB118" s="336">
        <v>93.22241483708919</v>
      </c>
      <c r="AC118" s="191">
        <v>1</v>
      </c>
      <c r="AD118" s="336">
        <v>33.346628453800399</v>
      </c>
      <c r="AE118" s="191">
        <v>84.491073877880709</v>
      </c>
      <c r="AF118" s="336">
        <v>61.205686217416691</v>
      </c>
      <c r="AG118" s="191">
        <v>91.176192271932265</v>
      </c>
      <c r="AH118" s="336">
        <v>80.279124039926543</v>
      </c>
      <c r="AI118" s="191">
        <v>75.761763047477743</v>
      </c>
      <c r="AJ118" s="336">
        <v>126.23436719042839</v>
      </c>
      <c r="AK118" s="191">
        <v>15.041449142627966</v>
      </c>
      <c r="AL118" s="191">
        <v>147.54341353387369</v>
      </c>
      <c r="AM118" s="337">
        <v>113.88116814713301</v>
      </c>
      <c r="AN118" s="191">
        <v>143.38823829413087</v>
      </c>
      <c r="AO118" s="191">
        <v>119.64097610106414</v>
      </c>
      <c r="AP118" s="191">
        <v>50.502881863498679</v>
      </c>
      <c r="AQ118" s="191">
        <v>136.81162394769888</v>
      </c>
      <c r="AR118" s="191">
        <v>108.86890923487711</v>
      </c>
      <c r="AS118" s="191">
        <v>108.02042260857118</v>
      </c>
      <c r="AT118" s="191">
        <v>18.702590259108582</v>
      </c>
      <c r="AU118" s="191">
        <v>48.04814257181301</v>
      </c>
      <c r="AV118" s="191">
        <v>99.222612770143357</v>
      </c>
      <c r="AW118" s="334">
        <v>78.551712257203775</v>
      </c>
      <c r="AX118" s="334">
        <v>122.40713805901254</v>
      </c>
      <c r="AY118" s="184">
        <v>124.43768652340097</v>
      </c>
      <c r="AZ118" s="184">
        <v>113.03856629135778</v>
      </c>
      <c r="BA118" s="331">
        <v>76.274704494387194</v>
      </c>
      <c r="BB118" s="334">
        <v>61.477272794437816</v>
      </c>
      <c r="BC118" s="334">
        <v>112.54680705031147</v>
      </c>
      <c r="BD118" s="334">
        <v>96.544276730837865</v>
      </c>
    </row>
    <row r="119" spans="1:56" x14ac:dyDescent="0.25">
      <c r="A119" s="11">
        <v>45778</v>
      </c>
      <c r="B119" s="347">
        <v>98.230039885909619</v>
      </c>
      <c r="C119" s="338">
        <v>97.837245373855652</v>
      </c>
      <c r="D119" s="334">
        <v>112.6292622639637</v>
      </c>
      <c r="E119" s="191">
        <v>201.65929202372396</v>
      </c>
      <c r="F119" s="191">
        <v>117.72441762827425</v>
      </c>
      <c r="G119" s="191">
        <v>120.47523474398149</v>
      </c>
      <c r="H119" s="191">
        <v>75.962371666836134</v>
      </c>
      <c r="I119" s="191">
        <v>36.050017542481541</v>
      </c>
      <c r="J119" s="335">
        <v>103.15333293920104</v>
      </c>
      <c r="K119" s="191">
        <v>68.260822330827111</v>
      </c>
      <c r="L119" s="191">
        <v>95.183425742036022</v>
      </c>
      <c r="M119" s="191">
        <v>67.919245059395138</v>
      </c>
      <c r="N119" s="191">
        <v>103.33473140963746</v>
      </c>
      <c r="O119" s="191">
        <v>109.66598268418392</v>
      </c>
      <c r="P119" s="191">
        <v>116.01116917675394</v>
      </c>
      <c r="Q119" s="191">
        <v>118.67174449000527</v>
      </c>
      <c r="R119" s="191">
        <v>111.25347143201181</v>
      </c>
      <c r="S119" s="191">
        <v>53.893604692666948</v>
      </c>
      <c r="T119" s="191">
        <v>150.93479876679572</v>
      </c>
      <c r="U119" s="191">
        <v>99.901408433265217</v>
      </c>
      <c r="V119" s="191">
        <v>109.77395136410343</v>
      </c>
      <c r="W119" s="191">
        <v>153.51921850974142</v>
      </c>
      <c r="X119" s="336">
        <v>88.358967826498727</v>
      </c>
      <c r="Y119" s="191">
        <v>32.195738524977806</v>
      </c>
      <c r="Z119" s="336">
        <v>139.31012583531307</v>
      </c>
      <c r="AA119" s="191">
        <v>23.932515433926195</v>
      </c>
      <c r="AB119" s="336">
        <v>68.758674971739296</v>
      </c>
      <c r="AC119" s="191">
        <v>1</v>
      </c>
      <c r="AD119" s="336">
        <v>79.486704466416469</v>
      </c>
      <c r="AE119" s="191">
        <v>94.089831618959522</v>
      </c>
      <c r="AF119" s="336">
        <v>68.132819114104336</v>
      </c>
      <c r="AG119" s="191">
        <v>114.19697659891121</v>
      </c>
      <c r="AH119" s="336">
        <v>90.430183709662117</v>
      </c>
      <c r="AI119" s="191">
        <v>75.041212483511657</v>
      </c>
      <c r="AJ119" s="336">
        <v>122.0419026998095</v>
      </c>
      <c r="AK119" s="191">
        <v>44.066587824674244</v>
      </c>
      <c r="AL119" s="191">
        <v>136.98511695743611</v>
      </c>
      <c r="AM119" s="337">
        <v>113.65638038066059</v>
      </c>
      <c r="AN119" s="191">
        <v>91.049262994440099</v>
      </c>
      <c r="AO119" s="191">
        <v>147.46825645374668</v>
      </c>
      <c r="AP119" s="191">
        <v>54.179273275243794</v>
      </c>
      <c r="AQ119" s="191">
        <v>126.8948728720809</v>
      </c>
      <c r="AR119" s="191">
        <v>41.878424549301627</v>
      </c>
      <c r="AS119" s="191">
        <v>12.656871059141087</v>
      </c>
      <c r="AT119" s="191">
        <v>74.852202957577788</v>
      </c>
      <c r="AU119" s="191">
        <v>48.190158476074508</v>
      </c>
      <c r="AV119" s="191">
        <v>108.89728850463428</v>
      </c>
      <c r="AW119" s="334">
        <v>80.311046915217034</v>
      </c>
      <c r="AX119" s="334">
        <v>145.86809379662608</v>
      </c>
      <c r="AY119" s="184">
        <v>163.63667041520861</v>
      </c>
      <c r="AZ119" s="184">
        <v>63.887196428386929</v>
      </c>
      <c r="BA119" s="331">
        <v>101.91343524850656</v>
      </c>
      <c r="BB119" s="334">
        <v>114.69163048085618</v>
      </c>
      <c r="BC119" s="334">
        <v>41.459701604258868</v>
      </c>
      <c r="BD119" s="334">
        <v>92.236995238993842</v>
      </c>
    </row>
    <row r="120" spans="1:56" x14ac:dyDescent="0.25">
      <c r="A120" s="11">
        <v>45809</v>
      </c>
      <c r="B120" s="347">
        <v>115.93588853732584</v>
      </c>
      <c r="C120" s="338">
        <v>122.17992938282754</v>
      </c>
      <c r="D120" s="334">
        <v>197.02116785421603</v>
      </c>
      <c r="E120" s="191">
        <v>60.751035538169944</v>
      </c>
      <c r="F120" s="191">
        <v>215.32173457070866</v>
      </c>
      <c r="G120" s="191">
        <v>225.78656191052002</v>
      </c>
      <c r="H120" s="191">
        <v>136.00403888354677</v>
      </c>
      <c r="I120" s="191">
        <v>33.583768658673996</v>
      </c>
      <c r="J120" s="335">
        <v>101.32702892207213</v>
      </c>
      <c r="K120" s="191">
        <v>41.663250432669642</v>
      </c>
      <c r="L120" s="191">
        <v>82.372737997058778</v>
      </c>
      <c r="M120" s="191">
        <v>69.452284122224881</v>
      </c>
      <c r="N120" s="191">
        <v>103.01741751937217</v>
      </c>
      <c r="O120" s="191">
        <v>101.58377314086162</v>
      </c>
      <c r="P120" s="191">
        <v>124.39611167229498</v>
      </c>
      <c r="Q120" s="191">
        <v>109.03814776002078</v>
      </c>
      <c r="R120" s="191">
        <v>155.18894244292397</v>
      </c>
      <c r="S120" s="191">
        <v>64.515933003339924</v>
      </c>
      <c r="T120" s="191">
        <v>154.59519556654169</v>
      </c>
      <c r="U120" s="191">
        <v>97.55494476379927</v>
      </c>
      <c r="V120" s="191">
        <v>107.85766121374039</v>
      </c>
      <c r="W120" s="191">
        <v>144.25058700281241</v>
      </c>
      <c r="X120" s="336">
        <v>80.359131814789507</v>
      </c>
      <c r="Y120" s="191">
        <v>70.749113041929533</v>
      </c>
      <c r="Z120" s="336">
        <v>110.62196146954274</v>
      </c>
      <c r="AA120" s="191">
        <v>79.285862178508921</v>
      </c>
      <c r="AB120" s="336">
        <v>70.482228219009727</v>
      </c>
      <c r="AC120" s="191">
        <v>1</v>
      </c>
      <c r="AD120" s="336">
        <v>46.68106653137648</v>
      </c>
      <c r="AE120" s="191">
        <v>85.254097783005207</v>
      </c>
      <c r="AF120" s="336">
        <v>46.738560437737235</v>
      </c>
      <c r="AG120" s="191">
        <v>90.045262744332049</v>
      </c>
      <c r="AH120" s="336">
        <v>78.180720041161251</v>
      </c>
      <c r="AI120" s="191">
        <v>78.442233170556307</v>
      </c>
      <c r="AJ120" s="336">
        <v>110.49053316131251</v>
      </c>
      <c r="AK120" s="191">
        <v>27.301579737735249</v>
      </c>
      <c r="AL120" s="191">
        <v>126.43289077624324</v>
      </c>
      <c r="AM120" s="337">
        <v>111.61141648742786</v>
      </c>
      <c r="AN120" s="191">
        <v>103.52881268617868</v>
      </c>
      <c r="AO120" s="191">
        <v>128.01799962078431</v>
      </c>
      <c r="AP120" s="191">
        <v>34.950813216873051</v>
      </c>
      <c r="AQ120" s="191">
        <v>144.65354782082895</v>
      </c>
      <c r="AR120" s="191">
        <v>1.2222769991552194</v>
      </c>
      <c r="AS120" s="191">
        <v>14.88862986943148</v>
      </c>
      <c r="AT120" s="191">
        <v>31.133976555528438</v>
      </c>
      <c r="AU120" s="191">
        <v>43.728177632887167</v>
      </c>
      <c r="AV120" s="191">
        <v>106.63134417923531</v>
      </c>
      <c r="AW120" s="334">
        <v>91.304187505758094</v>
      </c>
      <c r="AX120" s="334">
        <v>145.96630843556989</v>
      </c>
      <c r="AY120" s="184">
        <v>160.30829494053106</v>
      </c>
      <c r="AZ120" s="184">
        <v>79.795058539826243</v>
      </c>
      <c r="BA120" s="331">
        <v>57.382954653599711</v>
      </c>
      <c r="BB120" s="334">
        <v>55.59062815020291</v>
      </c>
      <c r="BC120" s="334">
        <v>42.9407389131703</v>
      </c>
      <c r="BD120" s="334">
        <v>64.898970272224787</v>
      </c>
    </row>
    <row r="121" spans="1:56" x14ac:dyDescent="0.25">
      <c r="A121" s="11">
        <v>45839</v>
      </c>
      <c r="B121" s="347">
        <v>106.08406762371111</v>
      </c>
      <c r="C121" s="338">
        <v>107.996103263568</v>
      </c>
      <c r="D121" s="334">
        <v>118.62672413597035</v>
      </c>
      <c r="E121" s="191">
        <v>241.75320545197343</v>
      </c>
      <c r="F121" s="191">
        <v>108.25917423440927</v>
      </c>
      <c r="G121" s="191">
        <v>131.23950752713489</v>
      </c>
      <c r="H121" s="191">
        <v>80.713531334487513</v>
      </c>
      <c r="I121" s="191">
        <v>42.277190679822951</v>
      </c>
      <c r="J121" s="335">
        <v>104.11946722391141</v>
      </c>
      <c r="K121" s="191">
        <v>116.89807246889819</v>
      </c>
      <c r="L121" s="191">
        <v>86.102145036079776</v>
      </c>
      <c r="M121" s="191">
        <v>82.287428008889606</v>
      </c>
      <c r="N121" s="191">
        <v>91.940487352055655</v>
      </c>
      <c r="O121" s="191">
        <v>122.99253845041518</v>
      </c>
      <c r="P121" s="191">
        <v>129.72920234459545</v>
      </c>
      <c r="Q121" s="191">
        <v>120.71307674185859</v>
      </c>
      <c r="R121" s="191">
        <v>150.40982547039917</v>
      </c>
      <c r="S121" s="191">
        <v>61.637391391774827</v>
      </c>
      <c r="T121" s="191">
        <v>84.131423803688207</v>
      </c>
      <c r="U121" s="191">
        <v>111.26176344990158</v>
      </c>
      <c r="V121" s="191">
        <v>115.10925532208711</v>
      </c>
      <c r="W121" s="191">
        <v>175.13161706823209</v>
      </c>
      <c r="X121" s="336">
        <v>107.36965698754933</v>
      </c>
      <c r="Y121" s="191">
        <v>90.033649661854568</v>
      </c>
      <c r="Z121" s="336">
        <v>133.78318959730734</v>
      </c>
      <c r="AA121" s="191">
        <v>93.662210334274903</v>
      </c>
      <c r="AB121" s="336">
        <v>143.89047572709856</v>
      </c>
      <c r="AC121" s="191">
        <v>1</v>
      </c>
      <c r="AD121" s="336">
        <v>65.643264332636534</v>
      </c>
      <c r="AE121" s="191">
        <v>89.34626352300171</v>
      </c>
      <c r="AF121" s="336">
        <v>73.165760995955793</v>
      </c>
      <c r="AG121" s="191">
        <v>98.853027155240341</v>
      </c>
      <c r="AH121" s="336">
        <v>89.369035284984989</v>
      </c>
      <c r="AI121" s="191">
        <v>86.455916417180802</v>
      </c>
      <c r="AJ121" s="336">
        <v>112.93413570365287</v>
      </c>
      <c r="AK121" s="191">
        <v>26.990772944684021</v>
      </c>
      <c r="AL121" s="191">
        <v>129.40434920371692</v>
      </c>
      <c r="AM121" s="337">
        <v>123.49839874328944</v>
      </c>
      <c r="AN121" s="191">
        <v>102.27445192429812</v>
      </c>
      <c r="AO121" s="191">
        <v>154.55592607144686</v>
      </c>
      <c r="AP121" s="191">
        <v>23.834935936558932</v>
      </c>
      <c r="AQ121" s="191">
        <v>160.51483376875331</v>
      </c>
      <c r="AR121" s="191">
        <v>53.745080389466828</v>
      </c>
      <c r="AS121" s="191">
        <v>22.627483253852809</v>
      </c>
      <c r="AT121" s="191">
        <v>84.901364487575904</v>
      </c>
      <c r="AU121" s="191">
        <v>55.792360112297693</v>
      </c>
      <c r="AV121" s="191">
        <v>102.5856325132394</v>
      </c>
      <c r="AW121" s="334">
        <v>95.272573685980731</v>
      </c>
      <c r="AX121" s="334">
        <v>139.00206642236788</v>
      </c>
      <c r="AY121" s="184">
        <v>153.6039550093418</v>
      </c>
      <c r="AZ121" s="184">
        <v>71.631676811122446</v>
      </c>
      <c r="BA121" s="331">
        <v>88.154124631021844</v>
      </c>
      <c r="BB121" s="334">
        <v>84.999269186027931</v>
      </c>
      <c r="BC121" s="334">
        <v>109.93363359641657</v>
      </c>
      <c r="BD121" s="334">
        <v>88.701636239897226</v>
      </c>
    </row>
    <row r="122" spans="1:56" x14ac:dyDescent="0.25">
      <c r="A122" s="11">
        <v>45870</v>
      </c>
      <c r="B122" s="347">
        <v>89.74251415019917</v>
      </c>
      <c r="C122" s="338">
        <v>92.438831792442173</v>
      </c>
      <c r="D122" s="334">
        <v>106.4099303411452</v>
      </c>
      <c r="E122" s="191">
        <v>83.20273307972694</v>
      </c>
      <c r="F122" s="191">
        <v>91.869788207881911</v>
      </c>
      <c r="G122" s="191">
        <v>130.44733785064241</v>
      </c>
      <c r="H122" s="191">
        <v>63.603766175704408</v>
      </c>
      <c r="I122" s="191">
        <v>28.665029562757386</v>
      </c>
      <c r="J122" s="335">
        <v>92.861437557598947</v>
      </c>
      <c r="K122" s="191">
        <v>77.467123995062124</v>
      </c>
      <c r="L122" s="191">
        <v>84.75313994248279</v>
      </c>
      <c r="M122" s="191">
        <v>66.769592216445474</v>
      </c>
      <c r="N122" s="191">
        <v>88.696892669119435</v>
      </c>
      <c r="O122" s="191">
        <v>105.98151251769431</v>
      </c>
      <c r="P122" s="191">
        <v>122.71993072708366</v>
      </c>
      <c r="Q122" s="191">
        <v>112.96380625245069</v>
      </c>
      <c r="R122" s="191">
        <v>142.89400316000641</v>
      </c>
      <c r="S122" s="191">
        <v>65.775554373957107</v>
      </c>
      <c r="T122" s="191">
        <v>25.208030420916646</v>
      </c>
      <c r="U122" s="191">
        <v>101.77489904284982</v>
      </c>
      <c r="V122" s="191">
        <v>112.27810218280483</v>
      </c>
      <c r="W122" s="191">
        <v>161.22542739095394</v>
      </c>
      <c r="X122" s="336">
        <v>77.568961069090221</v>
      </c>
      <c r="Y122" s="191">
        <v>51.888196927871228</v>
      </c>
      <c r="Z122" s="336">
        <v>104.96719678230851</v>
      </c>
      <c r="AA122" s="191">
        <v>36.05276526567333</v>
      </c>
      <c r="AB122" s="336">
        <v>89.191892626622348</v>
      </c>
      <c r="AC122" s="191">
        <v>1</v>
      </c>
      <c r="AD122" s="336">
        <v>48.497419767397147</v>
      </c>
      <c r="AE122" s="191">
        <v>80.702349337733466</v>
      </c>
      <c r="AF122" s="336">
        <v>98.084429455599263</v>
      </c>
      <c r="AG122" s="191">
        <v>93.326293438549186</v>
      </c>
      <c r="AH122" s="336">
        <v>71.841695417108852</v>
      </c>
      <c r="AI122" s="191">
        <v>68.529396870503845</v>
      </c>
      <c r="AJ122" s="336">
        <v>101.07478429543956</v>
      </c>
      <c r="AK122" s="191">
        <v>18.184887486171856</v>
      </c>
      <c r="AL122" s="191">
        <v>116.95983060524836</v>
      </c>
      <c r="AM122" s="337">
        <v>94.250337068932765</v>
      </c>
      <c r="AN122" s="191">
        <v>112.33017753459882</v>
      </c>
      <c r="AO122" s="191">
        <v>104.30054846255983</v>
      </c>
      <c r="AP122" s="191">
        <v>39.576244455774699</v>
      </c>
      <c r="AQ122" s="191">
        <v>112.43450469083501</v>
      </c>
      <c r="AR122" s="191">
        <v>109.15654590323086</v>
      </c>
      <c r="AS122" s="191">
        <v>15.734018472974876</v>
      </c>
      <c r="AT122" s="191">
        <v>27.446471255075885</v>
      </c>
      <c r="AU122" s="191">
        <v>42.725009228148735</v>
      </c>
      <c r="AV122" s="191">
        <v>79.322661719624591</v>
      </c>
      <c r="AW122" s="334">
        <v>98.044584214420041</v>
      </c>
      <c r="AX122" s="334">
        <v>118.35871069510991</v>
      </c>
      <c r="AY122" s="184">
        <v>127.51372551524035</v>
      </c>
      <c r="AZ122" s="184">
        <v>76.1191804004376</v>
      </c>
      <c r="BA122" s="331">
        <v>64.458036911470728</v>
      </c>
      <c r="BB122" s="334">
        <v>60.313827037290139</v>
      </c>
      <c r="BC122" s="334">
        <v>40.047040453502667</v>
      </c>
      <c r="BD122" s="334">
        <v>79.423132929643785</v>
      </c>
    </row>
    <row r="123" spans="1:56" x14ac:dyDescent="0.25">
      <c r="A123" s="11">
        <v>45901</v>
      </c>
      <c r="B123" s="347">
        <v>87.740997931753341</v>
      </c>
      <c r="C123" s="338">
        <v>89.936353030159495</v>
      </c>
      <c r="D123" s="334">
        <v>128.11763126624771</v>
      </c>
      <c r="E123" s="191">
        <v>132.23928117757103</v>
      </c>
      <c r="F123" s="191">
        <v>138.32261330921847</v>
      </c>
      <c r="G123" s="191">
        <v>141.05677043993924</v>
      </c>
      <c r="H123" s="191">
        <v>93.255254331261114</v>
      </c>
      <c r="I123" s="191">
        <v>22.44419854891634</v>
      </c>
      <c r="J123" s="335">
        <v>95.80250362382931</v>
      </c>
      <c r="K123" s="191">
        <v>97.873977077839669</v>
      </c>
      <c r="L123" s="191">
        <v>76.627788235294418</v>
      </c>
      <c r="M123" s="191">
        <v>75.067265115605224</v>
      </c>
      <c r="N123" s="191">
        <v>95.334553327746619</v>
      </c>
      <c r="O123" s="191">
        <v>98.241852705252683</v>
      </c>
      <c r="P123" s="191">
        <v>132.09445958812356</v>
      </c>
      <c r="Q123" s="191">
        <v>118.83364945927393</v>
      </c>
      <c r="R123" s="191">
        <v>133.2236729670166</v>
      </c>
      <c r="S123" s="191">
        <v>59.673912995656707</v>
      </c>
      <c r="T123" s="191">
        <v>31.677606902283792</v>
      </c>
      <c r="U123" s="191">
        <v>113.10734071377681</v>
      </c>
      <c r="V123" s="191">
        <v>119.97967521934321</v>
      </c>
      <c r="W123" s="191">
        <v>157.92943754752218</v>
      </c>
      <c r="X123" s="336">
        <v>62.783267748849866</v>
      </c>
      <c r="Y123" s="191">
        <v>44.207858869264705</v>
      </c>
      <c r="Z123" s="336">
        <v>96.953317465533189</v>
      </c>
      <c r="AA123" s="191">
        <v>63.551644820860822</v>
      </c>
      <c r="AB123" s="336">
        <v>90.468618267142531</v>
      </c>
      <c r="AC123" s="191">
        <v>1</v>
      </c>
      <c r="AD123" s="336">
        <v>69.938162075840438</v>
      </c>
      <c r="AE123" s="191">
        <v>82.045139217959189</v>
      </c>
      <c r="AF123" s="336">
        <v>73.781793708616718</v>
      </c>
      <c r="AG123" s="191">
        <v>93.32702804343981</v>
      </c>
      <c r="AH123" s="336">
        <v>172.57052828269354</v>
      </c>
      <c r="AI123" s="191">
        <v>96.916530238513744</v>
      </c>
      <c r="AJ123" s="336">
        <v>84.926781277716358</v>
      </c>
      <c r="AK123" s="191">
        <v>45.661653659310417</v>
      </c>
      <c r="AL123" s="191">
        <v>92.451562880643792</v>
      </c>
      <c r="AM123" s="337">
        <v>93.818264075346349</v>
      </c>
      <c r="AN123" s="191">
        <v>100.58893131209476</v>
      </c>
      <c r="AO123" s="191">
        <v>109.64983950552052</v>
      </c>
      <c r="AP123" s="191">
        <v>42.269053614515549</v>
      </c>
      <c r="AQ123" s="191">
        <v>102.51203312612827</v>
      </c>
      <c r="AR123" s="191">
        <v>38.996191633128753</v>
      </c>
      <c r="AS123" s="191">
        <v>17.584302963749103</v>
      </c>
      <c r="AT123" s="191">
        <v>56.173917871325898</v>
      </c>
      <c r="AU123" s="191">
        <v>27.580950814738635</v>
      </c>
      <c r="AV123" s="191">
        <v>93.411166072191861</v>
      </c>
      <c r="AW123" s="334">
        <v>21.837307290591554</v>
      </c>
      <c r="AX123" s="334">
        <v>175.57054174025271</v>
      </c>
      <c r="AY123" s="184">
        <v>185.13569502599302</v>
      </c>
      <c r="AZ123" s="184">
        <v>131.43870908632647</v>
      </c>
      <c r="BA123" s="331">
        <v>67.154252087372527</v>
      </c>
      <c r="BB123" s="334">
        <v>54.019251161142364</v>
      </c>
      <c r="BC123" s="334">
        <v>53.699516285189013</v>
      </c>
      <c r="BD123" s="334">
        <v>97.412641677894285</v>
      </c>
    </row>
    <row r="124" spans="1:56" x14ac:dyDescent="0.25">
      <c r="A124" s="11">
        <v>45931</v>
      </c>
      <c r="B124" s="347">
        <v>89.832112186937763</v>
      </c>
      <c r="C124" s="338">
        <v>91.300010906940628</v>
      </c>
      <c r="D124" s="334">
        <v>91.224527871311537</v>
      </c>
      <c r="E124" s="191">
        <v>198.47625602979218</v>
      </c>
      <c r="F124" s="191">
        <v>79.320706453018033</v>
      </c>
      <c r="G124" s="191">
        <v>101.30539060263915</v>
      </c>
      <c r="H124" s="191">
        <v>68.020114737484221</v>
      </c>
      <c r="I124" s="191">
        <v>24.394352778016309</v>
      </c>
      <c r="J124" s="335">
        <v>94.264081735458205</v>
      </c>
      <c r="K124" s="191">
        <v>91.375699280295137</v>
      </c>
      <c r="L124" s="191">
        <v>79.817491425706393</v>
      </c>
      <c r="M124" s="191">
        <v>72.376057937551963</v>
      </c>
      <c r="N124" s="191">
        <v>86.474142894608434</v>
      </c>
      <c r="O124" s="191">
        <v>102.96088138683169</v>
      </c>
      <c r="P124" s="191">
        <v>147.85629778271732</v>
      </c>
      <c r="Q124" s="191">
        <v>118.62664946323584</v>
      </c>
      <c r="R124" s="191">
        <v>157.79943118732487</v>
      </c>
      <c r="S124" s="191">
        <v>30.921084136921866</v>
      </c>
      <c r="T124" s="191">
        <v>29.195754735257204</v>
      </c>
      <c r="U124" s="191">
        <v>112.37006067880937</v>
      </c>
      <c r="V124" s="191">
        <v>106.86259806664069</v>
      </c>
      <c r="W124" s="191">
        <v>172.88514698415457</v>
      </c>
      <c r="X124" s="336">
        <v>87.879252900415054</v>
      </c>
      <c r="Y124" s="191">
        <v>57.182927733145796</v>
      </c>
      <c r="Z124" s="336">
        <v>112.04321509609417</v>
      </c>
      <c r="AA124" s="191">
        <v>7.7102043187735989E-2</v>
      </c>
      <c r="AB124" s="336">
        <v>169.78597249523176</v>
      </c>
      <c r="AC124" s="191">
        <v>1</v>
      </c>
      <c r="AD124" s="336">
        <v>59.217790921618793</v>
      </c>
      <c r="AE124" s="191">
        <v>92.335756390338943</v>
      </c>
      <c r="AF124" s="336">
        <v>86.953828445422857</v>
      </c>
      <c r="AG124" s="191">
        <v>104.69038224833409</v>
      </c>
      <c r="AH124" s="336">
        <v>79.146558143748948</v>
      </c>
      <c r="AI124" s="191">
        <v>86.733038905516949</v>
      </c>
      <c r="AJ124" s="336">
        <v>81.619043691160471</v>
      </c>
      <c r="AK124" s="191">
        <v>24.984817918166293</v>
      </c>
      <c r="AL124" s="191">
        <v>92.472444814270489</v>
      </c>
      <c r="AM124" s="337">
        <v>103.23449877883709</v>
      </c>
      <c r="AN124" s="191">
        <v>112.47234097157859</v>
      </c>
      <c r="AO124" s="191">
        <v>117.33117316629586</v>
      </c>
      <c r="AP124" s="191">
        <v>85.920889753322044</v>
      </c>
      <c r="AQ124" s="191">
        <v>106.87409183010503</v>
      </c>
      <c r="AR124" s="191">
        <v>91.42981458233146</v>
      </c>
      <c r="AS124" s="191">
        <v>258.31445558519499</v>
      </c>
      <c r="AT124" s="191">
        <v>62.883804348744782</v>
      </c>
      <c r="AU124" s="191">
        <v>37.986715902321095</v>
      </c>
      <c r="AV124" s="191">
        <v>97.408590206340975</v>
      </c>
      <c r="AW124" s="334">
        <v>94.894091685842199</v>
      </c>
      <c r="AX124" s="334">
        <v>139.79146839462311</v>
      </c>
      <c r="AY124" s="184">
        <v>123.85149969258839</v>
      </c>
      <c r="AZ124" s="184">
        <v>213.33551000613966</v>
      </c>
      <c r="BA124" s="331">
        <v>76.067023388350975</v>
      </c>
      <c r="BB124" s="334">
        <v>76.502714217947684</v>
      </c>
      <c r="BC124" s="334">
        <v>68.811694161037337</v>
      </c>
      <c r="BD124" s="334">
        <v>77.132667879151043</v>
      </c>
    </row>
    <row r="125" spans="1:56" x14ac:dyDescent="0.25">
      <c r="A125" s="11">
        <v>45962</v>
      </c>
      <c r="B125" s="347">
        <v>84.825010251025077</v>
      </c>
      <c r="C125" s="338">
        <v>86.800173052404915</v>
      </c>
      <c r="D125" s="334">
        <v>74.08530810786273</v>
      </c>
      <c r="E125" s="191">
        <v>24.823279999383882</v>
      </c>
      <c r="F125" s="191">
        <v>177.02063180897511</v>
      </c>
      <c r="G125" s="191">
        <v>39.473159463533356</v>
      </c>
      <c r="H125" s="191">
        <v>69.893181033205508</v>
      </c>
      <c r="I125" s="191">
        <v>22.281990356000591</v>
      </c>
      <c r="J125" s="335">
        <v>97.84073926181334</v>
      </c>
      <c r="K125" s="191">
        <v>96.697292683397293</v>
      </c>
      <c r="L125" s="191">
        <v>92.434765944145326</v>
      </c>
      <c r="M125" s="191">
        <v>102.75963604441334</v>
      </c>
      <c r="N125" s="191">
        <v>88.595163535146312</v>
      </c>
      <c r="O125" s="191">
        <v>98.356180234984578</v>
      </c>
      <c r="P125" s="191">
        <v>146.38543484975668</v>
      </c>
      <c r="Q125" s="191">
        <v>111.28271126875504</v>
      </c>
      <c r="R125" s="191">
        <v>142.91155492943551</v>
      </c>
      <c r="S125" s="191">
        <v>52.178969307162355</v>
      </c>
      <c r="T125" s="191">
        <v>40.686058714617019</v>
      </c>
      <c r="U125" s="191">
        <v>104.73731790211541</v>
      </c>
      <c r="V125" s="191">
        <v>100.97231372100455</v>
      </c>
      <c r="W125" s="191">
        <v>174.58785777738709</v>
      </c>
      <c r="X125" s="336">
        <v>85.919370980929116</v>
      </c>
      <c r="Y125" s="191">
        <v>114.37759838557858</v>
      </c>
      <c r="Z125" s="336">
        <v>111.44344069768808</v>
      </c>
      <c r="AA125" s="191">
        <v>31.814373432024276</v>
      </c>
      <c r="AB125" s="336">
        <v>130.12729538118714</v>
      </c>
      <c r="AC125" s="191">
        <v>1</v>
      </c>
      <c r="AD125" s="336">
        <v>39.539214181301055</v>
      </c>
      <c r="AE125" s="191">
        <v>84.795480756146688</v>
      </c>
      <c r="AF125" s="336">
        <v>112.05611046121305</v>
      </c>
      <c r="AG125" s="191">
        <v>87.25717586385565</v>
      </c>
      <c r="AH125" s="336">
        <v>79.529008865042783</v>
      </c>
      <c r="AI125" s="191">
        <v>96.589224980613082</v>
      </c>
      <c r="AJ125" s="336">
        <v>96.087809485180756</v>
      </c>
      <c r="AK125" s="191">
        <v>25.489711996094815</v>
      </c>
      <c r="AL125" s="191">
        <v>109.61725144574959</v>
      </c>
      <c r="AM125" s="337">
        <v>116.50272654630579</v>
      </c>
      <c r="AN125" s="191">
        <v>187.60335513697717</v>
      </c>
      <c r="AO125" s="191">
        <v>126.59136420490556</v>
      </c>
      <c r="AP125" s="191">
        <v>57.453624789964927</v>
      </c>
      <c r="AQ125" s="191">
        <v>134.09915683017783</v>
      </c>
      <c r="AR125" s="191">
        <v>65.213003107730103</v>
      </c>
      <c r="AS125" s="191">
        <v>137.94937927447205</v>
      </c>
      <c r="AT125" s="191">
        <v>41.190258067801949</v>
      </c>
      <c r="AU125" s="191">
        <v>18.124397868984474</v>
      </c>
      <c r="AV125" s="191">
        <v>93.317248223620709</v>
      </c>
      <c r="AW125" s="334">
        <v>57.691123177792576</v>
      </c>
      <c r="AX125" s="334">
        <v>154.49122851529748</v>
      </c>
      <c r="AY125" s="184">
        <v>154.51139615279334</v>
      </c>
      <c r="AZ125" s="184">
        <v>154.39817879864344</v>
      </c>
      <c r="BA125" s="331">
        <v>66.303097954101958</v>
      </c>
      <c r="BB125" s="334">
        <v>62.79994430248005</v>
      </c>
      <c r="BC125" s="334">
        <v>86.647231851373448</v>
      </c>
      <c r="BD125" s="334">
        <v>67.942769976801088</v>
      </c>
    </row>
    <row r="126" spans="1:56" x14ac:dyDescent="0.25">
      <c r="A126" s="11">
        <v>45992</v>
      </c>
      <c r="B126" s="347">
        <v>120.19417008040183</v>
      </c>
      <c r="C126" s="338">
        <v>114.28881768870696</v>
      </c>
      <c r="D126" s="334">
        <v>126.13829504344197</v>
      </c>
      <c r="E126" s="191">
        <v>105.41126894578828</v>
      </c>
      <c r="F126" s="191">
        <v>261.19833999511485</v>
      </c>
      <c r="G126" s="191">
        <v>87.66181567163153</v>
      </c>
      <c r="H126" s="191">
        <v>84.812235377567987</v>
      </c>
      <c r="I126" s="191">
        <v>40.303024340113041</v>
      </c>
      <c r="J126" s="335">
        <v>105.72647829702456</v>
      </c>
      <c r="K126" s="191">
        <v>95.855866144149488</v>
      </c>
      <c r="L126" s="191">
        <v>125.44103992877605</v>
      </c>
      <c r="M126" s="191">
        <v>80.799908949010074</v>
      </c>
      <c r="N126" s="191">
        <v>107.06897078205002</v>
      </c>
      <c r="O126" s="191">
        <v>106.53548940693179</v>
      </c>
      <c r="P126" s="191">
        <v>143.24688691664159</v>
      </c>
      <c r="Q126" s="191">
        <v>98.182524918598148</v>
      </c>
      <c r="R126" s="191">
        <v>150.70009174023761</v>
      </c>
      <c r="S126" s="191">
        <v>66.538797244970453</v>
      </c>
      <c r="T126" s="191">
        <v>32.058474049438715</v>
      </c>
      <c r="U126" s="191">
        <v>106.43236711261919</v>
      </c>
      <c r="V126" s="191">
        <v>118.39810024106549</v>
      </c>
      <c r="W126" s="191">
        <v>170.07638503266892</v>
      </c>
      <c r="X126" s="336">
        <v>100.93953733783559</v>
      </c>
      <c r="Y126" s="191">
        <v>84.641499172272248</v>
      </c>
      <c r="Z126" s="336">
        <v>142.2071618469993</v>
      </c>
      <c r="AA126" s="191">
        <v>15.945737737606008</v>
      </c>
      <c r="AB126" s="336">
        <v>97.54555934388847</v>
      </c>
      <c r="AC126" s="191">
        <v>1</v>
      </c>
      <c r="AD126" s="336">
        <v>49.378502551459924</v>
      </c>
      <c r="AE126" s="191">
        <v>96.816341401558162</v>
      </c>
      <c r="AF126" s="336">
        <v>83.945548260000393</v>
      </c>
      <c r="AG126" s="191">
        <v>156.49968544318131</v>
      </c>
      <c r="AH126" s="336">
        <v>102.29941920294567</v>
      </c>
      <c r="AI126" s="191">
        <v>250.33781374564668</v>
      </c>
      <c r="AJ126" s="336">
        <v>92.657802725668105</v>
      </c>
      <c r="AK126" s="191">
        <v>74.325833197705492</v>
      </c>
      <c r="AL126" s="191">
        <v>96.170947223504328</v>
      </c>
      <c r="AM126" s="337">
        <v>137.08197187110156</v>
      </c>
      <c r="AN126" s="191">
        <v>195.16630909198108</v>
      </c>
      <c r="AO126" s="191">
        <v>155.52629354286262</v>
      </c>
      <c r="AP126" s="191">
        <v>71.687257271643475</v>
      </c>
      <c r="AQ126" s="191">
        <v>158.5496569483235</v>
      </c>
      <c r="AR126" s="191">
        <v>139.13187059519186</v>
      </c>
      <c r="AS126" s="191">
        <v>476.51597766676554</v>
      </c>
      <c r="AT126" s="191">
        <v>68.740421654235632</v>
      </c>
      <c r="AU126" s="191">
        <v>28.020828459555013</v>
      </c>
      <c r="AV126" s="191">
        <v>99.427690612432031</v>
      </c>
      <c r="AW126" s="334">
        <v>81.856486579166344</v>
      </c>
      <c r="AX126" s="334">
        <v>136.83786237055105</v>
      </c>
      <c r="AY126" s="184">
        <v>139.19158095194035</v>
      </c>
      <c r="AZ126" s="184">
        <v>125.97824397811344</v>
      </c>
      <c r="BA126" s="331">
        <v>175.57108331762333</v>
      </c>
      <c r="BB126" s="334">
        <v>191.57682588741298</v>
      </c>
      <c r="BC126" s="334">
        <v>106.14578786617717</v>
      </c>
      <c r="BD126" s="334">
        <v>161.7583612951332</v>
      </c>
    </row>
    <row r="127" spans="1:56" x14ac:dyDescent="0.25">
      <c r="A127" s="11">
        <v>46023</v>
      </c>
      <c r="B127" s="347">
        <v>89.962905749451963</v>
      </c>
      <c r="C127" s="338">
        <v>91.79196315455161</v>
      </c>
      <c r="D127" s="334">
        <v>85.056732197646468</v>
      </c>
      <c r="E127" s="191">
        <v>129.86065769056063</v>
      </c>
      <c r="F127" s="191">
        <v>96.759725663417626</v>
      </c>
      <c r="G127" s="191">
        <v>89.553091696641772</v>
      </c>
      <c r="H127" s="191">
        <v>54.9140823415824</v>
      </c>
      <c r="I127" s="191">
        <v>26.852637149871608</v>
      </c>
      <c r="J127" s="335">
        <v>97.43671084559017</v>
      </c>
      <c r="K127" s="191">
        <v>93.620465181439542</v>
      </c>
      <c r="L127" s="191">
        <v>88.300579697980339</v>
      </c>
      <c r="M127" s="191">
        <v>60.371026715449425</v>
      </c>
      <c r="N127" s="191">
        <v>98.544036495208886</v>
      </c>
      <c r="O127" s="191">
        <v>86.884406295063627</v>
      </c>
      <c r="P127" s="191">
        <v>128.47249188098573</v>
      </c>
      <c r="Q127" s="191">
        <v>120.7150566892112</v>
      </c>
      <c r="R127" s="191">
        <v>146.94930791554518</v>
      </c>
      <c r="S127" s="191">
        <v>63.558342523626351</v>
      </c>
      <c r="T127" s="191">
        <v>40.612724402669521</v>
      </c>
      <c r="U127" s="191">
        <v>119.96868423744873</v>
      </c>
      <c r="V127" s="191">
        <v>109.69166170445617</v>
      </c>
      <c r="W127" s="191">
        <v>168.07432467651532</v>
      </c>
      <c r="X127" s="336">
        <v>76.931266817091114</v>
      </c>
      <c r="Y127" s="191">
        <v>99.482865642449269</v>
      </c>
      <c r="Z127" s="336">
        <v>143.87941670824185</v>
      </c>
      <c r="AA127" s="191">
        <v>23.880055584815139</v>
      </c>
      <c r="AB127" s="336">
        <v>110.76520681021267</v>
      </c>
      <c r="AC127" s="191">
        <v>1</v>
      </c>
      <c r="AD127" s="336">
        <v>44.45885836638049</v>
      </c>
      <c r="AE127" s="191">
        <v>97.848924507384595</v>
      </c>
      <c r="AF127" s="336">
        <v>68.029849532386024</v>
      </c>
      <c r="AG127" s="191">
        <v>121.79055895864772</v>
      </c>
      <c r="AH127" s="336">
        <v>85.57867558556849</v>
      </c>
      <c r="AI127" s="191">
        <v>138.9783588743467</v>
      </c>
      <c r="AJ127" s="336">
        <v>56.42201149235887</v>
      </c>
      <c r="AK127" s="191">
        <v>22.908332667830241</v>
      </c>
      <c r="AL127" s="191">
        <v>62.84458361070385</v>
      </c>
      <c r="AM127" s="337">
        <v>90.142716630401424</v>
      </c>
      <c r="AN127" s="191">
        <v>101.47933657925448</v>
      </c>
      <c r="AO127" s="191">
        <v>130.28774425266141</v>
      </c>
      <c r="AP127" s="191">
        <v>75.582988106634986</v>
      </c>
      <c r="AQ127" s="191">
        <v>101.43022597381336</v>
      </c>
      <c r="AR127" s="191">
        <v>23.20103976578271</v>
      </c>
      <c r="AS127" s="191">
        <v>16.395148662603479</v>
      </c>
      <c r="AT127" s="191">
        <v>48.423041772944096</v>
      </c>
      <c r="AU127" s="191">
        <v>18.02889783053476</v>
      </c>
      <c r="AV127" s="191">
        <v>66.077928629186999</v>
      </c>
      <c r="AW127" s="334">
        <v>68.333186222726411</v>
      </c>
      <c r="AX127" s="334">
        <v>132.25971386082233</v>
      </c>
      <c r="AY127" s="184">
        <v>146.85148855236685</v>
      </c>
      <c r="AZ127" s="184">
        <v>64.935987876100782</v>
      </c>
      <c r="BA127" s="331">
        <v>72.811083722616004</v>
      </c>
      <c r="BB127" s="334">
        <v>72.569502635153995</v>
      </c>
      <c r="BC127" s="334">
        <v>74.175320552560081</v>
      </c>
      <c r="BD127" s="334">
        <v>72.934559554439275</v>
      </c>
    </row>
    <row r="129" spans="3:3" x14ac:dyDescent="0.25">
      <c r="C129" t="s">
        <v>487</v>
      </c>
    </row>
  </sheetData>
  <mergeCells count="1">
    <mergeCell ref="B3:G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J252"/>
  <sheetViews>
    <sheetView zoomScaleNormal="100" workbookViewId="0">
      <pane xSplit="1" ySplit="6" topLeftCell="B231" activePane="bottomRight" state="frozen"/>
      <selection pane="topRight" activeCell="B1" sqref="B1"/>
      <selection pane="bottomLeft" activeCell="A7" sqref="A7"/>
      <selection pane="bottomRight" activeCell="A2" sqref="A2:XFD2"/>
    </sheetView>
  </sheetViews>
  <sheetFormatPr defaultColWidth="11.42578125" defaultRowHeight="15" x14ac:dyDescent="0.25"/>
  <cols>
    <col min="2" max="2" width="13.42578125" customWidth="1"/>
    <col min="3" max="3" width="10.42578125" bestFit="1" customWidth="1"/>
    <col min="4" max="6" width="13.42578125" customWidth="1"/>
    <col min="7" max="8" width="10.42578125" bestFit="1" customWidth="1"/>
    <col min="9" max="9" width="10.140625" bestFit="1" customWidth="1"/>
    <col min="10" max="10" width="15.42578125" bestFit="1" customWidth="1"/>
    <col min="11" max="11" width="14.42578125" bestFit="1" customWidth="1"/>
    <col min="12" max="12" width="12.42578125" bestFit="1" customWidth="1"/>
    <col min="13" max="13" width="14.42578125" bestFit="1" customWidth="1"/>
    <col min="15" max="15" width="13.5703125" customWidth="1"/>
    <col min="16" max="16" width="12.85546875" bestFit="1" customWidth="1"/>
    <col min="19" max="19" width="18.42578125" customWidth="1"/>
    <col min="20" max="20" width="16.42578125" customWidth="1"/>
    <col min="21" max="21" width="0" hidden="1" customWidth="1"/>
    <col min="22" max="22" width="12.85546875" hidden="1" customWidth="1"/>
    <col min="23" max="23" width="14.85546875" hidden="1" customWidth="1"/>
    <col min="24" max="24" width="9.42578125" hidden="1" customWidth="1"/>
    <col min="25" max="26" width="13.85546875" hidden="1" customWidth="1"/>
  </cols>
  <sheetData>
    <row r="1" spans="1:26" ht="24" thickBot="1" x14ac:dyDescent="0.4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2"/>
      <c r="L1" s="2"/>
      <c r="M1" s="2"/>
    </row>
    <row r="2" spans="1:26" ht="15.75" hidden="1" thickBot="1" x14ac:dyDescent="0.3">
      <c r="B2" s="192">
        <f>B247/B246-1</f>
        <v>-4.0300276570525484E-2</v>
      </c>
      <c r="C2" s="192">
        <f>C247/C246-1</f>
        <v>2.4612401724395161E-2</v>
      </c>
      <c r="D2" s="192">
        <f t="shared" ref="D2:Z2" si="0">D247/D246-1</f>
        <v>0.12505549322377285</v>
      </c>
      <c r="E2" s="192">
        <f t="shared" si="0"/>
        <v>-4.846267064558385E-2</v>
      </c>
      <c r="F2" s="192">
        <f>F247/F246-1</f>
        <v>-0.14412162865771116</v>
      </c>
      <c r="G2" s="192">
        <f t="shared" si="0"/>
        <v>0.14355907879638474</v>
      </c>
      <c r="H2" s="192">
        <f t="shared" si="0"/>
        <v>0.31540806820899547</v>
      </c>
      <c r="I2" s="192">
        <f t="shared" si="0"/>
        <v>5.9363583512610285E-2</v>
      </c>
      <c r="J2" s="192">
        <f t="shared" si="0"/>
        <v>1.8653680228684077E-2</v>
      </c>
      <c r="K2" s="192">
        <f t="shared" si="0"/>
        <v>-8.4409798023993288E-2</v>
      </c>
      <c r="L2" s="192" t="e">
        <f t="shared" si="0"/>
        <v>#DIV/0!</v>
      </c>
      <c r="M2" s="192">
        <f t="shared" si="0"/>
        <v>-0.18191372892489599</v>
      </c>
      <c r="N2" s="192">
        <f>N247/N246-1</f>
        <v>-0.20512643694780641</v>
      </c>
      <c r="O2" s="192">
        <f t="shared" si="0"/>
        <v>-0.27377017036407325</v>
      </c>
      <c r="P2" s="192" t="e">
        <f t="shared" si="0"/>
        <v>#DIV/0!</v>
      </c>
      <c r="Q2" s="192">
        <f t="shared" si="0"/>
        <v>-0.34855605826931646</v>
      </c>
      <c r="R2" s="192">
        <f t="shared" si="0"/>
        <v>1.5663642118590415</v>
      </c>
      <c r="S2" s="192">
        <f t="shared" si="0"/>
        <v>0.34326579261025025</v>
      </c>
      <c r="T2" s="192">
        <f>T247/T246-1</f>
        <v>10.998161764705882</v>
      </c>
      <c r="U2" s="192" t="e">
        <f t="shared" si="0"/>
        <v>#DIV/0!</v>
      </c>
      <c r="V2" s="192" t="e">
        <f t="shared" si="0"/>
        <v>#DIV/0!</v>
      </c>
      <c r="W2" s="192" t="e">
        <f t="shared" si="0"/>
        <v>#DIV/0!</v>
      </c>
      <c r="X2" s="192" t="e">
        <f t="shared" si="0"/>
        <v>#DIV/0!</v>
      </c>
      <c r="Y2" s="192" t="e">
        <f t="shared" si="0"/>
        <v>#DIV/0!</v>
      </c>
      <c r="Z2" s="192" t="e">
        <f t="shared" si="0"/>
        <v>#DIV/0!</v>
      </c>
    </row>
    <row r="3" spans="1:26" ht="15.75" thickBot="1" x14ac:dyDescent="0.3">
      <c r="B3" s="404" t="s">
        <v>90</v>
      </c>
      <c r="C3" s="405"/>
      <c r="D3" s="405"/>
      <c r="E3" s="405"/>
      <c r="F3" s="405"/>
      <c r="G3" s="405"/>
      <c r="H3" s="405"/>
      <c r="I3" s="406"/>
      <c r="J3" s="415" t="s">
        <v>479</v>
      </c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7"/>
      <c r="W3" s="408" t="s">
        <v>104</v>
      </c>
      <c r="X3" s="409"/>
      <c r="Y3" s="409"/>
      <c r="Z3" s="410"/>
    </row>
    <row r="4" spans="1:26" ht="30" x14ac:dyDescent="0.25">
      <c r="B4" s="402" t="s">
        <v>89</v>
      </c>
      <c r="C4" s="46" t="s">
        <v>474</v>
      </c>
      <c r="D4" s="47"/>
      <c r="E4" s="47"/>
      <c r="F4" s="48"/>
      <c r="G4" s="53" t="s">
        <v>91</v>
      </c>
      <c r="H4" s="54"/>
      <c r="I4" s="55"/>
      <c r="J4" s="413" t="s">
        <v>403</v>
      </c>
      <c r="K4" s="414"/>
      <c r="L4" s="57"/>
      <c r="M4" s="58"/>
      <c r="N4" s="411" t="s">
        <v>404</v>
      </c>
      <c r="O4" s="412"/>
      <c r="P4" s="59"/>
      <c r="Q4" s="59"/>
      <c r="R4" s="59"/>
      <c r="S4" s="59"/>
      <c r="T4" s="59"/>
      <c r="U4" s="418" t="s">
        <v>99</v>
      </c>
      <c r="V4" s="419"/>
      <c r="W4" s="68" t="s">
        <v>401</v>
      </c>
      <c r="X4" s="407" t="s">
        <v>402</v>
      </c>
      <c r="Y4" s="407"/>
      <c r="Z4" s="407"/>
    </row>
    <row r="5" spans="1:26" ht="60" x14ac:dyDescent="0.25">
      <c r="B5" s="403"/>
      <c r="C5" s="49" t="s">
        <v>93</v>
      </c>
      <c r="D5" s="5" t="s">
        <v>94</v>
      </c>
      <c r="E5" s="5" t="s">
        <v>87</v>
      </c>
      <c r="F5" s="50" t="s">
        <v>88</v>
      </c>
      <c r="G5" s="56" t="s">
        <v>93</v>
      </c>
      <c r="H5" s="5" t="s">
        <v>94</v>
      </c>
      <c r="I5" s="50" t="s">
        <v>87</v>
      </c>
      <c r="J5" s="34" t="s">
        <v>93</v>
      </c>
      <c r="K5" s="35" t="s">
        <v>95</v>
      </c>
      <c r="L5" s="35" t="s">
        <v>96</v>
      </c>
      <c r="M5" s="36" t="s">
        <v>409</v>
      </c>
      <c r="N5" s="39" t="s">
        <v>93</v>
      </c>
      <c r="O5" s="40" t="s">
        <v>95</v>
      </c>
      <c r="P5" s="40" t="s">
        <v>97</v>
      </c>
      <c r="Q5" s="40" t="s">
        <v>98</v>
      </c>
      <c r="R5" s="41" t="s">
        <v>410</v>
      </c>
      <c r="S5" s="42"/>
      <c r="T5" s="42"/>
      <c r="U5" s="60" t="s">
        <v>100</v>
      </c>
      <c r="V5" s="61" t="s">
        <v>101</v>
      </c>
      <c r="X5" s="19" t="s">
        <v>93</v>
      </c>
      <c r="Y5" t="s">
        <v>37</v>
      </c>
      <c r="Z5" t="s">
        <v>106</v>
      </c>
    </row>
    <row r="6" spans="1:26" ht="36" customHeight="1" x14ac:dyDescent="0.25">
      <c r="B6" s="44" t="s">
        <v>92</v>
      </c>
      <c r="C6" s="253" t="s">
        <v>92</v>
      </c>
      <c r="D6" s="5" t="s">
        <v>92</v>
      </c>
      <c r="E6" s="5" t="s">
        <v>92</v>
      </c>
      <c r="F6" s="50" t="s">
        <v>92</v>
      </c>
      <c r="G6" s="256" t="s">
        <v>27</v>
      </c>
      <c r="H6" s="5" t="s">
        <v>27</v>
      </c>
      <c r="I6" s="50" t="s">
        <v>27</v>
      </c>
      <c r="J6" s="258" t="s">
        <v>28</v>
      </c>
      <c r="K6" s="35" t="s">
        <v>28</v>
      </c>
      <c r="L6" s="35" t="s">
        <v>28</v>
      </c>
      <c r="M6" s="36" t="s">
        <v>28</v>
      </c>
      <c r="N6" s="260" t="s">
        <v>28</v>
      </c>
      <c r="O6" s="35" t="s">
        <v>28</v>
      </c>
      <c r="P6" s="35" t="s">
        <v>28</v>
      </c>
      <c r="Q6" s="35" t="s">
        <v>28</v>
      </c>
      <c r="R6" s="43" t="s">
        <v>28</v>
      </c>
      <c r="S6" s="40" t="s">
        <v>418</v>
      </c>
      <c r="T6" s="40" t="s">
        <v>408</v>
      </c>
      <c r="U6" s="62" t="s">
        <v>92</v>
      </c>
      <c r="V6" s="63" t="s">
        <v>92</v>
      </c>
      <c r="W6" s="4" t="s">
        <v>92</v>
      </c>
      <c r="X6" s="263" t="s">
        <v>27</v>
      </c>
      <c r="Y6" s="4" t="s">
        <v>27</v>
      </c>
      <c r="Z6" s="4" t="s">
        <v>27</v>
      </c>
    </row>
    <row r="7" spans="1:26" x14ac:dyDescent="0.25">
      <c r="A7" s="11">
        <v>38718</v>
      </c>
      <c r="B7" s="45">
        <v>4375</v>
      </c>
      <c r="C7" s="254">
        <f>SUM(D7:F7)</f>
        <v>177303</v>
      </c>
      <c r="D7" s="51">
        <v>87503</v>
      </c>
      <c r="E7" s="51">
        <v>76972</v>
      </c>
      <c r="F7" s="52">
        <v>12828</v>
      </c>
      <c r="G7" s="257">
        <f>H7+I7</f>
        <v>2157.0659999999998</v>
      </c>
      <c r="H7" s="51">
        <v>1325.721</v>
      </c>
      <c r="I7" s="52">
        <v>831.34500000000003</v>
      </c>
      <c r="J7" s="259">
        <f t="shared" ref="J7:J54" si="1">K7+L7+M7</f>
        <v>246.48</v>
      </c>
      <c r="K7" s="37">
        <v>227.852</v>
      </c>
      <c r="L7" s="37">
        <v>13.2</v>
      </c>
      <c r="M7" s="38">
        <v>5.4279999999999999</v>
      </c>
      <c r="N7" s="261">
        <f>O7+P7+Q7+R7</f>
        <v>568.47844099999998</v>
      </c>
      <c r="O7" s="32">
        <v>539.049126</v>
      </c>
      <c r="P7" s="32">
        <v>2.8959920000000001</v>
      </c>
      <c r="Q7" s="32">
        <v>19.235323000000001</v>
      </c>
      <c r="R7" s="262">
        <f>S7+T7</f>
        <v>7.298</v>
      </c>
      <c r="S7" s="32">
        <v>4.5880000000000001</v>
      </c>
      <c r="T7" s="32">
        <v>2.71</v>
      </c>
      <c r="U7" s="64"/>
      <c r="V7" s="69"/>
      <c r="W7" s="272">
        <v>263697</v>
      </c>
      <c r="X7" s="285">
        <f>Y7+Z7</f>
        <v>24461</v>
      </c>
      <c r="Y7" s="272">
        <v>16884</v>
      </c>
      <c r="Z7" s="272">
        <v>7577</v>
      </c>
    </row>
    <row r="8" spans="1:26" x14ac:dyDescent="0.25">
      <c r="A8" s="11">
        <v>38749</v>
      </c>
      <c r="B8" s="45">
        <v>3706</v>
      </c>
      <c r="C8" s="254">
        <f t="shared" ref="C8:C71" si="2">SUM(D8:F8)</f>
        <v>134887</v>
      </c>
      <c r="D8" s="51">
        <v>70639</v>
      </c>
      <c r="E8" s="51">
        <v>55423</v>
      </c>
      <c r="F8" s="52">
        <v>8825</v>
      </c>
      <c r="G8" s="257">
        <f t="shared" ref="G8:G71" si="3">H8+I8</f>
        <v>1982.973</v>
      </c>
      <c r="H8" s="51">
        <v>1289.2339999999999</v>
      </c>
      <c r="I8" s="52">
        <v>693.73900000000003</v>
      </c>
      <c r="J8" s="259">
        <f t="shared" si="1"/>
        <v>240.23599999999999</v>
      </c>
      <c r="K8" s="37">
        <v>233.40200000000002</v>
      </c>
      <c r="L8" s="37">
        <v>2.2000000000000002</v>
      </c>
      <c r="M8" s="38">
        <v>4.6340000000000003</v>
      </c>
      <c r="N8" s="261">
        <f t="shared" ref="N8:N54" si="4">O8+P8+Q8+R8</f>
        <v>546.370677</v>
      </c>
      <c r="O8" s="32">
        <v>375.66909500000003</v>
      </c>
      <c r="P8" s="32">
        <v>116.3107</v>
      </c>
      <c r="Q8" s="32">
        <v>48.903882000000003</v>
      </c>
      <c r="R8" s="262">
        <f>S8+T8</f>
        <v>5.4870000000000001</v>
      </c>
      <c r="S8" s="32">
        <v>3.984</v>
      </c>
      <c r="T8" s="32">
        <v>1.5029999999999999</v>
      </c>
      <c r="U8" s="64"/>
      <c r="V8" s="69"/>
      <c r="W8" s="272">
        <v>256565</v>
      </c>
      <c r="X8" s="285">
        <f t="shared" ref="X8:X71" si="5">Y8+Z8</f>
        <v>25313</v>
      </c>
      <c r="Y8" s="272">
        <v>17117</v>
      </c>
      <c r="Z8" s="272">
        <v>8196</v>
      </c>
    </row>
    <row r="9" spans="1:26" x14ac:dyDescent="0.25">
      <c r="A9" s="11">
        <v>38777</v>
      </c>
      <c r="B9" s="45">
        <v>3551</v>
      </c>
      <c r="C9" s="254">
        <f t="shared" si="2"/>
        <v>144900</v>
      </c>
      <c r="D9" s="51">
        <v>77091</v>
      </c>
      <c r="E9" s="51">
        <v>54632</v>
      </c>
      <c r="F9" s="52">
        <v>13177</v>
      </c>
      <c r="G9" s="257">
        <f t="shared" si="3"/>
        <v>2161.2870000000003</v>
      </c>
      <c r="H9" s="51">
        <v>1506.9960000000001</v>
      </c>
      <c r="I9" s="52">
        <v>654.29100000000005</v>
      </c>
      <c r="J9" s="259">
        <f t="shared" si="1"/>
        <v>194.88</v>
      </c>
      <c r="K9" s="37">
        <v>174.72299999999998</v>
      </c>
      <c r="L9" s="37">
        <v>12.8</v>
      </c>
      <c r="M9" s="38">
        <v>7.3570000000000002</v>
      </c>
      <c r="N9" s="261">
        <f t="shared" si="4"/>
        <v>696.67500000000018</v>
      </c>
      <c r="O9" s="32">
        <v>610.64882800000009</v>
      </c>
      <c r="P9" s="32">
        <v>0.64638899999999999</v>
      </c>
      <c r="Q9" s="32">
        <v>77.313783000000001</v>
      </c>
      <c r="R9" s="262">
        <v>8.0659999999999989</v>
      </c>
      <c r="S9" s="32">
        <v>5.0819999999999999</v>
      </c>
      <c r="T9" s="32">
        <v>2.984</v>
      </c>
      <c r="U9" s="64"/>
      <c r="V9" s="69"/>
      <c r="W9" s="272">
        <v>261655</v>
      </c>
      <c r="X9" s="285">
        <f t="shared" si="5"/>
        <v>26826</v>
      </c>
      <c r="Y9" s="272">
        <v>18949</v>
      </c>
      <c r="Z9" s="272">
        <v>7877</v>
      </c>
    </row>
    <row r="10" spans="1:26" x14ac:dyDescent="0.25">
      <c r="A10" s="11">
        <v>38808</v>
      </c>
      <c r="B10" s="45">
        <v>3565</v>
      </c>
      <c r="C10" s="254">
        <f t="shared" si="2"/>
        <v>143541</v>
      </c>
      <c r="D10" s="51">
        <v>75965</v>
      </c>
      <c r="E10" s="51">
        <v>55606</v>
      </c>
      <c r="F10" s="52">
        <v>11970</v>
      </c>
      <c r="G10" s="257">
        <f t="shared" si="3"/>
        <v>1856.0160000000001</v>
      </c>
      <c r="H10" s="51">
        <v>1281.46</v>
      </c>
      <c r="I10" s="52">
        <v>574.55600000000004</v>
      </c>
      <c r="J10" s="259">
        <f t="shared" si="1"/>
        <v>187.85599999999999</v>
      </c>
      <c r="K10" s="37">
        <v>168.23699999999999</v>
      </c>
      <c r="L10" s="37">
        <v>11.5</v>
      </c>
      <c r="M10" s="38">
        <v>8.1189999999999998</v>
      </c>
      <c r="N10" s="261">
        <f t="shared" si="4"/>
        <v>485.96300000000002</v>
      </c>
      <c r="O10" s="32">
        <v>320.51612399999999</v>
      </c>
      <c r="P10" s="32">
        <v>92.450547999999998</v>
      </c>
      <c r="Q10" s="32">
        <v>56.876328000000001</v>
      </c>
      <c r="R10" s="262">
        <f t="shared" ref="R10:R15" si="6">S10+T10</f>
        <v>16.12</v>
      </c>
      <c r="S10" s="32">
        <v>6.4569999999999999</v>
      </c>
      <c r="T10" s="32">
        <v>9.6630000000000003</v>
      </c>
      <c r="U10" s="64"/>
      <c r="V10" s="69"/>
      <c r="W10" s="272">
        <v>229200</v>
      </c>
      <c r="X10" s="285">
        <f t="shared" si="5"/>
        <v>27490</v>
      </c>
      <c r="Y10" s="272">
        <v>19201</v>
      </c>
      <c r="Z10" s="272">
        <v>8289</v>
      </c>
    </row>
    <row r="11" spans="1:26" x14ac:dyDescent="0.25">
      <c r="A11" s="11">
        <v>38838</v>
      </c>
      <c r="B11" s="45">
        <v>3487</v>
      </c>
      <c r="C11" s="254">
        <f t="shared" si="2"/>
        <v>143864</v>
      </c>
      <c r="D11" s="51">
        <v>64562</v>
      </c>
      <c r="E11" s="51">
        <v>61981</v>
      </c>
      <c r="F11" s="52">
        <v>17321</v>
      </c>
      <c r="G11" s="257">
        <f t="shared" si="3"/>
        <v>1734.5480000000002</v>
      </c>
      <c r="H11" s="51">
        <v>1041.8430000000001</v>
      </c>
      <c r="I11" s="52">
        <v>692.70500000000004</v>
      </c>
      <c r="J11" s="259">
        <f t="shared" si="1"/>
        <v>217.18100000000001</v>
      </c>
      <c r="K11" s="37">
        <v>185.86500000000001</v>
      </c>
      <c r="L11" s="37">
        <v>12.1</v>
      </c>
      <c r="M11" s="38">
        <v>19.216000000000001</v>
      </c>
      <c r="N11" s="261">
        <f t="shared" si="4"/>
        <v>675.50933400000008</v>
      </c>
      <c r="O11" s="32">
        <v>487.31969800000002</v>
      </c>
      <c r="P11" s="32">
        <v>116.822562</v>
      </c>
      <c r="Q11" s="32">
        <v>56.000073999999998</v>
      </c>
      <c r="R11" s="262">
        <f t="shared" si="6"/>
        <v>15.367000000000001</v>
      </c>
      <c r="S11" s="32">
        <v>5.4560000000000004</v>
      </c>
      <c r="T11" s="32">
        <v>9.9109999999999996</v>
      </c>
      <c r="U11" s="64"/>
      <c r="V11" s="69"/>
      <c r="W11" s="272">
        <v>258440</v>
      </c>
      <c r="X11" s="285">
        <f t="shared" si="5"/>
        <v>29600</v>
      </c>
      <c r="Y11" s="272">
        <v>24074</v>
      </c>
      <c r="Z11" s="272">
        <v>5526</v>
      </c>
    </row>
    <row r="12" spans="1:26" x14ac:dyDescent="0.25">
      <c r="A12" s="11">
        <v>38869</v>
      </c>
      <c r="B12" s="45">
        <v>3431</v>
      </c>
      <c r="C12" s="254">
        <f t="shared" si="2"/>
        <v>132051</v>
      </c>
      <c r="D12" s="51">
        <v>56335</v>
      </c>
      <c r="E12" s="51">
        <v>57602</v>
      </c>
      <c r="F12" s="52">
        <v>18114</v>
      </c>
      <c r="G12" s="257">
        <f t="shared" si="3"/>
        <v>1575.511</v>
      </c>
      <c r="H12" s="51">
        <v>979</v>
      </c>
      <c r="I12" s="52">
        <v>596.51099999999997</v>
      </c>
      <c r="J12" s="259">
        <f t="shared" si="1"/>
        <v>181.41499999999999</v>
      </c>
      <c r="K12" s="37">
        <v>154.00399999999999</v>
      </c>
      <c r="L12" s="37">
        <v>13.9</v>
      </c>
      <c r="M12" s="38">
        <v>13.510999999999999</v>
      </c>
      <c r="N12" s="261">
        <f t="shared" si="4"/>
        <v>746.82500000000005</v>
      </c>
      <c r="O12" s="32">
        <v>674.35743400000001</v>
      </c>
      <c r="P12" s="32">
        <v>2.4854419999999999</v>
      </c>
      <c r="Q12" s="32">
        <v>59.974124000000003</v>
      </c>
      <c r="R12" s="262">
        <f t="shared" si="6"/>
        <v>10.007999999999999</v>
      </c>
      <c r="S12" s="32">
        <v>4.7629999999999999</v>
      </c>
      <c r="T12" s="32">
        <v>5.2450000000000001</v>
      </c>
      <c r="U12" s="64"/>
      <c r="V12" s="69"/>
      <c r="W12" s="272">
        <v>250125</v>
      </c>
      <c r="X12" s="285">
        <f t="shared" si="5"/>
        <v>21120</v>
      </c>
      <c r="Y12" s="272">
        <v>16041</v>
      </c>
      <c r="Z12" s="272">
        <v>5079</v>
      </c>
    </row>
    <row r="13" spans="1:26" x14ac:dyDescent="0.25">
      <c r="A13" s="11">
        <v>38899</v>
      </c>
      <c r="B13" s="45">
        <v>3436</v>
      </c>
      <c r="C13" s="254">
        <f t="shared" si="2"/>
        <v>138735</v>
      </c>
      <c r="D13" s="51">
        <v>62456</v>
      </c>
      <c r="E13" s="51">
        <v>59731</v>
      </c>
      <c r="F13" s="52">
        <v>16548</v>
      </c>
      <c r="G13" s="257">
        <f t="shared" si="3"/>
        <v>1767.962</v>
      </c>
      <c r="H13" s="51">
        <v>1125.0309999999999</v>
      </c>
      <c r="I13" s="52">
        <v>642.93100000000004</v>
      </c>
      <c r="J13" s="259">
        <f t="shared" si="1"/>
        <v>184.262</v>
      </c>
      <c r="K13" s="37">
        <v>164.68100000000001</v>
      </c>
      <c r="L13" s="37">
        <v>12.5</v>
      </c>
      <c r="M13" s="38">
        <v>7.0810000000000004</v>
      </c>
      <c r="N13" s="261">
        <f t="shared" si="4"/>
        <v>602.96699999999998</v>
      </c>
      <c r="O13" s="32">
        <v>510.94222200000002</v>
      </c>
      <c r="P13" s="32">
        <v>0.40972999999999998</v>
      </c>
      <c r="Q13" s="32">
        <v>83.190048000000004</v>
      </c>
      <c r="R13" s="262">
        <f t="shared" si="6"/>
        <v>8.4250000000000007</v>
      </c>
      <c r="S13" s="32">
        <v>5.1829999999999998</v>
      </c>
      <c r="T13" s="32">
        <v>3.242</v>
      </c>
      <c r="U13" s="64"/>
      <c r="V13" s="69"/>
      <c r="W13" s="272">
        <v>212851</v>
      </c>
      <c r="X13" s="285">
        <f t="shared" si="5"/>
        <v>24911</v>
      </c>
      <c r="Y13" s="272">
        <v>18267</v>
      </c>
      <c r="Z13" s="272">
        <v>6644</v>
      </c>
    </row>
    <row r="14" spans="1:26" x14ac:dyDescent="0.25">
      <c r="A14" s="11">
        <v>38930</v>
      </c>
      <c r="B14" s="45">
        <v>4082</v>
      </c>
      <c r="C14" s="254">
        <f t="shared" si="2"/>
        <v>160147</v>
      </c>
      <c r="D14" s="51">
        <v>77846</v>
      </c>
      <c r="E14" s="51">
        <v>54578</v>
      </c>
      <c r="F14" s="52">
        <v>27723</v>
      </c>
      <c r="G14" s="257">
        <f t="shared" si="3"/>
        <v>1513.46</v>
      </c>
      <c r="H14" s="51">
        <v>906.10500000000002</v>
      </c>
      <c r="I14" s="52">
        <v>607.35500000000002</v>
      </c>
      <c r="J14" s="259">
        <f t="shared" si="1"/>
        <v>170.19399999999999</v>
      </c>
      <c r="K14" s="37">
        <v>156.53899999999999</v>
      </c>
      <c r="L14" s="37">
        <v>7.9</v>
      </c>
      <c r="M14" s="38">
        <v>5.7549999999999999</v>
      </c>
      <c r="N14" s="261">
        <f t="shared" si="4"/>
        <v>545.697</v>
      </c>
      <c r="O14" s="32">
        <v>369.45606599999996</v>
      </c>
      <c r="P14" s="32">
        <v>3.2122999999999999E-2</v>
      </c>
      <c r="Q14" s="32">
        <v>166.01681099999999</v>
      </c>
      <c r="R14" s="262">
        <f t="shared" si="6"/>
        <v>10.192</v>
      </c>
      <c r="S14" s="32">
        <v>5.89</v>
      </c>
      <c r="T14" s="32">
        <v>4.3019999999999996</v>
      </c>
      <c r="U14" s="64"/>
      <c r="V14" s="69"/>
      <c r="W14" s="272">
        <v>264443</v>
      </c>
      <c r="X14" s="285">
        <f t="shared" si="5"/>
        <v>26025</v>
      </c>
      <c r="Y14" s="272">
        <v>19867</v>
      </c>
      <c r="Z14" s="272">
        <v>6158</v>
      </c>
    </row>
    <row r="15" spans="1:26" x14ac:dyDescent="0.25">
      <c r="A15" s="11">
        <v>38961</v>
      </c>
      <c r="B15" s="45">
        <v>3732</v>
      </c>
      <c r="C15" s="254">
        <f t="shared" si="2"/>
        <v>143445</v>
      </c>
      <c r="D15" s="51">
        <v>67992</v>
      </c>
      <c r="E15" s="51">
        <v>52979</v>
      </c>
      <c r="F15" s="52">
        <v>22474</v>
      </c>
      <c r="G15" s="257">
        <f t="shared" si="3"/>
        <v>1320.7239999999999</v>
      </c>
      <c r="H15" s="51">
        <v>685.55499999999995</v>
      </c>
      <c r="I15" s="52">
        <v>635.16899999999998</v>
      </c>
      <c r="J15" s="259">
        <f t="shared" si="1"/>
        <v>139.68700000000001</v>
      </c>
      <c r="K15" s="37">
        <v>119</v>
      </c>
      <c r="L15" s="37">
        <v>15.5</v>
      </c>
      <c r="M15" s="38">
        <v>5.1870000000000003</v>
      </c>
      <c r="N15" s="261">
        <f t="shared" si="4"/>
        <v>683.95788699999991</v>
      </c>
      <c r="O15" s="32">
        <v>574.5</v>
      </c>
      <c r="P15" s="32">
        <v>3.4770000000000001E-3</v>
      </c>
      <c r="Q15" s="32">
        <v>102.89541</v>
      </c>
      <c r="R15" s="262">
        <f t="shared" si="6"/>
        <v>6.5590000000000002</v>
      </c>
      <c r="S15" s="32">
        <v>5.1520000000000001</v>
      </c>
      <c r="T15" s="32">
        <v>1.407</v>
      </c>
      <c r="U15" s="64"/>
      <c r="V15" s="69"/>
      <c r="W15" s="272">
        <v>212512</v>
      </c>
      <c r="X15" s="285">
        <f t="shared" si="5"/>
        <v>22683</v>
      </c>
      <c r="Y15" s="272">
        <v>19978</v>
      </c>
      <c r="Z15" s="272">
        <v>2705</v>
      </c>
    </row>
    <row r="16" spans="1:26" x14ac:dyDescent="0.25">
      <c r="A16" s="11">
        <v>38991</v>
      </c>
      <c r="B16" s="45">
        <v>4008</v>
      </c>
      <c r="C16" s="254">
        <f t="shared" si="2"/>
        <v>136481</v>
      </c>
      <c r="D16" s="51">
        <v>52479</v>
      </c>
      <c r="E16" s="51">
        <v>60165</v>
      </c>
      <c r="F16" s="52">
        <v>23837</v>
      </c>
      <c r="G16" s="257">
        <f t="shared" si="3"/>
        <v>1754.694</v>
      </c>
      <c r="H16" s="51">
        <v>911.51900000000001</v>
      </c>
      <c r="I16" s="52">
        <v>843.17499999999995</v>
      </c>
      <c r="J16" s="259">
        <f t="shared" si="1"/>
        <v>185.47099999999998</v>
      </c>
      <c r="K16" s="37">
        <f>180.902-L16</f>
        <v>172.90199999999999</v>
      </c>
      <c r="L16" s="37">
        <v>8</v>
      </c>
      <c r="M16" s="38">
        <v>4.569</v>
      </c>
      <c r="N16" s="261">
        <f t="shared" si="4"/>
        <v>653.56500000000005</v>
      </c>
      <c r="O16" s="32">
        <f>649.291-(P16+Q16)</f>
        <v>546.85822800000005</v>
      </c>
      <c r="P16" s="32">
        <v>4.3900000000000002E-2</v>
      </c>
      <c r="Q16" s="32">
        <v>102.38887200000001</v>
      </c>
      <c r="R16" s="262">
        <f t="shared" ref="R16:R49" si="7">T16+S16</f>
        <v>4.274</v>
      </c>
      <c r="S16" s="32">
        <v>2.839</v>
      </c>
      <c r="T16" s="32">
        <v>1.4350000000000001</v>
      </c>
      <c r="U16" s="64"/>
      <c r="V16" s="69"/>
      <c r="W16" s="272">
        <v>209810</v>
      </c>
      <c r="X16" s="285">
        <f t="shared" si="5"/>
        <v>26212</v>
      </c>
      <c r="Y16" s="272">
        <v>23365</v>
      </c>
      <c r="Z16" s="272">
        <v>2847</v>
      </c>
    </row>
    <row r="17" spans="1:114" x14ac:dyDescent="0.25">
      <c r="A17" s="11">
        <v>39022</v>
      </c>
      <c r="B17" s="45">
        <v>3955</v>
      </c>
      <c r="C17" s="254">
        <f t="shared" si="2"/>
        <v>140032</v>
      </c>
      <c r="D17" s="51">
        <v>64372</v>
      </c>
      <c r="E17" s="51">
        <v>59572</v>
      </c>
      <c r="F17" s="52">
        <v>16088</v>
      </c>
      <c r="G17" s="257">
        <f t="shared" si="3"/>
        <v>1849.7019999999998</v>
      </c>
      <c r="H17" s="51">
        <v>1069.3789999999999</v>
      </c>
      <c r="I17" s="52">
        <v>780.32299999999998</v>
      </c>
      <c r="J17" s="259">
        <f t="shared" si="1"/>
        <v>146.154</v>
      </c>
      <c r="K17" s="37">
        <f>141.954-L17</f>
        <v>132.654</v>
      </c>
      <c r="L17" s="37">
        <v>9.3000000000000007</v>
      </c>
      <c r="M17" s="38">
        <v>4.2</v>
      </c>
      <c r="N17" s="261">
        <f t="shared" si="4"/>
        <v>552.846</v>
      </c>
      <c r="O17" s="32">
        <f>545.494-(P17+Q17)</f>
        <v>448.81592500000005</v>
      </c>
      <c r="P17" s="32">
        <v>1.4660000000000001E-3</v>
      </c>
      <c r="Q17" s="32">
        <v>96.676608999999999</v>
      </c>
      <c r="R17" s="262">
        <f t="shared" si="7"/>
        <v>7.3520000000000003</v>
      </c>
      <c r="S17" s="32">
        <v>5.1070000000000002</v>
      </c>
      <c r="T17" s="32">
        <v>2.2450000000000001</v>
      </c>
      <c r="U17" s="64"/>
      <c r="V17" s="69"/>
      <c r="W17" s="272">
        <v>264354</v>
      </c>
      <c r="X17" s="285">
        <f t="shared" si="5"/>
        <v>25548</v>
      </c>
      <c r="Y17" s="272">
        <v>24292</v>
      </c>
      <c r="Z17" s="272">
        <v>1256</v>
      </c>
    </row>
    <row r="18" spans="1:114" x14ac:dyDescent="0.25">
      <c r="A18" s="11">
        <v>39052</v>
      </c>
      <c r="B18" s="45">
        <v>4533</v>
      </c>
      <c r="C18" s="254">
        <f t="shared" si="2"/>
        <v>167255</v>
      </c>
      <c r="D18" s="51">
        <v>71772</v>
      </c>
      <c r="E18" s="51">
        <v>77572</v>
      </c>
      <c r="F18" s="52">
        <v>17911</v>
      </c>
      <c r="G18" s="257">
        <f t="shared" si="3"/>
        <v>2366.8070000000002</v>
      </c>
      <c r="H18" s="51">
        <v>1451.3420000000001</v>
      </c>
      <c r="I18" s="52">
        <v>915.46500000000003</v>
      </c>
      <c r="J18" s="259">
        <f t="shared" si="1"/>
        <v>185.11199999999999</v>
      </c>
      <c r="K18" s="37">
        <f>180.612-L18</f>
        <v>163.21199999999999</v>
      </c>
      <c r="L18" s="37">
        <v>17.399999999999999</v>
      </c>
      <c r="M18" s="38">
        <v>4.5</v>
      </c>
      <c r="N18" s="261">
        <f t="shared" si="4"/>
        <v>843.48900000000003</v>
      </c>
      <c r="O18" s="32">
        <f>836.525-(P18+Q18)</f>
        <v>687.616129</v>
      </c>
      <c r="P18" s="32">
        <v>0</v>
      </c>
      <c r="Q18" s="32">
        <v>148.908871</v>
      </c>
      <c r="R18" s="262">
        <f t="shared" si="7"/>
        <v>6.9639999999999995</v>
      </c>
      <c r="S18" s="32">
        <v>5.1369999999999996</v>
      </c>
      <c r="T18" s="32">
        <v>1.827</v>
      </c>
      <c r="U18" s="64"/>
      <c r="V18" s="69"/>
      <c r="W18" s="272">
        <v>354265</v>
      </c>
      <c r="X18" s="285">
        <f t="shared" si="5"/>
        <v>29655</v>
      </c>
      <c r="Y18" s="272">
        <v>26088</v>
      </c>
      <c r="Z18" s="272">
        <v>3567</v>
      </c>
    </row>
    <row r="19" spans="1:114" x14ac:dyDescent="0.25">
      <c r="A19" s="11">
        <v>39083</v>
      </c>
      <c r="B19" s="45">
        <v>4390</v>
      </c>
      <c r="C19" s="254">
        <f t="shared" si="2"/>
        <v>190910</v>
      </c>
      <c r="D19" s="51">
        <v>74934</v>
      </c>
      <c r="E19" s="51">
        <v>97798</v>
      </c>
      <c r="F19" s="52">
        <v>18178</v>
      </c>
      <c r="G19" s="257">
        <f t="shared" si="3"/>
        <v>2119.0810000000001</v>
      </c>
      <c r="H19" s="51">
        <v>673.45799999999997</v>
      </c>
      <c r="I19" s="52">
        <v>1445.623</v>
      </c>
      <c r="J19" s="259">
        <f t="shared" si="1"/>
        <v>181.28700000000001</v>
      </c>
      <c r="K19" s="37">
        <f>174.377-L19</f>
        <v>165.77700000000002</v>
      </c>
      <c r="L19" s="37">
        <v>8.6</v>
      </c>
      <c r="M19" s="38">
        <v>6.91</v>
      </c>
      <c r="N19" s="261">
        <f t="shared" si="4"/>
        <v>643.71</v>
      </c>
      <c r="O19" s="32">
        <f>635.894-(P19+Q19)</f>
        <v>582.54076699999996</v>
      </c>
      <c r="P19" s="32">
        <v>0.28277799999999997</v>
      </c>
      <c r="Q19" s="32">
        <v>53.070455000000003</v>
      </c>
      <c r="R19" s="262">
        <f t="shared" si="7"/>
        <v>7.8159999999999998</v>
      </c>
      <c r="S19" s="32">
        <v>5.3479999999999999</v>
      </c>
      <c r="T19" s="32">
        <v>2.468</v>
      </c>
      <c r="U19" s="64"/>
      <c r="V19" s="69"/>
      <c r="W19" s="272">
        <v>354265</v>
      </c>
      <c r="X19" s="285">
        <f t="shared" si="5"/>
        <v>38066</v>
      </c>
      <c r="Y19" s="272">
        <v>28907</v>
      </c>
      <c r="Z19" s="272">
        <v>9159</v>
      </c>
      <c r="DJ19" s="1" t="s">
        <v>405</v>
      </c>
    </row>
    <row r="20" spans="1:114" x14ac:dyDescent="0.25">
      <c r="A20" s="11">
        <v>39114</v>
      </c>
      <c r="B20" s="45">
        <v>3874</v>
      </c>
      <c r="C20" s="254">
        <f t="shared" si="2"/>
        <v>135832</v>
      </c>
      <c r="D20" s="51">
        <v>55286</v>
      </c>
      <c r="E20" s="51">
        <v>70696</v>
      </c>
      <c r="F20" s="52">
        <v>9850</v>
      </c>
      <c r="G20" s="257">
        <f t="shared" si="3"/>
        <v>2201.6349999999998</v>
      </c>
      <c r="H20" s="51">
        <v>759.03599999999994</v>
      </c>
      <c r="I20" s="52">
        <v>1442.5989999999999</v>
      </c>
      <c r="J20" s="259">
        <f t="shared" si="1"/>
        <v>130.73599999999999</v>
      </c>
      <c r="K20" s="37">
        <v>110.101</v>
      </c>
      <c r="L20" s="37">
        <v>15.41</v>
      </c>
      <c r="M20" s="38">
        <v>5.2249999999999996</v>
      </c>
      <c r="N20" s="261">
        <f t="shared" si="4"/>
        <v>612.14299199999994</v>
      </c>
      <c r="O20" s="32">
        <v>494.66199999999998</v>
      </c>
      <c r="P20" s="32">
        <v>0.15588199999999999</v>
      </c>
      <c r="Q20" s="32">
        <v>110.07311</v>
      </c>
      <c r="R20" s="262">
        <f t="shared" si="7"/>
        <v>7.2519999999999998</v>
      </c>
      <c r="S20" s="32">
        <v>4.3879999999999999</v>
      </c>
      <c r="T20" s="32">
        <v>2.8639999999999999</v>
      </c>
      <c r="U20" s="64"/>
      <c r="V20" s="69"/>
      <c r="W20" s="272">
        <v>333084</v>
      </c>
      <c r="X20" s="285">
        <f t="shared" si="5"/>
        <v>33651</v>
      </c>
      <c r="Y20" s="272">
        <v>25160</v>
      </c>
      <c r="Z20" s="272">
        <v>8491</v>
      </c>
    </row>
    <row r="21" spans="1:114" x14ac:dyDescent="0.25">
      <c r="A21" s="11">
        <v>39142</v>
      </c>
      <c r="B21" s="45">
        <v>4430</v>
      </c>
      <c r="C21" s="254">
        <f t="shared" si="2"/>
        <v>158448</v>
      </c>
      <c r="D21" s="51">
        <v>58816</v>
      </c>
      <c r="E21" s="51">
        <v>84249</v>
      </c>
      <c r="F21" s="52">
        <v>15383</v>
      </c>
      <c r="G21" s="257">
        <f t="shared" si="3"/>
        <v>2293.4409999999998</v>
      </c>
      <c r="H21" s="51">
        <v>709.01800000000003</v>
      </c>
      <c r="I21" s="52">
        <v>1584.423</v>
      </c>
      <c r="J21" s="259">
        <f t="shared" si="1"/>
        <v>178.2</v>
      </c>
      <c r="K21" s="37">
        <v>164.1</v>
      </c>
      <c r="L21" s="37">
        <v>5.5</v>
      </c>
      <c r="M21" s="38">
        <v>8.6</v>
      </c>
      <c r="N21" s="261">
        <f t="shared" si="4"/>
        <v>917.87647200000004</v>
      </c>
      <c r="O21" s="32">
        <v>762.2</v>
      </c>
      <c r="P21" s="32">
        <v>0.39709899999999998</v>
      </c>
      <c r="Q21" s="32">
        <v>146.179373</v>
      </c>
      <c r="R21" s="262">
        <f t="shared" si="7"/>
        <v>9.1</v>
      </c>
      <c r="S21" s="32">
        <v>5.5</v>
      </c>
      <c r="T21" s="32">
        <v>3.6</v>
      </c>
      <c r="U21" s="64"/>
      <c r="V21" s="69"/>
      <c r="W21" s="272">
        <v>275820</v>
      </c>
      <c r="X21" s="285">
        <f t="shared" si="5"/>
        <v>30806</v>
      </c>
      <c r="Y21" s="272">
        <v>23859</v>
      </c>
      <c r="Z21" s="272">
        <v>6947</v>
      </c>
    </row>
    <row r="22" spans="1:114" x14ac:dyDescent="0.25">
      <c r="A22" s="11">
        <v>39173</v>
      </c>
      <c r="B22" s="45">
        <v>4492</v>
      </c>
      <c r="C22" s="254">
        <f t="shared" si="2"/>
        <v>159187</v>
      </c>
      <c r="D22" s="51">
        <v>58968</v>
      </c>
      <c r="E22" s="51">
        <v>83233</v>
      </c>
      <c r="F22" s="52">
        <v>16986</v>
      </c>
      <c r="G22" s="257">
        <f t="shared" si="3"/>
        <v>2392.4490000000001</v>
      </c>
      <c r="H22" s="51">
        <v>710.03200000000004</v>
      </c>
      <c r="I22" s="52">
        <v>1682.4169999999999</v>
      </c>
      <c r="J22" s="259">
        <f t="shared" si="1"/>
        <v>184.477</v>
      </c>
      <c r="K22" s="37">
        <v>157.4</v>
      </c>
      <c r="L22" s="37">
        <v>19.8</v>
      </c>
      <c r="M22" s="38">
        <v>7.2770000000000001</v>
      </c>
      <c r="N22" s="261">
        <f t="shared" si="4"/>
        <v>683.11418299999991</v>
      </c>
      <c r="O22" s="32">
        <v>564.4</v>
      </c>
      <c r="P22" s="32">
        <v>16.766763999999998</v>
      </c>
      <c r="Q22" s="32">
        <v>87.308419000000001</v>
      </c>
      <c r="R22" s="262">
        <f t="shared" si="7"/>
        <v>14.639000000000001</v>
      </c>
      <c r="S22" s="32">
        <v>6.6020000000000003</v>
      </c>
      <c r="T22" s="32">
        <v>8.0370000000000008</v>
      </c>
      <c r="U22" s="64"/>
      <c r="V22" s="69"/>
      <c r="W22" s="272">
        <v>243864.98795784829</v>
      </c>
      <c r="X22" s="285">
        <f t="shared" si="5"/>
        <v>31232</v>
      </c>
      <c r="Y22" s="272">
        <v>25594</v>
      </c>
      <c r="Z22" s="272">
        <v>5638</v>
      </c>
    </row>
    <row r="23" spans="1:114" x14ac:dyDescent="0.25">
      <c r="A23" s="11">
        <v>39203</v>
      </c>
      <c r="B23" s="45">
        <v>4375</v>
      </c>
      <c r="C23" s="254">
        <f t="shared" si="2"/>
        <v>143754</v>
      </c>
      <c r="D23" s="51">
        <v>62433</v>
      </c>
      <c r="E23" s="51">
        <v>65186</v>
      </c>
      <c r="F23" s="52">
        <v>16135</v>
      </c>
      <c r="G23" s="257">
        <f t="shared" si="3"/>
        <v>2054.5540000000001</v>
      </c>
      <c r="H23" s="51">
        <v>703.57600000000002</v>
      </c>
      <c r="I23" s="52">
        <v>1350.9780000000001</v>
      </c>
      <c r="J23" s="259">
        <f t="shared" si="1"/>
        <v>247.3</v>
      </c>
      <c r="K23" s="37">
        <v>215.4</v>
      </c>
      <c r="L23" s="37">
        <v>16.3</v>
      </c>
      <c r="M23" s="38">
        <v>15.6</v>
      </c>
      <c r="N23" s="261">
        <f t="shared" si="4"/>
        <v>826.84364599999992</v>
      </c>
      <c r="O23" s="32">
        <v>619.9</v>
      </c>
      <c r="P23" s="32">
        <v>130.28229300000001</v>
      </c>
      <c r="Q23" s="32">
        <v>62.661352999999998</v>
      </c>
      <c r="R23" s="262">
        <f t="shared" si="7"/>
        <v>14</v>
      </c>
      <c r="S23" s="32">
        <v>5.7</v>
      </c>
      <c r="T23" s="32">
        <v>8.3000000000000007</v>
      </c>
      <c r="U23" s="64"/>
      <c r="V23" s="69"/>
      <c r="W23" s="272">
        <v>305447</v>
      </c>
      <c r="X23" s="285">
        <f t="shared" si="5"/>
        <v>25877</v>
      </c>
      <c r="Y23" s="272">
        <v>20941</v>
      </c>
      <c r="Z23" s="272">
        <v>4936</v>
      </c>
    </row>
    <row r="24" spans="1:114" x14ac:dyDescent="0.25">
      <c r="A24" s="11">
        <v>39234</v>
      </c>
      <c r="B24" s="45">
        <v>3699</v>
      </c>
      <c r="C24" s="254">
        <f t="shared" si="2"/>
        <v>132300</v>
      </c>
      <c r="D24" s="51">
        <v>55643</v>
      </c>
      <c r="E24" s="51">
        <v>62421</v>
      </c>
      <c r="F24" s="52">
        <v>14236</v>
      </c>
      <c r="G24" s="257">
        <f t="shared" si="3"/>
        <v>2109.6170000000002</v>
      </c>
      <c r="H24" s="51">
        <v>745.24599999999998</v>
      </c>
      <c r="I24" s="52">
        <v>1364.3710000000001</v>
      </c>
      <c r="J24" s="259">
        <f t="shared" si="1"/>
        <v>177.90800000000002</v>
      </c>
      <c r="K24" s="37">
        <v>157.9</v>
      </c>
      <c r="L24" s="37">
        <v>13</v>
      </c>
      <c r="M24" s="38">
        <v>7.008</v>
      </c>
      <c r="N24" s="261">
        <f t="shared" si="4"/>
        <v>556.61495200000002</v>
      </c>
      <c r="O24" s="32">
        <v>443.5</v>
      </c>
      <c r="P24" s="32">
        <v>5.2254000000000002E-2</v>
      </c>
      <c r="Q24" s="32">
        <v>101.613698</v>
      </c>
      <c r="R24" s="262">
        <f t="shared" si="7"/>
        <v>11.449</v>
      </c>
      <c r="S24" s="32">
        <v>7.5670000000000002</v>
      </c>
      <c r="T24" s="32">
        <v>3.8820000000000001</v>
      </c>
      <c r="U24" s="64"/>
      <c r="V24" s="69"/>
      <c r="W24" s="272">
        <v>298833</v>
      </c>
      <c r="X24" s="285">
        <f t="shared" si="5"/>
        <v>24967</v>
      </c>
      <c r="Y24" s="272">
        <v>18415</v>
      </c>
      <c r="Z24" s="272">
        <v>6552</v>
      </c>
    </row>
    <row r="25" spans="1:114" x14ac:dyDescent="0.25">
      <c r="A25" s="11">
        <v>39264</v>
      </c>
      <c r="B25" s="45">
        <v>3406</v>
      </c>
      <c r="C25" s="254">
        <f t="shared" si="2"/>
        <v>157952</v>
      </c>
      <c r="D25" s="51">
        <v>71192</v>
      </c>
      <c r="E25" s="51">
        <v>68973</v>
      </c>
      <c r="F25" s="52">
        <v>17787</v>
      </c>
      <c r="G25" s="257">
        <f t="shared" si="3"/>
        <v>2214.6459999999997</v>
      </c>
      <c r="H25" s="51">
        <v>914.59400000000005</v>
      </c>
      <c r="I25" s="52">
        <v>1300.0519999999999</v>
      </c>
      <c r="J25" s="259">
        <f t="shared" si="1"/>
        <v>183.28399999999999</v>
      </c>
      <c r="K25" s="37">
        <v>158.6</v>
      </c>
      <c r="L25" s="37">
        <v>14.22</v>
      </c>
      <c r="M25" s="38">
        <v>10.464</v>
      </c>
      <c r="N25" s="261">
        <f t="shared" si="4"/>
        <v>876.16680800000006</v>
      </c>
      <c r="O25" s="32">
        <v>643.20000000000005</v>
      </c>
      <c r="P25" s="32">
        <v>130.47683599999999</v>
      </c>
      <c r="Q25" s="32">
        <v>90.749972</v>
      </c>
      <c r="R25" s="262">
        <f t="shared" si="7"/>
        <v>11.74</v>
      </c>
      <c r="S25" s="32">
        <v>7.04</v>
      </c>
      <c r="T25" s="32">
        <v>4.7</v>
      </c>
      <c r="U25" s="64"/>
      <c r="V25" s="69"/>
      <c r="W25" s="272">
        <v>302700</v>
      </c>
      <c r="X25" s="285">
        <f t="shared" si="5"/>
        <v>27677</v>
      </c>
      <c r="Y25" s="272">
        <v>22467</v>
      </c>
      <c r="Z25" s="272">
        <v>5210</v>
      </c>
    </row>
    <row r="26" spans="1:114" x14ac:dyDescent="0.25">
      <c r="A26" s="11">
        <v>39295</v>
      </c>
      <c r="B26" s="45">
        <v>3348</v>
      </c>
      <c r="C26" s="254">
        <f t="shared" si="2"/>
        <v>178031</v>
      </c>
      <c r="D26" s="51">
        <v>69690</v>
      </c>
      <c r="E26" s="51">
        <v>81186</v>
      </c>
      <c r="F26" s="52">
        <v>27155</v>
      </c>
      <c r="G26" s="257">
        <f t="shared" si="3"/>
        <v>1952.279</v>
      </c>
      <c r="H26" s="51">
        <v>821.9</v>
      </c>
      <c r="I26" s="52">
        <v>1130.3789999999999</v>
      </c>
      <c r="J26" s="259">
        <f t="shared" si="1"/>
        <v>184.83699999999999</v>
      </c>
      <c r="K26" s="37">
        <v>160.1</v>
      </c>
      <c r="L26" s="37">
        <v>17.600000000000001</v>
      </c>
      <c r="M26" s="38">
        <v>7.1369999999999996</v>
      </c>
      <c r="N26" s="261">
        <f t="shared" si="4"/>
        <v>669.00606999999991</v>
      </c>
      <c r="O26" s="32">
        <v>465.7</v>
      </c>
      <c r="P26" s="32">
        <v>130.23481799999999</v>
      </c>
      <c r="Q26" s="32">
        <v>62.382252000000001</v>
      </c>
      <c r="R26" s="262">
        <f t="shared" si="7"/>
        <v>10.689</v>
      </c>
      <c r="S26" s="32">
        <v>6.9</v>
      </c>
      <c r="T26" s="32">
        <v>3.7890000000000001</v>
      </c>
      <c r="U26" s="64"/>
      <c r="V26" s="69"/>
      <c r="W26" s="272">
        <v>301012</v>
      </c>
      <c r="X26" s="285">
        <f t="shared" si="5"/>
        <v>27885</v>
      </c>
      <c r="Y26" s="272">
        <v>24159</v>
      </c>
      <c r="Z26" s="272">
        <v>3726</v>
      </c>
    </row>
    <row r="27" spans="1:114" x14ac:dyDescent="0.25">
      <c r="A27" s="11">
        <v>39326</v>
      </c>
      <c r="B27" s="45">
        <v>3091</v>
      </c>
      <c r="C27" s="254">
        <f t="shared" si="2"/>
        <v>145703</v>
      </c>
      <c r="D27" s="51">
        <v>59329</v>
      </c>
      <c r="E27" s="51">
        <v>70544</v>
      </c>
      <c r="F27" s="52">
        <v>15830</v>
      </c>
      <c r="G27" s="257">
        <f t="shared" si="3"/>
        <v>1752.211</v>
      </c>
      <c r="H27" s="51">
        <v>789.96500000000003</v>
      </c>
      <c r="I27" s="52">
        <v>962.24599999999998</v>
      </c>
      <c r="J27" s="259">
        <f t="shared" si="1"/>
        <v>224.083</v>
      </c>
      <c r="K27" s="37">
        <v>204.8</v>
      </c>
      <c r="L27" s="37">
        <v>14.2</v>
      </c>
      <c r="M27" s="38">
        <v>5.0830000000000002</v>
      </c>
      <c r="N27" s="261">
        <f t="shared" si="4"/>
        <v>818.56154100000003</v>
      </c>
      <c r="O27" s="32">
        <v>747.7</v>
      </c>
      <c r="P27" s="32">
        <v>7.6909999999999999E-3</v>
      </c>
      <c r="Q27" s="32">
        <v>62.243850000000002</v>
      </c>
      <c r="R27" s="262">
        <f t="shared" si="7"/>
        <v>8.61</v>
      </c>
      <c r="S27" s="32">
        <v>4.7779999999999996</v>
      </c>
      <c r="T27" s="32">
        <v>3.8319999999999999</v>
      </c>
      <c r="U27" s="64"/>
      <c r="V27" s="69"/>
      <c r="W27" s="272">
        <v>295001</v>
      </c>
      <c r="X27" s="285">
        <f t="shared" si="5"/>
        <v>26812</v>
      </c>
      <c r="Y27" s="272">
        <v>24664</v>
      </c>
      <c r="Z27" s="272">
        <v>2148</v>
      </c>
    </row>
    <row r="28" spans="1:114" x14ac:dyDescent="0.25">
      <c r="A28" s="11">
        <v>39356</v>
      </c>
      <c r="B28" s="45">
        <v>3811</v>
      </c>
      <c r="C28" s="254">
        <f t="shared" si="2"/>
        <v>138227</v>
      </c>
      <c r="D28" s="51">
        <v>68412</v>
      </c>
      <c r="E28" s="51">
        <v>54458</v>
      </c>
      <c r="F28" s="52">
        <v>15357</v>
      </c>
      <c r="G28" s="257">
        <f t="shared" si="3"/>
        <v>1619.6979999999999</v>
      </c>
      <c r="H28" s="51">
        <v>793.976</v>
      </c>
      <c r="I28" s="52">
        <v>825.72199999999998</v>
      </c>
      <c r="J28" s="259">
        <f t="shared" si="1"/>
        <v>211.04300000000001</v>
      </c>
      <c r="K28" s="37">
        <v>190.43600000000001</v>
      </c>
      <c r="L28" s="37">
        <v>14.6</v>
      </c>
      <c r="M28" s="38">
        <v>6.0069999999999997</v>
      </c>
      <c r="N28" s="261">
        <f t="shared" si="4"/>
        <v>826.34400000000005</v>
      </c>
      <c r="O28" s="32">
        <v>635.09509800000001</v>
      </c>
      <c r="P28" s="32">
        <v>131.26251999999999</v>
      </c>
      <c r="Q28" s="32">
        <v>53.467382000000001</v>
      </c>
      <c r="R28" s="262">
        <f t="shared" si="7"/>
        <v>6.5190000000000001</v>
      </c>
      <c r="S28" s="32">
        <v>2.5329999999999999</v>
      </c>
      <c r="T28" s="32">
        <v>3.9860000000000002</v>
      </c>
      <c r="U28" s="64"/>
      <c r="V28" s="69"/>
      <c r="W28" s="272">
        <v>328263</v>
      </c>
      <c r="X28" s="285">
        <f t="shared" si="5"/>
        <v>27542</v>
      </c>
      <c r="Y28" s="272">
        <v>26316</v>
      </c>
      <c r="Z28" s="272">
        <v>1226</v>
      </c>
    </row>
    <row r="29" spans="1:114" x14ac:dyDescent="0.25">
      <c r="A29" s="11">
        <v>39387</v>
      </c>
      <c r="B29" s="45">
        <v>4341</v>
      </c>
      <c r="C29" s="254">
        <f t="shared" si="2"/>
        <v>175592</v>
      </c>
      <c r="D29" s="51">
        <v>67289</v>
      </c>
      <c r="E29" s="51">
        <v>94701</v>
      </c>
      <c r="F29" s="52">
        <v>13602</v>
      </c>
      <c r="G29" s="257">
        <f t="shared" si="3"/>
        <v>1899.616</v>
      </c>
      <c r="H29" s="51">
        <v>863.45799999999997</v>
      </c>
      <c r="I29" s="52">
        <v>1036.1579999999999</v>
      </c>
      <c r="J29" s="259">
        <f t="shared" si="1"/>
        <v>206.59899999999999</v>
      </c>
      <c r="K29" s="37">
        <v>176.63300000000001</v>
      </c>
      <c r="L29" s="37">
        <v>24.7</v>
      </c>
      <c r="M29" s="38">
        <v>5.266</v>
      </c>
      <c r="N29" s="261">
        <f t="shared" si="4"/>
        <v>643.78699999999992</v>
      </c>
      <c r="O29" s="32">
        <v>581.98398499999996</v>
      </c>
      <c r="P29" s="32">
        <v>0</v>
      </c>
      <c r="Q29" s="32">
        <v>55.951014999999998</v>
      </c>
      <c r="R29" s="262">
        <f t="shared" si="7"/>
        <v>5.8520000000000003</v>
      </c>
      <c r="S29" s="32">
        <v>3.637</v>
      </c>
      <c r="T29" s="32">
        <v>2.2149999999999999</v>
      </c>
      <c r="U29" s="64"/>
      <c r="V29" s="69"/>
      <c r="W29" s="272">
        <v>266832</v>
      </c>
      <c r="X29" s="285">
        <f t="shared" si="5"/>
        <v>25598</v>
      </c>
      <c r="Y29" s="272">
        <v>24319</v>
      </c>
      <c r="Z29" s="272">
        <v>1279</v>
      </c>
    </row>
    <row r="30" spans="1:114" x14ac:dyDescent="0.25">
      <c r="A30" s="11">
        <v>39417</v>
      </c>
      <c r="B30" s="45">
        <v>3687</v>
      </c>
      <c r="C30" s="254">
        <f t="shared" si="2"/>
        <v>181318</v>
      </c>
      <c r="D30" s="51">
        <v>92684</v>
      </c>
      <c r="E30" s="51">
        <v>72308</v>
      </c>
      <c r="F30" s="52">
        <v>16326</v>
      </c>
      <c r="G30" s="257">
        <f t="shared" si="3"/>
        <v>2177.5520000000001</v>
      </c>
      <c r="H30" s="51">
        <v>939.04300000000001</v>
      </c>
      <c r="I30" s="52">
        <v>1238.509</v>
      </c>
      <c r="J30" s="259">
        <f t="shared" si="1"/>
        <v>212.59300000000002</v>
      </c>
      <c r="K30" s="37">
        <f>206.555-L30</f>
        <v>188.155</v>
      </c>
      <c r="L30" s="37">
        <v>18.399999999999999</v>
      </c>
      <c r="M30" s="38">
        <v>6.0380000000000003</v>
      </c>
      <c r="N30" s="261">
        <f t="shared" si="4"/>
        <v>713.21299999999997</v>
      </c>
      <c r="O30" s="32">
        <f>706.01-(P30+Q30)</f>
        <v>504.26256699999999</v>
      </c>
      <c r="P30" s="32">
        <v>130.258925</v>
      </c>
      <c r="Q30" s="32">
        <v>71.488507999999996</v>
      </c>
      <c r="R30" s="262">
        <f t="shared" si="7"/>
        <v>7.2030000000000003</v>
      </c>
      <c r="S30" s="32">
        <v>5.1020000000000003</v>
      </c>
      <c r="T30" s="32">
        <v>2.101</v>
      </c>
      <c r="U30" s="64"/>
      <c r="V30" s="69"/>
      <c r="W30" s="272">
        <v>281920</v>
      </c>
      <c r="X30" s="285">
        <f t="shared" si="5"/>
        <v>26043</v>
      </c>
      <c r="Y30" s="272">
        <v>24620</v>
      </c>
      <c r="Z30" s="272">
        <v>1423</v>
      </c>
    </row>
    <row r="31" spans="1:114" x14ac:dyDescent="0.25">
      <c r="A31" s="11">
        <v>39448</v>
      </c>
      <c r="B31" s="45">
        <v>4253</v>
      </c>
      <c r="C31" s="254">
        <f t="shared" si="2"/>
        <v>182956</v>
      </c>
      <c r="D31" s="51">
        <v>96488</v>
      </c>
      <c r="E31" s="51">
        <v>70826</v>
      </c>
      <c r="F31" s="52">
        <v>15642</v>
      </c>
      <c r="G31" s="257">
        <f t="shared" si="3"/>
        <v>1972.7570000000001</v>
      </c>
      <c r="H31" s="51">
        <v>1141.1880000000001</v>
      </c>
      <c r="I31" s="52">
        <v>831.56899999999996</v>
      </c>
      <c r="J31" s="259">
        <f t="shared" si="1"/>
        <v>149.376</v>
      </c>
      <c r="K31" s="37">
        <f>143.773-L31</f>
        <v>111.87299999999999</v>
      </c>
      <c r="L31" s="37">
        <v>31.9</v>
      </c>
      <c r="M31" s="38">
        <v>5.6029999999999998</v>
      </c>
      <c r="N31" s="261">
        <f t="shared" si="4"/>
        <v>704.16499999999996</v>
      </c>
      <c r="O31" s="32">
        <f>696.655-(P31+Q31)</f>
        <v>529.59965599999998</v>
      </c>
      <c r="P31" s="32">
        <v>108.50982999999999</v>
      </c>
      <c r="Q31" s="32">
        <v>58.545513999999997</v>
      </c>
      <c r="R31" s="262">
        <f t="shared" si="7"/>
        <v>7.51</v>
      </c>
      <c r="S31" s="32">
        <v>4.9039999999999999</v>
      </c>
      <c r="T31" s="32">
        <v>2.6059999999999999</v>
      </c>
      <c r="U31" s="64"/>
      <c r="V31" s="69"/>
      <c r="W31" s="272">
        <v>309509</v>
      </c>
      <c r="X31" s="285">
        <f t="shared" si="5"/>
        <v>28277</v>
      </c>
      <c r="Y31" s="272">
        <v>19709</v>
      </c>
      <c r="Z31" s="272">
        <v>8568</v>
      </c>
    </row>
    <row r="32" spans="1:114" x14ac:dyDescent="0.25">
      <c r="A32" s="11">
        <v>39479</v>
      </c>
      <c r="B32" s="45">
        <v>3610</v>
      </c>
      <c r="C32" s="254">
        <f t="shared" si="2"/>
        <v>165277</v>
      </c>
      <c r="D32" s="51">
        <v>78812</v>
      </c>
      <c r="E32" s="51">
        <v>74361</v>
      </c>
      <c r="F32" s="52">
        <v>12104</v>
      </c>
      <c r="G32" s="257">
        <f t="shared" si="3"/>
        <v>1972.1710000000003</v>
      </c>
      <c r="H32" s="51">
        <v>1074.2260000000001</v>
      </c>
      <c r="I32" s="52">
        <v>897.94500000000005</v>
      </c>
      <c r="J32" s="259">
        <f t="shared" si="1"/>
        <v>159.12800000000001</v>
      </c>
      <c r="K32" s="37">
        <v>129.30000000000001</v>
      </c>
      <c r="L32" s="37">
        <v>22.71</v>
      </c>
      <c r="M32" s="38">
        <v>7.1180000000000003</v>
      </c>
      <c r="N32" s="261">
        <f t="shared" si="4"/>
        <v>773.15631199999996</v>
      </c>
      <c r="O32" s="32">
        <v>707.5</v>
      </c>
      <c r="P32" s="32">
        <v>6.3644999999999993E-2</v>
      </c>
      <c r="Q32" s="32">
        <v>58.515667000000001</v>
      </c>
      <c r="R32" s="262">
        <f t="shared" si="7"/>
        <v>7.077</v>
      </c>
      <c r="S32" s="32">
        <v>3.8069999999999999</v>
      </c>
      <c r="T32" s="32">
        <v>3.27</v>
      </c>
      <c r="U32" s="64"/>
      <c r="V32" s="69"/>
      <c r="W32" s="272">
        <v>250520</v>
      </c>
      <c r="X32" s="285">
        <f t="shared" si="5"/>
        <v>28440</v>
      </c>
      <c r="Y32" s="272">
        <v>19142</v>
      </c>
      <c r="Z32" s="272">
        <v>9298</v>
      </c>
    </row>
    <row r="33" spans="1:26" x14ac:dyDescent="0.25">
      <c r="A33" s="11">
        <v>39508</v>
      </c>
      <c r="B33" s="45">
        <v>3159</v>
      </c>
      <c r="C33" s="254">
        <f t="shared" si="2"/>
        <v>166883</v>
      </c>
      <c r="D33" s="51">
        <v>81409</v>
      </c>
      <c r="E33" s="51">
        <v>65906</v>
      </c>
      <c r="F33" s="52">
        <v>19568</v>
      </c>
      <c r="G33" s="257">
        <f t="shared" si="3"/>
        <v>1883.096</v>
      </c>
      <c r="H33" s="51">
        <v>1112.5409999999999</v>
      </c>
      <c r="I33" s="52">
        <v>770.55499999999995</v>
      </c>
      <c r="J33" s="259">
        <f t="shared" si="1"/>
        <v>246.36599999999999</v>
      </c>
      <c r="K33" s="37">
        <v>196.48699999999999</v>
      </c>
      <c r="L33" s="37">
        <v>44</v>
      </c>
      <c r="M33" s="38">
        <v>5.8789999999999996</v>
      </c>
      <c r="N33" s="261">
        <f t="shared" si="4"/>
        <v>625.27500000000009</v>
      </c>
      <c r="O33" s="32">
        <v>546.58930800000007</v>
      </c>
      <c r="P33" s="32">
        <v>4.7140000000000001E-2</v>
      </c>
      <c r="Q33" s="32">
        <v>71.885552000000004</v>
      </c>
      <c r="R33" s="262">
        <f t="shared" si="7"/>
        <v>6.7530000000000001</v>
      </c>
      <c r="S33" s="32">
        <v>4.07</v>
      </c>
      <c r="T33" s="32">
        <v>2.6829999999999998</v>
      </c>
      <c r="U33" s="64"/>
      <c r="V33" s="69"/>
      <c r="W33" s="272">
        <v>260941</v>
      </c>
      <c r="X33" s="285">
        <f t="shared" si="5"/>
        <v>29660</v>
      </c>
      <c r="Y33" s="272">
        <v>19707</v>
      </c>
      <c r="Z33" s="272">
        <v>9953</v>
      </c>
    </row>
    <row r="34" spans="1:26" x14ac:dyDescent="0.25">
      <c r="A34" s="11">
        <v>39539</v>
      </c>
      <c r="B34" s="45">
        <v>3521</v>
      </c>
      <c r="C34" s="254">
        <f t="shared" si="2"/>
        <v>159968</v>
      </c>
      <c r="D34" s="51">
        <v>79537</v>
      </c>
      <c r="E34" s="51">
        <v>62572</v>
      </c>
      <c r="F34" s="52">
        <v>17859</v>
      </c>
      <c r="G34" s="257">
        <f t="shared" si="3"/>
        <v>1793.954</v>
      </c>
      <c r="H34" s="51">
        <v>937.08399999999995</v>
      </c>
      <c r="I34" s="52">
        <v>856.87</v>
      </c>
      <c r="J34" s="259">
        <f t="shared" si="1"/>
        <v>176.024</v>
      </c>
      <c r="K34" s="37">
        <v>142.43300000000002</v>
      </c>
      <c r="L34" s="37">
        <v>25.7</v>
      </c>
      <c r="M34" s="38">
        <v>7.891</v>
      </c>
      <c r="N34" s="261">
        <f t="shared" si="4"/>
        <v>762.57400000000007</v>
      </c>
      <c r="O34" s="32">
        <v>575.45885599999997</v>
      </c>
      <c r="P34" s="32">
        <v>126.072654</v>
      </c>
      <c r="Q34" s="32">
        <v>51.275489999999998</v>
      </c>
      <c r="R34" s="262">
        <f t="shared" si="7"/>
        <v>9.7669999999999995</v>
      </c>
      <c r="S34" s="32">
        <v>4.3849999999999998</v>
      </c>
      <c r="T34" s="32">
        <v>5.3819999999999997</v>
      </c>
      <c r="U34" s="64"/>
      <c r="V34" s="69"/>
      <c r="W34" s="272">
        <v>309509</v>
      </c>
      <c r="X34" s="285">
        <f t="shared" si="5"/>
        <v>28190</v>
      </c>
      <c r="Y34" s="272">
        <v>19272</v>
      </c>
      <c r="Z34" s="272">
        <v>8918</v>
      </c>
    </row>
    <row r="35" spans="1:26" x14ac:dyDescent="0.25">
      <c r="A35" s="11">
        <v>39569</v>
      </c>
      <c r="B35" s="45">
        <v>3455</v>
      </c>
      <c r="C35" s="254">
        <f t="shared" si="2"/>
        <v>149964</v>
      </c>
      <c r="D35" s="51">
        <v>71073</v>
      </c>
      <c r="E35" s="51">
        <v>57003</v>
      </c>
      <c r="F35" s="52">
        <v>21888</v>
      </c>
      <c r="G35" s="257">
        <f t="shared" si="3"/>
        <v>1914.183</v>
      </c>
      <c r="H35" s="51">
        <v>896.88699999999994</v>
      </c>
      <c r="I35" s="52">
        <v>1017.296</v>
      </c>
      <c r="J35" s="259">
        <f t="shared" si="1"/>
        <v>186.18299999999999</v>
      </c>
      <c r="K35" s="37">
        <v>147.5</v>
      </c>
      <c r="L35" s="37">
        <v>29</v>
      </c>
      <c r="M35" s="38">
        <v>9.6829999999999998</v>
      </c>
      <c r="N35" s="261">
        <f t="shared" si="4"/>
        <v>691.18467199999998</v>
      </c>
      <c r="O35" s="32">
        <v>501.6</v>
      </c>
      <c r="P35" s="32">
        <v>128.86834099999999</v>
      </c>
      <c r="Q35" s="32">
        <v>50.161330999999997</v>
      </c>
      <c r="R35" s="262">
        <f t="shared" si="7"/>
        <v>10.555</v>
      </c>
      <c r="S35" s="32">
        <v>4.6779999999999999</v>
      </c>
      <c r="T35" s="32">
        <v>5.8769999999999998</v>
      </c>
      <c r="U35" s="64"/>
      <c r="V35" s="69"/>
      <c r="W35" s="272">
        <v>357785</v>
      </c>
      <c r="X35" s="285">
        <f t="shared" si="5"/>
        <v>29303</v>
      </c>
      <c r="Y35" s="272">
        <v>22639</v>
      </c>
      <c r="Z35" s="272">
        <v>6664</v>
      </c>
    </row>
    <row r="36" spans="1:26" x14ac:dyDescent="0.25">
      <c r="A36" s="11">
        <v>39600</v>
      </c>
      <c r="B36" s="45">
        <v>3053</v>
      </c>
      <c r="C36" s="254">
        <f t="shared" si="2"/>
        <v>143090</v>
      </c>
      <c r="D36" s="51">
        <v>62337</v>
      </c>
      <c r="E36" s="51">
        <v>56862</v>
      </c>
      <c r="F36" s="52">
        <v>23891</v>
      </c>
      <c r="G36" s="257">
        <f t="shared" si="3"/>
        <v>1676.568</v>
      </c>
      <c r="H36" s="51">
        <v>928.274</v>
      </c>
      <c r="I36" s="52">
        <v>748.29399999999998</v>
      </c>
      <c r="J36" s="259">
        <f t="shared" si="1"/>
        <v>228.24699999999999</v>
      </c>
      <c r="K36" s="37">
        <v>207.91399999999999</v>
      </c>
      <c r="L36" s="37">
        <v>10.55</v>
      </c>
      <c r="M36" s="38">
        <v>9.7829999999999995</v>
      </c>
      <c r="N36" s="261">
        <f t="shared" si="4"/>
        <v>658.66399999999999</v>
      </c>
      <c r="O36" s="32">
        <v>491.96508499999999</v>
      </c>
      <c r="P36" s="32">
        <v>135.70957100000001</v>
      </c>
      <c r="Q36" s="32">
        <v>22.897344</v>
      </c>
      <c r="R36" s="262">
        <f t="shared" si="7"/>
        <v>8.0919999999999987</v>
      </c>
      <c r="S36" s="32">
        <v>4.6529999999999996</v>
      </c>
      <c r="T36" s="32">
        <v>3.4390000000000001</v>
      </c>
      <c r="U36" s="64"/>
      <c r="V36" s="69"/>
      <c r="W36" s="272">
        <v>371554</v>
      </c>
      <c r="X36" s="285">
        <f t="shared" si="5"/>
        <v>23441</v>
      </c>
      <c r="Y36" s="272">
        <v>21163</v>
      </c>
      <c r="Z36" s="272">
        <v>2278</v>
      </c>
    </row>
    <row r="37" spans="1:26" x14ac:dyDescent="0.25">
      <c r="A37" s="11">
        <v>39630</v>
      </c>
      <c r="B37" s="45">
        <v>2713</v>
      </c>
      <c r="C37" s="254">
        <f t="shared" si="2"/>
        <v>161430</v>
      </c>
      <c r="D37" s="51">
        <v>68815</v>
      </c>
      <c r="E37" s="51">
        <v>70828</v>
      </c>
      <c r="F37" s="52">
        <v>21787</v>
      </c>
      <c r="G37" s="257">
        <f t="shared" si="3"/>
        <v>1933.0450000000001</v>
      </c>
      <c r="H37" s="51">
        <v>1051.383</v>
      </c>
      <c r="I37" s="52">
        <v>881.66200000000003</v>
      </c>
      <c r="J37" s="259">
        <f t="shared" si="1"/>
        <v>202.18699999999998</v>
      </c>
      <c r="K37" s="37">
        <v>147.94299999999998</v>
      </c>
      <c r="L37" s="37">
        <v>45.9</v>
      </c>
      <c r="M37" s="38">
        <v>8.3439999999999994</v>
      </c>
      <c r="N37" s="261">
        <f t="shared" si="4"/>
        <v>620.26</v>
      </c>
      <c r="O37" s="32">
        <v>592.43395599999997</v>
      </c>
      <c r="P37" s="32">
        <v>0.126808</v>
      </c>
      <c r="Q37" s="32">
        <v>19.869236000000001</v>
      </c>
      <c r="R37" s="262">
        <f t="shared" si="7"/>
        <v>7.83</v>
      </c>
      <c r="S37" s="32">
        <v>4.5469999999999997</v>
      </c>
      <c r="T37" s="32">
        <v>3.2829999999999999</v>
      </c>
      <c r="U37" s="64"/>
      <c r="V37" s="69"/>
      <c r="W37" s="272">
        <v>396859</v>
      </c>
      <c r="X37" s="285">
        <f t="shared" si="5"/>
        <v>26821</v>
      </c>
      <c r="Y37" s="272">
        <v>25109</v>
      </c>
      <c r="Z37" s="272">
        <v>1712</v>
      </c>
    </row>
    <row r="38" spans="1:26" x14ac:dyDescent="0.25">
      <c r="A38" s="11">
        <v>39661</v>
      </c>
      <c r="B38" s="45">
        <v>3194</v>
      </c>
      <c r="C38" s="254">
        <f t="shared" si="2"/>
        <v>167399</v>
      </c>
      <c r="D38" s="51">
        <v>86566</v>
      </c>
      <c r="E38" s="51">
        <v>59384</v>
      </c>
      <c r="F38" s="52">
        <v>21449</v>
      </c>
      <c r="G38" s="257">
        <f t="shared" si="3"/>
        <v>1745.5929999999998</v>
      </c>
      <c r="H38" s="51">
        <v>900.048</v>
      </c>
      <c r="I38" s="52">
        <v>845.54499999999996</v>
      </c>
      <c r="J38" s="259">
        <f t="shared" si="1"/>
        <v>169.227</v>
      </c>
      <c r="K38" s="37">
        <v>131.09</v>
      </c>
      <c r="L38" s="37">
        <v>34.65</v>
      </c>
      <c r="M38" s="38">
        <v>3.4870000000000001</v>
      </c>
      <c r="N38" s="261">
        <f t="shared" si="4"/>
        <v>640.14873999999998</v>
      </c>
      <c r="O38" s="32">
        <v>481.3</v>
      </c>
      <c r="P38" s="32">
        <v>135.74161599999999</v>
      </c>
      <c r="Q38" s="32">
        <v>15.537124</v>
      </c>
      <c r="R38" s="262">
        <f t="shared" si="7"/>
        <v>7.57</v>
      </c>
      <c r="S38" s="32">
        <v>5.0330000000000004</v>
      </c>
      <c r="T38" s="32">
        <v>2.5369999999999999</v>
      </c>
      <c r="U38" s="64"/>
      <c r="V38" s="69"/>
      <c r="W38" s="272">
        <v>360152</v>
      </c>
      <c r="X38" s="285">
        <f t="shared" si="5"/>
        <v>27246</v>
      </c>
      <c r="Y38" s="272">
        <v>24959</v>
      </c>
      <c r="Z38" s="272">
        <v>2287</v>
      </c>
    </row>
    <row r="39" spans="1:26" x14ac:dyDescent="0.25">
      <c r="A39" s="11">
        <v>39692</v>
      </c>
      <c r="B39" s="45">
        <v>3226</v>
      </c>
      <c r="C39" s="254">
        <f t="shared" si="2"/>
        <v>141994</v>
      </c>
      <c r="D39" s="51">
        <v>62226</v>
      </c>
      <c r="E39" s="51">
        <v>56947</v>
      </c>
      <c r="F39" s="52">
        <v>22821</v>
      </c>
      <c r="G39" s="257">
        <f t="shared" si="3"/>
        <v>1752.905</v>
      </c>
      <c r="H39" s="51">
        <v>796.99900000000002</v>
      </c>
      <c r="I39" s="52">
        <v>955.90599999999995</v>
      </c>
      <c r="J39" s="259">
        <f t="shared" si="1"/>
        <v>161.096</v>
      </c>
      <c r="K39" s="37">
        <v>149.06700000000001</v>
      </c>
      <c r="L39" s="37">
        <v>2.65</v>
      </c>
      <c r="M39" s="38">
        <v>9.3789999999999996</v>
      </c>
      <c r="N39" s="261">
        <f t="shared" si="4"/>
        <v>716.82499999999993</v>
      </c>
      <c r="O39" s="32">
        <v>561.980144</v>
      </c>
      <c r="P39" s="32">
        <v>128.823329</v>
      </c>
      <c r="Q39" s="32">
        <v>19.114526999999999</v>
      </c>
      <c r="R39" s="262">
        <f t="shared" si="7"/>
        <v>6.907</v>
      </c>
      <c r="S39" s="32">
        <v>4.7629999999999999</v>
      </c>
      <c r="T39" s="32">
        <v>2.1440000000000001</v>
      </c>
      <c r="U39" s="64"/>
      <c r="V39" s="69"/>
      <c r="W39" s="272">
        <v>402303</v>
      </c>
      <c r="X39" s="285">
        <f t="shared" si="5"/>
        <v>20424</v>
      </c>
      <c r="Y39" s="272">
        <v>19106</v>
      </c>
      <c r="Z39" s="272">
        <v>1318</v>
      </c>
    </row>
    <row r="40" spans="1:26" x14ac:dyDescent="0.25">
      <c r="A40" s="11">
        <v>39722</v>
      </c>
      <c r="B40" s="45">
        <v>3636</v>
      </c>
      <c r="C40" s="254">
        <f t="shared" si="2"/>
        <v>136227</v>
      </c>
      <c r="D40" s="51">
        <v>56320</v>
      </c>
      <c r="E40" s="51">
        <v>60036</v>
      </c>
      <c r="F40" s="52">
        <v>19871</v>
      </c>
      <c r="G40" s="257">
        <f t="shared" si="3"/>
        <v>1459.721</v>
      </c>
      <c r="H40" s="51">
        <v>642.77599999999995</v>
      </c>
      <c r="I40" s="52">
        <v>816.94500000000005</v>
      </c>
      <c r="J40" s="259">
        <f t="shared" si="1"/>
        <v>174.51599999999999</v>
      </c>
      <c r="K40" s="37">
        <v>144.23400000000001</v>
      </c>
      <c r="L40" s="37">
        <v>26.1</v>
      </c>
      <c r="M40" s="38">
        <v>4.1820000000000004</v>
      </c>
      <c r="N40" s="261">
        <f t="shared" si="4"/>
        <v>622.24499999999989</v>
      </c>
      <c r="O40" s="32">
        <v>473.14045999999996</v>
      </c>
      <c r="P40" s="32">
        <v>130.738125</v>
      </c>
      <c r="Q40" s="32">
        <v>15.056414999999999</v>
      </c>
      <c r="R40" s="262">
        <f t="shared" si="7"/>
        <v>3.31</v>
      </c>
      <c r="S40" s="32">
        <v>1.718</v>
      </c>
      <c r="T40" s="32">
        <v>1.5920000000000001</v>
      </c>
      <c r="U40" s="64"/>
      <c r="V40" s="69"/>
      <c r="W40" s="272">
        <v>402300</v>
      </c>
      <c r="X40" s="285">
        <f t="shared" si="5"/>
        <v>16630</v>
      </c>
      <c r="Y40" s="272">
        <v>15470</v>
      </c>
      <c r="Z40" s="272">
        <v>1160</v>
      </c>
    </row>
    <row r="41" spans="1:26" x14ac:dyDescent="0.25">
      <c r="A41" s="11">
        <v>39753</v>
      </c>
      <c r="B41" s="45">
        <v>3507</v>
      </c>
      <c r="C41" s="254">
        <f t="shared" si="2"/>
        <v>148375</v>
      </c>
      <c r="D41" s="51">
        <v>66062</v>
      </c>
      <c r="E41" s="51">
        <v>69166</v>
      </c>
      <c r="F41" s="52">
        <v>13147</v>
      </c>
      <c r="G41" s="257">
        <f t="shared" si="3"/>
        <v>1913.297</v>
      </c>
      <c r="H41" s="51">
        <v>958.75800000000004</v>
      </c>
      <c r="I41" s="52">
        <v>954.53899999999999</v>
      </c>
      <c r="J41" s="259">
        <f t="shared" si="1"/>
        <v>175.38200000000001</v>
      </c>
      <c r="K41" s="37">
        <v>152.084</v>
      </c>
      <c r="L41" s="37">
        <v>18.25</v>
      </c>
      <c r="M41" s="38">
        <v>5.048</v>
      </c>
      <c r="N41" s="261">
        <f t="shared" si="4"/>
        <v>886.21199999999999</v>
      </c>
      <c r="O41" s="32">
        <v>873.80790000000002</v>
      </c>
      <c r="P41" s="32">
        <v>0.43758999999999998</v>
      </c>
      <c r="Q41" s="32">
        <v>7.9505100000000004</v>
      </c>
      <c r="R41" s="262">
        <f t="shared" si="7"/>
        <v>4.016</v>
      </c>
      <c r="S41" s="32">
        <v>2.6859999999999999</v>
      </c>
      <c r="T41" s="32">
        <v>1.33</v>
      </c>
      <c r="U41" s="64"/>
      <c r="V41" s="69"/>
      <c r="W41" s="272">
        <v>390399</v>
      </c>
      <c r="X41" s="285">
        <f t="shared" si="5"/>
        <v>17213</v>
      </c>
      <c r="Y41" s="272">
        <v>16334</v>
      </c>
      <c r="Z41" s="272">
        <v>879</v>
      </c>
    </row>
    <row r="42" spans="1:26" x14ac:dyDescent="0.25">
      <c r="A42" s="11">
        <v>39783</v>
      </c>
      <c r="B42" s="45">
        <v>3489</v>
      </c>
      <c r="C42" s="254">
        <f t="shared" si="2"/>
        <v>158679</v>
      </c>
      <c r="D42" s="51">
        <v>75709</v>
      </c>
      <c r="E42" s="51">
        <v>69929</v>
      </c>
      <c r="F42" s="52">
        <v>13041</v>
      </c>
      <c r="G42" s="257">
        <f t="shared" si="3"/>
        <v>1798.5630000000001</v>
      </c>
      <c r="H42" s="51">
        <v>882.88699999999994</v>
      </c>
      <c r="I42" s="52">
        <v>915.67600000000004</v>
      </c>
      <c r="J42" s="259">
        <f t="shared" si="1"/>
        <v>204.64400000000001</v>
      </c>
      <c r="K42" s="37">
        <v>158.50799999999998</v>
      </c>
      <c r="L42" s="37">
        <v>39.799999999999997</v>
      </c>
      <c r="M42" s="38">
        <v>6.3360000000000003</v>
      </c>
      <c r="N42" s="261">
        <f t="shared" si="4"/>
        <v>657.15099999999995</v>
      </c>
      <c r="O42" s="32">
        <v>603.47625299999993</v>
      </c>
      <c r="P42" s="32">
        <v>37.608612000000001</v>
      </c>
      <c r="Q42" s="32">
        <v>8.6381350000000001</v>
      </c>
      <c r="R42" s="262">
        <f t="shared" si="7"/>
        <v>7.4279999999999999</v>
      </c>
      <c r="S42" s="32">
        <v>5.56</v>
      </c>
      <c r="T42" s="32">
        <v>1.8680000000000001</v>
      </c>
      <c r="U42" s="64" t="s">
        <v>102</v>
      </c>
      <c r="V42" s="69" t="s">
        <v>103</v>
      </c>
      <c r="W42" s="272">
        <v>342394</v>
      </c>
      <c r="X42" s="285">
        <f t="shared" si="5"/>
        <v>22431</v>
      </c>
      <c r="Y42" s="272">
        <v>21780</v>
      </c>
      <c r="Z42" s="272">
        <v>651</v>
      </c>
    </row>
    <row r="43" spans="1:26" x14ac:dyDescent="0.25">
      <c r="A43" s="11">
        <v>39814</v>
      </c>
      <c r="B43" s="45">
        <v>3976</v>
      </c>
      <c r="C43" s="254">
        <f t="shared" si="2"/>
        <v>160930</v>
      </c>
      <c r="D43" s="51">
        <v>80882</v>
      </c>
      <c r="E43" s="51">
        <v>71350</v>
      </c>
      <c r="F43" s="52">
        <v>8698</v>
      </c>
      <c r="G43" s="257">
        <f t="shared" si="3"/>
        <v>1643.598</v>
      </c>
      <c r="H43" s="51">
        <v>956.01199999999994</v>
      </c>
      <c r="I43" s="52">
        <v>687.58600000000001</v>
      </c>
      <c r="J43" s="259">
        <f t="shared" si="1"/>
        <v>153.17200000000003</v>
      </c>
      <c r="K43" s="37">
        <v>129.88500000000002</v>
      </c>
      <c r="L43" s="37">
        <v>15.1</v>
      </c>
      <c r="M43" s="38">
        <v>8.1869999999999994</v>
      </c>
      <c r="N43" s="261">
        <f t="shared" si="4"/>
        <v>402.59100000000001</v>
      </c>
      <c r="O43" s="32">
        <v>267.78317200000004</v>
      </c>
      <c r="P43" s="32">
        <v>122.714566</v>
      </c>
      <c r="Q43" s="32">
        <v>3.7102620000000002</v>
      </c>
      <c r="R43" s="262">
        <f t="shared" si="7"/>
        <v>8.3829999999999991</v>
      </c>
      <c r="S43" s="32">
        <v>5.16</v>
      </c>
      <c r="T43" s="32">
        <v>3.2229999999999999</v>
      </c>
      <c r="U43" s="64">
        <v>357</v>
      </c>
      <c r="V43" s="52">
        <v>28515</v>
      </c>
      <c r="W43" s="272">
        <v>419356</v>
      </c>
      <c r="X43" s="285">
        <f t="shared" si="5"/>
        <v>24628</v>
      </c>
      <c r="Y43" s="272">
        <v>22196</v>
      </c>
      <c r="Z43" s="272">
        <v>2432</v>
      </c>
    </row>
    <row r="44" spans="1:26" x14ac:dyDescent="0.25">
      <c r="A44" s="11">
        <v>39845</v>
      </c>
      <c r="B44" s="45">
        <v>3760</v>
      </c>
      <c r="C44" s="254">
        <f t="shared" si="2"/>
        <v>142361</v>
      </c>
      <c r="D44" s="51">
        <v>65488</v>
      </c>
      <c r="E44" s="51">
        <v>65710</v>
      </c>
      <c r="F44" s="52">
        <v>11163</v>
      </c>
      <c r="G44" s="257">
        <f t="shared" si="3"/>
        <v>1675.4180000000001</v>
      </c>
      <c r="H44" s="51">
        <v>973.34199999999998</v>
      </c>
      <c r="I44" s="52">
        <v>702.07600000000002</v>
      </c>
      <c r="J44" s="259">
        <f t="shared" si="1"/>
        <v>160.053</v>
      </c>
      <c r="K44" s="37">
        <v>130.828</v>
      </c>
      <c r="L44" s="37">
        <v>22.75</v>
      </c>
      <c r="M44" s="38">
        <v>6.4749999999999996</v>
      </c>
      <c r="N44" s="261">
        <f t="shared" si="4"/>
        <v>449.39600000000002</v>
      </c>
      <c r="O44" s="32">
        <v>411.12831800000004</v>
      </c>
      <c r="P44" s="32">
        <v>0.40041199999999999</v>
      </c>
      <c r="Q44" s="32">
        <v>30.571269999999998</v>
      </c>
      <c r="R44" s="262">
        <f t="shared" si="7"/>
        <v>7.2959999999999994</v>
      </c>
      <c r="S44" s="32">
        <v>5.3289999999999997</v>
      </c>
      <c r="T44" s="32">
        <v>1.9670000000000001</v>
      </c>
      <c r="U44" s="64">
        <v>331</v>
      </c>
      <c r="V44" s="52">
        <v>25026</v>
      </c>
      <c r="W44" s="272">
        <v>341520</v>
      </c>
      <c r="X44" s="285">
        <f t="shared" si="5"/>
        <v>22728</v>
      </c>
      <c r="Y44" s="272">
        <v>17930</v>
      </c>
      <c r="Z44" s="272">
        <v>4798</v>
      </c>
    </row>
    <row r="45" spans="1:26" x14ac:dyDescent="0.25">
      <c r="A45" s="11">
        <v>39873</v>
      </c>
      <c r="B45" s="45">
        <v>3963</v>
      </c>
      <c r="C45" s="254">
        <f t="shared" si="2"/>
        <v>150120</v>
      </c>
      <c r="D45" s="51">
        <v>83154</v>
      </c>
      <c r="E45" s="51">
        <v>56422</v>
      </c>
      <c r="F45" s="52">
        <v>10544</v>
      </c>
      <c r="G45" s="257">
        <f t="shared" si="3"/>
        <v>2017.0809999999999</v>
      </c>
      <c r="H45" s="51">
        <v>1147.9079999999999</v>
      </c>
      <c r="I45" s="52">
        <v>869.173</v>
      </c>
      <c r="J45" s="259">
        <f t="shared" si="1"/>
        <v>194.124</v>
      </c>
      <c r="K45" s="37">
        <v>170.96</v>
      </c>
      <c r="L45" s="37">
        <v>16.2</v>
      </c>
      <c r="M45" s="38">
        <v>6.9640000000000004</v>
      </c>
      <c r="N45" s="261">
        <f t="shared" si="4"/>
        <v>731.47299999999996</v>
      </c>
      <c r="O45" s="32">
        <v>538.84537099999989</v>
      </c>
      <c r="P45" s="32">
        <v>126.947304</v>
      </c>
      <c r="Q45" s="32">
        <v>56.839325000000002</v>
      </c>
      <c r="R45" s="262">
        <f t="shared" si="7"/>
        <v>8.8410000000000011</v>
      </c>
      <c r="S45" s="32">
        <v>6.2060000000000004</v>
      </c>
      <c r="T45" s="32">
        <v>2.6349999999999998</v>
      </c>
      <c r="U45" s="64">
        <v>376</v>
      </c>
      <c r="V45" s="52">
        <v>34325</v>
      </c>
      <c r="W45" s="272">
        <v>412497</v>
      </c>
      <c r="X45" s="285">
        <f t="shared" si="5"/>
        <v>28862.6</v>
      </c>
      <c r="Y45" s="272">
        <v>19284.599999999999</v>
      </c>
      <c r="Z45" s="272">
        <v>9578</v>
      </c>
    </row>
    <row r="46" spans="1:26" x14ac:dyDescent="0.25">
      <c r="A46" s="11">
        <v>39904</v>
      </c>
      <c r="B46" s="45">
        <v>3333</v>
      </c>
      <c r="C46" s="254">
        <f t="shared" si="2"/>
        <v>141028</v>
      </c>
      <c r="D46" s="51">
        <v>75294</v>
      </c>
      <c r="E46" s="51">
        <v>59714</v>
      </c>
      <c r="F46" s="52">
        <v>6020</v>
      </c>
      <c r="G46" s="257">
        <f t="shared" si="3"/>
        <v>1907.232</v>
      </c>
      <c r="H46" s="51">
        <v>1116.8989999999999</v>
      </c>
      <c r="I46" s="52">
        <v>790.33299999999997</v>
      </c>
      <c r="J46" s="259">
        <f t="shared" si="1"/>
        <v>137.184</v>
      </c>
      <c r="K46" s="37">
        <v>110.81099999999999</v>
      </c>
      <c r="L46" s="37">
        <v>15.2</v>
      </c>
      <c r="M46" s="38">
        <v>11.173</v>
      </c>
      <c r="N46" s="261">
        <f t="shared" si="4"/>
        <v>660.43999999999994</v>
      </c>
      <c r="O46" s="32">
        <v>500.40338099999997</v>
      </c>
      <c r="P46" s="32">
        <v>0.56639300000000004</v>
      </c>
      <c r="Q46" s="32">
        <v>146.59822600000001</v>
      </c>
      <c r="R46" s="262">
        <f t="shared" si="7"/>
        <v>12.872</v>
      </c>
      <c r="S46" s="32">
        <v>5.2130000000000001</v>
      </c>
      <c r="T46" s="32">
        <v>7.6589999999999998</v>
      </c>
      <c r="U46" s="64">
        <v>362</v>
      </c>
      <c r="V46" s="52">
        <v>38275</v>
      </c>
      <c r="W46" s="272">
        <v>480274</v>
      </c>
      <c r="X46" s="285">
        <f t="shared" si="5"/>
        <v>23710.6</v>
      </c>
      <c r="Y46" s="272">
        <v>16817.599999999999</v>
      </c>
      <c r="Z46" s="272">
        <v>6893</v>
      </c>
    </row>
    <row r="47" spans="1:26" x14ac:dyDescent="0.25">
      <c r="A47" s="11">
        <v>39934</v>
      </c>
      <c r="B47" s="45">
        <v>3295</v>
      </c>
      <c r="C47" s="254">
        <f t="shared" si="2"/>
        <v>120881</v>
      </c>
      <c r="D47" s="51">
        <v>66618</v>
      </c>
      <c r="E47" s="51">
        <v>46991</v>
      </c>
      <c r="F47" s="52">
        <v>7272</v>
      </c>
      <c r="G47" s="257">
        <f t="shared" si="3"/>
        <v>1704.5809999999999</v>
      </c>
      <c r="H47" s="51">
        <v>960.05499999999995</v>
      </c>
      <c r="I47" s="52">
        <v>744.52599999999995</v>
      </c>
      <c r="J47" s="259">
        <f t="shared" si="1"/>
        <v>260.76099999999997</v>
      </c>
      <c r="K47" s="37">
        <v>237.04599999999999</v>
      </c>
      <c r="L47" s="37">
        <v>12.6</v>
      </c>
      <c r="M47" s="38">
        <v>11.115</v>
      </c>
      <c r="N47" s="261">
        <f t="shared" si="4"/>
        <v>488.26</v>
      </c>
      <c r="O47" s="32">
        <v>424.91641399999997</v>
      </c>
      <c r="P47" s="32">
        <v>9.7009999999999996E-3</v>
      </c>
      <c r="Q47" s="32">
        <v>49.696885000000002</v>
      </c>
      <c r="R47" s="262">
        <f t="shared" si="7"/>
        <v>13.637</v>
      </c>
      <c r="S47" s="32">
        <v>5.7750000000000004</v>
      </c>
      <c r="T47" s="32">
        <v>7.8620000000000001</v>
      </c>
      <c r="U47" s="64">
        <v>376</v>
      </c>
      <c r="V47" s="52">
        <v>41074</v>
      </c>
      <c r="W47" s="272">
        <v>467808</v>
      </c>
      <c r="X47" s="285">
        <f t="shared" si="5"/>
        <v>27453</v>
      </c>
      <c r="Y47" s="272">
        <v>21479</v>
      </c>
      <c r="Z47" s="272">
        <v>5974</v>
      </c>
    </row>
    <row r="48" spans="1:26" x14ac:dyDescent="0.25">
      <c r="A48" s="11">
        <v>39965</v>
      </c>
      <c r="B48" s="45">
        <v>2752</v>
      </c>
      <c r="C48" s="254">
        <f t="shared" si="2"/>
        <v>111088</v>
      </c>
      <c r="D48" s="51">
        <v>55521</v>
      </c>
      <c r="E48" s="51">
        <v>47999</v>
      </c>
      <c r="F48" s="52">
        <v>7568</v>
      </c>
      <c r="G48" s="257">
        <f t="shared" si="3"/>
        <v>1872.163</v>
      </c>
      <c r="H48" s="51">
        <v>1149.33</v>
      </c>
      <c r="I48" s="52">
        <v>722.83299999999997</v>
      </c>
      <c r="J48" s="259">
        <f t="shared" si="1"/>
        <v>171.78199999999998</v>
      </c>
      <c r="K48" s="37">
        <v>147.53199999999998</v>
      </c>
      <c r="L48" s="37">
        <v>14.4</v>
      </c>
      <c r="M48" s="38">
        <v>9.85</v>
      </c>
      <c r="N48" s="261">
        <f t="shared" si="4"/>
        <v>687.56299999999999</v>
      </c>
      <c r="O48" s="32">
        <v>484.39238099999994</v>
      </c>
      <c r="P48" s="32">
        <v>129.28667100000001</v>
      </c>
      <c r="Q48" s="32">
        <v>65.105947999999998</v>
      </c>
      <c r="R48" s="262">
        <f t="shared" si="7"/>
        <v>8.7780000000000005</v>
      </c>
      <c r="S48" s="32">
        <v>4.9370000000000003</v>
      </c>
      <c r="T48" s="32">
        <v>3.8410000000000002</v>
      </c>
      <c r="U48" s="64">
        <v>121</v>
      </c>
      <c r="V48" s="52">
        <v>46506</v>
      </c>
      <c r="W48" s="272">
        <v>419099</v>
      </c>
      <c r="X48" s="285">
        <f t="shared" si="5"/>
        <v>26348</v>
      </c>
      <c r="Y48" s="272">
        <v>23339</v>
      </c>
      <c r="Z48" s="272">
        <v>3009</v>
      </c>
    </row>
    <row r="49" spans="1:26" x14ac:dyDescent="0.25">
      <c r="A49" s="11">
        <v>39995</v>
      </c>
      <c r="B49" s="45">
        <v>3012</v>
      </c>
      <c r="C49" s="254">
        <f t="shared" si="2"/>
        <v>137081</v>
      </c>
      <c r="D49" s="51">
        <v>63658</v>
      </c>
      <c r="E49" s="51">
        <v>61653</v>
      </c>
      <c r="F49" s="52">
        <v>11770</v>
      </c>
      <c r="G49" s="257">
        <f t="shared" si="3"/>
        <v>2001.7579999999998</v>
      </c>
      <c r="H49" s="51">
        <v>1147.83</v>
      </c>
      <c r="I49" s="52">
        <v>853.928</v>
      </c>
      <c r="J49" s="259">
        <f t="shared" si="1"/>
        <v>205.00200000000001</v>
      </c>
      <c r="K49" s="37">
        <f>194.78-L49</f>
        <v>181.53</v>
      </c>
      <c r="L49" s="37">
        <v>13.25</v>
      </c>
      <c r="M49" s="38">
        <v>10.222</v>
      </c>
      <c r="N49" s="261">
        <f t="shared" si="4"/>
        <v>674.32599999999991</v>
      </c>
      <c r="O49" s="32">
        <f>666.728-(P49+Q49)</f>
        <v>623.16315166666664</v>
      </c>
      <c r="P49" s="32">
        <v>43.287588333333339</v>
      </c>
      <c r="Q49" s="32">
        <v>0.27726000000000001</v>
      </c>
      <c r="R49" s="262">
        <f t="shared" si="7"/>
        <v>7.5980000000000008</v>
      </c>
      <c r="S49" s="32">
        <v>4.5860000000000003</v>
      </c>
      <c r="T49" s="32">
        <v>3.012</v>
      </c>
      <c r="U49" s="64">
        <v>267</v>
      </c>
      <c r="V49" s="52">
        <v>50288</v>
      </c>
      <c r="W49" s="272">
        <v>506715</v>
      </c>
      <c r="X49" s="285">
        <f t="shared" si="5"/>
        <v>29535</v>
      </c>
      <c r="Y49" s="272">
        <v>27429</v>
      </c>
      <c r="Z49" s="272">
        <v>2106</v>
      </c>
    </row>
    <row r="50" spans="1:26" x14ac:dyDescent="0.25">
      <c r="A50" s="11">
        <v>40026</v>
      </c>
      <c r="B50" s="45">
        <v>2970</v>
      </c>
      <c r="C50" s="254">
        <f t="shared" si="2"/>
        <v>140454</v>
      </c>
      <c r="D50" s="51">
        <v>75244</v>
      </c>
      <c r="E50" s="51">
        <v>52768</v>
      </c>
      <c r="F50" s="52">
        <v>12442</v>
      </c>
      <c r="G50" s="257">
        <f t="shared" si="3"/>
        <v>1694.6799999999998</v>
      </c>
      <c r="H50" s="51">
        <v>1035.154</v>
      </c>
      <c r="I50" s="52">
        <v>659.52599999999995</v>
      </c>
      <c r="J50" s="259">
        <f t="shared" si="1"/>
        <v>164.77600000000001</v>
      </c>
      <c r="K50" s="37">
        <f>159.27-L50</f>
        <v>150.87</v>
      </c>
      <c r="L50" s="37">
        <v>8.4</v>
      </c>
      <c r="M50" s="38">
        <v>5.5060000000000002</v>
      </c>
      <c r="N50" s="261">
        <f t="shared" si="4"/>
        <v>983.17499999999995</v>
      </c>
      <c r="O50" s="32">
        <f>975.721-(P50+Q50)</f>
        <v>935.33455700000002</v>
      </c>
      <c r="P50" s="32">
        <v>0.60726400000000003</v>
      </c>
      <c r="Q50" s="32">
        <v>39.779178999999999</v>
      </c>
      <c r="R50" s="262">
        <f>S50+T50</f>
        <v>7.4540000000000006</v>
      </c>
      <c r="S50" s="32">
        <v>4.7160000000000002</v>
      </c>
      <c r="T50" s="32">
        <v>2.738</v>
      </c>
      <c r="U50" s="64">
        <v>381</v>
      </c>
      <c r="V50" s="52">
        <v>50789</v>
      </c>
      <c r="W50" s="272">
        <v>399183</v>
      </c>
      <c r="X50" s="285">
        <f t="shared" si="5"/>
        <v>26869</v>
      </c>
      <c r="Y50" s="272">
        <v>25048</v>
      </c>
      <c r="Z50" s="272">
        <v>1821</v>
      </c>
    </row>
    <row r="51" spans="1:26" x14ac:dyDescent="0.25">
      <c r="A51" s="11">
        <v>40057</v>
      </c>
      <c r="B51" s="45">
        <v>2985</v>
      </c>
      <c r="C51" s="254">
        <f t="shared" si="2"/>
        <v>100214</v>
      </c>
      <c r="D51" s="51">
        <v>51276</v>
      </c>
      <c r="E51" s="51">
        <v>45028</v>
      </c>
      <c r="F51" s="52">
        <v>3910</v>
      </c>
      <c r="G51" s="257">
        <f t="shared" si="3"/>
        <v>1527.3899999999999</v>
      </c>
      <c r="H51" s="51">
        <v>765.67700000000002</v>
      </c>
      <c r="I51" s="52">
        <v>761.71299999999997</v>
      </c>
      <c r="J51" s="259">
        <f t="shared" si="1"/>
        <v>158.953</v>
      </c>
      <c r="K51" s="37">
        <f>152.578-L51</f>
        <v>138.578</v>
      </c>
      <c r="L51" s="37">
        <v>14</v>
      </c>
      <c r="M51" s="38">
        <v>6.375</v>
      </c>
      <c r="N51" s="261">
        <f t="shared" si="4"/>
        <v>724.67099999999994</v>
      </c>
      <c r="O51" s="32">
        <f>717.76-(P51+Q51)</f>
        <v>477.15382</v>
      </c>
      <c r="P51" s="32">
        <v>128.84792899999999</v>
      </c>
      <c r="Q51" s="32">
        <v>111.758251</v>
      </c>
      <c r="R51" s="262">
        <f>S51+T51</f>
        <v>6.9109999999999996</v>
      </c>
      <c r="S51" s="32">
        <v>4.2939999999999996</v>
      </c>
      <c r="T51" s="32">
        <v>2.617</v>
      </c>
      <c r="U51" s="64">
        <v>340</v>
      </c>
      <c r="V51" s="52">
        <v>20660</v>
      </c>
      <c r="W51" s="272">
        <v>362811</v>
      </c>
      <c r="X51" s="285">
        <f t="shared" si="5"/>
        <v>23255</v>
      </c>
      <c r="Y51" s="272">
        <v>22180</v>
      </c>
      <c r="Z51" s="272">
        <v>1075</v>
      </c>
    </row>
    <row r="52" spans="1:26" x14ac:dyDescent="0.25">
      <c r="A52" s="11">
        <v>40087</v>
      </c>
      <c r="B52" s="45">
        <v>3595</v>
      </c>
      <c r="C52" s="254">
        <f t="shared" si="2"/>
        <v>119838</v>
      </c>
      <c r="D52" s="51">
        <v>54625</v>
      </c>
      <c r="E52" s="51">
        <v>59989</v>
      </c>
      <c r="F52" s="52">
        <v>5224</v>
      </c>
      <c r="G52" s="257">
        <f t="shared" si="3"/>
        <v>1722.7719999999999</v>
      </c>
      <c r="H52" s="51">
        <v>829.524</v>
      </c>
      <c r="I52" s="52">
        <v>893.24800000000005</v>
      </c>
      <c r="J52" s="259">
        <f t="shared" si="1"/>
        <v>140.70699999999999</v>
      </c>
      <c r="K52" s="37">
        <v>129.03</v>
      </c>
      <c r="L52" s="37">
        <v>6.9</v>
      </c>
      <c r="M52" s="38">
        <v>4.7770000000000001</v>
      </c>
      <c r="N52" s="261">
        <f t="shared" si="4"/>
        <v>572.47081391666666</v>
      </c>
      <c r="O52" s="32">
        <v>539.69077691666666</v>
      </c>
      <c r="P52" s="32">
        <v>1.6978E-2</v>
      </c>
      <c r="Q52" s="32">
        <v>26.354058999999999</v>
      </c>
      <c r="R52" s="262">
        <f>S52+T52</f>
        <v>6.4089999999999998</v>
      </c>
      <c r="S52" s="32">
        <v>1.9470000000000001</v>
      </c>
      <c r="T52" s="32">
        <v>4.4619999999999997</v>
      </c>
      <c r="U52" s="64">
        <v>363</v>
      </c>
      <c r="V52" s="52">
        <v>26454</v>
      </c>
      <c r="W52" s="272">
        <v>388096</v>
      </c>
      <c r="X52" s="285">
        <f t="shared" si="5"/>
        <v>28034</v>
      </c>
      <c r="Y52" s="272">
        <v>26996</v>
      </c>
      <c r="Z52" s="272">
        <v>1038</v>
      </c>
    </row>
    <row r="53" spans="1:26" x14ac:dyDescent="0.25">
      <c r="A53" s="11">
        <v>40118</v>
      </c>
      <c r="B53" s="45">
        <v>3906</v>
      </c>
      <c r="C53" s="254">
        <f t="shared" si="2"/>
        <v>132119</v>
      </c>
      <c r="D53" s="51">
        <v>58714</v>
      </c>
      <c r="E53" s="51">
        <v>67443</v>
      </c>
      <c r="F53" s="52">
        <v>5962</v>
      </c>
      <c r="G53" s="257">
        <f t="shared" si="3"/>
        <v>1880.6219999999998</v>
      </c>
      <c r="H53" s="51">
        <v>945.59100000000001</v>
      </c>
      <c r="I53" s="52">
        <v>935.03099999999995</v>
      </c>
      <c r="J53" s="259">
        <f t="shared" si="1"/>
        <v>172.33499999999998</v>
      </c>
      <c r="K53" s="37">
        <v>151.69999999999999</v>
      </c>
      <c r="L53" s="37">
        <v>17</v>
      </c>
      <c r="M53" s="38">
        <v>3.6349999999999998</v>
      </c>
      <c r="N53" s="261">
        <f t="shared" si="4"/>
        <v>531.6339999999999</v>
      </c>
      <c r="O53" s="32">
        <v>282.15546499999994</v>
      </c>
      <c r="P53" s="32">
        <v>134.60411500000001</v>
      </c>
      <c r="Q53" s="32">
        <v>109.29042</v>
      </c>
      <c r="R53" s="262">
        <f>S53+T53</f>
        <v>5.5840000000000005</v>
      </c>
      <c r="S53" s="32">
        <v>3.8490000000000002</v>
      </c>
      <c r="T53" s="32">
        <v>1.7350000000000001</v>
      </c>
      <c r="U53" s="64">
        <v>332</v>
      </c>
      <c r="V53" s="52">
        <v>25137</v>
      </c>
      <c r="W53" s="272">
        <v>379024</v>
      </c>
      <c r="X53" s="285">
        <f t="shared" si="5"/>
        <v>23694</v>
      </c>
      <c r="Y53" s="272">
        <v>21894</v>
      </c>
      <c r="Z53" s="272">
        <v>1800</v>
      </c>
    </row>
    <row r="54" spans="1:26" x14ac:dyDescent="0.25">
      <c r="A54" s="11">
        <v>40148</v>
      </c>
      <c r="B54" s="45">
        <v>3701</v>
      </c>
      <c r="C54" s="254">
        <f t="shared" si="2"/>
        <v>142451</v>
      </c>
      <c r="D54" s="51">
        <v>63475</v>
      </c>
      <c r="E54" s="51">
        <v>68970</v>
      </c>
      <c r="F54" s="52">
        <v>10006</v>
      </c>
      <c r="G54" s="257">
        <f t="shared" si="3"/>
        <v>1941.1549999999997</v>
      </c>
      <c r="H54" s="51">
        <v>1043.5999999999999</v>
      </c>
      <c r="I54" s="52">
        <v>897.55499999999995</v>
      </c>
      <c r="J54" s="259">
        <f t="shared" si="1"/>
        <v>166.649</v>
      </c>
      <c r="K54" s="37">
        <v>141.86500000000001</v>
      </c>
      <c r="L54" s="37">
        <v>18.75</v>
      </c>
      <c r="M54" s="38">
        <v>6.0339999999999998</v>
      </c>
      <c r="N54" s="261">
        <f t="shared" si="4"/>
        <v>447.767</v>
      </c>
      <c r="O54" s="32">
        <v>321.25682</v>
      </c>
      <c r="P54" s="32">
        <v>0.113858</v>
      </c>
      <c r="Q54" s="32">
        <v>119.47532200000001</v>
      </c>
      <c r="R54" s="262">
        <f>S54+T54</f>
        <v>6.9209999999999994</v>
      </c>
      <c r="S54" s="32">
        <v>4.3719999999999999</v>
      </c>
      <c r="T54" s="32">
        <v>2.5489999999999999</v>
      </c>
      <c r="U54" s="64">
        <v>300</v>
      </c>
      <c r="V54" s="52">
        <v>29513</v>
      </c>
      <c r="W54" s="272">
        <v>344133</v>
      </c>
      <c r="X54" s="285">
        <f t="shared" si="5"/>
        <v>22956</v>
      </c>
      <c r="Y54" s="272">
        <v>21901</v>
      </c>
      <c r="Z54" s="272">
        <v>1055</v>
      </c>
    </row>
    <row r="55" spans="1:26" x14ac:dyDescent="0.25">
      <c r="A55" s="11">
        <v>40179</v>
      </c>
      <c r="B55" s="45">
        <v>3693</v>
      </c>
      <c r="C55" s="254">
        <f t="shared" si="2"/>
        <v>151056</v>
      </c>
      <c r="D55" s="51">
        <v>71584</v>
      </c>
      <c r="E55" s="51">
        <v>68517</v>
      </c>
      <c r="F55" s="52">
        <v>10955</v>
      </c>
      <c r="G55" s="257">
        <f t="shared" si="3"/>
        <v>2032.6979999999999</v>
      </c>
      <c r="H55" s="51">
        <v>1220.672</v>
      </c>
      <c r="I55" s="52">
        <v>812.02599999999995</v>
      </c>
      <c r="J55" s="259">
        <f t="shared" ref="J55:J86" si="8">+K55+L55+M55</f>
        <v>167.261</v>
      </c>
      <c r="K55" s="37">
        <v>129.19899999999998</v>
      </c>
      <c r="L55" s="37">
        <v>30.3</v>
      </c>
      <c r="M55" s="38">
        <v>7.7619999999999996</v>
      </c>
      <c r="N55" s="261">
        <f t="shared" ref="N55:N86" si="9">+O55+P55+Q55+R55</f>
        <v>775.96053500000005</v>
      </c>
      <c r="O55" s="32">
        <v>710.31392200000005</v>
      </c>
      <c r="P55" s="32">
        <v>0.92107799999999995</v>
      </c>
      <c r="Q55" s="32">
        <v>58.028534999999998</v>
      </c>
      <c r="R55" s="262">
        <v>6.6969999999999992</v>
      </c>
      <c r="S55" s="32">
        <v>3.1829999999999998</v>
      </c>
      <c r="T55" s="32">
        <v>3.5139999999999998</v>
      </c>
      <c r="U55" s="64">
        <v>353</v>
      </c>
      <c r="V55" s="52">
        <v>27826</v>
      </c>
      <c r="W55" s="272">
        <v>346753</v>
      </c>
      <c r="X55" s="285">
        <f t="shared" si="5"/>
        <v>23828</v>
      </c>
      <c r="Y55" s="272">
        <v>21007</v>
      </c>
      <c r="Z55" s="272">
        <v>2821</v>
      </c>
    </row>
    <row r="56" spans="1:26" x14ac:dyDescent="0.25">
      <c r="A56" s="11">
        <v>40210</v>
      </c>
      <c r="B56" s="45">
        <v>3439</v>
      </c>
      <c r="C56" s="254">
        <f t="shared" si="2"/>
        <v>131799</v>
      </c>
      <c r="D56" s="51">
        <v>66179</v>
      </c>
      <c r="E56" s="51">
        <v>62393</v>
      </c>
      <c r="F56" s="52">
        <v>3227</v>
      </c>
      <c r="G56" s="257">
        <f t="shared" si="3"/>
        <v>1882.7890000000002</v>
      </c>
      <c r="H56" s="51">
        <v>1125.94</v>
      </c>
      <c r="I56" s="52">
        <v>756.84900000000005</v>
      </c>
      <c r="J56" s="259">
        <f t="shared" si="8"/>
        <v>447.26299999999998</v>
      </c>
      <c r="K56" s="37">
        <f>440.32-L56</f>
        <v>424.71999999999997</v>
      </c>
      <c r="L56" s="37">
        <v>15.6</v>
      </c>
      <c r="M56" s="38">
        <v>6.9429999999999996</v>
      </c>
      <c r="N56" s="261">
        <f t="shared" si="9"/>
        <v>591.95799999999986</v>
      </c>
      <c r="O56" s="32">
        <f>583.865-(P56+Q56)</f>
        <v>396.13109600000001</v>
      </c>
      <c r="P56" s="32">
        <v>128.41562099999999</v>
      </c>
      <c r="Q56" s="32">
        <v>59.318283000000001</v>
      </c>
      <c r="R56" s="262">
        <f t="shared" ref="R56:R65" si="10">T56+S56</f>
        <v>8.093</v>
      </c>
      <c r="S56" s="32">
        <v>3.5350000000000001</v>
      </c>
      <c r="T56" s="32">
        <v>4.5579999999999998</v>
      </c>
      <c r="U56" s="64">
        <v>321</v>
      </c>
      <c r="V56" s="52">
        <v>27824</v>
      </c>
      <c r="W56" s="272">
        <v>250827</v>
      </c>
      <c r="X56" s="285">
        <f t="shared" si="5"/>
        <v>28313</v>
      </c>
      <c r="Y56" s="272">
        <v>22138</v>
      </c>
      <c r="Z56" s="272">
        <v>6175</v>
      </c>
    </row>
    <row r="57" spans="1:26" x14ac:dyDescent="0.25">
      <c r="A57" s="11">
        <v>40238</v>
      </c>
      <c r="B57" s="45">
        <v>3880</v>
      </c>
      <c r="C57" s="254">
        <f t="shared" si="2"/>
        <v>144316</v>
      </c>
      <c r="D57" s="51">
        <v>80436</v>
      </c>
      <c r="E57" s="51">
        <v>59811</v>
      </c>
      <c r="F57" s="52">
        <v>4069</v>
      </c>
      <c r="G57" s="257">
        <f t="shared" si="3"/>
        <v>2487.4659999999999</v>
      </c>
      <c r="H57" s="51">
        <v>1548.884</v>
      </c>
      <c r="I57" s="52">
        <v>938.58199999999999</v>
      </c>
      <c r="J57" s="259">
        <f t="shared" si="8"/>
        <v>215.41299999999998</v>
      </c>
      <c r="K57" s="37">
        <f>208.742-L57</f>
        <v>194.09199999999998</v>
      </c>
      <c r="L57" s="37">
        <v>14.65</v>
      </c>
      <c r="M57" s="38">
        <v>6.6710000000000003</v>
      </c>
      <c r="N57" s="261">
        <f t="shared" si="9"/>
        <v>822.91700000000003</v>
      </c>
      <c r="O57" s="32">
        <f>813.279-(P57+Q57)</f>
        <v>640.81760599999996</v>
      </c>
      <c r="P57" s="32">
        <v>0.132824</v>
      </c>
      <c r="Q57" s="32">
        <v>172.32857000000001</v>
      </c>
      <c r="R57" s="262">
        <f t="shared" si="10"/>
        <v>9.6379999999999999</v>
      </c>
      <c r="S57" s="32">
        <v>6.1959999999999997</v>
      </c>
      <c r="T57" s="32">
        <v>3.4420000000000002</v>
      </c>
      <c r="U57" s="64">
        <v>365</v>
      </c>
      <c r="V57" s="52">
        <v>36048</v>
      </c>
      <c r="W57" s="272">
        <v>464442</v>
      </c>
      <c r="X57" s="285">
        <f t="shared" si="5"/>
        <v>34515.9</v>
      </c>
      <c r="Y57" s="272">
        <v>27371.9</v>
      </c>
      <c r="Z57" s="272">
        <v>7144</v>
      </c>
    </row>
    <row r="58" spans="1:26" x14ac:dyDescent="0.25">
      <c r="A58" s="11">
        <v>40269</v>
      </c>
      <c r="B58" s="45">
        <v>4495</v>
      </c>
      <c r="C58" s="254">
        <f t="shared" si="2"/>
        <v>131586</v>
      </c>
      <c r="D58" s="51">
        <v>73513</v>
      </c>
      <c r="E58" s="51">
        <v>53656</v>
      </c>
      <c r="F58" s="52">
        <v>4417</v>
      </c>
      <c r="G58" s="257">
        <f t="shared" si="3"/>
        <v>1874.12</v>
      </c>
      <c r="H58" s="51">
        <v>1048.8889999999999</v>
      </c>
      <c r="I58" s="52">
        <v>825.23099999999999</v>
      </c>
      <c r="J58" s="259">
        <f t="shared" si="8"/>
        <v>199.411</v>
      </c>
      <c r="K58" s="37">
        <f>188.988-L58</f>
        <v>176.488</v>
      </c>
      <c r="L58" s="37">
        <v>12.5</v>
      </c>
      <c r="M58" s="38">
        <v>10.423</v>
      </c>
      <c r="N58" s="261">
        <f t="shared" si="9"/>
        <v>876.70499999999993</v>
      </c>
      <c r="O58" s="32">
        <f>863.818-(P58+Q58)</f>
        <v>791.84480299999996</v>
      </c>
      <c r="P58" s="32">
        <v>0.57307600000000003</v>
      </c>
      <c r="Q58" s="32">
        <v>71.400120999999999</v>
      </c>
      <c r="R58" s="262">
        <f t="shared" si="10"/>
        <v>12.887</v>
      </c>
      <c r="S58" s="32">
        <v>5.9379999999999997</v>
      </c>
      <c r="T58" s="32">
        <v>6.9489999999999998</v>
      </c>
      <c r="U58" s="64">
        <v>355</v>
      </c>
      <c r="V58" s="52">
        <v>40939</v>
      </c>
      <c r="W58" s="272">
        <v>434655</v>
      </c>
      <c r="X58" s="285">
        <f t="shared" si="5"/>
        <v>30730</v>
      </c>
      <c r="Y58" s="272">
        <v>24818</v>
      </c>
      <c r="Z58" s="272">
        <v>5912</v>
      </c>
    </row>
    <row r="59" spans="1:26" x14ac:dyDescent="0.25">
      <c r="A59" s="11">
        <v>40299</v>
      </c>
      <c r="B59" s="45">
        <v>3740</v>
      </c>
      <c r="C59" s="254">
        <f t="shared" si="2"/>
        <v>115845</v>
      </c>
      <c r="D59" s="51">
        <v>62402</v>
      </c>
      <c r="E59" s="51">
        <v>50453</v>
      </c>
      <c r="F59" s="52">
        <v>2990</v>
      </c>
      <c r="G59" s="257">
        <f t="shared" si="3"/>
        <v>2190.1369999999997</v>
      </c>
      <c r="H59" s="51">
        <v>1313.568</v>
      </c>
      <c r="I59" s="52">
        <v>876.56899999999996</v>
      </c>
      <c r="J59" s="259">
        <f t="shared" si="8"/>
        <v>216.56700000000001</v>
      </c>
      <c r="K59" s="37">
        <f>207.025-L59</f>
        <v>183.32500000000002</v>
      </c>
      <c r="L59" s="37">
        <v>23.7</v>
      </c>
      <c r="M59" s="38">
        <v>9.5419999999999998</v>
      </c>
      <c r="N59" s="261">
        <f t="shared" si="9"/>
        <v>544.75900000000001</v>
      </c>
      <c r="O59" s="32">
        <f>527.421-(P59+Q59)</f>
        <v>250.19517800000006</v>
      </c>
      <c r="P59" s="32">
        <v>129.20416499999999</v>
      </c>
      <c r="Q59" s="32">
        <v>148.021657</v>
      </c>
      <c r="R59" s="262">
        <f t="shared" si="10"/>
        <v>17.338000000000001</v>
      </c>
      <c r="S59" s="32">
        <v>6.056</v>
      </c>
      <c r="T59" s="32">
        <v>11.282</v>
      </c>
      <c r="U59" s="64">
        <v>367</v>
      </c>
      <c r="V59" s="52">
        <v>46684</v>
      </c>
      <c r="W59" s="272">
        <v>316832</v>
      </c>
      <c r="X59" s="285">
        <f t="shared" si="5"/>
        <v>30856</v>
      </c>
      <c r="Y59" s="272">
        <v>26334</v>
      </c>
      <c r="Z59" s="272">
        <v>4522</v>
      </c>
    </row>
    <row r="60" spans="1:26" x14ac:dyDescent="0.25">
      <c r="A60" s="11">
        <v>40330</v>
      </c>
      <c r="B60" s="45">
        <v>3231</v>
      </c>
      <c r="C60" s="254">
        <f t="shared" si="2"/>
        <v>112555</v>
      </c>
      <c r="D60" s="51">
        <v>53433</v>
      </c>
      <c r="E60" s="51">
        <v>49440</v>
      </c>
      <c r="F60" s="52">
        <v>9682</v>
      </c>
      <c r="G60" s="257">
        <f t="shared" si="3"/>
        <v>2089.1280000000002</v>
      </c>
      <c r="H60" s="51">
        <v>1193.3530000000001</v>
      </c>
      <c r="I60" s="52">
        <v>895.77499999999998</v>
      </c>
      <c r="J60" s="259">
        <f t="shared" si="8"/>
        <v>217.655</v>
      </c>
      <c r="K60" s="37">
        <f>207.519-L60</f>
        <v>194.71899999999999</v>
      </c>
      <c r="L60" s="37">
        <v>12.8</v>
      </c>
      <c r="M60" s="38">
        <v>10.135999999999999</v>
      </c>
      <c r="N60" s="261">
        <f t="shared" si="9"/>
        <v>861.44399999999996</v>
      </c>
      <c r="O60" s="32">
        <f>853.467-(P60+Q60)</f>
        <v>825.719695</v>
      </c>
      <c r="P60" s="32">
        <v>0.35294999999999999</v>
      </c>
      <c r="Q60" s="32">
        <v>27.394355000000001</v>
      </c>
      <c r="R60" s="262">
        <f t="shared" si="10"/>
        <v>7.9770000000000003</v>
      </c>
      <c r="S60" s="32">
        <v>3.9279999999999999</v>
      </c>
      <c r="T60" s="32">
        <v>4.0490000000000004</v>
      </c>
      <c r="U60" s="64">
        <v>344</v>
      </c>
      <c r="V60" s="52">
        <v>44571</v>
      </c>
      <c r="W60" s="272">
        <v>326466</v>
      </c>
      <c r="X60" s="285">
        <f t="shared" si="5"/>
        <v>23555</v>
      </c>
      <c r="Y60" s="272">
        <v>21131</v>
      </c>
      <c r="Z60" s="272">
        <v>2424</v>
      </c>
    </row>
    <row r="61" spans="1:26" x14ac:dyDescent="0.25">
      <c r="A61" s="11">
        <v>40360</v>
      </c>
      <c r="B61" s="45">
        <v>3187</v>
      </c>
      <c r="C61" s="254">
        <f t="shared" si="2"/>
        <v>165500</v>
      </c>
      <c r="D61" s="51">
        <v>68856</v>
      </c>
      <c r="E61" s="51">
        <v>75489</v>
      </c>
      <c r="F61" s="52">
        <v>21155</v>
      </c>
      <c r="G61" s="257">
        <f t="shared" si="3"/>
        <v>2132.3829999999998</v>
      </c>
      <c r="H61" s="51">
        <v>1200.8710000000001</v>
      </c>
      <c r="I61" s="52">
        <v>931.51199999999994</v>
      </c>
      <c r="J61" s="259">
        <f t="shared" si="8"/>
        <v>140.57400000000001</v>
      </c>
      <c r="K61" s="37">
        <f>132.93-L61</f>
        <v>121.43</v>
      </c>
      <c r="L61" s="37">
        <v>11.5</v>
      </c>
      <c r="M61" s="38">
        <v>7.6440000000000001</v>
      </c>
      <c r="N61" s="261">
        <f t="shared" si="9"/>
        <v>794.02499999999998</v>
      </c>
      <c r="O61" s="32">
        <f>786.132-(P61+Q61)</f>
        <v>592.53875199999993</v>
      </c>
      <c r="P61" s="32">
        <v>136.00513000000001</v>
      </c>
      <c r="Q61" s="32">
        <v>57.588118000000001</v>
      </c>
      <c r="R61" s="262">
        <f t="shared" si="10"/>
        <v>7.8929999999999998</v>
      </c>
      <c r="S61" s="32">
        <v>4.7409999999999997</v>
      </c>
      <c r="T61" s="32">
        <v>3.1520000000000001</v>
      </c>
      <c r="U61" s="64">
        <v>393</v>
      </c>
      <c r="V61" s="52">
        <v>55686</v>
      </c>
      <c r="W61" s="272">
        <v>297892</v>
      </c>
      <c r="X61" s="285">
        <f t="shared" si="5"/>
        <v>30784</v>
      </c>
      <c r="Y61" s="272">
        <v>28989</v>
      </c>
      <c r="Z61" s="272">
        <v>1795</v>
      </c>
    </row>
    <row r="62" spans="1:26" x14ac:dyDescent="0.25">
      <c r="A62" s="11">
        <v>40391</v>
      </c>
      <c r="B62" s="45">
        <v>2840</v>
      </c>
      <c r="C62" s="254">
        <f t="shared" si="2"/>
        <v>158452</v>
      </c>
      <c r="D62" s="51">
        <v>82004</v>
      </c>
      <c r="E62" s="51">
        <v>55196</v>
      </c>
      <c r="F62" s="52">
        <v>21252</v>
      </c>
      <c r="G62" s="257">
        <f t="shared" si="3"/>
        <v>1965.299</v>
      </c>
      <c r="H62" s="51">
        <v>1065.1110000000001</v>
      </c>
      <c r="I62" s="52">
        <v>900.18799999999999</v>
      </c>
      <c r="J62" s="259">
        <f t="shared" si="8"/>
        <v>177.43199999999999</v>
      </c>
      <c r="K62" s="37">
        <f>170.731-L62</f>
        <v>154.631</v>
      </c>
      <c r="L62" s="37">
        <v>16.100000000000001</v>
      </c>
      <c r="M62" s="38">
        <v>6.7009999999999996</v>
      </c>
      <c r="N62" s="261">
        <f t="shared" si="9"/>
        <v>472.61400000000003</v>
      </c>
      <c r="O62" s="32">
        <f>465.473-(P62+Q62)</f>
        <v>381.23728400000005</v>
      </c>
      <c r="P62" s="32">
        <v>3.4476E-2</v>
      </c>
      <c r="Q62" s="32">
        <v>84.201239999999999</v>
      </c>
      <c r="R62" s="262">
        <f t="shared" si="10"/>
        <v>7.141</v>
      </c>
      <c r="S62" s="32">
        <v>4.3970000000000002</v>
      </c>
      <c r="T62" s="32">
        <v>2.7440000000000002</v>
      </c>
      <c r="U62" s="64">
        <v>380</v>
      </c>
      <c r="V62" s="52">
        <v>44711</v>
      </c>
      <c r="W62" s="272">
        <v>281563</v>
      </c>
      <c r="X62" s="285">
        <f t="shared" si="5"/>
        <v>21982</v>
      </c>
      <c r="Y62" s="272">
        <v>19731</v>
      </c>
      <c r="Z62" s="272">
        <v>2251</v>
      </c>
    </row>
    <row r="63" spans="1:26" x14ac:dyDescent="0.25">
      <c r="A63" s="11">
        <v>40422</v>
      </c>
      <c r="B63" s="45">
        <v>2734</v>
      </c>
      <c r="C63" s="254">
        <f t="shared" si="2"/>
        <v>124086</v>
      </c>
      <c r="D63" s="51">
        <v>59813</v>
      </c>
      <c r="E63" s="51">
        <v>52015</v>
      </c>
      <c r="F63" s="52">
        <v>12258</v>
      </c>
      <c r="G63" s="257">
        <f t="shared" si="3"/>
        <v>1628.6489999999999</v>
      </c>
      <c r="H63" s="51">
        <v>904.83500000000004</v>
      </c>
      <c r="I63" s="52">
        <v>723.81399999999996</v>
      </c>
      <c r="J63" s="259">
        <f t="shared" si="8"/>
        <v>114.024</v>
      </c>
      <c r="K63" s="37">
        <f>108.251-L63</f>
        <v>102.751</v>
      </c>
      <c r="L63" s="37">
        <v>5.5</v>
      </c>
      <c r="M63" s="38">
        <v>5.7729999999999997</v>
      </c>
      <c r="N63" s="261">
        <f t="shared" si="9"/>
        <v>817.45400000000006</v>
      </c>
      <c r="O63" s="33">
        <f>810.301-(P63+Q63)</f>
        <v>595.74866800000007</v>
      </c>
      <c r="P63" s="33">
        <v>135.32992999999999</v>
      </c>
      <c r="Q63" s="33">
        <v>79.222402000000002</v>
      </c>
      <c r="R63" s="262">
        <f t="shared" si="10"/>
        <v>7.1530000000000005</v>
      </c>
      <c r="S63" s="33">
        <v>4.8310000000000004</v>
      </c>
      <c r="T63" s="33">
        <v>2.3220000000000001</v>
      </c>
      <c r="U63" s="64">
        <v>348</v>
      </c>
      <c r="V63" s="52">
        <v>23490</v>
      </c>
      <c r="W63" s="272">
        <v>266405</v>
      </c>
      <c r="X63" s="285">
        <f t="shared" si="5"/>
        <v>20793</v>
      </c>
      <c r="Y63" s="272">
        <v>19671</v>
      </c>
      <c r="Z63" s="272">
        <v>1122</v>
      </c>
    </row>
    <row r="64" spans="1:26" x14ac:dyDescent="0.25">
      <c r="A64" s="11">
        <v>40452</v>
      </c>
      <c r="B64" s="45">
        <v>3967</v>
      </c>
      <c r="C64" s="254">
        <f t="shared" si="2"/>
        <v>148187</v>
      </c>
      <c r="D64" s="51">
        <v>64024</v>
      </c>
      <c r="E64" s="51">
        <v>60888</v>
      </c>
      <c r="F64" s="52">
        <v>23275</v>
      </c>
      <c r="G64" s="257">
        <f t="shared" si="3"/>
        <v>1823.7950000000001</v>
      </c>
      <c r="H64" s="51">
        <v>933.96299999999997</v>
      </c>
      <c r="I64" s="52">
        <v>889.83199999999999</v>
      </c>
      <c r="J64" s="259">
        <f t="shared" si="8"/>
        <v>187.94</v>
      </c>
      <c r="K64" s="37">
        <f>182.579-L64</f>
        <v>163.07900000000001</v>
      </c>
      <c r="L64" s="37">
        <v>19.5</v>
      </c>
      <c r="M64" s="38">
        <v>5.3609999999999998</v>
      </c>
      <c r="N64" s="261">
        <f t="shared" si="9"/>
        <v>618.59900000000005</v>
      </c>
      <c r="O64" s="33">
        <f>614.051-(P64+Q64)</f>
        <v>545.37822200000005</v>
      </c>
      <c r="P64" s="33">
        <v>0</v>
      </c>
      <c r="Q64" s="33">
        <v>68.672777999999994</v>
      </c>
      <c r="R64" s="262">
        <f t="shared" si="10"/>
        <v>4.548</v>
      </c>
      <c r="S64" s="33">
        <v>2.3109999999999999</v>
      </c>
      <c r="T64" s="33">
        <v>2.2370000000000001</v>
      </c>
      <c r="U64" s="64">
        <v>371</v>
      </c>
      <c r="V64" s="52">
        <v>31083</v>
      </c>
      <c r="W64" s="272">
        <v>296074</v>
      </c>
      <c r="X64" s="285">
        <f t="shared" si="5"/>
        <v>24461</v>
      </c>
      <c r="Y64" s="272">
        <v>23031</v>
      </c>
      <c r="Z64" s="272">
        <v>1430</v>
      </c>
    </row>
    <row r="65" spans="1:26" x14ac:dyDescent="0.25">
      <c r="A65" s="11">
        <v>40483</v>
      </c>
      <c r="B65" s="45">
        <v>3746</v>
      </c>
      <c r="C65" s="254">
        <f t="shared" si="2"/>
        <v>162090</v>
      </c>
      <c r="D65" s="51">
        <v>66950</v>
      </c>
      <c r="E65" s="51">
        <v>70958</v>
      </c>
      <c r="F65" s="52">
        <v>24182</v>
      </c>
      <c r="G65" s="257">
        <f t="shared" si="3"/>
        <v>1871</v>
      </c>
      <c r="H65" s="51">
        <v>980</v>
      </c>
      <c r="I65" s="52">
        <v>891</v>
      </c>
      <c r="J65" s="259">
        <f t="shared" si="8"/>
        <v>239.50299999999999</v>
      </c>
      <c r="K65" s="37">
        <f>235.106-L65</f>
        <v>207.10599999999999</v>
      </c>
      <c r="L65" s="37">
        <v>28</v>
      </c>
      <c r="M65" s="38">
        <v>4.3970000000000002</v>
      </c>
      <c r="N65" s="261">
        <f t="shared" si="9"/>
        <v>776.99099999999999</v>
      </c>
      <c r="O65" s="33">
        <f>770.878-(P65+Q65)</f>
        <v>692.99720000000002</v>
      </c>
      <c r="P65" s="33">
        <v>8.9155999999999999E-2</v>
      </c>
      <c r="Q65" s="33">
        <v>77.791644000000005</v>
      </c>
      <c r="R65" s="262">
        <f t="shared" si="10"/>
        <v>6.1129999999999995</v>
      </c>
      <c r="S65" s="33">
        <v>4.4279999999999999</v>
      </c>
      <c r="T65" s="33">
        <v>1.6850000000000001</v>
      </c>
      <c r="U65" s="64">
        <v>356</v>
      </c>
      <c r="V65" s="52">
        <v>27697</v>
      </c>
      <c r="W65" s="272">
        <v>257401</v>
      </c>
      <c r="X65" s="285">
        <f t="shared" si="5"/>
        <v>22325</v>
      </c>
      <c r="Y65" s="272">
        <v>20989</v>
      </c>
      <c r="Z65" s="272">
        <v>1336</v>
      </c>
    </row>
    <row r="66" spans="1:26" x14ac:dyDescent="0.25">
      <c r="A66" s="11">
        <v>40513</v>
      </c>
      <c r="B66" s="45">
        <v>5222</v>
      </c>
      <c r="C66" s="254">
        <f t="shared" si="2"/>
        <v>187951</v>
      </c>
      <c r="D66" s="51">
        <v>84227</v>
      </c>
      <c r="E66" s="51">
        <v>78062</v>
      </c>
      <c r="F66" s="52">
        <v>25662</v>
      </c>
      <c r="G66" s="257">
        <f t="shared" si="3"/>
        <v>2422</v>
      </c>
      <c r="H66" s="51">
        <v>1506</v>
      </c>
      <c r="I66" s="52">
        <v>916</v>
      </c>
      <c r="J66" s="259">
        <f t="shared" si="8"/>
        <v>196.41300000000001</v>
      </c>
      <c r="K66" s="37">
        <v>170.48599999999999</v>
      </c>
      <c r="L66" s="37">
        <v>14.3</v>
      </c>
      <c r="M66" s="38">
        <v>11.627000000000001</v>
      </c>
      <c r="N66" s="261">
        <f t="shared" si="9"/>
        <v>704.85399999999993</v>
      </c>
      <c r="O66" s="33">
        <v>500.68790999999999</v>
      </c>
      <c r="P66" s="33">
        <v>129.51595499999999</v>
      </c>
      <c r="Q66" s="33">
        <v>59.105134999999997</v>
      </c>
      <c r="R66" s="262">
        <v>15.545</v>
      </c>
      <c r="S66" s="33">
        <v>5.875</v>
      </c>
      <c r="T66" s="33">
        <v>9.67</v>
      </c>
      <c r="U66" s="64">
        <v>360</v>
      </c>
      <c r="V66" s="52">
        <v>30879</v>
      </c>
      <c r="W66" s="272">
        <v>271879</v>
      </c>
      <c r="X66" s="285">
        <f t="shared" si="5"/>
        <v>25190</v>
      </c>
      <c r="Y66" s="272">
        <v>21714</v>
      </c>
      <c r="Z66" s="272">
        <v>3476</v>
      </c>
    </row>
    <row r="67" spans="1:26" x14ac:dyDescent="0.25">
      <c r="A67" s="11">
        <v>40544</v>
      </c>
      <c r="B67" s="45">
        <v>3561</v>
      </c>
      <c r="C67" s="254">
        <f t="shared" si="2"/>
        <v>171286</v>
      </c>
      <c r="D67" s="51">
        <v>74768</v>
      </c>
      <c r="E67" s="51">
        <v>80027</v>
      </c>
      <c r="F67" s="52">
        <v>16491</v>
      </c>
      <c r="G67" s="257">
        <f t="shared" si="3"/>
        <v>2129.616</v>
      </c>
      <c r="H67" s="51">
        <v>1191.5820000000001</v>
      </c>
      <c r="I67" s="52">
        <v>938.03399999999999</v>
      </c>
      <c r="J67" s="259">
        <f t="shared" si="8"/>
        <v>228.96799999999999</v>
      </c>
      <c r="K67" s="37">
        <v>191.875</v>
      </c>
      <c r="L67" s="37">
        <v>25.78</v>
      </c>
      <c r="M67" s="38">
        <v>11.313000000000001</v>
      </c>
      <c r="N67" s="261">
        <f t="shared" si="9"/>
        <v>715.101</v>
      </c>
      <c r="O67" s="33">
        <v>575.95535899999993</v>
      </c>
      <c r="P67" s="33">
        <v>0</v>
      </c>
      <c r="Q67" s="33">
        <v>127.926641</v>
      </c>
      <c r="R67" s="262">
        <f t="shared" ref="R67:R98" si="11">T67+S67</f>
        <v>11.219000000000001</v>
      </c>
      <c r="S67" s="33">
        <v>5.476</v>
      </c>
      <c r="T67" s="33">
        <v>5.7430000000000003</v>
      </c>
      <c r="U67" s="64">
        <v>360</v>
      </c>
      <c r="V67" s="52">
        <v>26843</v>
      </c>
      <c r="W67" s="272">
        <v>172482</v>
      </c>
      <c r="X67" s="285">
        <f t="shared" si="5"/>
        <v>30270</v>
      </c>
      <c r="Y67" s="272">
        <v>22096</v>
      </c>
      <c r="Z67" s="272">
        <v>8174</v>
      </c>
    </row>
    <row r="68" spans="1:26" x14ac:dyDescent="0.25">
      <c r="A68" s="11">
        <v>40575</v>
      </c>
      <c r="B68" s="45">
        <v>2795</v>
      </c>
      <c r="C68" s="254">
        <f t="shared" si="2"/>
        <v>169418</v>
      </c>
      <c r="D68" s="51">
        <v>78793</v>
      </c>
      <c r="E68" s="51">
        <v>78225</v>
      </c>
      <c r="F68" s="52">
        <v>12400</v>
      </c>
      <c r="G68" s="257">
        <f t="shared" si="3"/>
        <v>1968.6120000000001</v>
      </c>
      <c r="H68" s="51">
        <v>1079.797</v>
      </c>
      <c r="I68" s="52">
        <v>888.81500000000005</v>
      </c>
      <c r="J68" s="259">
        <f t="shared" si="8"/>
        <v>210.048</v>
      </c>
      <c r="K68" s="37">
        <v>188.17699999999999</v>
      </c>
      <c r="L68" s="37">
        <v>9.8000000000000007</v>
      </c>
      <c r="M68" s="38">
        <v>12.071</v>
      </c>
      <c r="N68" s="261">
        <f t="shared" si="9"/>
        <v>775.428</v>
      </c>
      <c r="O68" s="33">
        <v>762.35310700000002</v>
      </c>
      <c r="P68" s="33">
        <v>0</v>
      </c>
      <c r="Q68" s="33">
        <v>2.613893</v>
      </c>
      <c r="R68" s="262">
        <f t="shared" si="11"/>
        <v>10.461</v>
      </c>
      <c r="S68" s="33">
        <v>5.2350000000000003</v>
      </c>
      <c r="T68" s="33">
        <v>5.226</v>
      </c>
      <c r="U68" s="64">
        <v>330</v>
      </c>
      <c r="V68" s="52">
        <v>30661</v>
      </c>
      <c r="W68" s="272">
        <v>193938</v>
      </c>
      <c r="X68" s="285">
        <f t="shared" si="5"/>
        <v>27879</v>
      </c>
      <c r="Y68" s="272">
        <v>21215</v>
      </c>
      <c r="Z68" s="272">
        <v>6664</v>
      </c>
    </row>
    <row r="69" spans="1:26" x14ac:dyDescent="0.25">
      <c r="A69" s="11">
        <v>40603</v>
      </c>
      <c r="B69" s="45">
        <v>3026</v>
      </c>
      <c r="C69" s="254">
        <f t="shared" si="2"/>
        <v>173761</v>
      </c>
      <c r="D69" s="51">
        <v>86591</v>
      </c>
      <c r="E69" s="51">
        <v>69858</v>
      </c>
      <c r="F69" s="52">
        <v>17312</v>
      </c>
      <c r="G69" s="257">
        <f t="shared" si="3"/>
        <v>2522.1959999999999</v>
      </c>
      <c r="H69" s="51">
        <v>1249.6130000000001</v>
      </c>
      <c r="I69" s="52">
        <v>1272.5830000000001</v>
      </c>
      <c r="J69" s="259">
        <f t="shared" si="8"/>
        <v>278.04699999999997</v>
      </c>
      <c r="K69" s="37">
        <v>242.70899999999997</v>
      </c>
      <c r="L69" s="37">
        <v>23.024999999999999</v>
      </c>
      <c r="M69" s="38">
        <v>12.313000000000001</v>
      </c>
      <c r="N69" s="261">
        <f t="shared" si="9"/>
        <v>743.76499999999999</v>
      </c>
      <c r="O69" s="33">
        <v>527.59275000000002</v>
      </c>
      <c r="P69" s="33">
        <v>123.093349</v>
      </c>
      <c r="Q69" s="33">
        <v>76.126901000000004</v>
      </c>
      <c r="R69" s="262">
        <f t="shared" si="11"/>
        <v>16.951999999999998</v>
      </c>
      <c r="S69" s="33">
        <v>5.6219999999999999</v>
      </c>
      <c r="T69" s="33">
        <v>11.33</v>
      </c>
      <c r="U69" s="64">
        <v>362</v>
      </c>
      <c r="V69" s="52">
        <v>38873</v>
      </c>
      <c r="W69" s="272">
        <v>250305</v>
      </c>
      <c r="X69" s="285">
        <f t="shared" si="5"/>
        <v>32365</v>
      </c>
      <c r="Y69" s="272">
        <v>23940</v>
      </c>
      <c r="Z69" s="272">
        <v>8425</v>
      </c>
    </row>
    <row r="70" spans="1:26" x14ac:dyDescent="0.25">
      <c r="A70" s="11">
        <v>40634</v>
      </c>
      <c r="B70" s="45">
        <v>4093</v>
      </c>
      <c r="C70" s="254">
        <f t="shared" si="2"/>
        <v>163743</v>
      </c>
      <c r="D70" s="51">
        <v>78634</v>
      </c>
      <c r="E70" s="51">
        <v>69091</v>
      </c>
      <c r="F70" s="52">
        <v>16018</v>
      </c>
      <c r="G70" s="257">
        <f t="shared" si="3"/>
        <v>2231.201</v>
      </c>
      <c r="H70" s="51">
        <v>1115.8209999999999</v>
      </c>
      <c r="I70" s="52">
        <v>1115.3800000000001</v>
      </c>
      <c r="J70" s="259">
        <f t="shared" si="8"/>
        <v>868.327</v>
      </c>
      <c r="K70" s="37">
        <v>830.02700000000004</v>
      </c>
      <c r="L70" s="37">
        <v>22.66</v>
      </c>
      <c r="M70" s="38">
        <v>15.64</v>
      </c>
      <c r="N70" s="261">
        <f t="shared" si="9"/>
        <v>758.69</v>
      </c>
      <c r="O70" s="33">
        <v>663.36233900000002</v>
      </c>
      <c r="P70" s="33">
        <v>0</v>
      </c>
      <c r="Q70" s="33">
        <v>59.569661000000004</v>
      </c>
      <c r="R70" s="262">
        <f t="shared" si="11"/>
        <v>35.757999999999996</v>
      </c>
      <c r="S70" s="33">
        <v>6.2119999999999997</v>
      </c>
      <c r="T70" s="33">
        <v>29.545999999999999</v>
      </c>
      <c r="U70" s="64">
        <v>383</v>
      </c>
      <c r="V70" s="52">
        <v>38538</v>
      </c>
      <c r="W70" s="272">
        <v>197838</v>
      </c>
      <c r="X70" s="285">
        <f t="shared" si="5"/>
        <v>27061</v>
      </c>
      <c r="Y70" s="272">
        <v>21888</v>
      </c>
      <c r="Z70" s="272">
        <v>5173</v>
      </c>
    </row>
    <row r="71" spans="1:26" x14ac:dyDescent="0.25">
      <c r="A71" s="11">
        <v>40664</v>
      </c>
      <c r="B71" s="45">
        <v>3626</v>
      </c>
      <c r="C71" s="254">
        <f t="shared" si="2"/>
        <v>144156</v>
      </c>
      <c r="D71" s="51">
        <v>73613</v>
      </c>
      <c r="E71" s="51">
        <v>60874</v>
      </c>
      <c r="F71" s="52">
        <v>9669</v>
      </c>
      <c r="G71" s="257">
        <f t="shared" si="3"/>
        <v>2276.0770000000002</v>
      </c>
      <c r="H71" s="51">
        <v>1077.1579999999999</v>
      </c>
      <c r="I71" s="52">
        <v>1198.9190000000001</v>
      </c>
      <c r="J71" s="259">
        <f t="shared" si="8"/>
        <v>285.17500000000001</v>
      </c>
      <c r="K71" s="37">
        <v>245.18800000000002</v>
      </c>
      <c r="L71" s="37">
        <v>23.6</v>
      </c>
      <c r="M71" s="38">
        <v>16.387</v>
      </c>
      <c r="N71" s="261">
        <f t="shared" si="9"/>
        <v>772.65499999999997</v>
      </c>
      <c r="O71" s="33">
        <v>573.27327000000002</v>
      </c>
      <c r="P71" s="33">
        <v>122.114144</v>
      </c>
      <c r="Q71" s="33">
        <v>47.805585999999998</v>
      </c>
      <c r="R71" s="262">
        <f t="shared" si="11"/>
        <v>29.462</v>
      </c>
      <c r="S71" s="33">
        <v>7.0670000000000002</v>
      </c>
      <c r="T71" s="33">
        <v>22.395</v>
      </c>
      <c r="U71" s="64">
        <v>394</v>
      </c>
      <c r="V71" s="52">
        <v>42177</v>
      </c>
      <c r="W71" s="272">
        <v>246451</v>
      </c>
      <c r="X71" s="285">
        <f t="shared" si="5"/>
        <v>20803</v>
      </c>
      <c r="Y71" s="272">
        <v>18167</v>
      </c>
      <c r="Z71" s="272">
        <v>2636</v>
      </c>
    </row>
    <row r="72" spans="1:26" x14ac:dyDescent="0.25">
      <c r="A72" s="11">
        <v>40695</v>
      </c>
      <c r="B72" s="45">
        <v>2808</v>
      </c>
      <c r="C72" s="254">
        <f t="shared" ref="C72:C135" si="12">SUM(D72:F72)</f>
        <v>133283</v>
      </c>
      <c r="D72" s="51">
        <v>62640</v>
      </c>
      <c r="E72" s="51">
        <v>61801</v>
      </c>
      <c r="F72" s="52">
        <v>8842</v>
      </c>
      <c r="G72" s="257">
        <f t="shared" ref="G72:G135" si="13">H72+I72</f>
        <v>2459.41</v>
      </c>
      <c r="H72" s="51">
        <v>1361.8520000000001</v>
      </c>
      <c r="I72" s="52">
        <v>1097.558</v>
      </c>
      <c r="J72" s="259">
        <f t="shared" si="8"/>
        <v>238.88900000000001</v>
      </c>
      <c r="K72" s="37">
        <v>199.50200000000001</v>
      </c>
      <c r="L72" s="37">
        <v>28.815999999999999</v>
      </c>
      <c r="M72" s="38">
        <v>10.571</v>
      </c>
      <c r="N72" s="261">
        <f t="shared" si="9"/>
        <v>582.11099999999999</v>
      </c>
      <c r="O72" s="33">
        <v>520.96434399999998</v>
      </c>
      <c r="P72" s="33">
        <v>0.102774</v>
      </c>
      <c r="Q72" s="33">
        <v>42.727882000000001</v>
      </c>
      <c r="R72" s="262">
        <f t="shared" si="11"/>
        <v>18.316000000000003</v>
      </c>
      <c r="S72" s="33">
        <v>6.16</v>
      </c>
      <c r="T72" s="33">
        <v>12.156000000000001</v>
      </c>
      <c r="U72" s="64">
        <v>363</v>
      </c>
      <c r="V72" s="52">
        <v>50287</v>
      </c>
      <c r="W72" s="272">
        <v>199244</v>
      </c>
      <c r="X72" s="285">
        <f t="shared" ref="X72:X135" si="14">Y72+Z72</f>
        <v>24478</v>
      </c>
      <c r="Y72" s="272">
        <v>19017</v>
      </c>
      <c r="Z72" s="272">
        <v>5461</v>
      </c>
    </row>
    <row r="73" spans="1:26" x14ac:dyDescent="0.25">
      <c r="A73" s="11">
        <v>40725</v>
      </c>
      <c r="B73" s="45">
        <v>3179</v>
      </c>
      <c r="C73" s="254">
        <f t="shared" si="12"/>
        <v>161145</v>
      </c>
      <c r="D73" s="51">
        <v>74558</v>
      </c>
      <c r="E73" s="51">
        <v>74686</v>
      </c>
      <c r="F73" s="52">
        <v>11901</v>
      </c>
      <c r="G73" s="257">
        <f t="shared" si="13"/>
        <v>2146.598</v>
      </c>
      <c r="H73" s="51">
        <v>1275.1500000000001</v>
      </c>
      <c r="I73" s="52">
        <v>871.44799999999998</v>
      </c>
      <c r="J73" s="259">
        <f t="shared" si="8"/>
        <v>256.51499999999999</v>
      </c>
      <c r="K73" s="37">
        <v>242.80100000000002</v>
      </c>
      <c r="L73" s="37">
        <v>3.1</v>
      </c>
      <c r="M73" s="38">
        <v>10.614000000000001</v>
      </c>
      <c r="N73" s="261">
        <f t="shared" si="9"/>
        <v>1183.9289999999999</v>
      </c>
      <c r="O73" s="33">
        <v>1090.2582459999999</v>
      </c>
      <c r="P73" s="33">
        <v>1.6633629999999999</v>
      </c>
      <c r="Q73" s="33">
        <v>82.598391000000007</v>
      </c>
      <c r="R73" s="262">
        <f t="shared" si="11"/>
        <v>9.4089999999999989</v>
      </c>
      <c r="S73" s="33">
        <v>6.9409999999999998</v>
      </c>
      <c r="T73" s="33">
        <v>2.468</v>
      </c>
      <c r="U73" s="64">
        <v>466</v>
      </c>
      <c r="V73" s="52">
        <v>65294</v>
      </c>
      <c r="W73" s="272">
        <v>191088</v>
      </c>
      <c r="X73" s="285">
        <f t="shared" si="14"/>
        <v>22426</v>
      </c>
      <c r="Y73" s="272">
        <v>18581</v>
      </c>
      <c r="Z73" s="272">
        <v>3845</v>
      </c>
    </row>
    <row r="74" spans="1:26" x14ac:dyDescent="0.25">
      <c r="A74" s="11">
        <v>40756</v>
      </c>
      <c r="B74" s="45">
        <v>2675</v>
      </c>
      <c r="C74" s="254">
        <f t="shared" si="12"/>
        <v>141602</v>
      </c>
      <c r="D74" s="51">
        <v>72585</v>
      </c>
      <c r="E74" s="51">
        <v>58277</v>
      </c>
      <c r="F74" s="52">
        <v>10740</v>
      </c>
      <c r="G74" s="257">
        <f t="shared" si="13"/>
        <v>2069.69</v>
      </c>
      <c r="H74" s="51">
        <v>1086.6020000000001</v>
      </c>
      <c r="I74" s="52">
        <v>983.08799999999997</v>
      </c>
      <c r="J74" s="259">
        <f t="shared" si="8"/>
        <v>247.09699999999998</v>
      </c>
      <c r="K74" s="37">
        <v>216.755</v>
      </c>
      <c r="L74" s="37">
        <v>22.35</v>
      </c>
      <c r="M74" s="38">
        <v>7.992</v>
      </c>
      <c r="N74" s="261">
        <f t="shared" si="9"/>
        <v>703.21900000000005</v>
      </c>
      <c r="O74" s="33">
        <v>474.56365700000003</v>
      </c>
      <c r="P74" s="33">
        <v>128.087267</v>
      </c>
      <c r="Q74" s="33">
        <v>90.988076000000007</v>
      </c>
      <c r="R74" s="262">
        <f t="shared" si="11"/>
        <v>9.58</v>
      </c>
      <c r="S74" s="33">
        <v>6.5750000000000002</v>
      </c>
      <c r="T74" s="33">
        <v>3.0049999999999999</v>
      </c>
      <c r="U74" s="64">
        <v>349</v>
      </c>
      <c r="V74" s="52">
        <v>24980</v>
      </c>
      <c r="W74" s="272">
        <v>175009</v>
      </c>
      <c r="X74" s="285">
        <f t="shared" si="14"/>
        <v>23961</v>
      </c>
      <c r="Y74" s="272">
        <v>18647</v>
      </c>
      <c r="Z74" s="272">
        <v>5314</v>
      </c>
    </row>
    <row r="75" spans="1:26" x14ac:dyDescent="0.25">
      <c r="A75" s="11">
        <v>40787</v>
      </c>
      <c r="B75" s="45">
        <v>3084</v>
      </c>
      <c r="C75" s="254">
        <f t="shared" si="12"/>
        <v>135172</v>
      </c>
      <c r="D75" s="51">
        <v>67765</v>
      </c>
      <c r="E75" s="51">
        <v>61860</v>
      </c>
      <c r="F75" s="52">
        <v>5547</v>
      </c>
      <c r="G75" s="257">
        <f t="shared" si="13"/>
        <v>1903.4929999999999</v>
      </c>
      <c r="H75" s="51">
        <v>840.37199999999996</v>
      </c>
      <c r="I75" s="52">
        <v>1063.1210000000001</v>
      </c>
      <c r="J75" s="259">
        <f t="shared" si="8"/>
        <v>221.03</v>
      </c>
      <c r="K75" s="37">
        <v>193.08500000000001</v>
      </c>
      <c r="L75" s="37">
        <v>22.5</v>
      </c>
      <c r="M75" s="38">
        <v>5.4450000000000003</v>
      </c>
      <c r="N75" s="261">
        <f t="shared" si="9"/>
        <v>821.92000000000019</v>
      </c>
      <c r="O75" s="33">
        <v>620.66858500000012</v>
      </c>
      <c r="P75" s="33">
        <v>122.902106</v>
      </c>
      <c r="Q75" s="33">
        <v>67.773308999999998</v>
      </c>
      <c r="R75" s="262">
        <f t="shared" si="11"/>
        <v>10.576000000000001</v>
      </c>
      <c r="S75" s="33">
        <v>6.3470000000000004</v>
      </c>
      <c r="T75" s="33">
        <v>4.2290000000000001</v>
      </c>
      <c r="U75" s="64">
        <v>342</v>
      </c>
      <c r="V75" s="52">
        <v>35563</v>
      </c>
      <c r="W75" s="272">
        <v>181067</v>
      </c>
      <c r="X75" s="285">
        <f t="shared" si="14"/>
        <v>17838</v>
      </c>
      <c r="Y75" s="272">
        <v>15322</v>
      </c>
      <c r="Z75" s="272">
        <v>2516</v>
      </c>
    </row>
    <row r="76" spans="1:26" x14ac:dyDescent="0.25">
      <c r="A76" s="11">
        <v>40817</v>
      </c>
      <c r="B76" s="45">
        <v>3476</v>
      </c>
      <c r="C76" s="254">
        <f t="shared" si="12"/>
        <v>149063</v>
      </c>
      <c r="D76" s="51">
        <v>63505</v>
      </c>
      <c r="E76" s="51">
        <v>73950</v>
      </c>
      <c r="F76" s="52">
        <v>11608</v>
      </c>
      <c r="G76" s="257">
        <f t="shared" si="13"/>
        <v>1803.9949999999999</v>
      </c>
      <c r="H76" s="51">
        <v>806.23500000000001</v>
      </c>
      <c r="I76" s="52">
        <v>997.76</v>
      </c>
      <c r="J76" s="259">
        <f t="shared" si="8"/>
        <v>206.88399999999999</v>
      </c>
      <c r="K76" s="37">
        <v>191.32</v>
      </c>
      <c r="L76" s="37">
        <v>8</v>
      </c>
      <c r="M76" s="38">
        <v>7.5640000000000001</v>
      </c>
      <c r="N76" s="261">
        <f t="shared" si="9"/>
        <v>1051.212</v>
      </c>
      <c r="O76" s="33">
        <v>968.51108600000009</v>
      </c>
      <c r="P76" s="33">
        <v>0.14283299999999999</v>
      </c>
      <c r="Q76" s="33">
        <v>76.892081000000005</v>
      </c>
      <c r="R76" s="262">
        <f t="shared" si="11"/>
        <v>5.6660000000000004</v>
      </c>
      <c r="S76" s="33">
        <v>3.5150000000000001</v>
      </c>
      <c r="T76" s="33">
        <v>2.1509999999999998</v>
      </c>
      <c r="U76" s="64">
        <v>351</v>
      </c>
      <c r="V76" s="52">
        <v>28645</v>
      </c>
      <c r="W76" s="272">
        <v>217351</v>
      </c>
      <c r="X76" s="285">
        <f t="shared" si="14"/>
        <v>17499</v>
      </c>
      <c r="Y76" s="272">
        <v>14040</v>
      </c>
      <c r="Z76" s="272">
        <v>3459</v>
      </c>
    </row>
    <row r="77" spans="1:26" x14ac:dyDescent="0.25">
      <c r="A77" s="11">
        <v>40848</v>
      </c>
      <c r="B77" s="45">
        <v>3704</v>
      </c>
      <c r="C77" s="254">
        <f t="shared" si="12"/>
        <v>162547</v>
      </c>
      <c r="D77" s="51">
        <v>70285</v>
      </c>
      <c r="E77" s="51">
        <v>80142</v>
      </c>
      <c r="F77" s="52">
        <v>12120</v>
      </c>
      <c r="G77" s="257">
        <f t="shared" si="13"/>
        <v>1504.086</v>
      </c>
      <c r="H77" s="51">
        <v>727.73699999999997</v>
      </c>
      <c r="I77" s="52">
        <v>776.34900000000005</v>
      </c>
      <c r="J77" s="259">
        <f t="shared" si="8"/>
        <v>217.78299999999999</v>
      </c>
      <c r="K77" s="37">
        <v>191.01</v>
      </c>
      <c r="L77" s="37">
        <v>23.72</v>
      </c>
      <c r="M77" s="38">
        <v>3.0529999999999999</v>
      </c>
      <c r="N77" s="261">
        <f t="shared" si="9"/>
        <v>678.14399999999989</v>
      </c>
      <c r="O77" s="33">
        <v>566.44409299999995</v>
      </c>
      <c r="P77" s="33">
        <v>0.19816500000000001</v>
      </c>
      <c r="Q77" s="33">
        <v>102.792742</v>
      </c>
      <c r="R77" s="262">
        <f t="shared" si="11"/>
        <v>8.7089999999999996</v>
      </c>
      <c r="S77" s="33">
        <v>4.8730000000000002</v>
      </c>
      <c r="T77" s="33">
        <v>3.8359999999999999</v>
      </c>
      <c r="U77" s="64">
        <v>330</v>
      </c>
      <c r="V77" s="52">
        <v>24221</v>
      </c>
      <c r="W77" s="272">
        <v>187396</v>
      </c>
      <c r="X77" s="285">
        <f t="shared" si="14"/>
        <v>21227</v>
      </c>
      <c r="Y77" s="272">
        <v>19663</v>
      </c>
      <c r="Z77" s="272">
        <v>1564</v>
      </c>
    </row>
    <row r="78" spans="1:26" x14ac:dyDescent="0.25">
      <c r="A78" s="11">
        <v>40878</v>
      </c>
      <c r="B78" s="45">
        <v>3396</v>
      </c>
      <c r="C78" s="254">
        <f t="shared" si="12"/>
        <v>194587</v>
      </c>
      <c r="D78" s="51">
        <v>77813</v>
      </c>
      <c r="E78" s="51">
        <v>90920</v>
      </c>
      <c r="F78" s="52">
        <v>25854</v>
      </c>
      <c r="G78" s="257">
        <f t="shared" si="13"/>
        <v>1844.165</v>
      </c>
      <c r="H78" s="51">
        <v>1248.0440000000001</v>
      </c>
      <c r="I78" s="52">
        <v>596.12099999999998</v>
      </c>
      <c r="J78" s="259">
        <f t="shared" si="8"/>
        <v>346.54200000000003</v>
      </c>
      <c r="K78" s="37">
        <v>324.49400000000003</v>
      </c>
      <c r="L78" s="37">
        <v>15.5</v>
      </c>
      <c r="M78" s="38">
        <v>6.548</v>
      </c>
      <c r="N78" s="261">
        <f t="shared" si="9"/>
        <v>815.31700000000001</v>
      </c>
      <c r="O78" s="33">
        <v>498.71461999999997</v>
      </c>
      <c r="P78" s="33">
        <v>124.491264</v>
      </c>
      <c r="Q78" s="33">
        <v>182.58211600000001</v>
      </c>
      <c r="R78" s="262">
        <f t="shared" si="11"/>
        <v>9.5289999999999999</v>
      </c>
      <c r="S78" s="33">
        <v>5.7309999999999999</v>
      </c>
      <c r="T78" s="33">
        <v>3.798</v>
      </c>
      <c r="U78" s="64">
        <v>358</v>
      </c>
      <c r="V78" s="52">
        <v>29363</v>
      </c>
      <c r="W78" s="272">
        <v>222545</v>
      </c>
      <c r="X78" s="285">
        <f t="shared" si="14"/>
        <v>18286</v>
      </c>
      <c r="Y78" s="272">
        <v>14718</v>
      </c>
      <c r="Z78" s="272">
        <v>3568</v>
      </c>
    </row>
    <row r="79" spans="1:26" x14ac:dyDescent="0.25">
      <c r="A79" s="11">
        <v>40909</v>
      </c>
      <c r="B79" s="45">
        <v>3224</v>
      </c>
      <c r="C79" s="254">
        <f t="shared" si="12"/>
        <v>184694</v>
      </c>
      <c r="D79" s="51">
        <v>82757</v>
      </c>
      <c r="E79" s="51">
        <v>82592</v>
      </c>
      <c r="F79" s="52">
        <v>19345</v>
      </c>
      <c r="G79" s="257">
        <f t="shared" si="13"/>
        <v>2122.1279999999997</v>
      </c>
      <c r="H79" s="51">
        <v>1257.4739999999999</v>
      </c>
      <c r="I79" s="52">
        <v>864.654</v>
      </c>
      <c r="J79" s="259">
        <f t="shared" si="8"/>
        <v>321.46600000000001</v>
      </c>
      <c r="K79" s="37">
        <v>279.423</v>
      </c>
      <c r="L79" s="37">
        <v>27.95</v>
      </c>
      <c r="M79" s="38">
        <v>14.093</v>
      </c>
      <c r="N79" s="261">
        <f t="shared" si="9"/>
        <v>808.20399999999995</v>
      </c>
      <c r="O79" s="33">
        <v>639.22797300000002</v>
      </c>
      <c r="P79" s="33">
        <v>122.745025</v>
      </c>
      <c r="Q79" s="33">
        <v>27.820001999999999</v>
      </c>
      <c r="R79" s="262">
        <f t="shared" si="11"/>
        <v>18.411000000000001</v>
      </c>
      <c r="S79" s="33">
        <v>4.9340000000000002</v>
      </c>
      <c r="T79" s="33">
        <v>13.477</v>
      </c>
      <c r="U79" s="64">
        <v>347</v>
      </c>
      <c r="V79" s="52">
        <v>24254</v>
      </c>
      <c r="W79" s="272">
        <v>207941</v>
      </c>
      <c r="X79" s="285">
        <f t="shared" si="14"/>
        <v>20697</v>
      </c>
      <c r="Y79" s="272">
        <v>16256</v>
      </c>
      <c r="Z79" s="272">
        <v>4441</v>
      </c>
    </row>
    <row r="80" spans="1:26" x14ac:dyDescent="0.25">
      <c r="A80" s="11">
        <v>40940</v>
      </c>
      <c r="B80" s="45">
        <v>3241</v>
      </c>
      <c r="C80" s="254">
        <f t="shared" si="12"/>
        <v>136218</v>
      </c>
      <c r="D80" s="51">
        <v>71412</v>
      </c>
      <c r="E80" s="51">
        <v>56385</v>
      </c>
      <c r="F80" s="52">
        <v>8421</v>
      </c>
      <c r="G80" s="257">
        <f t="shared" si="13"/>
        <v>2000.376</v>
      </c>
      <c r="H80" s="51">
        <v>1052.4259999999999</v>
      </c>
      <c r="I80" s="52">
        <v>947.95</v>
      </c>
      <c r="J80" s="259">
        <f t="shared" si="8"/>
        <v>235.62900000000002</v>
      </c>
      <c r="K80" s="37">
        <v>195.19500000000002</v>
      </c>
      <c r="L80" s="37">
        <v>27.2</v>
      </c>
      <c r="M80" s="38">
        <v>13.234</v>
      </c>
      <c r="N80" s="261">
        <f t="shared" si="9"/>
        <v>659.99699999999996</v>
      </c>
      <c r="O80" s="33">
        <v>523.87654199999997</v>
      </c>
      <c r="P80" s="33">
        <v>8.9200000000000002E-2</v>
      </c>
      <c r="Q80" s="33">
        <v>107.458258</v>
      </c>
      <c r="R80" s="262">
        <f t="shared" si="11"/>
        <v>28.573</v>
      </c>
      <c r="S80" s="33">
        <v>3.992</v>
      </c>
      <c r="T80" s="33">
        <v>24.581</v>
      </c>
      <c r="U80" s="64">
        <v>296</v>
      </c>
      <c r="V80" s="52">
        <v>19656</v>
      </c>
      <c r="W80" s="272">
        <v>189515</v>
      </c>
      <c r="X80" s="285">
        <f t="shared" si="14"/>
        <v>20432</v>
      </c>
      <c r="Y80" s="272">
        <v>14774</v>
      </c>
      <c r="Z80" s="272">
        <v>5658</v>
      </c>
    </row>
    <row r="81" spans="1:26" x14ac:dyDescent="0.25">
      <c r="A81" s="11">
        <v>40969</v>
      </c>
      <c r="B81" s="45">
        <v>2507</v>
      </c>
      <c r="C81" s="254">
        <f t="shared" si="12"/>
        <v>137060</v>
      </c>
      <c r="D81" s="51">
        <v>69728</v>
      </c>
      <c r="E81" s="51">
        <v>57443</v>
      </c>
      <c r="F81" s="52">
        <v>9889</v>
      </c>
      <c r="G81" s="257">
        <f t="shared" si="13"/>
        <v>2542.9349999999999</v>
      </c>
      <c r="H81" s="51">
        <v>1556.5930000000001</v>
      </c>
      <c r="I81" s="52">
        <v>986.34199999999998</v>
      </c>
      <c r="J81" s="259">
        <f t="shared" si="8"/>
        <v>321.55399999999997</v>
      </c>
      <c r="K81" s="37">
        <v>291.923</v>
      </c>
      <c r="L81" s="37">
        <v>20.7</v>
      </c>
      <c r="M81" s="38">
        <v>8.9309999999999992</v>
      </c>
      <c r="N81" s="261">
        <f t="shared" si="9"/>
        <v>1074.383</v>
      </c>
      <c r="O81" s="33">
        <v>857.45102700000007</v>
      </c>
      <c r="P81" s="33">
        <v>127.147423</v>
      </c>
      <c r="Q81" s="33">
        <v>51.180549999999997</v>
      </c>
      <c r="R81" s="262">
        <f t="shared" si="11"/>
        <v>38.603999999999999</v>
      </c>
      <c r="S81" s="33">
        <v>4.7869999999999999</v>
      </c>
      <c r="T81" s="33">
        <v>33.817</v>
      </c>
      <c r="U81" s="64">
        <v>326</v>
      </c>
      <c r="V81" s="52">
        <v>26260</v>
      </c>
      <c r="W81" s="272">
        <v>213841</v>
      </c>
      <c r="X81" s="285">
        <f t="shared" si="14"/>
        <v>20803</v>
      </c>
      <c r="Y81" s="272">
        <v>12738</v>
      </c>
      <c r="Z81" s="272">
        <v>8065</v>
      </c>
    </row>
    <row r="82" spans="1:26" x14ac:dyDescent="0.25">
      <c r="A82" s="11">
        <v>41000</v>
      </c>
      <c r="B82" s="45">
        <v>2770</v>
      </c>
      <c r="C82" s="254">
        <f t="shared" si="12"/>
        <v>147207</v>
      </c>
      <c r="D82" s="51">
        <v>74700</v>
      </c>
      <c r="E82" s="51">
        <v>63883</v>
      </c>
      <c r="F82" s="52">
        <v>8624</v>
      </c>
      <c r="G82" s="257">
        <f t="shared" si="13"/>
        <v>2282.0569999999998</v>
      </c>
      <c r="H82" s="51">
        <v>1262.3530000000001</v>
      </c>
      <c r="I82" s="52">
        <v>1019.704</v>
      </c>
      <c r="J82" s="259">
        <f t="shared" si="8"/>
        <v>230.34900000000005</v>
      </c>
      <c r="K82" s="37">
        <v>176.26800000000003</v>
      </c>
      <c r="L82" s="37">
        <v>34.799999999999997</v>
      </c>
      <c r="M82" s="38">
        <v>19.280999999999999</v>
      </c>
      <c r="N82" s="261">
        <f t="shared" si="9"/>
        <v>666.20299999999997</v>
      </c>
      <c r="O82" s="33">
        <v>593.22184499999992</v>
      </c>
      <c r="P82" s="33">
        <v>5.7487000000000003E-2</v>
      </c>
      <c r="Q82" s="33">
        <v>29.784668</v>
      </c>
      <c r="R82" s="262">
        <f t="shared" si="11"/>
        <v>43.138999999999996</v>
      </c>
      <c r="S82" s="33">
        <v>5.04</v>
      </c>
      <c r="T82" s="33">
        <v>38.098999999999997</v>
      </c>
      <c r="U82" s="64">
        <v>354</v>
      </c>
      <c r="V82" s="52">
        <v>29875</v>
      </c>
      <c r="W82" s="272">
        <v>191741</v>
      </c>
      <c r="X82" s="285">
        <f t="shared" si="14"/>
        <v>19745</v>
      </c>
      <c r="Y82" s="272">
        <v>12307</v>
      </c>
      <c r="Z82" s="272">
        <v>7438</v>
      </c>
    </row>
    <row r="83" spans="1:26" x14ac:dyDescent="0.25">
      <c r="A83" s="11">
        <v>41030</v>
      </c>
      <c r="B83" s="45">
        <v>2300</v>
      </c>
      <c r="C83" s="254">
        <f t="shared" si="12"/>
        <v>128165</v>
      </c>
      <c r="D83" s="51">
        <v>64759</v>
      </c>
      <c r="E83" s="51">
        <v>55616</v>
      </c>
      <c r="F83" s="52">
        <v>7790</v>
      </c>
      <c r="G83" s="257">
        <f t="shared" si="13"/>
        <v>2346.4610000000002</v>
      </c>
      <c r="H83" s="51">
        <v>1251.5</v>
      </c>
      <c r="I83" s="52">
        <v>1094.961</v>
      </c>
      <c r="J83" s="259">
        <f t="shared" si="8"/>
        <v>293.96899999999999</v>
      </c>
      <c r="K83" s="37">
        <v>233.09399999999999</v>
      </c>
      <c r="L83" s="37">
        <v>38.700000000000003</v>
      </c>
      <c r="M83" s="38">
        <v>22.175000000000001</v>
      </c>
      <c r="N83" s="261">
        <f t="shared" si="9"/>
        <v>808.48900000000003</v>
      </c>
      <c r="O83" s="33">
        <v>602.36570200000006</v>
      </c>
      <c r="P83" s="33">
        <v>123.59163599999999</v>
      </c>
      <c r="Q83" s="33">
        <v>71.059662000000003</v>
      </c>
      <c r="R83" s="262">
        <f t="shared" si="11"/>
        <v>11.472000000000001</v>
      </c>
      <c r="S83" s="33">
        <v>5.57</v>
      </c>
      <c r="T83" s="33">
        <v>5.9020000000000001</v>
      </c>
      <c r="U83" s="64">
        <v>328</v>
      </c>
      <c r="V83" s="52">
        <v>41594</v>
      </c>
      <c r="W83" s="272">
        <v>201009</v>
      </c>
      <c r="X83" s="285">
        <f t="shared" si="14"/>
        <v>19222</v>
      </c>
      <c r="Y83" s="272">
        <v>12583</v>
      </c>
      <c r="Z83" s="272">
        <v>6639</v>
      </c>
    </row>
    <row r="84" spans="1:26" x14ac:dyDescent="0.25">
      <c r="A84" s="11">
        <v>41061</v>
      </c>
      <c r="B84" s="45">
        <v>2419</v>
      </c>
      <c r="C84" s="254">
        <f t="shared" si="12"/>
        <v>131739</v>
      </c>
      <c r="D84" s="51">
        <v>61825</v>
      </c>
      <c r="E84" s="51">
        <v>60956</v>
      </c>
      <c r="F84" s="52">
        <v>8958</v>
      </c>
      <c r="G84" s="257">
        <f t="shared" si="13"/>
        <v>2197.1010000000001</v>
      </c>
      <c r="H84" s="51">
        <v>1109.1030000000001</v>
      </c>
      <c r="I84" s="52">
        <v>1087.998</v>
      </c>
      <c r="J84" s="259">
        <f t="shared" si="8"/>
        <v>279.85499999999996</v>
      </c>
      <c r="K84" s="37">
        <v>255.13299999999998</v>
      </c>
      <c r="L84" s="37">
        <v>12.5</v>
      </c>
      <c r="M84" s="38">
        <v>12.222</v>
      </c>
      <c r="N84" s="261">
        <f t="shared" si="9"/>
        <v>661.721</v>
      </c>
      <c r="O84" s="33">
        <v>434.03178700000001</v>
      </c>
      <c r="P84" s="33">
        <v>123.515033</v>
      </c>
      <c r="Q84" s="33">
        <v>95.707179999999994</v>
      </c>
      <c r="R84" s="262">
        <f t="shared" si="11"/>
        <v>8.4669999999999987</v>
      </c>
      <c r="S84" s="33">
        <v>4.38</v>
      </c>
      <c r="T84" s="33">
        <v>4.0869999999999997</v>
      </c>
      <c r="U84" s="64">
        <v>416</v>
      </c>
      <c r="V84" s="52">
        <v>52710</v>
      </c>
      <c r="W84" s="272">
        <v>201442</v>
      </c>
      <c r="X84" s="285">
        <f t="shared" si="14"/>
        <v>18281</v>
      </c>
      <c r="Y84" s="272">
        <v>12675</v>
      </c>
      <c r="Z84" s="272">
        <v>5606</v>
      </c>
    </row>
    <row r="85" spans="1:26" x14ac:dyDescent="0.25">
      <c r="A85" s="11">
        <v>41091</v>
      </c>
      <c r="B85" s="45">
        <v>2527</v>
      </c>
      <c r="C85" s="254">
        <f t="shared" si="12"/>
        <v>153171</v>
      </c>
      <c r="D85" s="51">
        <v>69980</v>
      </c>
      <c r="E85" s="51">
        <v>72203</v>
      </c>
      <c r="F85" s="52">
        <v>10988</v>
      </c>
      <c r="G85" s="257">
        <f t="shared" si="13"/>
        <v>2506.5309999999999</v>
      </c>
      <c r="H85" s="51">
        <v>1420.31</v>
      </c>
      <c r="I85" s="52">
        <v>1086.221</v>
      </c>
      <c r="J85" s="259">
        <f t="shared" si="8"/>
        <v>305.12800000000004</v>
      </c>
      <c r="K85" s="37">
        <v>248.92700000000002</v>
      </c>
      <c r="L85" s="37">
        <v>44.5</v>
      </c>
      <c r="M85" s="38">
        <v>11.701000000000001</v>
      </c>
      <c r="N85" s="261">
        <f t="shared" si="9"/>
        <v>1023.474</v>
      </c>
      <c r="O85" s="33">
        <v>928.90953300000001</v>
      </c>
      <c r="P85" s="33">
        <v>0.47014</v>
      </c>
      <c r="Q85" s="33">
        <v>81.879327000000004</v>
      </c>
      <c r="R85" s="262">
        <f t="shared" si="11"/>
        <v>12.215</v>
      </c>
      <c r="S85" s="33">
        <v>4.3019999999999996</v>
      </c>
      <c r="T85" s="33">
        <v>7.9130000000000003</v>
      </c>
      <c r="U85" s="64">
        <v>366</v>
      </c>
      <c r="V85" s="52">
        <v>47836</v>
      </c>
      <c r="W85" s="272">
        <v>209272</v>
      </c>
      <c r="X85" s="285">
        <f t="shared" si="14"/>
        <v>16547</v>
      </c>
      <c r="Y85" s="272">
        <v>13988</v>
      </c>
      <c r="Z85" s="272">
        <v>2559</v>
      </c>
    </row>
    <row r="86" spans="1:26" x14ac:dyDescent="0.25">
      <c r="A86" s="11">
        <v>41122</v>
      </c>
      <c r="B86" s="45">
        <v>1965</v>
      </c>
      <c r="C86" s="254">
        <f t="shared" si="12"/>
        <v>140019</v>
      </c>
      <c r="D86" s="51">
        <v>69410</v>
      </c>
      <c r="E86" s="51">
        <v>61047</v>
      </c>
      <c r="F86" s="52">
        <v>9562</v>
      </c>
      <c r="G86" s="257">
        <f t="shared" si="13"/>
        <v>1904.6770000000001</v>
      </c>
      <c r="H86" s="51">
        <v>1063.2460000000001</v>
      </c>
      <c r="I86" s="52">
        <v>841.43100000000004</v>
      </c>
      <c r="J86" s="259">
        <f t="shared" si="8"/>
        <v>258.62200000000001</v>
      </c>
      <c r="K86" s="37">
        <v>234.79900000000001</v>
      </c>
      <c r="L86" s="37">
        <v>13.2</v>
      </c>
      <c r="M86" s="38">
        <v>10.622999999999999</v>
      </c>
      <c r="N86" s="261">
        <f t="shared" si="9"/>
        <v>792.39600000000007</v>
      </c>
      <c r="O86" s="33">
        <v>602.69784200000004</v>
      </c>
      <c r="P86" s="33">
        <v>127.95080400000001</v>
      </c>
      <c r="Q86" s="33">
        <v>44.679353999999996</v>
      </c>
      <c r="R86" s="262">
        <f t="shared" si="11"/>
        <v>17.067999999999998</v>
      </c>
      <c r="S86" s="33">
        <v>4.032</v>
      </c>
      <c r="T86" s="33">
        <v>13.036</v>
      </c>
      <c r="U86" s="64">
        <v>370</v>
      </c>
      <c r="V86" s="52">
        <v>28446</v>
      </c>
      <c r="W86" s="272">
        <v>185882</v>
      </c>
      <c r="X86" s="285">
        <f t="shared" si="14"/>
        <v>11794</v>
      </c>
      <c r="Y86" s="272">
        <v>10618</v>
      </c>
      <c r="Z86" s="272">
        <v>1176</v>
      </c>
    </row>
    <row r="87" spans="1:26" x14ac:dyDescent="0.25">
      <c r="A87" s="11">
        <v>41153</v>
      </c>
      <c r="B87" s="45">
        <v>2623</v>
      </c>
      <c r="C87" s="254">
        <f t="shared" si="12"/>
        <v>143610</v>
      </c>
      <c r="D87" s="51">
        <v>71401</v>
      </c>
      <c r="E87" s="51">
        <v>60838</v>
      </c>
      <c r="F87" s="52">
        <v>11371</v>
      </c>
      <c r="G87" s="257">
        <f t="shared" si="13"/>
        <v>1890.028</v>
      </c>
      <c r="H87" s="51">
        <v>1056.923</v>
      </c>
      <c r="I87" s="52">
        <v>833.10500000000002</v>
      </c>
      <c r="J87" s="259">
        <f t="shared" ref="J87:J118" si="15">+K87+L87+M87</f>
        <v>270.23399999999998</v>
      </c>
      <c r="K87" s="37">
        <v>216.899</v>
      </c>
      <c r="L87" s="37">
        <v>31.1</v>
      </c>
      <c r="M87" s="38">
        <v>22.234999999999999</v>
      </c>
      <c r="N87" s="261">
        <f t="shared" ref="N87:N118" si="16">+O87+P87+Q87+R87</f>
        <v>693.32799999999997</v>
      </c>
      <c r="O87" s="33">
        <v>566.04735799999992</v>
      </c>
      <c r="P87" s="33">
        <v>0.36161599999999999</v>
      </c>
      <c r="Q87" s="33">
        <v>106.29502599999999</v>
      </c>
      <c r="R87" s="262">
        <f t="shared" si="11"/>
        <v>20.624000000000002</v>
      </c>
      <c r="S87" s="33">
        <v>4.202</v>
      </c>
      <c r="T87" s="33">
        <v>16.422000000000001</v>
      </c>
      <c r="U87" s="64">
        <v>384</v>
      </c>
      <c r="V87" s="52">
        <v>37090</v>
      </c>
      <c r="W87" s="272">
        <v>213736</v>
      </c>
      <c r="X87" s="285">
        <f t="shared" si="14"/>
        <v>12389</v>
      </c>
      <c r="Y87" s="272">
        <v>11317</v>
      </c>
      <c r="Z87" s="272">
        <v>1072</v>
      </c>
    </row>
    <row r="88" spans="1:26" x14ac:dyDescent="0.25">
      <c r="A88" s="11">
        <v>41183</v>
      </c>
      <c r="B88" s="45">
        <v>2876</v>
      </c>
      <c r="C88" s="254">
        <f t="shared" si="12"/>
        <v>147638</v>
      </c>
      <c r="D88" s="51">
        <v>61708</v>
      </c>
      <c r="E88" s="51">
        <v>75961</v>
      </c>
      <c r="F88" s="52">
        <v>9969</v>
      </c>
      <c r="G88" s="257">
        <f t="shared" si="13"/>
        <v>1816.6310000000001</v>
      </c>
      <c r="H88" s="51">
        <v>941.33500000000004</v>
      </c>
      <c r="I88" s="52">
        <v>875.29600000000005</v>
      </c>
      <c r="J88" s="259">
        <f t="shared" si="15"/>
        <v>316.48200000000003</v>
      </c>
      <c r="K88" s="37">
        <v>265.97899999999998</v>
      </c>
      <c r="L88" s="37">
        <v>37.79</v>
      </c>
      <c r="M88" s="38">
        <v>12.712999999999999</v>
      </c>
      <c r="N88" s="261">
        <f t="shared" si="16"/>
        <v>773.08300000000008</v>
      </c>
      <c r="O88" s="33">
        <v>579.47931500000004</v>
      </c>
      <c r="P88" s="33">
        <v>127.67582899999999</v>
      </c>
      <c r="Q88" s="33">
        <v>52.888855999999997</v>
      </c>
      <c r="R88" s="262">
        <f t="shared" si="11"/>
        <v>13.039</v>
      </c>
      <c r="S88" s="33">
        <v>1.702</v>
      </c>
      <c r="T88" s="33">
        <v>11.337</v>
      </c>
      <c r="U88" s="64">
        <v>373.33333333333331</v>
      </c>
      <c r="V88" s="52">
        <v>25557</v>
      </c>
      <c r="W88" s="272">
        <v>246922</v>
      </c>
      <c r="X88" s="285">
        <f t="shared" si="14"/>
        <v>20038</v>
      </c>
      <c r="Y88" s="272">
        <v>18809</v>
      </c>
      <c r="Z88" s="272">
        <v>1229</v>
      </c>
    </row>
    <row r="89" spans="1:26" x14ac:dyDescent="0.25">
      <c r="A89" s="11">
        <v>41214</v>
      </c>
      <c r="B89" s="45">
        <v>2631</v>
      </c>
      <c r="C89" s="254">
        <f t="shared" si="12"/>
        <v>167260</v>
      </c>
      <c r="D89" s="51">
        <v>74527</v>
      </c>
      <c r="E89" s="51">
        <v>81574</v>
      </c>
      <c r="F89" s="52">
        <v>11159</v>
      </c>
      <c r="G89" s="257">
        <f t="shared" si="13"/>
        <v>1969.3919999999998</v>
      </c>
      <c r="H89" s="51">
        <v>1030.3889999999999</v>
      </c>
      <c r="I89" s="52">
        <v>939.00300000000004</v>
      </c>
      <c r="J89" s="259">
        <f t="shared" si="15"/>
        <v>236.56699999999998</v>
      </c>
      <c r="K89" s="37">
        <v>192.26</v>
      </c>
      <c r="L89" s="37">
        <v>32.700000000000003</v>
      </c>
      <c r="M89" s="38">
        <v>11.606999999999999</v>
      </c>
      <c r="N89" s="261">
        <f t="shared" si="16"/>
        <v>768.30799999999988</v>
      </c>
      <c r="O89" s="33">
        <v>679.81216399999994</v>
      </c>
      <c r="P89" s="33">
        <v>8.0393999999999993E-2</v>
      </c>
      <c r="Q89" s="33">
        <v>79.195442</v>
      </c>
      <c r="R89" s="262">
        <f t="shared" si="11"/>
        <v>9.2199999999999989</v>
      </c>
      <c r="S89" s="33">
        <v>1.391</v>
      </c>
      <c r="T89" s="33">
        <v>7.8289999999999997</v>
      </c>
      <c r="U89" s="64">
        <v>375.77777777777777</v>
      </c>
      <c r="V89" s="52">
        <v>27272</v>
      </c>
      <c r="W89" s="272">
        <v>194075</v>
      </c>
      <c r="X89" s="285">
        <f t="shared" si="14"/>
        <v>20514</v>
      </c>
      <c r="Y89" s="272">
        <v>18547</v>
      </c>
      <c r="Z89" s="272">
        <v>1967</v>
      </c>
    </row>
    <row r="90" spans="1:26" x14ac:dyDescent="0.25">
      <c r="A90" s="11">
        <v>41244</v>
      </c>
      <c r="B90" s="45">
        <v>2803</v>
      </c>
      <c r="C90" s="254">
        <f t="shared" si="12"/>
        <v>182533</v>
      </c>
      <c r="D90" s="51">
        <v>74078</v>
      </c>
      <c r="E90" s="51">
        <v>94857</v>
      </c>
      <c r="F90" s="52">
        <v>13598</v>
      </c>
      <c r="G90" s="257">
        <f t="shared" si="13"/>
        <v>2194.357</v>
      </c>
      <c r="H90" s="51">
        <v>1243.713</v>
      </c>
      <c r="I90" s="52">
        <v>950.64400000000001</v>
      </c>
      <c r="J90" s="259">
        <f t="shared" si="15"/>
        <v>192.32500000000002</v>
      </c>
      <c r="K90" s="37">
        <v>147.39000000000001</v>
      </c>
      <c r="L90" s="37">
        <v>37.076000000000001</v>
      </c>
      <c r="M90" s="38">
        <v>7.859</v>
      </c>
      <c r="N90" s="261">
        <f t="shared" si="16"/>
        <v>708.65600000000006</v>
      </c>
      <c r="O90" s="33">
        <v>462.28904600000004</v>
      </c>
      <c r="P90" s="33">
        <v>127.767633</v>
      </c>
      <c r="Q90" s="33">
        <v>111.36532099999999</v>
      </c>
      <c r="R90" s="262">
        <f>T90+S90</f>
        <v>7.234</v>
      </c>
      <c r="S90" s="33">
        <v>4.1710000000000003</v>
      </c>
      <c r="T90" s="33">
        <v>3.0630000000000002</v>
      </c>
      <c r="U90" s="64">
        <v>377.7037037037037</v>
      </c>
      <c r="V90" s="52">
        <v>27075</v>
      </c>
      <c r="W90" s="272">
        <v>181270</v>
      </c>
      <c r="X90" s="285">
        <f t="shared" si="14"/>
        <v>25125</v>
      </c>
      <c r="Y90" s="272">
        <v>19507</v>
      </c>
      <c r="Z90" s="272">
        <v>5618</v>
      </c>
    </row>
    <row r="91" spans="1:26" x14ac:dyDescent="0.25">
      <c r="A91" s="11">
        <v>41275</v>
      </c>
      <c r="B91" s="45">
        <v>3070</v>
      </c>
      <c r="C91" s="254">
        <f t="shared" si="12"/>
        <v>156022</v>
      </c>
      <c r="D91" s="51">
        <v>74098</v>
      </c>
      <c r="E91" s="51">
        <v>69103</v>
      </c>
      <c r="F91" s="52">
        <v>12821</v>
      </c>
      <c r="G91" s="257">
        <f t="shared" si="13"/>
        <v>2385.373</v>
      </c>
      <c r="H91" s="51">
        <v>1267.396</v>
      </c>
      <c r="I91" s="52">
        <v>1117.9770000000001</v>
      </c>
      <c r="J91" s="259">
        <f t="shared" si="15"/>
        <v>234.99199999999999</v>
      </c>
      <c r="K91" s="37">
        <f>223.646-L91</f>
        <v>223.64599999999999</v>
      </c>
      <c r="L91" s="37">
        <v>0</v>
      </c>
      <c r="M91" s="38">
        <v>11.346</v>
      </c>
      <c r="N91" s="261">
        <f t="shared" si="16"/>
        <v>682.09999999999991</v>
      </c>
      <c r="O91" s="33">
        <f>674.486-(P91+Q91)</f>
        <v>598.46337199999994</v>
      </c>
      <c r="P91" s="33">
        <v>2.7425999999999999E-2</v>
      </c>
      <c r="Q91" s="33">
        <v>75.995202000000006</v>
      </c>
      <c r="R91" s="262">
        <f t="shared" si="11"/>
        <v>7.613999999999999</v>
      </c>
      <c r="S91" s="33">
        <v>4.8419999999999996</v>
      </c>
      <c r="T91" s="33">
        <v>2.7719999999999998</v>
      </c>
      <c r="U91" s="64">
        <v>362</v>
      </c>
      <c r="V91" s="52">
        <v>24171</v>
      </c>
      <c r="W91" s="272">
        <v>175250</v>
      </c>
      <c r="X91" s="285">
        <f t="shared" si="14"/>
        <v>31685</v>
      </c>
      <c r="Y91" s="272">
        <v>21602</v>
      </c>
      <c r="Z91" s="272">
        <v>10083</v>
      </c>
    </row>
    <row r="92" spans="1:26" x14ac:dyDescent="0.25">
      <c r="A92" s="11">
        <v>41306</v>
      </c>
      <c r="B92" s="45">
        <v>3154</v>
      </c>
      <c r="C92" s="254">
        <f t="shared" si="12"/>
        <v>156374</v>
      </c>
      <c r="D92" s="51">
        <v>74282</v>
      </c>
      <c r="E92" s="51">
        <v>69269</v>
      </c>
      <c r="F92" s="52">
        <v>12823</v>
      </c>
      <c r="G92" s="257">
        <f t="shared" si="13"/>
        <v>2149.23</v>
      </c>
      <c r="H92" s="51">
        <v>1237.886</v>
      </c>
      <c r="I92" s="52">
        <v>911.34400000000005</v>
      </c>
      <c r="J92" s="259">
        <f t="shared" si="15"/>
        <v>508.61899999999997</v>
      </c>
      <c r="K92" s="37">
        <f>497.236-L92</f>
        <v>383.13200000000001</v>
      </c>
      <c r="L92" s="37">
        <v>114.104</v>
      </c>
      <c r="M92" s="38">
        <v>11.382999999999999</v>
      </c>
      <c r="N92" s="261">
        <f t="shared" si="16"/>
        <v>493.29899999999992</v>
      </c>
      <c r="O92" s="33">
        <f>486.481-(P92+Q92)</f>
        <v>312.52694299999996</v>
      </c>
      <c r="P92" s="33">
        <v>128.828138</v>
      </c>
      <c r="Q92" s="33">
        <v>45.125919000000003</v>
      </c>
      <c r="R92" s="262">
        <f t="shared" si="11"/>
        <v>6.8179999999999996</v>
      </c>
      <c r="S92" s="33">
        <v>4.1840000000000002</v>
      </c>
      <c r="T92" s="33">
        <v>2.6339999999999999</v>
      </c>
      <c r="U92" s="64">
        <v>329</v>
      </c>
      <c r="V92" s="52">
        <v>21465</v>
      </c>
      <c r="W92" s="272">
        <v>206878</v>
      </c>
      <c r="X92" s="285">
        <f t="shared" si="14"/>
        <v>28672</v>
      </c>
      <c r="Y92" s="272">
        <v>19520</v>
      </c>
      <c r="Z92" s="272">
        <v>9152</v>
      </c>
    </row>
    <row r="93" spans="1:26" x14ac:dyDescent="0.25">
      <c r="A93" s="11">
        <v>41334</v>
      </c>
      <c r="B93" s="45">
        <v>3084</v>
      </c>
      <c r="C93" s="254">
        <f t="shared" si="12"/>
        <v>186061</v>
      </c>
      <c r="D93" s="51">
        <v>94132</v>
      </c>
      <c r="E93" s="51">
        <v>76078</v>
      </c>
      <c r="F93" s="52">
        <v>15851</v>
      </c>
      <c r="G93" s="257">
        <f t="shared" si="13"/>
        <v>3189.8339999999998</v>
      </c>
      <c r="H93" s="51">
        <v>1986.4970000000001</v>
      </c>
      <c r="I93" s="52">
        <v>1203.337</v>
      </c>
      <c r="J93" s="259">
        <f t="shared" si="15"/>
        <v>545.12</v>
      </c>
      <c r="K93" s="37">
        <f>533.634-L93</f>
        <v>503.73400000000004</v>
      </c>
      <c r="L93" s="37">
        <v>29.9</v>
      </c>
      <c r="M93" s="38">
        <v>11.486000000000001</v>
      </c>
      <c r="N93" s="261">
        <f t="shared" si="16"/>
        <v>928.41600000000005</v>
      </c>
      <c r="O93" s="33">
        <f>919.975-(P93+Q93)</f>
        <v>874.91700600000001</v>
      </c>
      <c r="P93" s="33">
        <v>0.70871499999999998</v>
      </c>
      <c r="Q93" s="33">
        <v>44.349279000000003</v>
      </c>
      <c r="R93" s="262">
        <f t="shared" si="11"/>
        <v>8.4410000000000007</v>
      </c>
      <c r="S93" s="33">
        <v>5.4530000000000003</v>
      </c>
      <c r="T93" s="33">
        <v>2.988</v>
      </c>
      <c r="U93" s="64">
        <v>399</v>
      </c>
      <c r="V93" s="52">
        <v>37377</v>
      </c>
      <c r="W93" s="272">
        <v>226721</v>
      </c>
      <c r="X93" s="285">
        <f t="shared" si="14"/>
        <v>31773</v>
      </c>
      <c r="Y93" s="272">
        <v>20228</v>
      </c>
      <c r="Z93" s="272">
        <v>11545</v>
      </c>
    </row>
    <row r="94" spans="1:26" x14ac:dyDescent="0.25">
      <c r="A94" s="11">
        <v>41365</v>
      </c>
      <c r="B94" s="45">
        <v>3228</v>
      </c>
      <c r="C94" s="254">
        <f t="shared" si="12"/>
        <v>158129</v>
      </c>
      <c r="D94" s="51">
        <v>77154</v>
      </c>
      <c r="E94" s="51">
        <v>66347</v>
      </c>
      <c r="F94" s="52">
        <v>14628</v>
      </c>
      <c r="G94" s="257">
        <f t="shared" si="13"/>
        <v>2292.373</v>
      </c>
      <c r="H94" s="51">
        <v>1449.404</v>
      </c>
      <c r="I94" s="52">
        <v>842.96900000000005</v>
      </c>
      <c r="J94" s="259">
        <f t="shared" si="15"/>
        <v>222.13</v>
      </c>
      <c r="K94" s="37">
        <f>207.888-L94</f>
        <v>189.488</v>
      </c>
      <c r="L94" s="37">
        <v>18.399999999999999</v>
      </c>
      <c r="M94" s="38">
        <v>14.242000000000001</v>
      </c>
      <c r="N94" s="261">
        <f t="shared" si="16"/>
        <v>768.48500000000001</v>
      </c>
      <c r="O94" s="33">
        <f>756.88-(P94+Q94)</f>
        <v>574.63773300000003</v>
      </c>
      <c r="P94" s="33">
        <v>127.519811</v>
      </c>
      <c r="Q94" s="33">
        <v>54.722456000000001</v>
      </c>
      <c r="R94" s="262">
        <f t="shared" si="11"/>
        <v>11.605</v>
      </c>
      <c r="S94" s="33">
        <v>7.7990000000000004</v>
      </c>
      <c r="T94" s="33">
        <v>3.806</v>
      </c>
      <c r="U94" s="64">
        <v>340</v>
      </c>
      <c r="V94" s="52">
        <v>34114</v>
      </c>
      <c r="W94" s="272">
        <v>221378</v>
      </c>
      <c r="X94" s="285">
        <f t="shared" si="14"/>
        <v>24661</v>
      </c>
      <c r="Y94" s="272">
        <v>14669</v>
      </c>
      <c r="Z94" s="272">
        <v>9992</v>
      </c>
    </row>
    <row r="95" spans="1:26" x14ac:dyDescent="0.25">
      <c r="A95" s="11">
        <v>41395</v>
      </c>
      <c r="B95" s="45">
        <v>3666</v>
      </c>
      <c r="C95" s="254">
        <f t="shared" si="12"/>
        <v>140542</v>
      </c>
      <c r="D95" s="51">
        <v>71084</v>
      </c>
      <c r="E95" s="51">
        <v>58732</v>
      </c>
      <c r="F95" s="52">
        <v>10726</v>
      </c>
      <c r="G95" s="257">
        <f t="shared" si="13"/>
        <v>2005.306</v>
      </c>
      <c r="H95" s="51">
        <v>988.02700000000004</v>
      </c>
      <c r="I95" s="52">
        <v>1017.279</v>
      </c>
      <c r="J95" s="259">
        <f t="shared" si="15"/>
        <v>319.39</v>
      </c>
      <c r="K95" s="37">
        <f>298.056-L95</f>
        <v>252.79199999999997</v>
      </c>
      <c r="L95" s="37">
        <v>45.264000000000003</v>
      </c>
      <c r="M95" s="38">
        <v>21.334</v>
      </c>
      <c r="N95" s="261">
        <f t="shared" si="16"/>
        <v>784.58799999999997</v>
      </c>
      <c r="O95" s="33">
        <f>766.785-(P95+Q95)</f>
        <v>600.36920199999997</v>
      </c>
      <c r="P95" s="33">
        <v>127.60501499999999</v>
      </c>
      <c r="Q95" s="33">
        <v>38.810783000000001</v>
      </c>
      <c r="R95" s="262">
        <f t="shared" si="11"/>
        <v>17.803000000000001</v>
      </c>
      <c r="S95" s="33">
        <v>7.2880000000000003</v>
      </c>
      <c r="T95" s="33">
        <v>10.515000000000001</v>
      </c>
      <c r="U95" s="64">
        <v>419</v>
      </c>
      <c r="V95" s="52">
        <v>43808</v>
      </c>
      <c r="W95" s="272">
        <v>213904</v>
      </c>
      <c r="X95" s="285">
        <f t="shared" si="14"/>
        <v>28927</v>
      </c>
      <c r="Y95" s="272">
        <v>18791</v>
      </c>
      <c r="Z95" s="272">
        <v>10136</v>
      </c>
    </row>
    <row r="96" spans="1:26" x14ac:dyDescent="0.25">
      <c r="A96" s="11">
        <v>41426</v>
      </c>
      <c r="B96" s="45">
        <v>2615</v>
      </c>
      <c r="C96" s="254">
        <f t="shared" si="12"/>
        <v>144750</v>
      </c>
      <c r="D96" s="51">
        <v>65372</v>
      </c>
      <c r="E96" s="51">
        <v>66926</v>
      </c>
      <c r="F96" s="52">
        <v>12452</v>
      </c>
      <c r="G96" s="257">
        <f t="shared" si="13"/>
        <v>2013.33</v>
      </c>
      <c r="H96" s="51">
        <v>1101.683</v>
      </c>
      <c r="I96" s="52">
        <v>911.64700000000005</v>
      </c>
      <c r="J96" s="259">
        <f t="shared" si="15"/>
        <v>283.77100000000002</v>
      </c>
      <c r="K96" s="37">
        <v>226.15299999999999</v>
      </c>
      <c r="L96" s="37">
        <v>43.234000000000002</v>
      </c>
      <c r="M96" s="38">
        <v>14.384</v>
      </c>
      <c r="N96" s="261">
        <f t="shared" si="16"/>
        <v>876.27578500000004</v>
      </c>
      <c r="O96" s="33">
        <f>865.152785-(P96+Q96)</f>
        <v>799.86579700000004</v>
      </c>
      <c r="P96" s="33">
        <v>0.39189299999999999</v>
      </c>
      <c r="Q96" s="33">
        <v>64.895094999999998</v>
      </c>
      <c r="R96" s="262">
        <f t="shared" si="11"/>
        <v>11.122999999999999</v>
      </c>
      <c r="S96" s="33">
        <v>5.6449999999999996</v>
      </c>
      <c r="T96" s="33">
        <v>5.4779999999999998</v>
      </c>
      <c r="U96" s="64">
        <v>177</v>
      </c>
      <c r="V96" s="52">
        <v>39410</v>
      </c>
      <c r="W96" s="272">
        <v>219302</v>
      </c>
      <c r="X96" s="285">
        <f t="shared" si="14"/>
        <v>24214</v>
      </c>
      <c r="Y96" s="272">
        <v>17375</v>
      </c>
      <c r="Z96" s="272">
        <v>6839</v>
      </c>
    </row>
    <row r="97" spans="1:26" x14ac:dyDescent="0.25">
      <c r="A97" s="11">
        <v>41456</v>
      </c>
      <c r="B97" s="45">
        <v>2703</v>
      </c>
      <c r="C97" s="254">
        <f t="shared" si="12"/>
        <v>157784</v>
      </c>
      <c r="D97" s="51">
        <v>68158</v>
      </c>
      <c r="E97" s="51">
        <v>72587</v>
      </c>
      <c r="F97" s="52">
        <v>17039</v>
      </c>
      <c r="G97" s="257">
        <f t="shared" si="13"/>
        <v>2416.0810000000001</v>
      </c>
      <c r="H97" s="51">
        <v>1412.3320000000001</v>
      </c>
      <c r="I97" s="52">
        <v>1003.749</v>
      </c>
      <c r="J97" s="259">
        <f t="shared" si="15"/>
        <v>282.66700000000003</v>
      </c>
      <c r="K97" s="37">
        <v>244.53800000000001</v>
      </c>
      <c r="L97" s="37">
        <v>32</v>
      </c>
      <c r="M97" s="38">
        <v>6.1289999999999996</v>
      </c>
      <c r="N97" s="261">
        <f t="shared" si="16"/>
        <v>963.27</v>
      </c>
      <c r="O97" s="33">
        <f>945.629-(P97+Q97)</f>
        <v>755.79402000000005</v>
      </c>
      <c r="P97" s="33">
        <v>88.176238999999995</v>
      </c>
      <c r="Q97" s="33">
        <v>101.65874100000001</v>
      </c>
      <c r="R97" s="262">
        <f t="shared" si="11"/>
        <v>17.640999999999998</v>
      </c>
      <c r="S97" s="33">
        <v>5.609</v>
      </c>
      <c r="T97" s="33">
        <v>12.032</v>
      </c>
      <c r="U97" s="64">
        <v>387</v>
      </c>
      <c r="V97" s="52">
        <v>38272</v>
      </c>
      <c r="W97" s="272">
        <v>245843</v>
      </c>
      <c r="X97" s="285">
        <f t="shared" si="14"/>
        <v>20274</v>
      </c>
      <c r="Y97" s="272">
        <v>17368</v>
      </c>
      <c r="Z97" s="272">
        <v>2906</v>
      </c>
    </row>
    <row r="98" spans="1:26" x14ac:dyDescent="0.25">
      <c r="A98" s="11">
        <v>41487</v>
      </c>
      <c r="B98" s="45">
        <v>2403</v>
      </c>
      <c r="C98" s="254">
        <f t="shared" si="12"/>
        <v>160993</v>
      </c>
      <c r="D98" s="51">
        <v>79429</v>
      </c>
      <c r="E98" s="51">
        <v>68546</v>
      </c>
      <c r="F98" s="52">
        <v>13018</v>
      </c>
      <c r="G98" s="257">
        <f t="shared" si="13"/>
        <v>1830.8589999999999</v>
      </c>
      <c r="H98" s="51">
        <v>974.65800000000002</v>
      </c>
      <c r="I98" s="52">
        <v>856.20100000000002</v>
      </c>
      <c r="J98" s="259">
        <f t="shared" si="15"/>
        <v>298.637</v>
      </c>
      <c r="K98" s="37">
        <v>272.435</v>
      </c>
      <c r="L98" s="37">
        <v>18.579999999999998</v>
      </c>
      <c r="M98" s="38">
        <v>7.6219999999999999</v>
      </c>
      <c r="N98" s="261">
        <f t="shared" si="16"/>
        <v>1736.58</v>
      </c>
      <c r="O98" s="33">
        <v>1662.506668</v>
      </c>
      <c r="P98" s="33">
        <v>0.63050899999999999</v>
      </c>
      <c r="Q98" s="33">
        <v>47.363822999999996</v>
      </c>
      <c r="R98" s="262">
        <f t="shared" si="11"/>
        <v>26.079000000000001</v>
      </c>
      <c r="S98" s="33">
        <v>6.0039999999999996</v>
      </c>
      <c r="T98" s="33">
        <v>20.074999999999999</v>
      </c>
      <c r="U98" s="64">
        <v>400</v>
      </c>
      <c r="V98" s="52">
        <v>44645</v>
      </c>
      <c r="W98" s="272">
        <v>206460</v>
      </c>
      <c r="X98" s="285">
        <f t="shared" si="14"/>
        <v>17675</v>
      </c>
      <c r="Y98" s="272">
        <v>15861</v>
      </c>
      <c r="Z98" s="272">
        <v>1814</v>
      </c>
    </row>
    <row r="99" spans="1:26" x14ac:dyDescent="0.25">
      <c r="A99" s="11">
        <v>41518</v>
      </c>
      <c r="B99" s="45">
        <v>2795</v>
      </c>
      <c r="C99" s="254">
        <f t="shared" si="12"/>
        <v>151910</v>
      </c>
      <c r="D99" s="51">
        <v>75463</v>
      </c>
      <c r="E99" s="51">
        <v>65090</v>
      </c>
      <c r="F99" s="52">
        <v>11357</v>
      </c>
      <c r="G99" s="257">
        <f t="shared" si="13"/>
        <v>2008.164</v>
      </c>
      <c r="H99" s="51">
        <v>894.90300000000002</v>
      </c>
      <c r="I99" s="52">
        <v>1113.261</v>
      </c>
      <c r="J99" s="259">
        <f t="shared" si="15"/>
        <v>268.66500000000002</v>
      </c>
      <c r="K99" s="37">
        <v>221.14970300000002</v>
      </c>
      <c r="L99" s="37">
        <v>34.854297000000003</v>
      </c>
      <c r="M99" s="38">
        <v>12.661</v>
      </c>
      <c r="N99" s="261">
        <f t="shared" si="16"/>
        <v>876.96999999999991</v>
      </c>
      <c r="O99" s="33">
        <v>589.65866800000003</v>
      </c>
      <c r="P99" s="33">
        <v>128.568738</v>
      </c>
      <c r="Q99" s="33">
        <v>132.58659399999999</v>
      </c>
      <c r="R99" s="262">
        <f t="shared" ref="R99:R117" si="17">T99+S99</f>
        <v>26.155999999999999</v>
      </c>
      <c r="S99" s="33">
        <v>5.5069999999999997</v>
      </c>
      <c r="T99" s="33">
        <v>20.649000000000001</v>
      </c>
      <c r="U99" s="64">
        <v>381</v>
      </c>
      <c r="V99" s="52">
        <v>40233</v>
      </c>
      <c r="W99" s="272">
        <v>245053</v>
      </c>
      <c r="X99" s="285">
        <f t="shared" si="14"/>
        <v>13465</v>
      </c>
      <c r="Y99" s="272">
        <v>11486</v>
      </c>
      <c r="Z99" s="272">
        <v>1979</v>
      </c>
    </row>
    <row r="100" spans="1:26" x14ac:dyDescent="0.25">
      <c r="A100" s="11">
        <v>41548</v>
      </c>
      <c r="B100" s="45">
        <v>2903</v>
      </c>
      <c r="C100" s="254">
        <f t="shared" si="12"/>
        <v>161044</v>
      </c>
      <c r="D100" s="51">
        <v>61881</v>
      </c>
      <c r="E100" s="51">
        <v>84835</v>
      </c>
      <c r="F100" s="52">
        <v>14328</v>
      </c>
      <c r="G100" s="257">
        <f t="shared" si="13"/>
        <v>1952.183</v>
      </c>
      <c r="H100" s="51">
        <v>852.05499999999995</v>
      </c>
      <c r="I100" s="52">
        <v>1100.1279999999999</v>
      </c>
      <c r="J100" s="259">
        <f t="shared" si="15"/>
        <v>303.041</v>
      </c>
      <c r="K100" s="37">
        <v>176.13400000000001</v>
      </c>
      <c r="L100" s="37">
        <v>118.93</v>
      </c>
      <c r="M100" s="38">
        <v>7.9770000000000003</v>
      </c>
      <c r="N100" s="261">
        <f t="shared" si="16"/>
        <v>797.44299999999998</v>
      </c>
      <c r="O100" s="33">
        <v>665.628559</v>
      </c>
      <c r="P100" s="33">
        <v>91.044104000000004</v>
      </c>
      <c r="Q100" s="33">
        <v>32.835337000000003</v>
      </c>
      <c r="R100" s="262">
        <f t="shared" si="17"/>
        <v>7.9350000000000005</v>
      </c>
      <c r="S100" s="33">
        <v>2.206</v>
      </c>
      <c r="T100" s="33">
        <v>5.7290000000000001</v>
      </c>
      <c r="U100" s="64">
        <v>359</v>
      </c>
      <c r="V100" s="52">
        <v>26022</v>
      </c>
      <c r="W100" s="272">
        <v>202028</v>
      </c>
      <c r="X100" s="285">
        <f t="shared" si="14"/>
        <v>17113</v>
      </c>
      <c r="Y100" s="272">
        <v>15492</v>
      </c>
      <c r="Z100" s="272">
        <v>1621</v>
      </c>
    </row>
    <row r="101" spans="1:26" x14ac:dyDescent="0.25">
      <c r="A101" s="11">
        <v>41579</v>
      </c>
      <c r="B101" s="45">
        <v>3007</v>
      </c>
      <c r="C101" s="254">
        <f t="shared" si="12"/>
        <v>162740</v>
      </c>
      <c r="D101" s="51">
        <v>69830</v>
      </c>
      <c r="E101" s="51">
        <v>73703</v>
      </c>
      <c r="F101" s="52">
        <v>19207</v>
      </c>
      <c r="G101" s="257">
        <f t="shared" si="13"/>
        <v>3064.578</v>
      </c>
      <c r="H101" s="51">
        <v>2057.1039999999998</v>
      </c>
      <c r="I101" s="52">
        <v>1007.474</v>
      </c>
      <c r="J101" s="259">
        <f t="shared" si="15"/>
        <v>335.23900000000003</v>
      </c>
      <c r="K101" s="37">
        <v>283.23500000000001</v>
      </c>
      <c r="L101" s="37">
        <v>43.5</v>
      </c>
      <c r="M101" s="38">
        <v>8.5039999999999996</v>
      </c>
      <c r="N101" s="261">
        <f t="shared" si="16"/>
        <v>918.8979999999998</v>
      </c>
      <c r="O101" s="33">
        <v>763.70961199999988</v>
      </c>
      <c r="P101" s="33">
        <v>7.4091000000000004E-2</v>
      </c>
      <c r="Q101" s="33">
        <v>146.19429700000001</v>
      </c>
      <c r="R101" s="262">
        <f t="shared" si="17"/>
        <v>8.92</v>
      </c>
      <c r="S101" s="33">
        <v>4.444</v>
      </c>
      <c r="T101" s="33">
        <v>4.476</v>
      </c>
      <c r="U101" s="64">
        <v>353</v>
      </c>
      <c r="V101" s="52">
        <v>23516</v>
      </c>
      <c r="W101" s="272">
        <v>206067</v>
      </c>
      <c r="X101" s="285">
        <f t="shared" si="14"/>
        <v>23678</v>
      </c>
      <c r="Y101" s="272">
        <v>20510</v>
      </c>
      <c r="Z101" s="272">
        <v>3168</v>
      </c>
    </row>
    <row r="102" spans="1:26" x14ac:dyDescent="0.25">
      <c r="A102" s="11">
        <v>41609</v>
      </c>
      <c r="B102" s="45">
        <v>3260</v>
      </c>
      <c r="C102" s="254">
        <f t="shared" si="12"/>
        <v>186970</v>
      </c>
      <c r="D102" s="51">
        <v>69097</v>
      </c>
      <c r="E102" s="51">
        <v>97433</v>
      </c>
      <c r="F102" s="52">
        <v>20440</v>
      </c>
      <c r="G102" s="257">
        <f t="shared" si="13"/>
        <v>2714.8469999999998</v>
      </c>
      <c r="H102" s="51">
        <v>1705.153</v>
      </c>
      <c r="I102" s="52">
        <v>1009.694</v>
      </c>
      <c r="J102" s="259">
        <f t="shared" si="15"/>
        <v>208.87800000000001</v>
      </c>
      <c r="K102" s="37">
        <v>180.13900000000001</v>
      </c>
      <c r="L102" s="37">
        <v>20.875</v>
      </c>
      <c r="M102" s="38">
        <v>7.8639999999999999</v>
      </c>
      <c r="N102" s="261">
        <f t="shared" si="16"/>
        <v>1108.376</v>
      </c>
      <c r="O102" s="33">
        <v>890.3756699999999</v>
      </c>
      <c r="P102" s="33">
        <v>128.67423600000001</v>
      </c>
      <c r="Q102" s="33">
        <v>80.589094000000003</v>
      </c>
      <c r="R102" s="262">
        <f t="shared" si="17"/>
        <v>8.7370000000000001</v>
      </c>
      <c r="S102" s="33">
        <v>5.19</v>
      </c>
      <c r="T102" s="33">
        <v>3.5470000000000002</v>
      </c>
      <c r="U102" s="64">
        <v>367</v>
      </c>
      <c r="V102" s="52">
        <v>25722</v>
      </c>
      <c r="W102" s="272">
        <v>193834</v>
      </c>
      <c r="X102" s="285">
        <f t="shared" si="14"/>
        <v>25949</v>
      </c>
      <c r="Y102" s="272">
        <v>20605</v>
      </c>
      <c r="Z102" s="272">
        <v>5344</v>
      </c>
    </row>
    <row r="103" spans="1:26" x14ac:dyDescent="0.25">
      <c r="A103" s="11">
        <v>41640</v>
      </c>
      <c r="B103" s="45">
        <v>3198</v>
      </c>
      <c r="C103" s="254">
        <f t="shared" si="12"/>
        <v>183707</v>
      </c>
      <c r="D103" s="51">
        <v>79774</v>
      </c>
      <c r="E103" s="51">
        <v>80177</v>
      </c>
      <c r="F103" s="52">
        <v>23756</v>
      </c>
      <c r="G103" s="257">
        <f t="shared" si="13"/>
        <v>2506.9940000000001</v>
      </c>
      <c r="H103" s="51">
        <v>1516.586</v>
      </c>
      <c r="I103" s="52">
        <v>990.40800000000002</v>
      </c>
      <c r="J103" s="259">
        <f t="shared" si="15"/>
        <v>366.74200000000002</v>
      </c>
      <c r="K103" s="37">
        <v>307.08100000000002</v>
      </c>
      <c r="L103" s="37">
        <v>47.97</v>
      </c>
      <c r="M103" s="38">
        <v>11.691000000000001</v>
      </c>
      <c r="N103" s="261">
        <f t="shared" si="16"/>
        <v>794.928</v>
      </c>
      <c r="O103" s="33">
        <v>724.51783799999998</v>
      </c>
      <c r="P103" s="33">
        <v>0.100537</v>
      </c>
      <c r="Q103" s="33">
        <v>60.286625000000001</v>
      </c>
      <c r="R103" s="262">
        <f t="shared" si="17"/>
        <v>10.023</v>
      </c>
      <c r="S103" s="33">
        <v>5.4560000000000004</v>
      </c>
      <c r="T103" s="33">
        <v>4.5670000000000002</v>
      </c>
      <c r="U103" s="64">
        <v>258</v>
      </c>
      <c r="V103" s="52">
        <v>26056</v>
      </c>
      <c r="W103" s="272">
        <v>216560</v>
      </c>
      <c r="X103" s="285">
        <f t="shared" si="14"/>
        <v>26353</v>
      </c>
      <c r="Y103" s="272">
        <v>19273</v>
      </c>
      <c r="Z103" s="272">
        <v>7080</v>
      </c>
    </row>
    <row r="104" spans="1:26" x14ac:dyDescent="0.25">
      <c r="A104" s="11">
        <v>41671</v>
      </c>
      <c r="B104" s="45">
        <v>2954</v>
      </c>
      <c r="C104" s="254">
        <f t="shared" si="12"/>
        <v>157216</v>
      </c>
      <c r="D104" s="51">
        <v>67584</v>
      </c>
      <c r="E104" s="51">
        <v>70737</v>
      </c>
      <c r="F104" s="52">
        <v>18895</v>
      </c>
      <c r="G104" s="257">
        <f t="shared" si="13"/>
        <v>2318.0329999999999</v>
      </c>
      <c r="H104" s="51">
        <v>1364.143</v>
      </c>
      <c r="I104" s="52">
        <v>953.89</v>
      </c>
      <c r="J104" s="259">
        <f t="shared" si="15"/>
        <v>298.42399999999998</v>
      </c>
      <c r="K104" s="37">
        <v>214.25699999999998</v>
      </c>
      <c r="L104" s="37">
        <v>74.53</v>
      </c>
      <c r="M104" s="38">
        <v>9.6370000000000005</v>
      </c>
      <c r="N104" s="261">
        <f t="shared" si="16"/>
        <v>818.875</v>
      </c>
      <c r="O104" s="33">
        <v>615.88261499999999</v>
      </c>
      <c r="P104" s="33">
        <v>132.46428599999999</v>
      </c>
      <c r="Q104" s="33">
        <v>61.706099000000002</v>
      </c>
      <c r="R104" s="262">
        <f t="shared" si="17"/>
        <v>8.8219999999999992</v>
      </c>
      <c r="S104" s="33">
        <v>4.9829999999999997</v>
      </c>
      <c r="T104" s="33">
        <v>3.839</v>
      </c>
      <c r="U104" s="64">
        <v>329</v>
      </c>
      <c r="V104" s="52">
        <v>23087</v>
      </c>
      <c r="W104" s="272">
        <v>229543</v>
      </c>
      <c r="X104" s="285">
        <f t="shared" si="14"/>
        <v>25818</v>
      </c>
      <c r="Y104" s="272">
        <v>19498</v>
      </c>
      <c r="Z104" s="272">
        <v>6320</v>
      </c>
    </row>
    <row r="105" spans="1:26" x14ac:dyDescent="0.25">
      <c r="A105" s="11">
        <v>41699</v>
      </c>
      <c r="B105" s="45">
        <v>2860</v>
      </c>
      <c r="C105" s="254">
        <f t="shared" si="12"/>
        <v>183499</v>
      </c>
      <c r="D105" s="51">
        <v>91157</v>
      </c>
      <c r="E105" s="51">
        <v>73720</v>
      </c>
      <c r="F105" s="52">
        <v>18622</v>
      </c>
      <c r="G105" s="257">
        <f t="shared" si="13"/>
        <v>3072.125</v>
      </c>
      <c r="H105" s="51">
        <v>1916.816</v>
      </c>
      <c r="I105" s="52">
        <v>1155.309</v>
      </c>
      <c r="J105" s="259">
        <f t="shared" si="15"/>
        <v>289.87799999999999</v>
      </c>
      <c r="K105" s="37">
        <v>258.166</v>
      </c>
      <c r="L105" s="37">
        <v>21.5</v>
      </c>
      <c r="M105" s="38">
        <v>10.212</v>
      </c>
      <c r="N105" s="261">
        <f t="shared" si="16"/>
        <v>675.423</v>
      </c>
      <c r="O105" s="33">
        <v>622.49911699999996</v>
      </c>
      <c r="P105" s="33">
        <v>0.12867000000000001</v>
      </c>
      <c r="Q105" s="33">
        <v>40.912213000000001</v>
      </c>
      <c r="R105" s="262">
        <f t="shared" si="17"/>
        <v>11.882999999999999</v>
      </c>
      <c r="S105" s="33">
        <v>6.1970000000000001</v>
      </c>
      <c r="T105" s="33">
        <v>5.6859999999999999</v>
      </c>
      <c r="U105" s="64">
        <v>401</v>
      </c>
      <c r="V105" s="52">
        <v>35574</v>
      </c>
      <c r="W105" s="272">
        <v>252211</v>
      </c>
      <c r="X105" s="285">
        <f t="shared" si="14"/>
        <v>29374</v>
      </c>
      <c r="Y105" s="272">
        <v>18554</v>
      </c>
      <c r="Z105" s="272">
        <v>10820</v>
      </c>
    </row>
    <row r="106" spans="1:26" x14ac:dyDescent="0.25">
      <c r="A106" s="11">
        <v>41730</v>
      </c>
      <c r="B106" s="45">
        <v>3163</v>
      </c>
      <c r="C106" s="254">
        <f t="shared" si="12"/>
        <v>162298</v>
      </c>
      <c r="D106" s="51">
        <v>78558</v>
      </c>
      <c r="E106" s="51">
        <v>69640</v>
      </c>
      <c r="F106" s="52">
        <v>14100</v>
      </c>
      <c r="G106" s="257">
        <f t="shared" si="13"/>
        <v>2781.4539999999997</v>
      </c>
      <c r="H106" s="51">
        <v>1550.999</v>
      </c>
      <c r="I106" s="52">
        <v>1230.4549999999999</v>
      </c>
      <c r="J106" s="259">
        <f t="shared" si="15"/>
        <v>369.19399999999996</v>
      </c>
      <c r="K106" s="37">
        <v>337.416</v>
      </c>
      <c r="L106" s="37">
        <v>15.45</v>
      </c>
      <c r="M106" s="38">
        <v>16.327999999999999</v>
      </c>
      <c r="N106" s="261">
        <f t="shared" si="16"/>
        <v>1120.819</v>
      </c>
      <c r="O106" s="33">
        <v>872.57976200000007</v>
      </c>
      <c r="P106" s="33">
        <v>128.607652</v>
      </c>
      <c r="Q106" s="33">
        <v>102.17758600000001</v>
      </c>
      <c r="R106" s="262">
        <f t="shared" si="17"/>
        <v>17.454000000000001</v>
      </c>
      <c r="S106" s="33">
        <v>7.6740000000000004</v>
      </c>
      <c r="T106" s="33">
        <v>9.7799999999999994</v>
      </c>
      <c r="U106" s="64">
        <v>456</v>
      </c>
      <c r="V106" s="52">
        <v>34395</v>
      </c>
      <c r="W106" s="272">
        <v>244482</v>
      </c>
      <c r="X106" s="285">
        <f t="shared" si="14"/>
        <v>22197</v>
      </c>
      <c r="Y106" s="272">
        <v>14663</v>
      </c>
      <c r="Z106" s="272">
        <v>7534</v>
      </c>
    </row>
    <row r="107" spans="1:26" x14ac:dyDescent="0.25">
      <c r="A107" s="11">
        <v>41760</v>
      </c>
      <c r="B107" s="45">
        <v>3025</v>
      </c>
      <c r="C107" s="254">
        <f t="shared" si="12"/>
        <v>151026</v>
      </c>
      <c r="D107" s="51">
        <v>74747</v>
      </c>
      <c r="E107" s="51">
        <v>63816</v>
      </c>
      <c r="F107" s="52">
        <v>12463</v>
      </c>
      <c r="G107" s="257">
        <f t="shared" si="13"/>
        <v>2396.4409999999998</v>
      </c>
      <c r="H107" s="51">
        <v>1243.4690000000001</v>
      </c>
      <c r="I107" s="52">
        <v>1152.972</v>
      </c>
      <c r="J107" s="259">
        <f t="shared" si="15"/>
        <v>405.64400000000001</v>
      </c>
      <c r="K107" s="37">
        <v>355.35700000000003</v>
      </c>
      <c r="L107" s="37">
        <v>25.96</v>
      </c>
      <c r="M107" s="38">
        <v>24.327000000000002</v>
      </c>
      <c r="N107" s="261">
        <f t="shared" si="16"/>
        <v>885.52600000000007</v>
      </c>
      <c r="O107" s="33">
        <v>756.37997400000006</v>
      </c>
      <c r="P107" s="33">
        <v>0</v>
      </c>
      <c r="Q107" s="33">
        <v>111.855026</v>
      </c>
      <c r="R107" s="262">
        <f t="shared" si="17"/>
        <v>17.291</v>
      </c>
      <c r="S107" s="33">
        <v>7.3810000000000002</v>
      </c>
      <c r="T107" s="33">
        <v>9.91</v>
      </c>
      <c r="U107" s="64">
        <v>460</v>
      </c>
      <c r="V107" s="52">
        <v>42821</v>
      </c>
      <c r="W107" s="272">
        <v>248379</v>
      </c>
      <c r="X107" s="285">
        <f t="shared" si="14"/>
        <v>19995</v>
      </c>
      <c r="Y107" s="272">
        <v>12729</v>
      </c>
      <c r="Z107" s="272">
        <v>7266</v>
      </c>
    </row>
    <row r="108" spans="1:26" x14ac:dyDescent="0.25">
      <c r="A108" s="11">
        <v>41791</v>
      </c>
      <c r="B108" s="45">
        <v>2904</v>
      </c>
      <c r="C108" s="254">
        <f t="shared" si="12"/>
        <v>151102</v>
      </c>
      <c r="D108" s="51">
        <v>68560</v>
      </c>
      <c r="E108" s="51">
        <v>68359</v>
      </c>
      <c r="F108" s="52">
        <v>14183</v>
      </c>
      <c r="G108" s="257">
        <f t="shared" si="13"/>
        <v>2599.915</v>
      </c>
      <c r="H108" s="51">
        <v>1346.6220000000001</v>
      </c>
      <c r="I108" s="52">
        <v>1253.2929999999999</v>
      </c>
      <c r="J108" s="259">
        <f t="shared" si="15"/>
        <v>265.202</v>
      </c>
      <c r="K108" s="37">
        <v>219.67500000000001</v>
      </c>
      <c r="L108" s="37">
        <v>21.2</v>
      </c>
      <c r="M108" s="38">
        <v>24.327000000000002</v>
      </c>
      <c r="N108" s="261">
        <f t="shared" si="16"/>
        <v>922.47899999999993</v>
      </c>
      <c r="O108" s="33">
        <v>810.50483099999997</v>
      </c>
      <c r="P108" s="33">
        <v>0.25936500000000001</v>
      </c>
      <c r="Q108" s="33">
        <v>96.366804000000002</v>
      </c>
      <c r="R108" s="262">
        <f t="shared" si="17"/>
        <v>15.347999999999999</v>
      </c>
      <c r="S108" s="33">
        <v>7.056</v>
      </c>
      <c r="T108" s="33">
        <v>8.2919999999999998</v>
      </c>
      <c r="U108" s="64">
        <v>445</v>
      </c>
      <c r="V108" s="52">
        <v>54921</v>
      </c>
      <c r="W108" s="272">
        <v>229984</v>
      </c>
      <c r="X108" s="285">
        <f t="shared" si="14"/>
        <v>17867</v>
      </c>
      <c r="Y108" s="272">
        <v>13610</v>
      </c>
      <c r="Z108" s="272">
        <v>4257</v>
      </c>
    </row>
    <row r="109" spans="1:26" x14ac:dyDescent="0.25">
      <c r="A109" s="11">
        <v>41821</v>
      </c>
      <c r="B109" s="45">
        <v>3511</v>
      </c>
      <c r="C109" s="254">
        <f t="shared" si="12"/>
        <v>150966</v>
      </c>
      <c r="D109" s="51">
        <v>63295</v>
      </c>
      <c r="E109" s="51">
        <v>71849</v>
      </c>
      <c r="F109" s="52">
        <v>15822</v>
      </c>
      <c r="G109" s="257">
        <f t="shared" si="13"/>
        <v>2802.8629999999998</v>
      </c>
      <c r="H109" s="51">
        <v>1605.9179999999999</v>
      </c>
      <c r="I109" s="52">
        <v>1196.9449999999999</v>
      </c>
      <c r="J109" s="259">
        <f t="shared" si="15"/>
        <v>271.41899999999998</v>
      </c>
      <c r="K109" s="37">
        <v>207.51</v>
      </c>
      <c r="L109" s="37">
        <v>46.8</v>
      </c>
      <c r="M109" s="38">
        <v>17.109000000000002</v>
      </c>
      <c r="N109" s="261">
        <f t="shared" si="16"/>
        <v>892.45699999999999</v>
      </c>
      <c r="O109" s="33">
        <v>748.11703299999999</v>
      </c>
      <c r="P109" s="33">
        <v>0</v>
      </c>
      <c r="Q109" s="33">
        <v>118.671967</v>
      </c>
      <c r="R109" s="262">
        <f t="shared" si="17"/>
        <v>25.667999999999999</v>
      </c>
      <c r="S109" s="33">
        <v>6.9420000000000002</v>
      </c>
      <c r="T109" s="33">
        <v>18.725999999999999</v>
      </c>
      <c r="U109" s="64">
        <v>268.38500733008436</v>
      </c>
      <c r="V109" s="52">
        <v>23574</v>
      </c>
      <c r="W109" s="272">
        <v>225230</v>
      </c>
      <c r="X109" s="285">
        <f t="shared" si="14"/>
        <v>13899</v>
      </c>
      <c r="Y109" s="272">
        <v>12434</v>
      </c>
      <c r="Z109" s="272">
        <v>1465</v>
      </c>
    </row>
    <row r="110" spans="1:26" x14ac:dyDescent="0.25">
      <c r="A110" s="11">
        <v>41852</v>
      </c>
      <c r="B110" s="45">
        <v>3209</v>
      </c>
      <c r="C110" s="254">
        <f t="shared" si="12"/>
        <v>162609</v>
      </c>
      <c r="D110" s="51">
        <v>81457</v>
      </c>
      <c r="E110" s="51">
        <v>68464</v>
      </c>
      <c r="F110" s="52">
        <v>12688</v>
      </c>
      <c r="G110" s="257">
        <f t="shared" si="13"/>
        <v>2525.89</v>
      </c>
      <c r="H110" s="51">
        <v>1330.5419999999999</v>
      </c>
      <c r="I110" s="52">
        <v>1195.348</v>
      </c>
      <c r="J110" s="259">
        <f t="shared" si="15"/>
        <v>218.6</v>
      </c>
      <c r="K110" s="37">
        <v>157.78</v>
      </c>
      <c r="L110" s="37">
        <v>29.22</v>
      </c>
      <c r="M110" s="38">
        <v>31.6</v>
      </c>
      <c r="N110" s="261">
        <f t="shared" si="16"/>
        <v>1180.9090000000001</v>
      </c>
      <c r="O110" s="33">
        <v>1070.601257</v>
      </c>
      <c r="P110" s="33">
        <v>0</v>
      </c>
      <c r="Q110" s="33">
        <v>88.956743000000003</v>
      </c>
      <c r="R110" s="262">
        <f t="shared" si="17"/>
        <v>21.350999999999999</v>
      </c>
      <c r="S110" s="33">
        <v>7.17</v>
      </c>
      <c r="T110" s="33">
        <v>14.180999999999999</v>
      </c>
      <c r="U110" s="64">
        <v>499.12501593197499</v>
      </c>
      <c r="V110" s="52">
        <v>61601</v>
      </c>
      <c r="W110" s="272">
        <v>221096</v>
      </c>
      <c r="X110" s="285">
        <f t="shared" si="14"/>
        <v>14738</v>
      </c>
      <c r="Y110" s="272">
        <v>12951</v>
      </c>
      <c r="Z110" s="272">
        <v>1787</v>
      </c>
    </row>
    <row r="111" spans="1:26" x14ac:dyDescent="0.25">
      <c r="A111" s="11">
        <v>41883</v>
      </c>
      <c r="B111" s="45">
        <v>2420</v>
      </c>
      <c r="C111" s="254">
        <f t="shared" si="12"/>
        <v>134626</v>
      </c>
      <c r="D111" s="51">
        <v>66695</v>
      </c>
      <c r="E111" s="51">
        <v>57050</v>
      </c>
      <c r="F111" s="52">
        <v>10881</v>
      </c>
      <c r="G111" s="257">
        <f t="shared" si="13"/>
        <v>2026.2380000000001</v>
      </c>
      <c r="H111" s="51">
        <v>1149.0260000000001</v>
      </c>
      <c r="I111" s="52">
        <v>877.21199999999999</v>
      </c>
      <c r="J111" s="259">
        <f t="shared" si="15"/>
        <v>223.51599999999999</v>
      </c>
      <c r="K111" s="37">
        <v>200.715</v>
      </c>
      <c r="L111" s="37">
        <v>14.48</v>
      </c>
      <c r="M111" s="38">
        <v>8.3209999999999997</v>
      </c>
      <c r="N111" s="261">
        <f t="shared" si="16"/>
        <v>902.98299999999995</v>
      </c>
      <c r="O111" s="33">
        <v>626.83027600000003</v>
      </c>
      <c r="P111" s="33">
        <v>128.074454</v>
      </c>
      <c r="Q111" s="33">
        <v>130.29127</v>
      </c>
      <c r="R111" s="262">
        <f t="shared" si="17"/>
        <v>17.786999999999999</v>
      </c>
      <c r="S111" s="33">
        <v>5.492</v>
      </c>
      <c r="T111" s="33">
        <v>12.295</v>
      </c>
      <c r="U111" s="64">
        <v>385.5458671940828</v>
      </c>
      <c r="V111" s="52">
        <v>33865</v>
      </c>
      <c r="W111" s="272">
        <v>277606</v>
      </c>
      <c r="X111" s="285">
        <f t="shared" si="14"/>
        <v>15585</v>
      </c>
      <c r="Y111" s="272">
        <v>12100</v>
      </c>
      <c r="Z111" s="272">
        <v>3485</v>
      </c>
    </row>
    <row r="112" spans="1:26" x14ac:dyDescent="0.25">
      <c r="A112" s="11">
        <v>41913</v>
      </c>
      <c r="B112" s="45">
        <v>2922</v>
      </c>
      <c r="C112" s="254">
        <f t="shared" si="12"/>
        <v>146670</v>
      </c>
      <c r="D112" s="51">
        <v>58865</v>
      </c>
      <c r="E112" s="51">
        <v>75950</v>
      </c>
      <c r="F112" s="52">
        <v>11855</v>
      </c>
      <c r="G112" s="257">
        <f t="shared" si="13"/>
        <v>2126.1729999999998</v>
      </c>
      <c r="H112" s="51">
        <v>921.85500000000002</v>
      </c>
      <c r="I112" s="52">
        <v>1204.318</v>
      </c>
      <c r="J112" s="259">
        <f t="shared" si="15"/>
        <v>459.32</v>
      </c>
      <c r="K112" s="37">
        <v>417.27499999999998</v>
      </c>
      <c r="L112" s="37">
        <v>33.85</v>
      </c>
      <c r="M112" s="38">
        <v>8.1950000000000003</v>
      </c>
      <c r="N112" s="261">
        <f t="shared" si="16"/>
        <v>1012.5619999999999</v>
      </c>
      <c r="O112" s="33">
        <v>809.49595699999998</v>
      </c>
      <c r="P112" s="33">
        <v>134.28495100000001</v>
      </c>
      <c r="Q112" s="33">
        <v>53.418092000000001</v>
      </c>
      <c r="R112" s="262">
        <f t="shared" si="17"/>
        <v>15.363</v>
      </c>
      <c r="S112" s="33">
        <v>4.2480000000000002</v>
      </c>
      <c r="T112" s="33">
        <v>11.115</v>
      </c>
      <c r="U112" s="64">
        <v>240.04826841243866</v>
      </c>
      <c r="V112" s="52">
        <v>21085</v>
      </c>
      <c r="W112" s="272">
        <v>250190</v>
      </c>
      <c r="X112" s="285">
        <f t="shared" si="14"/>
        <v>18331</v>
      </c>
      <c r="Y112" s="272">
        <v>15780</v>
      </c>
      <c r="Z112" s="272">
        <v>2551</v>
      </c>
    </row>
    <row r="113" spans="1:26" x14ac:dyDescent="0.25">
      <c r="A113" s="11">
        <v>41944</v>
      </c>
      <c r="B113" s="45">
        <v>3241</v>
      </c>
      <c r="C113" s="254">
        <f t="shared" si="12"/>
        <v>146099</v>
      </c>
      <c r="D113" s="51">
        <v>61267</v>
      </c>
      <c r="E113" s="51">
        <v>68216</v>
      </c>
      <c r="F113" s="52">
        <v>16616</v>
      </c>
      <c r="G113" s="257">
        <f t="shared" si="13"/>
        <v>2499.4430000000002</v>
      </c>
      <c r="H113" s="51">
        <v>1302.4190000000001</v>
      </c>
      <c r="I113" s="52">
        <v>1197.0239999999999</v>
      </c>
      <c r="J113" s="259">
        <f t="shared" si="15"/>
        <v>275.48500000000001</v>
      </c>
      <c r="K113" s="37">
        <v>234.393</v>
      </c>
      <c r="L113" s="37">
        <v>31.9</v>
      </c>
      <c r="M113" s="38">
        <v>9.1920000000000002</v>
      </c>
      <c r="N113" s="261">
        <f t="shared" si="16"/>
        <v>669.08399999999995</v>
      </c>
      <c r="O113" s="33">
        <v>570.49951199999998</v>
      </c>
      <c r="P113" s="33">
        <v>0.84628999999999999</v>
      </c>
      <c r="Q113" s="33">
        <v>86.530197999999999</v>
      </c>
      <c r="R113" s="262">
        <f t="shared" si="17"/>
        <v>11.208</v>
      </c>
      <c r="S113" s="33">
        <v>3.6749999999999998</v>
      </c>
      <c r="T113" s="33">
        <v>7.5330000000000004</v>
      </c>
      <c r="U113" s="64">
        <v>239.90026616015686</v>
      </c>
      <c r="V113" s="52">
        <v>21072</v>
      </c>
      <c r="W113" s="272">
        <v>229739</v>
      </c>
      <c r="X113" s="285">
        <f t="shared" si="14"/>
        <v>20869</v>
      </c>
      <c r="Y113" s="272">
        <v>14527</v>
      </c>
      <c r="Z113" s="272">
        <v>6342</v>
      </c>
    </row>
    <row r="114" spans="1:26" x14ac:dyDescent="0.25">
      <c r="A114" s="11">
        <v>41974</v>
      </c>
      <c r="B114" s="45">
        <v>3383</v>
      </c>
      <c r="C114" s="254">
        <f t="shared" si="12"/>
        <v>173053</v>
      </c>
      <c r="D114" s="51">
        <v>64586</v>
      </c>
      <c r="E114" s="51">
        <v>87624</v>
      </c>
      <c r="F114" s="52">
        <v>20843</v>
      </c>
      <c r="G114" s="257">
        <f t="shared" si="13"/>
        <v>3522.2289999999998</v>
      </c>
      <c r="H114" s="51">
        <v>2195.9989999999998</v>
      </c>
      <c r="I114" s="52">
        <v>1326.23</v>
      </c>
      <c r="J114" s="259">
        <f t="shared" si="15"/>
        <v>283.97199999999998</v>
      </c>
      <c r="K114" s="37">
        <v>258.15999999999997</v>
      </c>
      <c r="L114" s="37">
        <v>17.3</v>
      </c>
      <c r="M114" s="38">
        <v>8.5120000000000005</v>
      </c>
      <c r="N114" s="261">
        <f t="shared" si="16"/>
        <v>1054.269</v>
      </c>
      <c r="O114" s="33">
        <v>759.59426899999994</v>
      </c>
      <c r="P114" s="33">
        <v>128.78817000000001</v>
      </c>
      <c r="Q114" s="33">
        <v>155.791561</v>
      </c>
      <c r="R114" s="262">
        <f t="shared" si="17"/>
        <v>10.095000000000001</v>
      </c>
      <c r="S114" s="33">
        <v>5.9450000000000003</v>
      </c>
      <c r="T114" s="33">
        <v>4.1500000000000004</v>
      </c>
      <c r="U114" s="64">
        <v>238.60240025553188</v>
      </c>
      <c r="V114" s="52">
        <v>20958</v>
      </c>
      <c r="W114" s="272">
        <v>201468</v>
      </c>
      <c r="X114" s="285">
        <f t="shared" si="14"/>
        <v>19832</v>
      </c>
      <c r="Y114" s="272">
        <v>10041</v>
      </c>
      <c r="Z114" s="272">
        <v>9791</v>
      </c>
    </row>
    <row r="115" spans="1:26" x14ac:dyDescent="0.25">
      <c r="A115" s="11">
        <v>42005</v>
      </c>
      <c r="B115" s="45">
        <v>2916</v>
      </c>
      <c r="C115" s="254">
        <f t="shared" si="12"/>
        <v>167710</v>
      </c>
      <c r="D115" s="51">
        <v>77160</v>
      </c>
      <c r="E115" s="51">
        <v>71070</v>
      </c>
      <c r="F115" s="52">
        <v>19480</v>
      </c>
      <c r="G115" s="257">
        <f t="shared" si="13"/>
        <v>3329.875</v>
      </c>
      <c r="H115" s="51">
        <v>1925.5050000000001</v>
      </c>
      <c r="I115" s="52">
        <v>1404.37</v>
      </c>
      <c r="J115" s="259">
        <f t="shared" si="15"/>
        <v>448.30599999999998</v>
      </c>
      <c r="K115" s="37">
        <v>396.96199999999999</v>
      </c>
      <c r="L115" s="37">
        <v>37.78</v>
      </c>
      <c r="M115" s="38">
        <v>13.564</v>
      </c>
      <c r="N115" s="261">
        <f t="shared" si="16"/>
        <v>808.12199999999996</v>
      </c>
      <c r="O115" s="33">
        <v>685.31318299999998</v>
      </c>
      <c r="P115" s="33">
        <v>0.80279400000000001</v>
      </c>
      <c r="Q115" s="33">
        <v>111.409023</v>
      </c>
      <c r="R115" s="262">
        <f t="shared" si="17"/>
        <v>10.597</v>
      </c>
      <c r="S115" s="33">
        <v>5.9189999999999996</v>
      </c>
      <c r="T115" s="33">
        <v>4.6779999999999999</v>
      </c>
      <c r="U115" s="64">
        <v>350</v>
      </c>
      <c r="V115" s="52">
        <v>18545</v>
      </c>
      <c r="W115" s="272">
        <v>236913</v>
      </c>
      <c r="X115" s="285">
        <f t="shared" si="14"/>
        <v>21546</v>
      </c>
      <c r="Y115" s="272">
        <v>12748</v>
      </c>
      <c r="Z115" s="272">
        <v>8798</v>
      </c>
    </row>
    <row r="116" spans="1:26" x14ac:dyDescent="0.25">
      <c r="A116" s="11">
        <v>42036</v>
      </c>
      <c r="B116" s="45">
        <v>3297</v>
      </c>
      <c r="C116" s="254">
        <f t="shared" si="12"/>
        <v>167703</v>
      </c>
      <c r="D116" s="51">
        <v>79419</v>
      </c>
      <c r="E116" s="51">
        <v>71994</v>
      </c>
      <c r="F116" s="52">
        <v>16290</v>
      </c>
      <c r="G116" s="257">
        <f t="shared" si="13"/>
        <v>2856.7250000000004</v>
      </c>
      <c r="H116" s="51">
        <v>1747.4760000000001</v>
      </c>
      <c r="I116" s="52">
        <v>1109.249</v>
      </c>
      <c r="J116" s="259">
        <f t="shared" si="15"/>
        <v>272.27999999999997</v>
      </c>
      <c r="K116" s="37">
        <v>211.85299999999998</v>
      </c>
      <c r="L116" s="37">
        <v>44.6</v>
      </c>
      <c r="M116" s="38">
        <v>15.827</v>
      </c>
      <c r="N116" s="261">
        <f t="shared" si="16"/>
        <v>811.06299999999999</v>
      </c>
      <c r="O116" s="33">
        <v>593.04793300000006</v>
      </c>
      <c r="P116" s="33">
        <v>133.75078099999999</v>
      </c>
      <c r="Q116" s="33">
        <v>74.207285999999996</v>
      </c>
      <c r="R116" s="262">
        <f t="shared" si="17"/>
        <v>10.056999999999999</v>
      </c>
      <c r="S116" s="33">
        <v>5.6929999999999996</v>
      </c>
      <c r="T116" s="33">
        <v>4.3639999999999999</v>
      </c>
      <c r="U116" s="64">
        <v>319</v>
      </c>
      <c r="V116" s="52">
        <v>21258</v>
      </c>
      <c r="W116" s="272">
        <v>217458</v>
      </c>
      <c r="X116" s="285">
        <f t="shared" si="14"/>
        <v>18560</v>
      </c>
      <c r="Y116" s="272">
        <v>10325</v>
      </c>
      <c r="Z116" s="272">
        <v>8235</v>
      </c>
    </row>
    <row r="117" spans="1:26" x14ac:dyDescent="0.25">
      <c r="A117" s="11">
        <v>42064</v>
      </c>
      <c r="B117" s="45">
        <v>3195</v>
      </c>
      <c r="C117" s="254">
        <f t="shared" si="12"/>
        <v>167766</v>
      </c>
      <c r="D117" s="51">
        <v>83441</v>
      </c>
      <c r="E117" s="51">
        <v>67223</v>
      </c>
      <c r="F117" s="52">
        <v>17102</v>
      </c>
      <c r="G117" s="257">
        <f t="shared" si="13"/>
        <v>3772.8850000000002</v>
      </c>
      <c r="H117" s="51">
        <v>2646.0419999999999</v>
      </c>
      <c r="I117" s="52">
        <v>1126.8430000000001</v>
      </c>
      <c r="J117" s="259">
        <f t="shared" si="15"/>
        <v>364.30100000000004</v>
      </c>
      <c r="K117" s="37">
        <v>330.59100000000001</v>
      </c>
      <c r="L117" s="37">
        <v>16.989999999999998</v>
      </c>
      <c r="M117" s="38">
        <v>16.72</v>
      </c>
      <c r="N117" s="261">
        <f t="shared" si="16"/>
        <v>781.13699999999994</v>
      </c>
      <c r="O117" s="33">
        <v>704.84949999999992</v>
      </c>
      <c r="P117" s="33">
        <v>0</v>
      </c>
      <c r="Q117" s="33">
        <v>63.460500000000003</v>
      </c>
      <c r="R117" s="262">
        <f t="shared" si="17"/>
        <v>12.827</v>
      </c>
      <c r="S117" s="33">
        <v>6.7009999999999996</v>
      </c>
      <c r="T117" s="33">
        <v>6.1260000000000003</v>
      </c>
      <c r="U117" s="64">
        <v>353</v>
      </c>
      <c r="V117" s="52">
        <v>32102</v>
      </c>
      <c r="W117" s="272">
        <v>251045</v>
      </c>
      <c r="X117" s="285">
        <f t="shared" si="14"/>
        <v>18258</v>
      </c>
      <c r="Y117" s="272">
        <v>9096</v>
      </c>
      <c r="Z117" s="272">
        <v>9162</v>
      </c>
    </row>
    <row r="118" spans="1:26" x14ac:dyDescent="0.25">
      <c r="A118" s="11">
        <v>42095</v>
      </c>
      <c r="B118" s="45">
        <v>2916</v>
      </c>
      <c r="C118" s="254">
        <f t="shared" si="12"/>
        <v>157476</v>
      </c>
      <c r="D118" s="51">
        <v>77561</v>
      </c>
      <c r="E118" s="51">
        <v>64338</v>
      </c>
      <c r="F118" s="52">
        <v>15577</v>
      </c>
      <c r="G118" s="257">
        <f t="shared" si="13"/>
        <v>3116.7280000000001</v>
      </c>
      <c r="H118" s="51">
        <v>1970.4680000000001</v>
      </c>
      <c r="I118" s="52">
        <v>1146.26</v>
      </c>
      <c r="J118" s="259">
        <f t="shared" si="15"/>
        <v>420.97399999999999</v>
      </c>
      <c r="K118" s="37">
        <v>365.06399999999996</v>
      </c>
      <c r="L118" s="37">
        <v>35.6</v>
      </c>
      <c r="M118" s="38">
        <v>20.309999999999999</v>
      </c>
      <c r="N118" s="261">
        <f t="shared" si="16"/>
        <v>954.74199999999996</v>
      </c>
      <c r="O118" s="33">
        <v>779.04463099999998</v>
      </c>
      <c r="P118" s="33">
        <v>127.24819100000001</v>
      </c>
      <c r="Q118" s="33">
        <v>28.685178000000001</v>
      </c>
      <c r="R118" s="262">
        <v>19.764000000000003</v>
      </c>
      <c r="S118" s="33">
        <v>9.5980000000000008</v>
      </c>
      <c r="T118" s="33">
        <v>10.166</v>
      </c>
      <c r="U118" s="64">
        <v>375</v>
      </c>
      <c r="V118" s="52">
        <v>32541</v>
      </c>
      <c r="W118" s="272">
        <v>213449</v>
      </c>
      <c r="X118" s="285">
        <f t="shared" si="14"/>
        <v>21290</v>
      </c>
      <c r="Y118" s="272">
        <v>11642</v>
      </c>
      <c r="Z118" s="272">
        <v>9648</v>
      </c>
    </row>
    <row r="119" spans="1:26" x14ac:dyDescent="0.25">
      <c r="A119" s="11">
        <v>42125</v>
      </c>
      <c r="B119" s="45">
        <v>2935</v>
      </c>
      <c r="C119" s="254">
        <f t="shared" si="12"/>
        <v>156938</v>
      </c>
      <c r="D119" s="51">
        <v>74652</v>
      </c>
      <c r="E119" s="51">
        <v>65055</v>
      </c>
      <c r="F119" s="52">
        <v>17231</v>
      </c>
      <c r="G119" s="257">
        <f t="shared" si="13"/>
        <v>2794.7550000000001</v>
      </c>
      <c r="H119" s="51">
        <v>1512.444</v>
      </c>
      <c r="I119" s="52">
        <v>1282.3109999999999</v>
      </c>
      <c r="J119" s="259">
        <f t="shared" ref="J119:J150" si="18">+K119+L119+M119</f>
        <v>293.84500000000003</v>
      </c>
      <c r="K119" s="37">
        <v>220.197</v>
      </c>
      <c r="L119" s="37">
        <v>35.520000000000003</v>
      </c>
      <c r="M119" s="38">
        <v>38.128</v>
      </c>
      <c r="N119" s="261">
        <f t="shared" ref="N119:N150" si="19">+O119+P119+Q119+R119</f>
        <v>920.40300000000002</v>
      </c>
      <c r="O119" s="33">
        <v>843.70315900000003</v>
      </c>
      <c r="P119" s="33">
        <v>0.12456399999999999</v>
      </c>
      <c r="Q119" s="33">
        <v>56.883277</v>
      </c>
      <c r="R119" s="262">
        <v>19.692</v>
      </c>
      <c r="S119" s="33">
        <v>7.3319999999999999</v>
      </c>
      <c r="T119" s="33">
        <v>12.36</v>
      </c>
      <c r="U119" s="64">
        <v>435</v>
      </c>
      <c r="V119" s="52">
        <v>51953</v>
      </c>
      <c r="W119" s="272">
        <v>201263</v>
      </c>
      <c r="X119" s="285">
        <f t="shared" si="14"/>
        <v>17506</v>
      </c>
      <c r="Y119" s="272">
        <v>11247</v>
      </c>
      <c r="Z119" s="272">
        <v>6259</v>
      </c>
    </row>
    <row r="120" spans="1:26" x14ac:dyDescent="0.25">
      <c r="A120" s="11">
        <v>42156</v>
      </c>
      <c r="B120" s="45">
        <v>2301</v>
      </c>
      <c r="C120" s="254">
        <f t="shared" si="12"/>
        <v>156525</v>
      </c>
      <c r="D120" s="51">
        <v>70748</v>
      </c>
      <c r="E120" s="51">
        <v>68790</v>
      </c>
      <c r="F120" s="52">
        <v>16987</v>
      </c>
      <c r="G120" s="257">
        <f t="shared" si="13"/>
        <v>3413.0919999999996</v>
      </c>
      <c r="H120" s="51">
        <v>2127.3359999999998</v>
      </c>
      <c r="I120" s="52">
        <v>1285.7560000000001</v>
      </c>
      <c r="J120" s="259">
        <f t="shared" si="18"/>
        <v>286.74099999999999</v>
      </c>
      <c r="K120" s="37">
        <v>228.74200000000002</v>
      </c>
      <c r="L120" s="37">
        <v>26.975000000000001</v>
      </c>
      <c r="M120" s="38">
        <v>31.024000000000001</v>
      </c>
      <c r="N120" s="261">
        <f t="shared" si="19"/>
        <v>1071.6670000000001</v>
      </c>
      <c r="O120" s="33">
        <v>847.45418600000005</v>
      </c>
      <c r="P120" s="33">
        <v>127.616282</v>
      </c>
      <c r="Q120" s="33">
        <v>71.311532</v>
      </c>
      <c r="R120" s="262">
        <v>25.285</v>
      </c>
      <c r="S120" s="33">
        <v>6.5279999999999996</v>
      </c>
      <c r="T120" s="33">
        <v>18.757000000000001</v>
      </c>
      <c r="U120" s="64">
        <v>445</v>
      </c>
      <c r="V120" s="52">
        <v>56024.861069214006</v>
      </c>
      <c r="W120" s="272">
        <v>242986</v>
      </c>
      <c r="X120" s="285">
        <f t="shared" si="14"/>
        <v>16400</v>
      </c>
      <c r="Y120" s="272">
        <v>11644</v>
      </c>
      <c r="Z120" s="272">
        <v>4756</v>
      </c>
    </row>
    <row r="121" spans="1:26" x14ac:dyDescent="0.25">
      <c r="A121" s="11">
        <v>42186</v>
      </c>
      <c r="B121" s="45">
        <v>2668</v>
      </c>
      <c r="C121" s="254">
        <f t="shared" si="12"/>
        <v>170643</v>
      </c>
      <c r="D121" s="51">
        <v>71685</v>
      </c>
      <c r="E121" s="51">
        <v>80738</v>
      </c>
      <c r="F121" s="52">
        <v>18220</v>
      </c>
      <c r="G121" s="257">
        <f t="shared" si="13"/>
        <v>2709.76</v>
      </c>
      <c r="H121" s="51">
        <v>1677.9490000000001</v>
      </c>
      <c r="I121" s="52">
        <v>1031.8109999999999</v>
      </c>
      <c r="J121" s="259">
        <f t="shared" si="18"/>
        <v>337.36099999999999</v>
      </c>
      <c r="K121" s="37">
        <v>274.05699999999996</v>
      </c>
      <c r="L121" s="37">
        <v>37.6</v>
      </c>
      <c r="M121" s="38">
        <v>25.704000000000001</v>
      </c>
      <c r="N121" s="261">
        <f t="shared" si="19"/>
        <v>1222.6550000000002</v>
      </c>
      <c r="O121" s="33">
        <v>924.27295100000015</v>
      </c>
      <c r="P121" s="33">
        <v>128.05364399999999</v>
      </c>
      <c r="Q121" s="33">
        <v>152.77540500000001</v>
      </c>
      <c r="R121" s="262">
        <v>17.552999999999997</v>
      </c>
      <c r="S121" s="33">
        <v>5.9009999999999998</v>
      </c>
      <c r="T121" s="33">
        <v>11.651999999999999</v>
      </c>
      <c r="U121" s="64">
        <v>374</v>
      </c>
      <c r="V121" s="52">
        <v>30586.290598290598</v>
      </c>
      <c r="W121" s="272">
        <v>191882</v>
      </c>
      <c r="X121" s="285">
        <f t="shared" si="14"/>
        <v>19040</v>
      </c>
      <c r="Y121" s="272">
        <v>12468</v>
      </c>
      <c r="Z121" s="272">
        <v>6572</v>
      </c>
    </row>
    <row r="122" spans="1:26" x14ac:dyDescent="0.25">
      <c r="A122" s="11">
        <v>42217</v>
      </c>
      <c r="B122" s="45">
        <v>2520</v>
      </c>
      <c r="C122" s="254">
        <f t="shared" si="12"/>
        <v>179835</v>
      </c>
      <c r="D122" s="51">
        <v>90894</v>
      </c>
      <c r="E122" s="51">
        <v>76903</v>
      </c>
      <c r="F122" s="52">
        <v>12038</v>
      </c>
      <c r="G122" s="257">
        <f t="shared" si="13"/>
        <v>2907.4670000000001</v>
      </c>
      <c r="H122" s="51">
        <v>1439.644</v>
      </c>
      <c r="I122" s="52">
        <v>1467.8230000000001</v>
      </c>
      <c r="J122" s="259">
        <f t="shared" si="18"/>
        <v>432.27699999999999</v>
      </c>
      <c r="K122" s="37">
        <v>403.04599999999999</v>
      </c>
      <c r="L122" s="37">
        <v>2.5</v>
      </c>
      <c r="M122" s="38">
        <v>26.731000000000002</v>
      </c>
      <c r="N122" s="261">
        <f t="shared" si="19"/>
        <v>1114.8990000000001</v>
      </c>
      <c r="O122" s="33">
        <v>844.96569800000009</v>
      </c>
      <c r="P122" s="33">
        <v>134.181907</v>
      </c>
      <c r="Q122" s="33">
        <v>118.93439499999999</v>
      </c>
      <c r="R122" s="262">
        <v>16.817</v>
      </c>
      <c r="S122" s="33">
        <v>6.6829999999999998</v>
      </c>
      <c r="T122" s="33">
        <v>10.134</v>
      </c>
      <c r="U122" s="64">
        <v>410</v>
      </c>
      <c r="V122" s="52">
        <v>103788</v>
      </c>
      <c r="W122" s="272">
        <v>222995</v>
      </c>
      <c r="X122" s="285">
        <f t="shared" si="14"/>
        <v>14696</v>
      </c>
      <c r="Y122" s="272">
        <v>11266</v>
      </c>
      <c r="Z122" s="272">
        <v>3430</v>
      </c>
    </row>
    <row r="123" spans="1:26" x14ac:dyDescent="0.25">
      <c r="A123" s="11">
        <v>42248</v>
      </c>
      <c r="B123" s="45">
        <v>2620</v>
      </c>
      <c r="C123" s="254">
        <f t="shared" si="12"/>
        <v>161296</v>
      </c>
      <c r="D123" s="51">
        <v>76490</v>
      </c>
      <c r="E123" s="51">
        <v>76220</v>
      </c>
      <c r="F123" s="52">
        <v>8586</v>
      </c>
      <c r="G123" s="257">
        <f t="shared" si="13"/>
        <v>2268.8579999999997</v>
      </c>
      <c r="H123" s="51">
        <v>964.95899999999995</v>
      </c>
      <c r="I123" s="52">
        <v>1303.8989999999999</v>
      </c>
      <c r="J123" s="259">
        <f t="shared" si="18"/>
        <v>333.07800000000003</v>
      </c>
      <c r="K123" s="37">
        <v>306.82600000000002</v>
      </c>
      <c r="L123" s="37">
        <v>14.5</v>
      </c>
      <c r="M123" s="38">
        <v>11.752000000000001</v>
      </c>
      <c r="N123" s="261">
        <f t="shared" si="19"/>
        <v>1060.0320000000002</v>
      </c>
      <c r="O123" s="33">
        <v>939.1993030000001</v>
      </c>
      <c r="P123" s="33">
        <v>0.127613</v>
      </c>
      <c r="Q123" s="33">
        <v>107.825084</v>
      </c>
      <c r="R123" s="262">
        <v>12.88</v>
      </c>
      <c r="S123" s="33">
        <v>6.3150000000000004</v>
      </c>
      <c r="T123" s="33">
        <v>6.5650000000000004</v>
      </c>
      <c r="U123" s="64">
        <v>373</v>
      </c>
      <c r="V123" s="52">
        <v>29839</v>
      </c>
      <c r="W123" s="272">
        <v>218586</v>
      </c>
      <c r="X123" s="285">
        <f t="shared" si="14"/>
        <v>16374</v>
      </c>
      <c r="Y123" s="272">
        <v>12350</v>
      </c>
      <c r="Z123" s="272">
        <v>4024</v>
      </c>
    </row>
    <row r="124" spans="1:26" x14ac:dyDescent="0.25">
      <c r="A124" s="11">
        <v>42278</v>
      </c>
      <c r="B124" s="45">
        <v>3386.1649382716046</v>
      </c>
      <c r="C124" s="254">
        <f t="shared" si="12"/>
        <v>163770.01728395064</v>
      </c>
      <c r="D124" s="51">
        <v>71827.555555555562</v>
      </c>
      <c r="E124" s="51">
        <v>83573.461728395065</v>
      </c>
      <c r="F124" s="52">
        <v>8369</v>
      </c>
      <c r="G124" s="257">
        <f t="shared" si="13"/>
        <v>2567.0039999999999</v>
      </c>
      <c r="H124" s="51">
        <v>1175.2360000000001</v>
      </c>
      <c r="I124" s="52">
        <v>1391.768</v>
      </c>
      <c r="J124" s="259">
        <f t="shared" si="18"/>
        <v>319.51099999999997</v>
      </c>
      <c r="K124" s="37">
        <v>280.78999999999996</v>
      </c>
      <c r="L124" s="37">
        <v>31.35</v>
      </c>
      <c r="M124" s="38">
        <v>7.3710000000000004</v>
      </c>
      <c r="N124" s="261">
        <f t="shared" si="19"/>
        <v>1155.9759999999997</v>
      </c>
      <c r="O124" s="33">
        <v>983.67993699999988</v>
      </c>
      <c r="P124" s="33">
        <v>83.483249000000001</v>
      </c>
      <c r="Q124" s="33">
        <v>77.136814000000001</v>
      </c>
      <c r="R124" s="262">
        <v>11.676</v>
      </c>
      <c r="S124" s="33">
        <v>7.335</v>
      </c>
      <c r="T124" s="33">
        <v>4.3410000000000002</v>
      </c>
      <c r="U124" s="64">
        <v>362</v>
      </c>
      <c r="V124" s="52">
        <v>28636</v>
      </c>
      <c r="W124" s="272">
        <v>258815</v>
      </c>
      <c r="X124" s="285">
        <f t="shared" si="14"/>
        <v>16280</v>
      </c>
      <c r="Y124" s="272">
        <v>13565</v>
      </c>
      <c r="Z124" s="272">
        <v>2715</v>
      </c>
    </row>
    <row r="125" spans="1:26" x14ac:dyDescent="0.25">
      <c r="A125" s="11">
        <v>42309</v>
      </c>
      <c r="B125" s="45">
        <v>2872</v>
      </c>
      <c r="C125" s="254">
        <f t="shared" si="12"/>
        <v>171761</v>
      </c>
      <c r="D125" s="51">
        <v>72169</v>
      </c>
      <c r="E125" s="51">
        <v>85177</v>
      </c>
      <c r="F125" s="52">
        <v>14415</v>
      </c>
      <c r="G125" s="257">
        <f t="shared" si="13"/>
        <v>2656.433</v>
      </c>
      <c r="H125" s="51">
        <v>1326.752</v>
      </c>
      <c r="I125" s="52">
        <v>1329.681</v>
      </c>
      <c r="J125" s="259">
        <f t="shared" si="18"/>
        <v>431.01099999999997</v>
      </c>
      <c r="K125" s="37">
        <v>395.80799999999999</v>
      </c>
      <c r="L125" s="37">
        <v>22.19</v>
      </c>
      <c r="M125" s="38">
        <v>13.013</v>
      </c>
      <c r="N125" s="261">
        <f>+O125+P125+Q125+R125</f>
        <v>941.46900000000005</v>
      </c>
      <c r="O125" s="33">
        <v>704.64546900000005</v>
      </c>
      <c r="P125" s="33">
        <v>127.321091</v>
      </c>
      <c r="Q125" s="33">
        <v>99.373440000000002</v>
      </c>
      <c r="R125" s="262">
        <v>10.129</v>
      </c>
      <c r="S125" s="33">
        <v>3.7829999999999999</v>
      </c>
      <c r="T125" s="33">
        <v>6.3460000000000001</v>
      </c>
      <c r="U125" s="64">
        <v>340</v>
      </c>
      <c r="V125" s="52">
        <v>27136</v>
      </c>
      <c r="W125" s="272">
        <v>260765</v>
      </c>
      <c r="X125" s="285">
        <f t="shared" si="14"/>
        <v>14118</v>
      </c>
      <c r="Y125" s="272">
        <v>11555</v>
      </c>
      <c r="Z125" s="272">
        <v>2563</v>
      </c>
    </row>
    <row r="126" spans="1:26" x14ac:dyDescent="0.25">
      <c r="A126" s="11">
        <v>42339</v>
      </c>
      <c r="B126" s="45">
        <v>3201</v>
      </c>
      <c r="C126" s="254">
        <f t="shared" si="12"/>
        <v>182597</v>
      </c>
      <c r="D126" s="51">
        <v>76763</v>
      </c>
      <c r="E126" s="51">
        <v>91629</v>
      </c>
      <c r="F126" s="52">
        <v>14205</v>
      </c>
      <c r="G126" s="257">
        <f t="shared" si="13"/>
        <v>3625.1689999999999</v>
      </c>
      <c r="H126" s="51">
        <v>2141.884</v>
      </c>
      <c r="I126" s="52">
        <v>1483.2850000000001</v>
      </c>
      <c r="J126" s="259">
        <f t="shared" si="18"/>
        <v>476.77600000000001</v>
      </c>
      <c r="K126" s="37">
        <v>450.45300000000003</v>
      </c>
      <c r="L126" s="37">
        <v>11.9</v>
      </c>
      <c r="M126" s="38">
        <v>14.423</v>
      </c>
      <c r="N126" s="261">
        <f t="shared" si="19"/>
        <v>957.33799999999997</v>
      </c>
      <c r="O126" s="33">
        <v>735.14675599999998</v>
      </c>
      <c r="P126" s="33">
        <v>126.68567</v>
      </c>
      <c r="Q126" s="33">
        <v>80.693573999999998</v>
      </c>
      <c r="R126" s="262">
        <v>14.812000000000001</v>
      </c>
      <c r="S126" s="33">
        <v>8.6340000000000003</v>
      </c>
      <c r="T126" s="33">
        <v>6.1779999999999999</v>
      </c>
      <c r="U126" s="64">
        <v>368</v>
      </c>
      <c r="V126" s="52">
        <v>25972</v>
      </c>
      <c r="W126" s="272">
        <v>195432</v>
      </c>
      <c r="X126" s="285">
        <f t="shared" si="14"/>
        <v>15940</v>
      </c>
      <c r="Y126" s="272">
        <v>10181</v>
      </c>
      <c r="Z126" s="272">
        <v>5759</v>
      </c>
    </row>
    <row r="127" spans="1:26" x14ac:dyDescent="0.25">
      <c r="A127" s="11">
        <v>42370</v>
      </c>
      <c r="B127" s="45">
        <v>2999</v>
      </c>
      <c r="C127" s="254">
        <f t="shared" si="12"/>
        <v>186480</v>
      </c>
      <c r="D127" s="51">
        <v>88892</v>
      </c>
      <c r="E127" s="51">
        <v>84266</v>
      </c>
      <c r="F127" s="52">
        <v>13322</v>
      </c>
      <c r="G127" s="257">
        <f t="shared" si="13"/>
        <v>3429.7</v>
      </c>
      <c r="H127" s="51">
        <v>1925.5419999999999</v>
      </c>
      <c r="I127" s="52">
        <v>1504.1579999999999</v>
      </c>
      <c r="J127" s="259">
        <f t="shared" si="18"/>
        <v>357.98999999999995</v>
      </c>
      <c r="K127" s="37">
        <v>310.41199999999998</v>
      </c>
      <c r="L127" s="37">
        <v>26.19</v>
      </c>
      <c r="M127" s="38">
        <v>21.388000000000002</v>
      </c>
      <c r="N127" s="261">
        <f t="shared" si="19"/>
        <v>1039.7070000000001</v>
      </c>
      <c r="O127" s="33">
        <v>964.46998300000007</v>
      </c>
      <c r="P127" s="33">
        <v>0.20159299999999999</v>
      </c>
      <c r="Q127" s="33">
        <v>64.278424000000001</v>
      </c>
      <c r="R127" s="262">
        <v>10.757</v>
      </c>
      <c r="S127" s="33">
        <v>7.5469999999999997</v>
      </c>
      <c r="T127" s="33">
        <v>3.21</v>
      </c>
      <c r="U127" s="64">
        <v>364</v>
      </c>
      <c r="V127" s="52">
        <v>27306.423076923078</v>
      </c>
      <c r="W127" s="272">
        <v>247389</v>
      </c>
      <c r="X127" s="285">
        <f t="shared" si="14"/>
        <v>15908</v>
      </c>
      <c r="Y127" s="272">
        <v>8050</v>
      </c>
      <c r="Z127" s="272">
        <v>7858</v>
      </c>
    </row>
    <row r="128" spans="1:26" x14ac:dyDescent="0.25">
      <c r="A128" s="11">
        <v>42401</v>
      </c>
      <c r="B128" s="45">
        <v>2905</v>
      </c>
      <c r="C128" s="254">
        <f t="shared" si="12"/>
        <v>168500</v>
      </c>
      <c r="D128" s="51">
        <v>80805</v>
      </c>
      <c r="E128" s="51">
        <v>77168</v>
      </c>
      <c r="F128" s="52">
        <v>10527</v>
      </c>
      <c r="G128" s="257">
        <f t="shared" si="13"/>
        <v>3560.8180000000002</v>
      </c>
      <c r="H128" s="51">
        <v>2180.123</v>
      </c>
      <c r="I128" s="52">
        <v>1380.6949999999999</v>
      </c>
      <c r="J128" s="259">
        <f t="shared" si="18"/>
        <v>373.86</v>
      </c>
      <c r="K128" s="37">
        <v>321.28700000000003</v>
      </c>
      <c r="L128" s="37">
        <v>31.782</v>
      </c>
      <c r="M128" s="38">
        <v>20.791</v>
      </c>
      <c r="N128" s="261">
        <f t="shared" si="19"/>
        <v>1990.0430000000001</v>
      </c>
      <c r="O128" s="33">
        <v>1821.852241</v>
      </c>
      <c r="P128" s="33">
        <v>127.33308599999999</v>
      </c>
      <c r="Q128" s="33">
        <v>27.913672999999999</v>
      </c>
      <c r="R128" s="262">
        <v>12.943999999999999</v>
      </c>
      <c r="S128" s="33">
        <v>8.2919999999999998</v>
      </c>
      <c r="T128" s="33">
        <v>4.6520000000000001</v>
      </c>
      <c r="U128" s="64">
        <v>340</v>
      </c>
      <c r="V128" s="52">
        <v>30136.529914529914</v>
      </c>
      <c r="W128" s="272">
        <v>263302</v>
      </c>
      <c r="X128" s="285">
        <f t="shared" si="14"/>
        <v>7482</v>
      </c>
      <c r="Y128" s="272">
        <v>2239</v>
      </c>
      <c r="Z128" s="272">
        <v>5243</v>
      </c>
    </row>
    <row r="129" spans="1:26" x14ac:dyDescent="0.25">
      <c r="A129" s="11">
        <v>42430</v>
      </c>
      <c r="B129" s="45">
        <v>2952</v>
      </c>
      <c r="C129" s="254">
        <f t="shared" si="12"/>
        <v>176421</v>
      </c>
      <c r="D129" s="51">
        <v>89559</v>
      </c>
      <c r="E129" s="51">
        <v>74312</v>
      </c>
      <c r="F129" s="52">
        <v>12550</v>
      </c>
      <c r="G129" s="257">
        <f t="shared" si="13"/>
        <v>4523.9210000000003</v>
      </c>
      <c r="H129" s="51">
        <v>2860.3919999999998</v>
      </c>
      <c r="I129" s="52">
        <v>1663.529</v>
      </c>
      <c r="J129" s="259">
        <f t="shared" si="18"/>
        <v>306.28300000000002</v>
      </c>
      <c r="K129" s="37">
        <v>272.33300000000003</v>
      </c>
      <c r="L129" s="37">
        <v>14.9</v>
      </c>
      <c r="M129" s="38">
        <v>19.05</v>
      </c>
      <c r="N129" s="261">
        <f t="shared" si="19"/>
        <v>828.673</v>
      </c>
      <c r="O129" s="33">
        <v>591.50168400000007</v>
      </c>
      <c r="P129" s="33">
        <v>127.76181099999999</v>
      </c>
      <c r="Q129" s="33">
        <v>93.580505000000002</v>
      </c>
      <c r="R129" s="262">
        <v>15.828999999999999</v>
      </c>
      <c r="S129" s="33">
        <v>10.055999999999999</v>
      </c>
      <c r="T129" s="33">
        <v>5.7729999999999997</v>
      </c>
      <c r="U129" s="64">
        <v>364</v>
      </c>
      <c r="V129" s="52">
        <v>40330.97150997151</v>
      </c>
      <c r="W129" s="272">
        <v>282284</v>
      </c>
      <c r="X129" s="285">
        <f t="shared" si="14"/>
        <v>6029</v>
      </c>
      <c r="Y129" s="272">
        <v>1990</v>
      </c>
      <c r="Z129" s="272">
        <v>4039</v>
      </c>
    </row>
    <row r="130" spans="1:26" x14ac:dyDescent="0.25">
      <c r="A130" s="11">
        <v>42461</v>
      </c>
      <c r="B130" s="45">
        <v>2751</v>
      </c>
      <c r="C130" s="254">
        <f t="shared" si="12"/>
        <v>166995</v>
      </c>
      <c r="D130" s="51">
        <v>84449</v>
      </c>
      <c r="E130" s="51">
        <v>71602</v>
      </c>
      <c r="F130" s="52">
        <v>10944</v>
      </c>
      <c r="G130" s="257">
        <f t="shared" si="13"/>
        <v>3389.1759999999999</v>
      </c>
      <c r="H130" s="51">
        <v>1720.81</v>
      </c>
      <c r="I130" s="52">
        <v>1668.366</v>
      </c>
      <c r="J130" s="259">
        <f t="shared" si="18"/>
        <v>428.70399999999995</v>
      </c>
      <c r="K130" s="37">
        <v>385.02799999999996</v>
      </c>
      <c r="L130" s="37">
        <v>15.55</v>
      </c>
      <c r="M130" s="38">
        <v>28.126000000000001</v>
      </c>
      <c r="N130" s="261">
        <f t="shared" si="19"/>
        <v>1026.223</v>
      </c>
      <c r="O130" s="33">
        <v>973.97941800000001</v>
      </c>
      <c r="P130" s="33">
        <v>1.948995</v>
      </c>
      <c r="Q130" s="33">
        <v>29.484587000000001</v>
      </c>
      <c r="R130" s="262">
        <v>20.810000000000002</v>
      </c>
      <c r="S130" s="33">
        <v>9.141</v>
      </c>
      <c r="T130" s="33">
        <v>11.669</v>
      </c>
      <c r="U130" s="64">
        <v>322</v>
      </c>
      <c r="V130" s="52">
        <v>39254.407407407409</v>
      </c>
      <c r="W130" s="272">
        <v>262102</v>
      </c>
      <c r="X130" s="285">
        <f t="shared" si="14"/>
        <v>6923</v>
      </c>
      <c r="Y130" s="272">
        <v>3948</v>
      </c>
      <c r="Z130" s="272">
        <v>2975</v>
      </c>
    </row>
    <row r="131" spans="1:26" x14ac:dyDescent="0.25">
      <c r="A131" s="11">
        <v>42491</v>
      </c>
      <c r="B131" s="45">
        <v>2850</v>
      </c>
      <c r="C131" s="254">
        <f t="shared" si="12"/>
        <v>157513</v>
      </c>
      <c r="D131" s="51">
        <v>79069</v>
      </c>
      <c r="E131" s="51">
        <v>69252</v>
      </c>
      <c r="F131" s="52">
        <v>9192</v>
      </c>
      <c r="G131" s="257">
        <f t="shared" si="13"/>
        <v>3317.643</v>
      </c>
      <c r="H131" s="51">
        <v>1595.8219999999999</v>
      </c>
      <c r="I131" s="52">
        <v>1721.8209999999999</v>
      </c>
      <c r="J131" s="259">
        <f t="shared" si="18"/>
        <v>318.959</v>
      </c>
      <c r="K131" s="37">
        <v>270.18399999999997</v>
      </c>
      <c r="L131" s="37">
        <v>14.35</v>
      </c>
      <c r="M131" s="38">
        <v>34.424999999999997</v>
      </c>
      <c r="N131" s="261">
        <f t="shared" si="19"/>
        <v>1202.2340000000002</v>
      </c>
      <c r="O131" s="33">
        <v>969.18903799999998</v>
      </c>
      <c r="P131" s="33">
        <v>126.98682700000001</v>
      </c>
      <c r="Q131" s="33">
        <v>73.793135000000007</v>
      </c>
      <c r="R131" s="262">
        <v>32.265000000000001</v>
      </c>
      <c r="S131" s="33">
        <v>12.406000000000001</v>
      </c>
      <c r="T131" s="33">
        <v>19.859000000000002</v>
      </c>
      <c r="U131" s="64">
        <v>425</v>
      </c>
      <c r="V131" s="52">
        <v>55420.461538461539</v>
      </c>
      <c r="W131" s="272">
        <v>255417</v>
      </c>
      <c r="X131" s="285">
        <f t="shared" si="14"/>
        <v>5449</v>
      </c>
      <c r="Y131" s="272">
        <v>3570</v>
      </c>
      <c r="Z131" s="272">
        <v>1879</v>
      </c>
    </row>
    <row r="132" spans="1:26" x14ac:dyDescent="0.25">
      <c r="A132" s="11">
        <v>42522</v>
      </c>
      <c r="B132" s="45">
        <v>2454</v>
      </c>
      <c r="C132" s="254">
        <f t="shared" si="12"/>
        <v>141945</v>
      </c>
      <c r="D132" s="51">
        <v>66799</v>
      </c>
      <c r="E132" s="51">
        <v>65272</v>
      </c>
      <c r="F132" s="52">
        <v>9874</v>
      </c>
      <c r="G132" s="257">
        <f t="shared" si="13"/>
        <v>3369.7550000000001</v>
      </c>
      <c r="H132" s="51">
        <v>1779.0530000000001</v>
      </c>
      <c r="I132" s="52">
        <v>1590.702</v>
      </c>
      <c r="J132" s="259">
        <f t="shared" si="18"/>
        <v>262.34700000000004</v>
      </c>
      <c r="K132" s="37">
        <v>232.59300000000002</v>
      </c>
      <c r="L132" s="37">
        <v>2.1</v>
      </c>
      <c r="M132" s="38">
        <v>27.654</v>
      </c>
      <c r="N132" s="261">
        <f t="shared" si="19"/>
        <v>1171.7560000000001</v>
      </c>
      <c r="O132" s="33">
        <v>918.46966300000008</v>
      </c>
      <c r="P132" s="33">
        <v>127.654867</v>
      </c>
      <c r="Q132" s="33">
        <v>108.10447000000001</v>
      </c>
      <c r="R132" s="262">
        <v>17.527000000000001</v>
      </c>
      <c r="S132" s="33">
        <v>7.7110000000000003</v>
      </c>
      <c r="T132" s="33">
        <v>9.8160000000000007</v>
      </c>
      <c r="U132" s="64">
        <v>372</v>
      </c>
      <c r="V132" s="52">
        <v>32213.447293447294</v>
      </c>
      <c r="W132" s="272">
        <v>276758</v>
      </c>
      <c r="X132" s="285">
        <f t="shared" si="14"/>
        <v>4850</v>
      </c>
      <c r="Y132" s="272">
        <v>2725</v>
      </c>
      <c r="Z132" s="272">
        <v>2125</v>
      </c>
    </row>
    <row r="133" spans="1:26" x14ac:dyDescent="0.25">
      <c r="A133" s="11">
        <v>42552</v>
      </c>
      <c r="B133" s="45">
        <v>2521</v>
      </c>
      <c r="C133" s="254">
        <f t="shared" si="12"/>
        <v>175266</v>
      </c>
      <c r="D133" s="51">
        <v>77487</v>
      </c>
      <c r="E133" s="51">
        <v>86438</v>
      </c>
      <c r="F133" s="52">
        <v>11341</v>
      </c>
      <c r="G133" s="257">
        <f t="shared" si="13"/>
        <v>2718.1530000000002</v>
      </c>
      <c r="H133" s="51">
        <v>1488.8150000000001</v>
      </c>
      <c r="I133" s="52">
        <v>1229.338</v>
      </c>
      <c r="J133" s="259">
        <f t="shared" si="18"/>
        <v>621.54900000000009</v>
      </c>
      <c r="K133" s="37">
        <v>561.90500000000009</v>
      </c>
      <c r="L133" s="37">
        <v>33.799999999999997</v>
      </c>
      <c r="M133" s="38">
        <v>25.844000000000001</v>
      </c>
      <c r="N133" s="261">
        <f t="shared" si="19"/>
        <v>954.49199999999996</v>
      </c>
      <c r="O133" s="33">
        <v>707.34571700000004</v>
      </c>
      <c r="P133" s="33">
        <v>125.965964</v>
      </c>
      <c r="Q133" s="33">
        <v>98.611318999999995</v>
      </c>
      <c r="R133" s="262">
        <v>22.568999999999999</v>
      </c>
      <c r="S133" s="33">
        <v>8.0079999999999991</v>
      </c>
      <c r="T133" s="33">
        <v>14.561</v>
      </c>
      <c r="U133" s="64">
        <v>395</v>
      </c>
      <c r="V133" s="52">
        <v>52135.150997150995</v>
      </c>
      <c r="W133" s="272">
        <v>224034</v>
      </c>
      <c r="X133" s="285">
        <f t="shared" si="14"/>
        <v>3392</v>
      </c>
      <c r="Y133" s="272">
        <v>2465</v>
      </c>
      <c r="Z133" s="272">
        <v>927</v>
      </c>
    </row>
    <row r="134" spans="1:26" x14ac:dyDescent="0.25">
      <c r="A134" s="11">
        <v>42583</v>
      </c>
      <c r="B134" s="45">
        <v>2479</v>
      </c>
      <c r="C134" s="254">
        <f t="shared" si="12"/>
        <v>184890</v>
      </c>
      <c r="D134" s="51">
        <v>94635</v>
      </c>
      <c r="E134" s="51">
        <v>79834</v>
      </c>
      <c r="F134" s="52">
        <v>10421</v>
      </c>
      <c r="G134" s="257">
        <f t="shared" si="13"/>
        <v>2982.6350000000002</v>
      </c>
      <c r="H134" s="51">
        <v>1418.414</v>
      </c>
      <c r="I134" s="52">
        <v>1564.221</v>
      </c>
      <c r="J134" s="259">
        <f t="shared" si="18"/>
        <v>737.23899999999992</v>
      </c>
      <c r="K134" s="37">
        <v>720.01599999999996</v>
      </c>
      <c r="L134" s="37">
        <v>0</v>
      </c>
      <c r="M134" s="38">
        <v>17.222999999999999</v>
      </c>
      <c r="N134" s="261">
        <f t="shared" si="19"/>
        <v>1123.9829999999999</v>
      </c>
      <c r="O134" s="33">
        <v>888.080828</v>
      </c>
      <c r="P134" s="33">
        <v>134.86400900000001</v>
      </c>
      <c r="Q134" s="33">
        <v>78.777163000000002</v>
      </c>
      <c r="R134" s="262">
        <v>22.261000000000003</v>
      </c>
      <c r="S134" s="33">
        <v>7.2720000000000002</v>
      </c>
      <c r="T134" s="33">
        <v>14.989000000000001</v>
      </c>
      <c r="U134" s="64">
        <v>443</v>
      </c>
      <c r="V134" s="52">
        <v>68476</v>
      </c>
      <c r="W134" s="272">
        <v>288156</v>
      </c>
      <c r="X134" s="285">
        <f t="shared" si="14"/>
        <v>1675</v>
      </c>
      <c r="Y134" s="272">
        <v>1157</v>
      </c>
      <c r="Z134" s="272">
        <v>518</v>
      </c>
    </row>
    <row r="135" spans="1:26" x14ac:dyDescent="0.25">
      <c r="A135" s="11">
        <v>42614</v>
      </c>
      <c r="B135" s="45">
        <v>2550</v>
      </c>
      <c r="C135" s="254">
        <f t="shared" si="12"/>
        <v>172998</v>
      </c>
      <c r="D135" s="51">
        <v>82205</v>
      </c>
      <c r="E135" s="51">
        <v>80613</v>
      </c>
      <c r="F135" s="52">
        <v>10180</v>
      </c>
      <c r="G135" s="257">
        <f t="shared" si="13"/>
        <v>1967.866</v>
      </c>
      <c r="H135" s="51">
        <v>927.69600000000003</v>
      </c>
      <c r="I135" s="52">
        <v>1040.17</v>
      </c>
      <c r="J135" s="259">
        <f t="shared" si="18"/>
        <v>348.78100000000001</v>
      </c>
      <c r="K135" s="37">
        <v>332.625</v>
      </c>
      <c r="L135" s="37">
        <v>0</v>
      </c>
      <c r="M135" s="38">
        <v>16.155999999999999</v>
      </c>
      <c r="N135" s="261">
        <f t="shared" si="19"/>
        <v>1089.4750000000001</v>
      </c>
      <c r="O135" s="33">
        <v>985.1169900000001</v>
      </c>
      <c r="P135" s="33">
        <v>0.13076299999999999</v>
      </c>
      <c r="Q135" s="33">
        <v>88.104247000000001</v>
      </c>
      <c r="R135" s="262">
        <v>16.123000000000001</v>
      </c>
      <c r="S135" s="33">
        <v>7.1360000000000001</v>
      </c>
      <c r="T135" s="33">
        <v>8.9870000000000001</v>
      </c>
      <c r="U135" s="65">
        <v>351</v>
      </c>
      <c r="V135" s="52">
        <v>35798</v>
      </c>
      <c r="W135" s="272">
        <v>245470</v>
      </c>
      <c r="X135" s="285">
        <f t="shared" si="14"/>
        <v>3484</v>
      </c>
      <c r="Y135" s="272">
        <v>2570</v>
      </c>
      <c r="Z135" s="272">
        <v>914</v>
      </c>
    </row>
    <row r="136" spans="1:26" x14ac:dyDescent="0.25">
      <c r="A136" s="11">
        <v>42644</v>
      </c>
      <c r="B136" s="45">
        <v>2694</v>
      </c>
      <c r="C136" s="254">
        <f t="shared" ref="C136:C162" si="20">SUM(D136:F136)</f>
        <v>170061</v>
      </c>
      <c r="D136" s="51">
        <v>75952</v>
      </c>
      <c r="E136" s="51">
        <v>82346</v>
      </c>
      <c r="F136" s="52">
        <v>11763</v>
      </c>
      <c r="G136" s="257">
        <f t="shared" ref="G136:G163" si="21">H136+I136</f>
        <v>2156.1279999999997</v>
      </c>
      <c r="H136" s="51">
        <v>1032.011</v>
      </c>
      <c r="I136" s="52">
        <v>1124.117</v>
      </c>
      <c r="J136" s="259">
        <f t="shared" si="18"/>
        <v>271.459</v>
      </c>
      <c r="K136" s="37">
        <v>229.82600000000002</v>
      </c>
      <c r="L136" s="37">
        <v>27.5</v>
      </c>
      <c r="M136" s="38">
        <v>14.132999999999999</v>
      </c>
      <c r="N136" s="261">
        <f t="shared" si="19"/>
        <v>1009.1849999999998</v>
      </c>
      <c r="O136" s="33">
        <v>782.16330699999992</v>
      </c>
      <c r="P136" s="33">
        <v>134.74865800000001</v>
      </c>
      <c r="Q136" s="33">
        <v>75.835035000000005</v>
      </c>
      <c r="R136" s="262">
        <v>16.437999999999999</v>
      </c>
      <c r="S136" s="33">
        <v>7.5679999999999996</v>
      </c>
      <c r="T136" s="33">
        <v>8.8699999999999992</v>
      </c>
      <c r="U136" s="65">
        <v>371</v>
      </c>
      <c r="V136" s="52">
        <v>32457</v>
      </c>
      <c r="W136" s="272">
        <v>261980</v>
      </c>
      <c r="X136" s="285">
        <f t="shared" ref="X136:X144" si="22">Y136+Z136</f>
        <v>5013</v>
      </c>
      <c r="Y136" s="272">
        <v>4178</v>
      </c>
      <c r="Z136" s="272">
        <v>835</v>
      </c>
    </row>
    <row r="137" spans="1:26" x14ac:dyDescent="0.25">
      <c r="A137" s="11">
        <v>42675</v>
      </c>
      <c r="B137" s="45">
        <v>2917</v>
      </c>
      <c r="C137" s="254">
        <f t="shared" si="20"/>
        <v>177605</v>
      </c>
      <c r="D137" s="51">
        <v>74270</v>
      </c>
      <c r="E137" s="51">
        <v>89609</v>
      </c>
      <c r="F137" s="52">
        <v>13726</v>
      </c>
      <c r="G137" s="257">
        <f t="shared" si="21"/>
        <v>2857.5309999999999</v>
      </c>
      <c r="H137" s="51">
        <v>1239.471</v>
      </c>
      <c r="I137" s="52">
        <v>1618.06</v>
      </c>
      <c r="J137" s="259">
        <f t="shared" si="18"/>
        <v>328.36599999999999</v>
      </c>
      <c r="K137" s="37">
        <v>274.60399999999998</v>
      </c>
      <c r="L137" s="37">
        <v>39.450000000000003</v>
      </c>
      <c r="M137" s="38">
        <v>14.311999999999999</v>
      </c>
      <c r="N137" s="261">
        <f t="shared" si="19"/>
        <v>812.66199999999992</v>
      </c>
      <c r="O137" s="33">
        <v>596.24329899999998</v>
      </c>
      <c r="P137" s="33">
        <v>116.98885</v>
      </c>
      <c r="Q137" s="33">
        <v>85.564851000000004</v>
      </c>
      <c r="R137" s="262">
        <v>13.865</v>
      </c>
      <c r="S137" s="33">
        <v>6.4969999999999999</v>
      </c>
      <c r="T137" s="33">
        <v>7.3680000000000003</v>
      </c>
      <c r="U137" s="65">
        <v>346</v>
      </c>
      <c r="V137" s="52">
        <v>24451</v>
      </c>
      <c r="W137" s="272">
        <v>221652</v>
      </c>
      <c r="X137" s="285">
        <f t="shared" si="22"/>
        <v>7501</v>
      </c>
      <c r="Y137" s="272">
        <v>5061</v>
      </c>
      <c r="Z137" s="272">
        <v>2440</v>
      </c>
    </row>
    <row r="138" spans="1:26" x14ac:dyDescent="0.25">
      <c r="A138" s="11">
        <v>42705</v>
      </c>
      <c r="B138" s="45">
        <v>2998</v>
      </c>
      <c r="C138" s="254">
        <f t="shared" si="20"/>
        <v>199519</v>
      </c>
      <c r="D138" s="51">
        <v>87296</v>
      </c>
      <c r="E138" s="51">
        <v>99208</v>
      </c>
      <c r="F138" s="52">
        <v>13015</v>
      </c>
      <c r="G138" s="257">
        <f t="shared" si="21"/>
        <v>3345.741</v>
      </c>
      <c r="H138" s="51">
        <v>1792.55</v>
      </c>
      <c r="I138" s="52">
        <v>1553.191</v>
      </c>
      <c r="J138" s="259">
        <f t="shared" si="18"/>
        <v>315.64300000000003</v>
      </c>
      <c r="K138" s="37">
        <v>275.42</v>
      </c>
      <c r="L138" s="37">
        <v>28.995000000000001</v>
      </c>
      <c r="M138" s="38">
        <v>11.228</v>
      </c>
      <c r="N138" s="261">
        <f t="shared" si="19"/>
        <v>1014.5910000000001</v>
      </c>
      <c r="O138" s="33">
        <v>760.28140000000008</v>
      </c>
      <c r="P138" s="33">
        <v>134.88630699999999</v>
      </c>
      <c r="Q138" s="33">
        <v>106.236293</v>
      </c>
      <c r="R138" s="262">
        <v>13.187000000000001</v>
      </c>
      <c r="S138" s="33">
        <v>5.819</v>
      </c>
      <c r="T138" s="33">
        <v>7.3680000000000003</v>
      </c>
      <c r="U138" s="65">
        <v>419</v>
      </c>
      <c r="V138" s="52">
        <v>28225</v>
      </c>
      <c r="W138" s="272">
        <v>258755</v>
      </c>
      <c r="X138" s="285">
        <f t="shared" si="22"/>
        <v>7283</v>
      </c>
      <c r="Y138" s="272">
        <v>5121</v>
      </c>
      <c r="Z138" s="272">
        <v>2162</v>
      </c>
    </row>
    <row r="139" spans="1:26" x14ac:dyDescent="0.25">
      <c r="A139" s="11">
        <v>42736</v>
      </c>
      <c r="B139" s="45">
        <v>2905</v>
      </c>
      <c r="C139" s="254">
        <f t="shared" si="20"/>
        <v>195456</v>
      </c>
      <c r="D139" s="51">
        <v>93641</v>
      </c>
      <c r="E139" s="51">
        <v>87689</v>
      </c>
      <c r="F139" s="52">
        <v>14126</v>
      </c>
      <c r="G139" s="257">
        <f t="shared" si="21"/>
        <v>3446.8050000000003</v>
      </c>
      <c r="H139" s="51">
        <v>1751.3050000000001</v>
      </c>
      <c r="I139" s="52">
        <v>1695.5</v>
      </c>
      <c r="J139" s="259">
        <f t="shared" si="18"/>
        <v>286.64</v>
      </c>
      <c r="K139" s="37">
        <v>242.02600000000001</v>
      </c>
      <c r="L139" s="37">
        <v>21.19</v>
      </c>
      <c r="M139" s="38">
        <v>23.423999999999999</v>
      </c>
      <c r="N139" s="261">
        <f t="shared" si="19"/>
        <v>955.34500000000003</v>
      </c>
      <c r="O139" s="33">
        <v>753.10291099999995</v>
      </c>
      <c r="P139" s="33">
        <v>134.59590499999999</v>
      </c>
      <c r="Q139" s="33">
        <v>53.143183999999998</v>
      </c>
      <c r="R139" s="262">
        <v>14.503</v>
      </c>
      <c r="S139" s="33">
        <v>7.0119999999999996</v>
      </c>
      <c r="T139" s="33">
        <v>7.4909999999999997</v>
      </c>
      <c r="U139" s="65">
        <v>433</v>
      </c>
      <c r="V139" s="52">
        <v>25838</v>
      </c>
      <c r="W139" s="272">
        <v>286623</v>
      </c>
      <c r="X139" s="285">
        <f t="shared" si="22"/>
        <v>7042</v>
      </c>
      <c r="Y139" s="272">
        <v>4730</v>
      </c>
      <c r="Z139" s="272">
        <v>2312</v>
      </c>
    </row>
    <row r="140" spans="1:26" x14ac:dyDescent="0.25">
      <c r="A140" s="11">
        <v>42767</v>
      </c>
      <c r="B140" s="45">
        <v>2639</v>
      </c>
      <c r="C140" s="254">
        <f t="shared" si="20"/>
        <v>180265</v>
      </c>
      <c r="D140" s="51">
        <v>86842</v>
      </c>
      <c r="E140" s="51">
        <v>81190</v>
      </c>
      <c r="F140" s="52">
        <v>12233</v>
      </c>
      <c r="G140" s="257">
        <f t="shared" si="21"/>
        <v>3041.181</v>
      </c>
      <c r="H140" s="51">
        <v>1772.07</v>
      </c>
      <c r="I140" s="52">
        <v>1269.1110000000001</v>
      </c>
      <c r="J140" s="259">
        <f t="shared" si="18"/>
        <v>376.38499999999999</v>
      </c>
      <c r="K140" s="37">
        <v>281.37299999999999</v>
      </c>
      <c r="L140" s="37">
        <v>77.73</v>
      </c>
      <c r="M140" s="38">
        <v>17.282</v>
      </c>
      <c r="N140" s="261">
        <f t="shared" si="19"/>
        <v>1118.3600000000001</v>
      </c>
      <c r="O140" s="33">
        <v>1039.2810930000001</v>
      </c>
      <c r="P140" s="33">
        <v>8.8858000000000006E-2</v>
      </c>
      <c r="Q140" s="33">
        <v>65.328048999999993</v>
      </c>
      <c r="R140" s="262">
        <v>13.661999999999999</v>
      </c>
      <c r="S140" s="33">
        <v>7.65</v>
      </c>
      <c r="T140" s="33">
        <v>6.0119999999999996</v>
      </c>
      <c r="U140" s="65">
        <v>400</v>
      </c>
      <c r="V140" s="52">
        <v>26303</v>
      </c>
      <c r="W140" s="272">
        <v>259754</v>
      </c>
      <c r="X140" s="285">
        <f t="shared" si="22"/>
        <v>6011</v>
      </c>
      <c r="Y140" s="272">
        <v>3806</v>
      </c>
      <c r="Z140" s="272">
        <v>2205</v>
      </c>
    </row>
    <row r="141" spans="1:26" x14ac:dyDescent="0.25">
      <c r="A141" s="11">
        <v>42795</v>
      </c>
      <c r="B141" s="45">
        <v>3000</v>
      </c>
      <c r="C141" s="254">
        <f t="shared" si="20"/>
        <v>196804</v>
      </c>
      <c r="D141" s="51">
        <v>98487</v>
      </c>
      <c r="E141" s="51">
        <v>81572</v>
      </c>
      <c r="F141" s="52">
        <v>16745</v>
      </c>
      <c r="G141" s="257">
        <f t="shared" si="21"/>
        <v>4083.7779999999998</v>
      </c>
      <c r="H141" s="51">
        <v>2198.3359999999998</v>
      </c>
      <c r="I141" s="52">
        <v>1885.442</v>
      </c>
      <c r="J141" s="259">
        <f t="shared" si="18"/>
        <v>378.97899999999998</v>
      </c>
      <c r="K141" s="37">
        <v>281.37299999999999</v>
      </c>
      <c r="L141" s="37">
        <v>77.73</v>
      </c>
      <c r="M141" s="38">
        <v>19.876000000000001</v>
      </c>
      <c r="N141" s="261">
        <f t="shared" si="19"/>
        <v>1093.5419999999999</v>
      </c>
      <c r="O141" s="33">
        <v>851.74722399999996</v>
      </c>
      <c r="P141" s="33">
        <v>128.656826</v>
      </c>
      <c r="Q141" s="33">
        <v>92.866950000000003</v>
      </c>
      <c r="R141" s="262">
        <v>20.271000000000001</v>
      </c>
      <c r="S141" s="33">
        <v>9.6020000000000003</v>
      </c>
      <c r="T141" s="33">
        <v>10.669</v>
      </c>
      <c r="U141" s="65">
        <v>412</v>
      </c>
      <c r="V141" s="52">
        <v>26516</v>
      </c>
      <c r="W141" s="272">
        <v>278480</v>
      </c>
      <c r="X141" s="285">
        <f t="shared" si="22"/>
        <v>5240</v>
      </c>
      <c r="Y141" s="272">
        <v>2953</v>
      </c>
      <c r="Z141" s="272">
        <v>2287</v>
      </c>
    </row>
    <row r="142" spans="1:26" x14ac:dyDescent="0.25">
      <c r="A142" s="11">
        <v>42826</v>
      </c>
      <c r="B142" s="45">
        <v>3032</v>
      </c>
      <c r="C142" s="254">
        <f t="shared" si="20"/>
        <v>188385</v>
      </c>
      <c r="D142" s="51">
        <v>96603</v>
      </c>
      <c r="E142" s="51">
        <v>77712</v>
      </c>
      <c r="F142" s="52">
        <v>14070</v>
      </c>
      <c r="G142" s="257">
        <f t="shared" si="21"/>
        <v>3021.8870000000002</v>
      </c>
      <c r="H142" s="51">
        <v>1681.2550000000001</v>
      </c>
      <c r="I142" s="52">
        <v>1340.6320000000001</v>
      </c>
      <c r="J142" s="259">
        <f t="shared" si="18"/>
        <v>305.37599999999998</v>
      </c>
      <c r="K142" s="37">
        <v>240.54300000000001</v>
      </c>
      <c r="L142" s="37">
        <v>42.32</v>
      </c>
      <c r="M142" s="38">
        <v>22.513000000000002</v>
      </c>
      <c r="N142" s="261">
        <f t="shared" si="19"/>
        <v>1220.144</v>
      </c>
      <c r="O142" s="33">
        <v>1117.919893</v>
      </c>
      <c r="P142" s="33">
        <v>4.2900000000000001E-2</v>
      </c>
      <c r="Q142" s="33">
        <v>75.666207</v>
      </c>
      <c r="R142" s="262">
        <v>26.515000000000001</v>
      </c>
      <c r="S142" s="33">
        <v>13.135</v>
      </c>
      <c r="T142" s="33">
        <v>13.38</v>
      </c>
      <c r="U142" s="65">
        <v>415</v>
      </c>
      <c r="V142" s="52">
        <v>44655</v>
      </c>
      <c r="W142" s="272">
        <v>238972</v>
      </c>
      <c r="X142" s="285">
        <f t="shared" si="22"/>
        <v>4477</v>
      </c>
      <c r="Y142" s="272">
        <v>2024</v>
      </c>
      <c r="Z142" s="272">
        <v>2453</v>
      </c>
    </row>
    <row r="143" spans="1:26" x14ac:dyDescent="0.25">
      <c r="A143" s="11">
        <v>42856</v>
      </c>
      <c r="B143" s="45">
        <v>3016</v>
      </c>
      <c r="C143" s="254">
        <f t="shared" si="20"/>
        <v>166402</v>
      </c>
      <c r="D143" s="51">
        <v>84691</v>
      </c>
      <c r="E143" s="51">
        <v>69553</v>
      </c>
      <c r="F143" s="52">
        <v>12158</v>
      </c>
      <c r="G143" s="257">
        <f t="shared" si="21"/>
        <v>2744.8209999999999</v>
      </c>
      <c r="H143" s="51">
        <v>1514.883</v>
      </c>
      <c r="I143" s="52">
        <v>1229.9380000000001</v>
      </c>
      <c r="J143" s="259">
        <f t="shared" si="18"/>
        <v>491.54300000000001</v>
      </c>
      <c r="K143" s="37">
        <v>411.91</v>
      </c>
      <c r="L143" s="37">
        <v>50.75</v>
      </c>
      <c r="M143" s="38">
        <v>28.882999999999999</v>
      </c>
      <c r="N143" s="261">
        <f t="shared" si="19"/>
        <v>995.15199999999993</v>
      </c>
      <c r="O143" s="33">
        <v>754.61812499999996</v>
      </c>
      <c r="P143" s="33">
        <v>141.78478200000001</v>
      </c>
      <c r="Q143" s="33">
        <v>72.019092999999998</v>
      </c>
      <c r="R143" s="262">
        <v>26.73</v>
      </c>
      <c r="S143" s="33">
        <v>12.705</v>
      </c>
      <c r="T143" s="33">
        <v>14.025</v>
      </c>
      <c r="U143" s="65">
        <v>430</v>
      </c>
      <c r="V143" s="52">
        <v>56011</v>
      </c>
      <c r="W143" s="272">
        <v>276582</v>
      </c>
      <c r="X143" s="285">
        <f t="shared" si="22"/>
        <v>4750</v>
      </c>
      <c r="Y143" s="272">
        <v>3340</v>
      </c>
      <c r="Z143" s="272">
        <v>1410</v>
      </c>
    </row>
    <row r="144" spans="1:26" x14ac:dyDescent="0.25">
      <c r="A144" s="11">
        <v>42887</v>
      </c>
      <c r="B144" s="45">
        <v>2493</v>
      </c>
      <c r="C144" s="254">
        <f t="shared" si="20"/>
        <v>139794</v>
      </c>
      <c r="D144" s="51">
        <v>65222</v>
      </c>
      <c r="E144" s="51">
        <v>63331</v>
      </c>
      <c r="F144" s="52">
        <v>11241</v>
      </c>
      <c r="G144" s="257">
        <f t="shared" si="21"/>
        <v>3209.1419999999998</v>
      </c>
      <c r="H144" s="51">
        <v>1722.4290000000001</v>
      </c>
      <c r="I144" s="52">
        <v>1486.713</v>
      </c>
      <c r="J144" s="259">
        <f t="shared" si="18"/>
        <v>458.58600000000007</v>
      </c>
      <c r="K144" s="37">
        <v>306.11900000000003</v>
      </c>
      <c r="L144" s="37">
        <v>118.85</v>
      </c>
      <c r="M144" s="38">
        <v>33.616999999999997</v>
      </c>
      <c r="N144" s="261">
        <f t="shared" si="19"/>
        <v>1031.0720000000001</v>
      </c>
      <c r="O144" s="33">
        <v>668.78493100000003</v>
      </c>
      <c r="P144" s="33">
        <v>262.371329</v>
      </c>
      <c r="Q144" s="33">
        <v>75.727739999999997</v>
      </c>
      <c r="R144" s="262">
        <v>24.188000000000002</v>
      </c>
      <c r="S144" s="33">
        <v>11.343</v>
      </c>
      <c r="T144" s="33">
        <v>12.845000000000001</v>
      </c>
      <c r="U144" s="65">
        <v>345</v>
      </c>
      <c r="V144" s="52">
        <v>18702</v>
      </c>
      <c r="W144" s="272">
        <v>232593</v>
      </c>
      <c r="X144" s="285">
        <f t="shared" si="22"/>
        <v>2437</v>
      </c>
      <c r="Y144" s="272">
        <v>1579</v>
      </c>
      <c r="Z144" s="272">
        <v>858</v>
      </c>
    </row>
    <row r="145" spans="1:26" x14ac:dyDescent="0.25">
      <c r="A145" s="11">
        <v>42917</v>
      </c>
      <c r="B145" s="45">
        <v>2594</v>
      </c>
      <c r="C145" s="254">
        <f t="shared" si="20"/>
        <v>189249</v>
      </c>
      <c r="D145" s="51">
        <v>91225</v>
      </c>
      <c r="E145" s="51">
        <v>84971</v>
      </c>
      <c r="F145" s="52">
        <v>13053</v>
      </c>
      <c r="G145" s="257">
        <f t="shared" si="21"/>
        <v>3328.1990000000001</v>
      </c>
      <c r="H145" s="51">
        <v>1748.2950000000001</v>
      </c>
      <c r="I145" s="52">
        <v>1579.904</v>
      </c>
      <c r="J145" s="259">
        <f t="shared" si="18"/>
        <v>529.22199999999998</v>
      </c>
      <c r="K145" s="37">
        <v>462.93799999999999</v>
      </c>
      <c r="L145" s="37">
        <v>38.380000000000003</v>
      </c>
      <c r="M145" s="38">
        <v>27.904</v>
      </c>
      <c r="N145" s="261">
        <f t="shared" si="19"/>
        <v>1236.577</v>
      </c>
      <c r="O145" s="33">
        <v>1124.6093980000001</v>
      </c>
      <c r="P145" s="33">
        <v>0.18454000000000001</v>
      </c>
      <c r="Q145" s="33">
        <v>81.581062000000003</v>
      </c>
      <c r="R145" s="262">
        <v>30.201999999999998</v>
      </c>
      <c r="S145" s="33">
        <v>12.432</v>
      </c>
      <c r="T145" s="33">
        <v>17.77</v>
      </c>
      <c r="U145" s="65">
        <v>452</v>
      </c>
      <c r="V145" s="52">
        <v>52266</v>
      </c>
      <c r="W145" s="272">
        <v>224034</v>
      </c>
      <c r="X145" s="285"/>
      <c r="Y145" s="272" t="s">
        <v>105</v>
      </c>
      <c r="Z145" s="272" t="s">
        <v>105</v>
      </c>
    </row>
    <row r="146" spans="1:26" x14ac:dyDescent="0.25">
      <c r="A146" s="11">
        <v>42948</v>
      </c>
      <c r="B146" s="45">
        <v>2672</v>
      </c>
      <c r="C146" s="254">
        <f t="shared" si="20"/>
        <v>209336</v>
      </c>
      <c r="D146" s="51">
        <v>101508</v>
      </c>
      <c r="E146" s="51">
        <v>94602</v>
      </c>
      <c r="F146" s="52">
        <v>13226</v>
      </c>
      <c r="G146" s="257">
        <f t="shared" si="21"/>
        <v>3163.7489999999998</v>
      </c>
      <c r="H146" s="51">
        <v>1715.4690000000001</v>
      </c>
      <c r="I146" s="52">
        <v>1448.28</v>
      </c>
      <c r="J146" s="259">
        <f t="shared" si="18"/>
        <v>376.97799999999995</v>
      </c>
      <c r="K146" s="37">
        <v>323.59499999999997</v>
      </c>
      <c r="L146" s="37">
        <v>32.299999999999997</v>
      </c>
      <c r="M146" s="38">
        <v>21.082999999999998</v>
      </c>
      <c r="N146" s="261">
        <f t="shared" si="19"/>
        <v>1381.0900000000001</v>
      </c>
      <c r="O146" s="33">
        <v>1132.9421170000001</v>
      </c>
      <c r="P146" s="33">
        <v>134.48098200000001</v>
      </c>
      <c r="Q146" s="33">
        <v>87.639900999999995</v>
      </c>
      <c r="R146" s="262">
        <v>26.027000000000001</v>
      </c>
      <c r="S146" s="33">
        <v>12.082000000000001</v>
      </c>
      <c r="T146" s="33">
        <v>13.945</v>
      </c>
      <c r="U146" s="65">
        <v>490</v>
      </c>
      <c r="V146" s="52">
        <v>60876</v>
      </c>
      <c r="W146" s="272">
        <v>285661</v>
      </c>
      <c r="X146" s="285"/>
      <c r="Y146" s="272" t="s">
        <v>105</v>
      </c>
      <c r="Z146" s="272" t="s">
        <v>105</v>
      </c>
    </row>
    <row r="147" spans="1:26" x14ac:dyDescent="0.25">
      <c r="A147" s="11">
        <v>42979</v>
      </c>
      <c r="B147" s="45">
        <v>2569</v>
      </c>
      <c r="C147" s="254">
        <f t="shared" si="20"/>
        <v>184321</v>
      </c>
      <c r="D147" s="51">
        <v>96822</v>
      </c>
      <c r="E147" s="51">
        <v>75687</v>
      </c>
      <c r="F147" s="52">
        <v>11812</v>
      </c>
      <c r="G147" s="257">
        <f t="shared" si="21"/>
        <v>2044.1469999999999</v>
      </c>
      <c r="H147" s="51">
        <v>932.96499999999992</v>
      </c>
      <c r="I147" s="52">
        <v>1111.182</v>
      </c>
      <c r="J147" s="259">
        <f t="shared" si="18"/>
        <v>322.94500000000005</v>
      </c>
      <c r="K147" s="37">
        <v>272.98900000000003</v>
      </c>
      <c r="L147" s="37">
        <v>26.195</v>
      </c>
      <c r="M147" s="38">
        <v>23.760999999999999</v>
      </c>
      <c r="N147" s="261">
        <f t="shared" si="19"/>
        <v>1067.393</v>
      </c>
      <c r="O147" s="33">
        <v>828.45940199999995</v>
      </c>
      <c r="P147" s="33">
        <v>134.68892700000001</v>
      </c>
      <c r="Q147" s="33">
        <v>75.007671000000002</v>
      </c>
      <c r="R147" s="262">
        <v>29.237000000000002</v>
      </c>
      <c r="S147" s="33">
        <v>12.351000000000001</v>
      </c>
      <c r="T147" s="33">
        <v>16.885999999999999</v>
      </c>
      <c r="U147" s="65">
        <v>413</v>
      </c>
      <c r="V147" s="52">
        <v>40005</v>
      </c>
      <c r="W147" s="272">
        <v>214240</v>
      </c>
      <c r="X147" s="285"/>
      <c r="Y147" s="272" t="s">
        <v>105</v>
      </c>
      <c r="Z147" s="272" t="s">
        <v>105</v>
      </c>
    </row>
    <row r="148" spans="1:26" x14ac:dyDescent="0.25">
      <c r="A148" s="11">
        <v>43009</v>
      </c>
      <c r="B148" s="45">
        <v>2695</v>
      </c>
      <c r="C148" s="254">
        <f t="shared" si="20"/>
        <v>157412</v>
      </c>
      <c r="D148" s="51">
        <v>78076</v>
      </c>
      <c r="E148" s="51">
        <v>70552</v>
      </c>
      <c r="F148" s="52">
        <v>8784</v>
      </c>
      <c r="G148" s="257">
        <f t="shared" si="21"/>
        <v>2030.7139999999999</v>
      </c>
      <c r="H148" s="51">
        <v>884.10799999999995</v>
      </c>
      <c r="I148" s="52">
        <v>1146.606</v>
      </c>
      <c r="J148" s="259">
        <f t="shared" si="18"/>
        <v>560.70900000000006</v>
      </c>
      <c r="K148" s="37">
        <v>482.46900000000005</v>
      </c>
      <c r="L148" s="37">
        <v>57</v>
      </c>
      <c r="M148" s="38">
        <v>21.24</v>
      </c>
      <c r="N148" s="261">
        <f t="shared" si="19"/>
        <v>1853.26</v>
      </c>
      <c r="O148" s="33">
        <v>1621.005731</v>
      </c>
      <c r="P148" s="33">
        <v>134.59309500000001</v>
      </c>
      <c r="Q148" s="33">
        <v>76.661174000000003</v>
      </c>
      <c r="R148" s="262">
        <v>21</v>
      </c>
      <c r="S148" s="33">
        <v>9.7219999999999995</v>
      </c>
      <c r="T148" s="33">
        <v>11.278</v>
      </c>
      <c r="U148" s="65">
        <v>383</v>
      </c>
      <c r="V148" s="52">
        <v>30881</v>
      </c>
      <c r="W148" s="272">
        <v>241133</v>
      </c>
      <c r="X148" s="285"/>
      <c r="Y148" s="272" t="s">
        <v>105</v>
      </c>
      <c r="Z148" s="272" t="s">
        <v>105</v>
      </c>
    </row>
    <row r="149" spans="1:26" x14ac:dyDescent="0.25">
      <c r="A149" s="11">
        <v>43040</v>
      </c>
      <c r="B149" s="45">
        <v>2672</v>
      </c>
      <c r="C149" s="254">
        <f t="shared" si="20"/>
        <v>184681</v>
      </c>
      <c r="D149" s="51">
        <v>82628</v>
      </c>
      <c r="E149" s="51">
        <v>88696</v>
      </c>
      <c r="F149" s="52">
        <v>13357</v>
      </c>
      <c r="G149" s="257">
        <f t="shared" si="21"/>
        <v>2439.8090000000002</v>
      </c>
      <c r="H149" s="51">
        <v>1109.222</v>
      </c>
      <c r="I149" s="52">
        <v>1330.587</v>
      </c>
      <c r="J149" s="259">
        <f t="shared" si="18"/>
        <v>370.33100000000002</v>
      </c>
      <c r="K149" s="37">
        <v>278.358</v>
      </c>
      <c r="L149" s="37">
        <v>71.58</v>
      </c>
      <c r="M149" s="38">
        <v>20.393000000000001</v>
      </c>
      <c r="N149" s="261">
        <f t="shared" si="19"/>
        <v>1029.9950000000001</v>
      </c>
      <c r="O149" s="33">
        <v>898.01092000000006</v>
      </c>
      <c r="P149" s="33">
        <v>0.100454</v>
      </c>
      <c r="Q149" s="33">
        <v>112.21962600000001</v>
      </c>
      <c r="R149" s="262">
        <v>19.664000000000001</v>
      </c>
      <c r="S149" s="33">
        <v>12.693</v>
      </c>
      <c r="T149" s="33">
        <v>6.9710000000000001</v>
      </c>
      <c r="U149" s="65">
        <v>363</v>
      </c>
      <c r="V149" s="52">
        <v>23855</v>
      </c>
      <c r="W149" s="272">
        <v>143753</v>
      </c>
      <c r="X149" s="285"/>
      <c r="Y149" s="272" t="s">
        <v>105</v>
      </c>
      <c r="Z149" s="272" t="s">
        <v>105</v>
      </c>
    </row>
    <row r="150" spans="1:26" x14ac:dyDescent="0.25">
      <c r="A150" s="11">
        <v>43070</v>
      </c>
      <c r="B150" s="45">
        <v>3252</v>
      </c>
      <c r="C150" s="254">
        <f t="shared" si="20"/>
        <v>207253</v>
      </c>
      <c r="D150" s="51">
        <v>90706</v>
      </c>
      <c r="E150" s="51">
        <v>102516</v>
      </c>
      <c r="F150" s="52">
        <v>14031</v>
      </c>
      <c r="G150" s="257">
        <f t="shared" si="21"/>
        <v>2680.8320000000003</v>
      </c>
      <c r="H150" s="51">
        <v>1164.836</v>
      </c>
      <c r="I150" s="52">
        <v>1515.9960000000001</v>
      </c>
      <c r="J150" s="259">
        <f t="shared" si="18"/>
        <v>553.97500000000002</v>
      </c>
      <c r="K150" s="37">
        <v>362.33600000000001</v>
      </c>
      <c r="L150" s="37">
        <v>178.16</v>
      </c>
      <c r="M150" s="38">
        <v>13.478999999999999</v>
      </c>
      <c r="N150" s="261">
        <f t="shared" si="19"/>
        <v>1271.2170000000001</v>
      </c>
      <c r="O150" s="33">
        <v>997.84716200000014</v>
      </c>
      <c r="P150" s="33">
        <v>128.14549299999999</v>
      </c>
      <c r="Q150" s="33">
        <v>127.772345</v>
      </c>
      <c r="R150" s="262">
        <v>17.451999999999998</v>
      </c>
      <c r="S150" s="33">
        <v>11.304</v>
      </c>
      <c r="T150" s="33">
        <v>6.1479999999999997</v>
      </c>
      <c r="U150" s="65">
        <v>376</v>
      </c>
      <c r="V150" s="52">
        <v>29242</v>
      </c>
      <c r="W150" s="272">
        <v>140174</v>
      </c>
      <c r="X150" s="285"/>
      <c r="Y150" s="272" t="s">
        <v>105</v>
      </c>
      <c r="Z150" s="272" t="s">
        <v>105</v>
      </c>
    </row>
    <row r="151" spans="1:26" x14ac:dyDescent="0.25">
      <c r="A151" s="11">
        <v>43101</v>
      </c>
      <c r="B151" s="45">
        <v>2703</v>
      </c>
      <c r="C151" s="254">
        <f t="shared" si="20"/>
        <v>205279</v>
      </c>
      <c r="D151" s="51">
        <v>98067</v>
      </c>
      <c r="E151" s="51">
        <v>95298</v>
      </c>
      <c r="F151" s="52">
        <v>11914</v>
      </c>
      <c r="G151" s="257">
        <f t="shared" si="21"/>
        <v>2950.404</v>
      </c>
      <c r="H151" s="51">
        <v>1214.52</v>
      </c>
      <c r="I151" s="52">
        <v>1735.884</v>
      </c>
      <c r="J151" s="259">
        <v>302.42700000000002</v>
      </c>
      <c r="K151" s="37">
        <v>255.738</v>
      </c>
      <c r="L151" s="37">
        <v>31</v>
      </c>
      <c r="M151" s="38">
        <v>15.689</v>
      </c>
      <c r="N151" s="261">
        <v>983.44800000000009</v>
      </c>
      <c r="O151" s="33">
        <v>755.12778300000002</v>
      </c>
      <c r="P151" s="33">
        <v>128.253984</v>
      </c>
      <c r="Q151" s="33">
        <v>79.231233000000003</v>
      </c>
      <c r="R151" s="262">
        <v>20.835000000000001</v>
      </c>
      <c r="S151" s="33">
        <v>12.241</v>
      </c>
      <c r="T151" s="33">
        <v>8.5939999999999994</v>
      </c>
      <c r="U151" s="65">
        <v>358</v>
      </c>
      <c r="V151" s="52">
        <v>26685</v>
      </c>
      <c r="W151" s="272">
        <v>119719</v>
      </c>
      <c r="X151" s="285"/>
      <c r="Y151" s="272" t="s">
        <v>105</v>
      </c>
      <c r="Z151" s="272" t="s">
        <v>105</v>
      </c>
    </row>
    <row r="152" spans="1:26" x14ac:dyDescent="0.25">
      <c r="A152" s="11">
        <v>43132</v>
      </c>
      <c r="B152" s="45">
        <v>2392</v>
      </c>
      <c r="C152" s="254">
        <f t="shared" si="20"/>
        <v>190329</v>
      </c>
      <c r="D152" s="51">
        <v>90456</v>
      </c>
      <c r="E152" s="51">
        <v>87253</v>
      </c>
      <c r="F152" s="52">
        <v>12620</v>
      </c>
      <c r="G152" s="257">
        <f t="shared" si="21"/>
        <v>2558.018</v>
      </c>
      <c r="H152" s="51">
        <v>1050.912</v>
      </c>
      <c r="I152" s="52">
        <v>1507.106</v>
      </c>
      <c r="J152" s="259">
        <v>386.00699999999995</v>
      </c>
      <c r="K152" s="37">
        <v>274.19099999999997</v>
      </c>
      <c r="L152" s="37">
        <v>97</v>
      </c>
      <c r="M152" s="38">
        <v>14.816000000000001</v>
      </c>
      <c r="N152" s="261">
        <v>964.42199999999991</v>
      </c>
      <c r="O152" s="33">
        <v>737.91021599999999</v>
      </c>
      <c r="P152" s="33">
        <v>95.946251000000004</v>
      </c>
      <c r="Q152" s="33">
        <v>110.99853299999999</v>
      </c>
      <c r="R152" s="262">
        <v>19.567</v>
      </c>
      <c r="S152" s="33">
        <v>13.510999999999999</v>
      </c>
      <c r="T152" s="33">
        <v>6.056</v>
      </c>
      <c r="U152" s="65">
        <v>346</v>
      </c>
      <c r="V152" s="52">
        <v>28588</v>
      </c>
      <c r="W152" s="272">
        <v>106693</v>
      </c>
      <c r="X152" s="285"/>
      <c r="Y152" s="272" t="s">
        <v>105</v>
      </c>
      <c r="Z152" s="272" t="s">
        <v>105</v>
      </c>
    </row>
    <row r="153" spans="1:26" x14ac:dyDescent="0.25">
      <c r="A153" s="11">
        <v>43160</v>
      </c>
      <c r="B153" s="45">
        <v>2733</v>
      </c>
      <c r="C153" s="254">
        <f t="shared" si="20"/>
        <v>211229</v>
      </c>
      <c r="D153" s="51">
        <v>105641</v>
      </c>
      <c r="E153" s="51">
        <v>89481</v>
      </c>
      <c r="F153" s="52">
        <v>16107</v>
      </c>
      <c r="G153" s="257">
        <f t="shared" si="21"/>
        <v>3523.0789999999997</v>
      </c>
      <c r="H153" s="51">
        <v>1805.3630000000001</v>
      </c>
      <c r="I153" s="52">
        <v>1717.7159999999999</v>
      </c>
      <c r="J153" s="259">
        <v>403.78400000000005</v>
      </c>
      <c r="K153" s="37">
        <v>296.11</v>
      </c>
      <c r="L153" s="37">
        <v>90.3</v>
      </c>
      <c r="M153" s="38">
        <v>17.373999999999999</v>
      </c>
      <c r="N153" s="261">
        <v>1517.1080000000002</v>
      </c>
      <c r="O153" s="33">
        <v>1387.3366430000001</v>
      </c>
      <c r="P153" s="33">
        <v>8.8128999999999999E-2</v>
      </c>
      <c r="Q153" s="33">
        <v>104.927228</v>
      </c>
      <c r="R153" s="262">
        <v>24.756</v>
      </c>
      <c r="S153" s="33">
        <v>17.629000000000001</v>
      </c>
      <c r="T153" s="33">
        <v>7.1269999999999998</v>
      </c>
      <c r="U153" s="65">
        <v>402</v>
      </c>
      <c r="V153" s="52">
        <v>37557</v>
      </c>
      <c r="W153" s="272">
        <v>124611</v>
      </c>
      <c r="X153" s="285"/>
      <c r="Y153" s="272" t="s">
        <v>105</v>
      </c>
      <c r="Z153" s="272" t="s">
        <v>105</v>
      </c>
    </row>
    <row r="154" spans="1:26" x14ac:dyDescent="0.25">
      <c r="A154" s="11">
        <v>43191</v>
      </c>
      <c r="B154" s="45">
        <v>2515</v>
      </c>
      <c r="C154" s="254">
        <f t="shared" si="20"/>
        <v>202882</v>
      </c>
      <c r="D154" s="51">
        <v>98758</v>
      </c>
      <c r="E154" s="51">
        <v>89279</v>
      </c>
      <c r="F154" s="52">
        <v>14845</v>
      </c>
      <c r="G154" s="257">
        <f t="shared" si="21"/>
        <v>3350.05</v>
      </c>
      <c r="H154" s="51">
        <v>1490.5930000000001</v>
      </c>
      <c r="I154" s="52">
        <v>1859.4570000000001</v>
      </c>
      <c r="J154" s="259">
        <v>408.51800000000003</v>
      </c>
      <c r="K154" s="37">
        <v>349.11</v>
      </c>
      <c r="L154" s="37">
        <v>37.299999999999997</v>
      </c>
      <c r="M154" s="38">
        <v>22.108000000000001</v>
      </c>
      <c r="N154" s="261">
        <v>1429.1180000000002</v>
      </c>
      <c r="O154" s="33">
        <v>1281.35554</v>
      </c>
      <c r="P154" s="33">
        <v>1.171049</v>
      </c>
      <c r="Q154" s="33">
        <v>119.581411</v>
      </c>
      <c r="R154" s="262">
        <v>27.009999999999998</v>
      </c>
      <c r="S154" s="33">
        <v>16.626999999999999</v>
      </c>
      <c r="T154" s="33">
        <v>10.382999999999999</v>
      </c>
      <c r="U154" s="65">
        <v>428</v>
      </c>
      <c r="V154" s="52">
        <v>41498</v>
      </c>
      <c r="W154" s="272">
        <v>85724</v>
      </c>
      <c r="X154" s="285"/>
      <c r="Y154" s="272" t="s">
        <v>105</v>
      </c>
      <c r="Z154" s="272" t="s">
        <v>105</v>
      </c>
    </row>
    <row r="155" spans="1:26" x14ac:dyDescent="0.25">
      <c r="A155" s="11">
        <v>43221</v>
      </c>
      <c r="B155" s="45">
        <v>2499</v>
      </c>
      <c r="C155" s="254">
        <f t="shared" si="20"/>
        <v>176915</v>
      </c>
      <c r="D155" s="51">
        <v>89049</v>
      </c>
      <c r="E155" s="51">
        <v>72520</v>
      </c>
      <c r="F155" s="52">
        <v>15346</v>
      </c>
      <c r="G155" s="257">
        <f t="shared" si="21"/>
        <v>3037.9920000000002</v>
      </c>
      <c r="H155" s="51">
        <v>1185.174</v>
      </c>
      <c r="I155" s="52">
        <v>1852.818</v>
      </c>
      <c r="J155" s="259">
        <v>428.41700000000003</v>
      </c>
      <c r="K155" s="37">
        <v>377.161</v>
      </c>
      <c r="L155" s="37">
        <v>18.600000000000001</v>
      </c>
      <c r="M155" s="38">
        <v>32.655999999999999</v>
      </c>
      <c r="N155" s="261">
        <v>1233.9010000000001</v>
      </c>
      <c r="O155" s="33">
        <v>974.95340699999997</v>
      </c>
      <c r="P155" s="33">
        <v>129.28195299999999</v>
      </c>
      <c r="Q155" s="33">
        <v>101.19864</v>
      </c>
      <c r="R155" s="262">
        <v>28.466999999999999</v>
      </c>
      <c r="S155" s="33">
        <v>19.670999999999999</v>
      </c>
      <c r="T155" s="33">
        <v>8.7959999999999994</v>
      </c>
      <c r="U155" s="65">
        <v>455</v>
      </c>
      <c r="V155" s="52">
        <v>41400</v>
      </c>
      <c r="W155" s="272">
        <v>118331</v>
      </c>
      <c r="X155" s="285"/>
      <c r="Y155" s="272" t="s">
        <v>105</v>
      </c>
      <c r="Z155" s="272" t="s">
        <v>105</v>
      </c>
    </row>
    <row r="156" spans="1:26" x14ac:dyDescent="0.25">
      <c r="A156" s="11">
        <v>43252</v>
      </c>
      <c r="B156" s="45">
        <v>2484</v>
      </c>
      <c r="C156" s="254">
        <f t="shared" si="20"/>
        <v>175583</v>
      </c>
      <c r="D156" s="51">
        <v>77752</v>
      </c>
      <c r="E156" s="51">
        <v>80469</v>
      </c>
      <c r="F156" s="52">
        <v>17362</v>
      </c>
      <c r="G156" s="257">
        <f t="shared" si="21"/>
        <v>2656.721</v>
      </c>
      <c r="H156" s="51">
        <v>1622.213</v>
      </c>
      <c r="I156" s="52">
        <v>1034.508</v>
      </c>
      <c r="J156" s="259">
        <v>457.875</v>
      </c>
      <c r="K156" s="37">
        <v>358.13800000000003</v>
      </c>
      <c r="L156" s="37">
        <v>70.900000000000006</v>
      </c>
      <c r="M156" s="38">
        <v>28.837</v>
      </c>
      <c r="N156" s="261">
        <v>1364.4490000000001</v>
      </c>
      <c r="O156" s="33">
        <v>1162.29403</v>
      </c>
      <c r="P156" s="33">
        <v>128.01067900000001</v>
      </c>
      <c r="Q156" s="33">
        <v>46.387290999999998</v>
      </c>
      <c r="R156" s="262">
        <v>27.756999999999998</v>
      </c>
      <c r="S156" s="33">
        <v>17.689</v>
      </c>
      <c r="T156" s="33">
        <v>10.068</v>
      </c>
      <c r="U156" s="65">
        <v>375</v>
      </c>
      <c r="V156" s="52">
        <v>26639</v>
      </c>
      <c r="W156" s="272">
        <v>108551</v>
      </c>
      <c r="X156" s="264"/>
      <c r="Y156" s="31" t="s">
        <v>105</v>
      </c>
      <c r="Z156" s="31" t="s">
        <v>105</v>
      </c>
    </row>
    <row r="157" spans="1:26" x14ac:dyDescent="0.25">
      <c r="A157" s="11">
        <v>43282</v>
      </c>
      <c r="B157" s="45">
        <v>2554</v>
      </c>
      <c r="C157" s="254">
        <f t="shared" si="20"/>
        <v>220668</v>
      </c>
      <c r="D157" s="51">
        <v>97134</v>
      </c>
      <c r="E157" s="51">
        <v>105600</v>
      </c>
      <c r="F157" s="52">
        <v>17934</v>
      </c>
      <c r="G157" s="257">
        <f t="shared" si="21"/>
        <v>2849.5819999999999</v>
      </c>
      <c r="H157" s="51">
        <v>1054.376</v>
      </c>
      <c r="I157" s="52">
        <v>1795.2059999999999</v>
      </c>
      <c r="J157" s="259">
        <v>434.99</v>
      </c>
      <c r="K157" s="37">
        <v>387.20599999999996</v>
      </c>
      <c r="L157" s="37">
        <v>21.6</v>
      </c>
      <c r="M157" s="38">
        <v>26.184000000000001</v>
      </c>
      <c r="N157" s="261">
        <v>1454.2050000000002</v>
      </c>
      <c r="O157" s="33">
        <v>1141.0324270000001</v>
      </c>
      <c r="P157" s="33">
        <v>128.87480400000001</v>
      </c>
      <c r="Q157" s="33">
        <v>155.187769</v>
      </c>
      <c r="R157" s="262">
        <v>29.11</v>
      </c>
      <c r="S157" s="33">
        <v>15.04</v>
      </c>
      <c r="T157" s="33">
        <v>14.07</v>
      </c>
      <c r="U157" s="65">
        <v>489</v>
      </c>
      <c r="V157" s="52">
        <v>58168</v>
      </c>
      <c r="W157" s="272">
        <v>101035</v>
      </c>
      <c r="X157" s="31"/>
      <c r="Y157" s="31"/>
      <c r="Z157" s="31"/>
    </row>
    <row r="158" spans="1:26" x14ac:dyDescent="0.25">
      <c r="A158" s="11">
        <v>43313</v>
      </c>
      <c r="B158" s="45">
        <v>2703</v>
      </c>
      <c r="C158" s="254">
        <f t="shared" si="20"/>
        <v>237375</v>
      </c>
      <c r="D158" s="51">
        <v>114040</v>
      </c>
      <c r="E158" s="51">
        <v>107909</v>
      </c>
      <c r="F158" s="52">
        <v>15426</v>
      </c>
      <c r="G158" s="257">
        <f t="shared" si="21"/>
        <v>2320.3119999999999</v>
      </c>
      <c r="H158" s="51">
        <v>762.58699999999999</v>
      </c>
      <c r="I158" s="52">
        <v>1557.7249999999999</v>
      </c>
      <c r="J158" s="259">
        <v>422.75900000000001</v>
      </c>
      <c r="K158" s="37">
        <v>304.23400000000004</v>
      </c>
      <c r="L158" s="37">
        <v>100.2</v>
      </c>
      <c r="M158" s="38">
        <v>18.324999999999999</v>
      </c>
      <c r="N158" s="261">
        <v>1075.8999999999999</v>
      </c>
      <c r="O158" s="33">
        <v>939.03527699999984</v>
      </c>
      <c r="P158" s="265">
        <v>3.4376999999999998E-2</v>
      </c>
      <c r="Q158" s="265">
        <v>111.127346</v>
      </c>
      <c r="R158" s="262">
        <v>25.703000000000003</v>
      </c>
      <c r="S158" s="33">
        <v>11.944000000000001</v>
      </c>
      <c r="T158" s="33">
        <v>13.759</v>
      </c>
      <c r="U158" s="65">
        <v>458</v>
      </c>
      <c r="V158" s="52">
        <v>52162</v>
      </c>
      <c r="W158" s="272">
        <v>72736</v>
      </c>
      <c r="X158" s="31"/>
      <c r="Y158" s="31"/>
      <c r="Z158" s="31"/>
    </row>
    <row r="159" spans="1:26" x14ac:dyDescent="0.25">
      <c r="A159" s="11">
        <v>43344</v>
      </c>
      <c r="B159" s="45">
        <v>2625</v>
      </c>
      <c r="C159" s="254">
        <f t="shared" si="20"/>
        <v>204926</v>
      </c>
      <c r="D159" s="51">
        <v>101930</v>
      </c>
      <c r="E159" s="51">
        <v>86473</v>
      </c>
      <c r="F159" s="52">
        <v>16523</v>
      </c>
      <c r="G159" s="257">
        <f t="shared" si="21"/>
        <v>2446.06</v>
      </c>
      <c r="H159" s="51">
        <v>599.75</v>
      </c>
      <c r="I159" s="52">
        <v>1846.31</v>
      </c>
      <c r="J159" s="259">
        <v>384.36799999999999</v>
      </c>
      <c r="K159" s="37">
        <v>359.35500000000002</v>
      </c>
      <c r="L159" s="37">
        <v>12.4</v>
      </c>
      <c r="M159" s="38">
        <v>12.613</v>
      </c>
      <c r="N159" s="261">
        <v>1267.873</v>
      </c>
      <c r="O159" s="33">
        <v>1025.7686269999999</v>
      </c>
      <c r="P159" s="265">
        <v>128.82261099999999</v>
      </c>
      <c r="Q159" s="265">
        <v>96.554761999999997</v>
      </c>
      <c r="R159" s="262">
        <v>16.727</v>
      </c>
      <c r="S159" s="33">
        <v>8.3620000000000001</v>
      </c>
      <c r="T159" s="33">
        <v>8.3650000000000002</v>
      </c>
      <c r="U159" s="65">
        <v>426</v>
      </c>
      <c r="V159" s="52">
        <v>45316</v>
      </c>
      <c r="W159" s="272">
        <v>41298</v>
      </c>
      <c r="X159" s="31"/>
      <c r="Y159" s="31"/>
      <c r="Z159" s="31"/>
    </row>
    <row r="160" spans="1:26" x14ac:dyDescent="0.25">
      <c r="A160" s="11">
        <v>43374</v>
      </c>
      <c r="B160" s="45">
        <v>2933</v>
      </c>
      <c r="C160" s="254">
        <f t="shared" si="20"/>
        <v>203452</v>
      </c>
      <c r="D160" s="51">
        <v>83533</v>
      </c>
      <c r="E160" s="51">
        <v>104104</v>
      </c>
      <c r="F160" s="52">
        <v>15815</v>
      </c>
      <c r="G160" s="257">
        <f t="shared" si="21"/>
        <v>3045.69</v>
      </c>
      <c r="H160" s="51">
        <v>792.9</v>
      </c>
      <c r="I160" s="52">
        <v>2252.79</v>
      </c>
      <c r="J160" s="259">
        <v>402.42499999999995</v>
      </c>
      <c r="K160" s="37">
        <v>335.01799999999997</v>
      </c>
      <c r="L160" s="37">
        <v>56.8</v>
      </c>
      <c r="M160" s="38">
        <v>10.606999999999999</v>
      </c>
      <c r="N160" s="261">
        <v>1155</v>
      </c>
      <c r="O160" s="33">
        <v>931.14312499999994</v>
      </c>
      <c r="P160" s="265">
        <v>128.46730700000001</v>
      </c>
      <c r="Q160" s="265">
        <v>78.660567999999998</v>
      </c>
      <c r="R160" s="262">
        <v>16.728999999999999</v>
      </c>
      <c r="S160" s="33">
        <v>8.0640000000000001</v>
      </c>
      <c r="T160" s="33">
        <v>8.6649999999999991</v>
      </c>
      <c r="U160" s="65">
        <v>395.05569007263921</v>
      </c>
      <c r="V160" s="52">
        <v>34980.712310961128</v>
      </c>
      <c r="W160" s="272">
        <v>44129</v>
      </c>
      <c r="X160" s="31"/>
      <c r="Y160" s="31"/>
      <c r="Z160" s="31"/>
    </row>
    <row r="161" spans="1:26" x14ac:dyDescent="0.25">
      <c r="A161" s="11">
        <v>43405</v>
      </c>
      <c r="B161" s="45">
        <v>2887</v>
      </c>
      <c r="C161" s="254">
        <f t="shared" si="20"/>
        <v>212251</v>
      </c>
      <c r="D161" s="51">
        <v>95848</v>
      </c>
      <c r="E161" s="51">
        <v>99685</v>
      </c>
      <c r="F161" s="52">
        <v>16718</v>
      </c>
      <c r="G161" s="257">
        <f t="shared" si="21"/>
        <v>2716.8599999999997</v>
      </c>
      <c r="H161" s="51">
        <v>910.25</v>
      </c>
      <c r="I161" s="52">
        <v>1806.61</v>
      </c>
      <c r="J161" s="259">
        <v>423.38900000000001</v>
      </c>
      <c r="K161" s="37">
        <v>318.72199999999998</v>
      </c>
      <c r="L161" s="37">
        <v>84.85</v>
      </c>
      <c r="M161" s="38">
        <v>19.817</v>
      </c>
      <c r="N161" s="261">
        <v>1095.953</v>
      </c>
      <c r="O161" s="33">
        <v>958.24124200000006</v>
      </c>
      <c r="P161" s="265">
        <v>0</v>
      </c>
      <c r="Q161" s="265">
        <v>118.26575800000001</v>
      </c>
      <c r="R161" s="262">
        <v>19.446000000000002</v>
      </c>
      <c r="S161" s="33">
        <v>11.364000000000001</v>
      </c>
      <c r="T161" s="33">
        <v>8.0820000000000007</v>
      </c>
      <c r="U161" s="65">
        <v>374.42615012106535</v>
      </c>
      <c r="V161" s="52">
        <v>27021.951756030492</v>
      </c>
      <c r="W161" s="272">
        <v>29310</v>
      </c>
      <c r="X161" s="31"/>
      <c r="Y161" s="31"/>
      <c r="Z161" s="31"/>
    </row>
    <row r="162" spans="1:26" x14ac:dyDescent="0.25">
      <c r="A162" s="11">
        <v>43435</v>
      </c>
      <c r="B162" s="45">
        <v>3022</v>
      </c>
      <c r="C162" s="254">
        <f t="shared" si="20"/>
        <v>237434</v>
      </c>
      <c r="D162" s="51">
        <v>102630</v>
      </c>
      <c r="E162" s="51">
        <v>117366</v>
      </c>
      <c r="F162" s="52">
        <v>17438</v>
      </c>
      <c r="G162" s="257">
        <f t="shared" si="21"/>
        <v>3955.2999999999997</v>
      </c>
      <c r="H162" s="51">
        <v>1498.87</v>
      </c>
      <c r="I162" s="52">
        <v>2456.4299999999998</v>
      </c>
      <c r="J162" s="259">
        <v>493.08799999999997</v>
      </c>
      <c r="K162" s="37">
        <v>418.66399999999999</v>
      </c>
      <c r="L162" s="37">
        <v>50</v>
      </c>
      <c r="M162" s="38">
        <v>24.423999999999999</v>
      </c>
      <c r="N162" s="261">
        <v>1310.9080000000001</v>
      </c>
      <c r="O162" s="33">
        <v>882.80186500000013</v>
      </c>
      <c r="P162" s="265">
        <v>256.44253400000002</v>
      </c>
      <c r="Q162" s="265">
        <v>146.48260099999999</v>
      </c>
      <c r="R162" s="262">
        <v>25.180999999999997</v>
      </c>
      <c r="S162" s="33">
        <v>13.093</v>
      </c>
      <c r="T162" s="33">
        <v>12.087999999999999</v>
      </c>
      <c r="U162" s="66"/>
      <c r="V162" s="69"/>
      <c r="W162" s="272">
        <v>57966</v>
      </c>
      <c r="X162" s="31"/>
      <c r="Y162" s="31"/>
      <c r="Z162" s="31"/>
    </row>
    <row r="163" spans="1:26" x14ac:dyDescent="0.25">
      <c r="A163" s="11">
        <v>43466</v>
      </c>
      <c r="B163" s="45">
        <v>2933</v>
      </c>
      <c r="C163" s="255">
        <f t="shared" ref="C163:C201" si="23">SUM(D163:F163)</f>
        <v>234584</v>
      </c>
      <c r="D163" s="51">
        <v>110866</v>
      </c>
      <c r="E163" s="51">
        <v>109524</v>
      </c>
      <c r="F163" s="51">
        <v>14194</v>
      </c>
      <c r="G163" s="257">
        <f t="shared" si="21"/>
        <v>3353.855</v>
      </c>
      <c r="H163" s="51">
        <v>1658.6130000000001</v>
      </c>
      <c r="I163" s="51">
        <v>1695.242</v>
      </c>
      <c r="J163" s="259">
        <v>419.95299999999997</v>
      </c>
      <c r="K163" s="37">
        <v>353.12</v>
      </c>
      <c r="L163" s="37">
        <v>43.95</v>
      </c>
      <c r="M163" s="38">
        <v>22.882999999999999</v>
      </c>
      <c r="N163" s="261">
        <v>934.73900000000003</v>
      </c>
      <c r="O163" s="265">
        <v>817.26252599999998</v>
      </c>
      <c r="P163" s="265">
        <v>0</v>
      </c>
      <c r="Q163" s="265">
        <v>94.337474</v>
      </c>
      <c r="R163" s="262">
        <v>23.139000000000003</v>
      </c>
      <c r="S163" s="266">
        <v>15.018000000000001</v>
      </c>
      <c r="T163" s="266">
        <v>8.1210000000000004</v>
      </c>
      <c r="U163" s="66"/>
      <c r="V163" s="69"/>
      <c r="W163" s="273">
        <v>55062</v>
      </c>
      <c r="X163" s="31"/>
      <c r="Y163" s="31"/>
      <c r="Z163" s="31"/>
    </row>
    <row r="164" spans="1:26" x14ac:dyDescent="0.25">
      <c r="A164" s="11">
        <v>43497</v>
      </c>
      <c r="B164" s="45">
        <v>2549</v>
      </c>
      <c r="C164" s="255">
        <f t="shared" si="23"/>
        <v>195624</v>
      </c>
      <c r="D164" s="51">
        <v>93319</v>
      </c>
      <c r="E164" s="51">
        <v>91588</v>
      </c>
      <c r="F164" s="51">
        <v>10717</v>
      </c>
      <c r="G164" s="257">
        <f t="shared" ref="G164:G230" si="24">H164+I164</f>
        <v>3040.38</v>
      </c>
      <c r="H164" s="51">
        <v>1483.434</v>
      </c>
      <c r="I164" s="51">
        <v>1556.9459999999999</v>
      </c>
      <c r="J164" s="259">
        <v>418.495</v>
      </c>
      <c r="K164" s="37">
        <v>346.55700000000002</v>
      </c>
      <c r="L164" s="37">
        <v>48.3</v>
      </c>
      <c r="M164" s="38">
        <v>23.638000000000002</v>
      </c>
      <c r="N164" s="261">
        <v>1480.529</v>
      </c>
      <c r="O164" s="265">
        <v>1204.5584670000001</v>
      </c>
      <c r="P164" s="265">
        <v>128.136346</v>
      </c>
      <c r="Q164" s="265">
        <v>124.97818700000001</v>
      </c>
      <c r="R164" s="262">
        <v>22.856000000000002</v>
      </c>
      <c r="S164" s="266">
        <v>17.315000000000001</v>
      </c>
      <c r="T164" s="266">
        <v>5.5410000000000004</v>
      </c>
      <c r="U164" s="66"/>
      <c r="V164" s="67"/>
      <c r="W164" s="273">
        <v>69730</v>
      </c>
    </row>
    <row r="165" spans="1:26" x14ac:dyDescent="0.25">
      <c r="A165" s="11">
        <v>43525</v>
      </c>
      <c r="B165" s="45">
        <v>2819</v>
      </c>
      <c r="C165" s="255">
        <f t="shared" si="23"/>
        <v>218760</v>
      </c>
      <c r="D165" s="51">
        <v>110721</v>
      </c>
      <c r="E165" s="51">
        <v>94405</v>
      </c>
      <c r="F165" s="51">
        <v>13634</v>
      </c>
      <c r="G165" s="257">
        <f t="shared" si="24"/>
        <v>3522.4470000000001</v>
      </c>
      <c r="H165" s="51">
        <v>1689.9010000000001</v>
      </c>
      <c r="I165" s="51">
        <v>1832.546</v>
      </c>
      <c r="J165" s="259">
        <v>476.30399999999997</v>
      </c>
      <c r="K165" s="37">
        <v>384.803</v>
      </c>
      <c r="L165" s="37">
        <v>65.5</v>
      </c>
      <c r="M165" s="38">
        <v>26.001000000000001</v>
      </c>
      <c r="N165" s="261">
        <v>1325.7670000000001</v>
      </c>
      <c r="O165" s="265">
        <v>1178.650384</v>
      </c>
      <c r="P165" s="265">
        <v>0</v>
      </c>
      <c r="Q165" s="265">
        <v>120.49161599999999</v>
      </c>
      <c r="R165" s="262">
        <v>26.625</v>
      </c>
      <c r="S165" s="266">
        <v>17.366</v>
      </c>
      <c r="T165" s="266">
        <v>9.2590000000000003</v>
      </c>
      <c r="U165" s="66"/>
      <c r="V165" s="67"/>
      <c r="W165" s="273">
        <v>63731</v>
      </c>
    </row>
    <row r="166" spans="1:26" x14ac:dyDescent="0.25">
      <c r="A166" s="11">
        <v>43556</v>
      </c>
      <c r="B166" s="45">
        <v>2640</v>
      </c>
      <c r="C166" s="255">
        <f t="shared" si="23"/>
        <v>218335</v>
      </c>
      <c r="D166" s="51">
        <v>107765</v>
      </c>
      <c r="E166" s="51">
        <v>96724</v>
      </c>
      <c r="F166" s="51">
        <v>13846</v>
      </c>
      <c r="G166" s="257">
        <f t="shared" si="24"/>
        <v>3374.2389999999996</v>
      </c>
      <c r="H166" s="51">
        <v>1520.2729999999999</v>
      </c>
      <c r="I166" s="51">
        <v>1853.9659999999999</v>
      </c>
      <c r="J166" s="259">
        <v>506.84900000000005</v>
      </c>
      <c r="K166" s="37">
        <v>424.23400000000004</v>
      </c>
      <c r="L166" s="37">
        <v>53.906999999999996</v>
      </c>
      <c r="M166" s="38">
        <v>28.707999999999998</v>
      </c>
      <c r="N166" s="261">
        <v>1366.4099999999999</v>
      </c>
      <c r="O166" s="191">
        <v>1166.5077679999999</v>
      </c>
      <c r="P166" s="191">
        <v>70.244713000000004</v>
      </c>
      <c r="Q166" s="191">
        <v>99.088519000000005</v>
      </c>
      <c r="R166" s="262">
        <v>30.569000000000003</v>
      </c>
      <c r="S166" s="191">
        <v>20.408000000000001</v>
      </c>
      <c r="T166" s="191">
        <v>10.161</v>
      </c>
      <c r="U166" s="66"/>
      <c r="V166" s="67"/>
      <c r="W166" s="273">
        <v>55486</v>
      </c>
    </row>
    <row r="167" spans="1:26" x14ac:dyDescent="0.25">
      <c r="A167" s="11">
        <v>43586</v>
      </c>
      <c r="B167" s="45">
        <v>2616</v>
      </c>
      <c r="C167" s="255">
        <f t="shared" si="23"/>
        <v>177388</v>
      </c>
      <c r="D167" s="51">
        <v>89030</v>
      </c>
      <c r="E167" s="51">
        <v>72912</v>
      </c>
      <c r="F167" s="51">
        <v>15446</v>
      </c>
      <c r="G167" s="257">
        <f t="shared" si="24"/>
        <v>3148.009</v>
      </c>
      <c r="H167" s="51">
        <v>1187.3140000000001</v>
      </c>
      <c r="I167" s="51">
        <v>1960.6949999999999</v>
      </c>
      <c r="J167" s="259">
        <v>416.88</v>
      </c>
      <c r="K167" s="37">
        <v>325.38499999999999</v>
      </c>
      <c r="L167" s="37">
        <v>57.2</v>
      </c>
      <c r="M167" s="38">
        <v>34.295000000000002</v>
      </c>
      <c r="N167" s="261">
        <f t="shared" ref="N167:N186" si="25">SUM(O167:R167)</f>
        <v>1355.1780000000001</v>
      </c>
      <c r="O167" s="191">
        <v>1007.897239</v>
      </c>
      <c r="P167" s="191">
        <v>185.59574000000001</v>
      </c>
      <c r="Q167" s="191">
        <v>124.958021</v>
      </c>
      <c r="R167" s="262">
        <v>36.727000000000004</v>
      </c>
      <c r="S167" s="191">
        <v>22.562000000000001</v>
      </c>
      <c r="T167" s="191">
        <v>14.164999999999999</v>
      </c>
      <c r="U167" s="66"/>
      <c r="V167" s="67"/>
      <c r="W167" s="280">
        <v>70761</v>
      </c>
    </row>
    <row r="168" spans="1:26" x14ac:dyDescent="0.25">
      <c r="A168" s="11">
        <v>43617</v>
      </c>
      <c r="B168" s="45">
        <v>2568</v>
      </c>
      <c r="C168" s="255">
        <f t="shared" si="23"/>
        <v>199560</v>
      </c>
      <c r="D168" s="51">
        <v>89750</v>
      </c>
      <c r="E168" s="51">
        <v>92982</v>
      </c>
      <c r="F168" s="51">
        <v>16828</v>
      </c>
      <c r="G168" s="257">
        <f t="shared" si="24"/>
        <v>2736.7739999999999</v>
      </c>
      <c r="H168" s="51">
        <v>1031.6869999999999</v>
      </c>
      <c r="I168" s="51">
        <v>1705.087</v>
      </c>
      <c r="J168" s="259">
        <f t="shared" ref="J168:J186" si="26">SUM(K168:M168)</f>
        <v>462.387</v>
      </c>
      <c r="K168" s="37">
        <v>358.154</v>
      </c>
      <c r="L168" s="37">
        <v>73</v>
      </c>
      <c r="M168" s="38">
        <v>31.233000000000001</v>
      </c>
      <c r="N168" s="261">
        <f t="shared" si="25"/>
        <v>1153.3389999999999</v>
      </c>
      <c r="O168" s="191">
        <v>1024.4257540000001</v>
      </c>
      <c r="P168" s="191">
        <v>0</v>
      </c>
      <c r="Q168" s="191">
        <v>99.322246000000007</v>
      </c>
      <c r="R168" s="262">
        <v>29.591000000000001</v>
      </c>
      <c r="S168" s="191">
        <v>17.190000000000001</v>
      </c>
      <c r="T168" s="191">
        <v>12.401</v>
      </c>
      <c r="U168" s="66"/>
      <c r="V168" s="67"/>
      <c r="W168" s="280">
        <v>30912</v>
      </c>
    </row>
    <row r="169" spans="1:26" x14ac:dyDescent="0.25">
      <c r="A169" s="11">
        <v>43647</v>
      </c>
      <c r="B169" s="45">
        <v>2818</v>
      </c>
      <c r="C169" s="255">
        <f t="shared" si="23"/>
        <v>245633</v>
      </c>
      <c r="D169" s="51">
        <v>111348</v>
      </c>
      <c r="E169" s="51">
        <v>117211</v>
      </c>
      <c r="F169" s="51">
        <v>17074</v>
      </c>
      <c r="G169" s="257">
        <f t="shared" si="24"/>
        <v>3440.7869999999998</v>
      </c>
      <c r="H169" s="51">
        <v>1266.511</v>
      </c>
      <c r="I169" s="51">
        <v>2174.2759999999998</v>
      </c>
      <c r="J169" s="259">
        <f t="shared" si="26"/>
        <v>423.23200000000003</v>
      </c>
      <c r="K169" s="37">
        <v>336.05900000000003</v>
      </c>
      <c r="L169" s="37">
        <v>66</v>
      </c>
      <c r="M169" s="38">
        <v>21.172999999999998</v>
      </c>
      <c r="N169" s="261">
        <f t="shared" si="25"/>
        <v>1120.5640000000001</v>
      </c>
      <c r="O169" s="191">
        <v>862.92782</v>
      </c>
      <c r="P169" s="191">
        <v>127.674694</v>
      </c>
      <c r="Q169" s="191">
        <v>108.878486</v>
      </c>
      <c r="R169" s="262">
        <v>21.082999999999998</v>
      </c>
      <c r="S169" s="191">
        <v>11.912000000000001</v>
      </c>
      <c r="T169" s="191">
        <v>9.1709999999999994</v>
      </c>
      <c r="U169" s="66"/>
      <c r="V169" s="67"/>
      <c r="W169" s="280">
        <v>71760</v>
      </c>
    </row>
    <row r="170" spans="1:26" x14ac:dyDescent="0.25">
      <c r="A170" s="11">
        <v>43678</v>
      </c>
      <c r="B170" s="45">
        <v>2813</v>
      </c>
      <c r="C170" s="255">
        <f t="shared" si="23"/>
        <v>249290</v>
      </c>
      <c r="D170" s="51">
        <v>118688</v>
      </c>
      <c r="E170" s="51">
        <v>115198</v>
      </c>
      <c r="F170" s="51">
        <v>15404</v>
      </c>
      <c r="G170" s="257">
        <f t="shared" si="24"/>
        <v>2561.799</v>
      </c>
      <c r="H170" s="51">
        <v>918.52800000000002</v>
      </c>
      <c r="I170" s="51">
        <v>1643.271</v>
      </c>
      <c r="J170" s="259">
        <f t="shared" si="26"/>
        <v>452.95999999999992</v>
      </c>
      <c r="K170" s="37">
        <v>337.63099999999997</v>
      </c>
      <c r="L170" s="37">
        <v>95.9</v>
      </c>
      <c r="M170" s="38">
        <v>19.428999999999998</v>
      </c>
      <c r="N170" s="261">
        <f t="shared" si="25"/>
        <v>1208.2150000000001</v>
      </c>
      <c r="O170" s="191">
        <v>1055.48461</v>
      </c>
      <c r="P170" s="191">
        <v>0</v>
      </c>
      <c r="Q170" s="191">
        <v>122.83038999999999</v>
      </c>
      <c r="R170" s="262">
        <v>29.9</v>
      </c>
      <c r="S170" s="191">
        <v>13.052</v>
      </c>
      <c r="T170" s="191">
        <v>16.847999999999999</v>
      </c>
      <c r="U170" s="66"/>
      <c r="V170" s="67"/>
      <c r="W170" s="280">
        <v>58156</v>
      </c>
    </row>
    <row r="171" spans="1:26" x14ac:dyDescent="0.25">
      <c r="A171" s="11">
        <v>43709</v>
      </c>
      <c r="B171" s="45">
        <v>2732</v>
      </c>
      <c r="C171" s="255">
        <f t="shared" si="23"/>
        <v>216053</v>
      </c>
      <c r="D171" s="51">
        <v>109011</v>
      </c>
      <c r="E171" s="51">
        <v>90995</v>
      </c>
      <c r="F171" s="51">
        <v>16047</v>
      </c>
      <c r="G171" s="257">
        <f t="shared" si="24"/>
        <v>2570.0940000000001</v>
      </c>
      <c r="H171" s="51">
        <v>823.28499999999997</v>
      </c>
      <c r="I171" s="51">
        <v>1746.809</v>
      </c>
      <c r="J171" s="259">
        <f t="shared" si="26"/>
        <v>414.584</v>
      </c>
      <c r="K171" s="37">
        <v>342.303</v>
      </c>
      <c r="L171" s="37">
        <v>55</v>
      </c>
      <c r="M171" s="38">
        <v>17.280999999999999</v>
      </c>
      <c r="N171" s="261">
        <f t="shared" si="25"/>
        <v>1082.3009999999999</v>
      </c>
      <c r="O171" s="191">
        <v>761.15211700000009</v>
      </c>
      <c r="P171" s="191">
        <v>128.19128599999999</v>
      </c>
      <c r="Q171" s="191">
        <v>163.876597</v>
      </c>
      <c r="R171" s="262">
        <v>29.081000000000003</v>
      </c>
      <c r="S171" s="191">
        <v>12.507</v>
      </c>
      <c r="T171" s="191">
        <v>16.574000000000002</v>
      </c>
      <c r="U171" s="66"/>
      <c r="V171" s="67"/>
      <c r="W171" s="280"/>
    </row>
    <row r="172" spans="1:26" x14ac:dyDescent="0.25">
      <c r="A172" s="11">
        <v>43739</v>
      </c>
      <c r="B172" s="45">
        <v>2743</v>
      </c>
      <c r="C172" s="255">
        <f t="shared" si="23"/>
        <v>212513</v>
      </c>
      <c r="D172" s="51">
        <v>90290</v>
      </c>
      <c r="E172" s="51">
        <v>108384</v>
      </c>
      <c r="F172" s="51">
        <v>13839</v>
      </c>
      <c r="G172" s="257">
        <f t="shared" si="24"/>
        <v>2541.8759999999997</v>
      </c>
      <c r="H172" s="51">
        <v>721.21799999999996</v>
      </c>
      <c r="I172" s="51">
        <v>1820.6579999999999</v>
      </c>
      <c r="J172" s="259">
        <f t="shared" si="26"/>
        <v>404.36199999999997</v>
      </c>
      <c r="K172" s="37">
        <v>326.81799999999998</v>
      </c>
      <c r="L172" s="37">
        <v>61.5</v>
      </c>
      <c r="M172" s="38">
        <v>16.044</v>
      </c>
      <c r="N172" s="261">
        <f t="shared" si="25"/>
        <v>1386.5619999999999</v>
      </c>
      <c r="O172" s="191">
        <v>1246.8158799999999</v>
      </c>
      <c r="P172" s="191">
        <v>0</v>
      </c>
      <c r="Q172" s="191">
        <v>124.95511999999999</v>
      </c>
      <c r="R172" s="262">
        <v>14.791</v>
      </c>
      <c r="S172" s="191">
        <v>7.5179999999999998</v>
      </c>
      <c r="T172" s="191">
        <v>7.2729999999999997</v>
      </c>
      <c r="U172" s="66"/>
      <c r="V172" s="67"/>
      <c r="W172" s="280"/>
    </row>
    <row r="173" spans="1:26" x14ac:dyDescent="0.25">
      <c r="A173" s="11">
        <v>43770</v>
      </c>
      <c r="B173" s="45">
        <v>2653</v>
      </c>
      <c r="C173" s="255">
        <f t="shared" si="23"/>
        <v>219619</v>
      </c>
      <c r="D173" s="51">
        <v>104178</v>
      </c>
      <c r="E173" s="51">
        <v>104168</v>
      </c>
      <c r="F173" s="51">
        <v>11273</v>
      </c>
      <c r="G173" s="257">
        <f t="shared" si="24"/>
        <v>2662.0569999999998</v>
      </c>
      <c r="H173" s="51">
        <v>927.33799999999997</v>
      </c>
      <c r="I173" s="51">
        <v>1734.7190000000001</v>
      </c>
      <c r="J173" s="259">
        <f t="shared" si="26"/>
        <v>450.92099999999999</v>
      </c>
      <c r="K173" s="37">
        <v>313.53100000000001</v>
      </c>
      <c r="L173" s="37">
        <v>120</v>
      </c>
      <c r="M173" s="38">
        <v>17.39</v>
      </c>
      <c r="N173" s="261">
        <f t="shared" si="25"/>
        <v>1480.1669999999999</v>
      </c>
      <c r="O173" s="191">
        <v>1307.592224</v>
      </c>
      <c r="P173" s="191">
        <v>0</v>
      </c>
      <c r="Q173" s="191">
        <v>153.12877599999999</v>
      </c>
      <c r="R173" s="262">
        <v>19.445999999999998</v>
      </c>
      <c r="S173" s="191">
        <v>12.738</v>
      </c>
      <c r="T173" s="191">
        <v>6.7080000000000002</v>
      </c>
      <c r="U173" s="66"/>
      <c r="V173" s="67"/>
      <c r="W173" s="280"/>
    </row>
    <row r="174" spans="1:26" x14ac:dyDescent="0.25">
      <c r="A174" s="11">
        <v>43800</v>
      </c>
      <c r="B174" s="45">
        <v>3008</v>
      </c>
      <c r="C174" s="255">
        <f t="shared" si="23"/>
        <v>241558</v>
      </c>
      <c r="D174" s="51">
        <v>106498</v>
      </c>
      <c r="E174" s="51">
        <v>121894</v>
      </c>
      <c r="F174" s="51">
        <v>13166</v>
      </c>
      <c r="G174" s="257">
        <f t="shared" si="24"/>
        <v>3663.1629999999996</v>
      </c>
      <c r="H174" s="51">
        <v>1480.7239999999999</v>
      </c>
      <c r="I174" s="51">
        <v>2182.4389999999999</v>
      </c>
      <c r="J174" s="259">
        <f t="shared" si="26"/>
        <v>527.22500000000002</v>
      </c>
      <c r="K174" s="37">
        <v>413.72</v>
      </c>
      <c r="L174" s="37">
        <v>89</v>
      </c>
      <c r="M174" s="38">
        <v>24.504999999999999</v>
      </c>
      <c r="N174" s="261">
        <f t="shared" si="25"/>
        <v>1227.7360000000001</v>
      </c>
      <c r="O174" s="191">
        <v>908.79536400000006</v>
      </c>
      <c r="P174" s="191">
        <v>127.679506</v>
      </c>
      <c r="Q174" s="191">
        <v>162.80412999999999</v>
      </c>
      <c r="R174" s="262">
        <v>28.457000000000001</v>
      </c>
      <c r="S174" s="191">
        <v>19.890999999999998</v>
      </c>
      <c r="T174" s="191">
        <v>8.5660000000000007</v>
      </c>
      <c r="U174" s="66"/>
      <c r="V174" s="67"/>
      <c r="W174" s="280"/>
    </row>
    <row r="175" spans="1:26" x14ac:dyDescent="0.25">
      <c r="A175" s="11">
        <v>43831</v>
      </c>
      <c r="B175" s="45">
        <v>3004</v>
      </c>
      <c r="C175" s="255">
        <f t="shared" si="23"/>
        <v>239347</v>
      </c>
      <c r="D175" s="51">
        <v>113592</v>
      </c>
      <c r="E175" s="51">
        <v>112682</v>
      </c>
      <c r="F175" s="51">
        <v>13073</v>
      </c>
      <c r="G175" s="257">
        <f t="shared" si="24"/>
        <v>3058.3360000000002</v>
      </c>
      <c r="H175" s="51">
        <v>1255.7750000000001</v>
      </c>
      <c r="I175" s="51">
        <v>1802.5609999999999</v>
      </c>
      <c r="J175" s="259">
        <f t="shared" si="26"/>
        <v>384.09000000000003</v>
      </c>
      <c r="K175" s="191">
        <v>272.87200000000001</v>
      </c>
      <c r="L175" s="191">
        <v>88.575000000000003</v>
      </c>
      <c r="M175" s="38">
        <v>22.643000000000001</v>
      </c>
      <c r="N175" s="261">
        <f t="shared" si="25"/>
        <v>1197.98</v>
      </c>
      <c r="O175" s="191">
        <v>900.665843</v>
      </c>
      <c r="P175" s="191">
        <v>127.9284</v>
      </c>
      <c r="Q175" s="191">
        <v>138.715757</v>
      </c>
      <c r="R175" s="262">
        <v>30.67</v>
      </c>
      <c r="S175" s="191">
        <v>19.122</v>
      </c>
      <c r="T175" s="191">
        <v>11.548</v>
      </c>
      <c r="U175" s="66"/>
      <c r="V175" s="67"/>
      <c r="W175" s="280"/>
    </row>
    <row r="176" spans="1:26" x14ac:dyDescent="0.25">
      <c r="A176" s="11">
        <v>43862</v>
      </c>
      <c r="B176" s="45">
        <v>2659</v>
      </c>
      <c r="C176" s="255">
        <f t="shared" si="23"/>
        <v>224440</v>
      </c>
      <c r="D176" s="51">
        <v>108266</v>
      </c>
      <c r="E176" s="51">
        <v>106151</v>
      </c>
      <c r="F176" s="51">
        <v>10023</v>
      </c>
      <c r="G176" s="257">
        <f t="shared" si="24"/>
        <v>3350.0070000000001</v>
      </c>
      <c r="H176" s="51">
        <v>1490.7170000000001</v>
      </c>
      <c r="I176" s="51">
        <v>1859.29</v>
      </c>
      <c r="J176" s="259">
        <f t="shared" si="26"/>
        <v>365.33500000000004</v>
      </c>
      <c r="K176" s="191">
        <v>288.80400000000003</v>
      </c>
      <c r="L176" s="191">
        <v>50.45</v>
      </c>
      <c r="M176" s="38">
        <v>26.081</v>
      </c>
      <c r="N176" s="261">
        <f t="shared" si="25"/>
        <v>1318.9140000000002</v>
      </c>
      <c r="O176" s="191">
        <v>1181.275746</v>
      </c>
      <c r="P176" s="191">
        <v>0</v>
      </c>
      <c r="Q176" s="191">
        <v>107.027254</v>
      </c>
      <c r="R176" s="262">
        <v>30.610999999999997</v>
      </c>
      <c r="S176" s="191">
        <v>21.978999999999999</v>
      </c>
      <c r="T176" s="191">
        <v>8.6319999999999997</v>
      </c>
      <c r="U176" s="66"/>
      <c r="V176" s="67"/>
      <c r="W176" s="280"/>
    </row>
    <row r="177" spans="1:23" x14ac:dyDescent="0.25">
      <c r="A177" s="11">
        <v>43891</v>
      </c>
      <c r="B177" s="45">
        <v>1862</v>
      </c>
      <c r="C177" s="255">
        <f t="shared" si="23"/>
        <v>123436</v>
      </c>
      <c r="D177" s="51">
        <v>67152</v>
      </c>
      <c r="E177" s="51">
        <v>50577</v>
      </c>
      <c r="F177" s="51">
        <v>5707</v>
      </c>
      <c r="G177" s="257">
        <f t="shared" si="24"/>
        <v>3355.2930000000001</v>
      </c>
      <c r="H177" s="51">
        <v>1549.845</v>
      </c>
      <c r="I177" s="51">
        <v>1805.4480000000001</v>
      </c>
      <c r="J177" s="259">
        <f t="shared" si="26"/>
        <v>387.15600000000001</v>
      </c>
      <c r="K177" s="191">
        <v>275.44900000000001</v>
      </c>
      <c r="L177" s="191">
        <v>84.2</v>
      </c>
      <c r="M177" s="38">
        <v>27.507000000000001</v>
      </c>
      <c r="N177" s="261">
        <f t="shared" si="25"/>
        <v>1582.4609999999998</v>
      </c>
      <c r="O177" s="191">
        <v>1167.3556659999999</v>
      </c>
      <c r="P177" s="191">
        <v>256.33925599999998</v>
      </c>
      <c r="Q177" s="191">
        <v>127.90907799999999</v>
      </c>
      <c r="R177" s="262">
        <v>30.856999999999999</v>
      </c>
      <c r="S177" s="191">
        <v>25.161999999999999</v>
      </c>
      <c r="T177" s="191">
        <v>5.6950000000000003</v>
      </c>
      <c r="U177" s="66"/>
      <c r="V177" s="67"/>
      <c r="W177" s="280"/>
    </row>
    <row r="178" spans="1:23" x14ac:dyDescent="0.25">
      <c r="A178" s="11">
        <v>43922</v>
      </c>
      <c r="B178" s="45">
        <v>391</v>
      </c>
      <c r="C178" s="255">
        <f t="shared" si="23"/>
        <v>4589</v>
      </c>
      <c r="D178" s="51">
        <v>4193</v>
      </c>
      <c r="E178" s="51">
        <v>271</v>
      </c>
      <c r="F178" s="51">
        <v>125</v>
      </c>
      <c r="G178" s="257">
        <f t="shared" si="24"/>
        <v>1354.847</v>
      </c>
      <c r="H178" s="51">
        <v>427.27199999999999</v>
      </c>
      <c r="I178" s="51">
        <v>927.57500000000005</v>
      </c>
      <c r="J178" s="259">
        <f t="shared" si="26"/>
        <v>387.95600000000002</v>
      </c>
      <c r="K178" s="191">
        <v>229.923</v>
      </c>
      <c r="L178" s="191">
        <v>124.7</v>
      </c>
      <c r="M178" s="38">
        <v>33.332999999999998</v>
      </c>
      <c r="N178" s="261">
        <f t="shared" si="25"/>
        <v>1197.913</v>
      </c>
      <c r="O178" s="191">
        <v>872.08203200000003</v>
      </c>
      <c r="P178" s="191">
        <v>128.32324</v>
      </c>
      <c r="Q178" s="191">
        <v>165.36372800000001</v>
      </c>
      <c r="R178" s="262">
        <v>32.143999999999998</v>
      </c>
      <c r="S178" s="191">
        <v>23.422999999999998</v>
      </c>
      <c r="T178" s="191">
        <v>8.7210000000000001</v>
      </c>
      <c r="U178" s="66"/>
      <c r="V178" s="67"/>
      <c r="W178" s="280"/>
    </row>
    <row r="179" spans="1:23" x14ac:dyDescent="0.25">
      <c r="A179" s="11">
        <v>43952</v>
      </c>
      <c r="B179" s="45">
        <v>457</v>
      </c>
      <c r="C179" s="255">
        <f t="shared" si="23"/>
        <v>4948</v>
      </c>
      <c r="D179" s="51">
        <v>4088</v>
      </c>
      <c r="E179" s="51">
        <v>833</v>
      </c>
      <c r="F179" s="51">
        <v>27</v>
      </c>
      <c r="G179" s="257">
        <f t="shared" si="24"/>
        <v>1775.7779999999998</v>
      </c>
      <c r="H179" s="51">
        <v>567.77599999999995</v>
      </c>
      <c r="I179" s="51">
        <v>1208.002</v>
      </c>
      <c r="J179" s="259">
        <f t="shared" si="26"/>
        <v>377.8904</v>
      </c>
      <c r="K179" s="191">
        <v>190.95639999999997</v>
      </c>
      <c r="L179" s="191">
        <v>148</v>
      </c>
      <c r="M179" s="38">
        <v>38.933999999999997</v>
      </c>
      <c r="N179" s="261">
        <f t="shared" si="25"/>
        <v>1354.6329999999998</v>
      </c>
      <c r="O179" s="191">
        <v>1229.9252299999998</v>
      </c>
      <c r="P179" s="191">
        <v>0</v>
      </c>
      <c r="Q179" s="191">
        <v>85.222769999999997</v>
      </c>
      <c r="R179" s="262">
        <v>39.484999999999999</v>
      </c>
      <c r="S179" s="191">
        <v>26.754999999999999</v>
      </c>
      <c r="T179" s="191">
        <v>12.73</v>
      </c>
      <c r="U179" s="66"/>
      <c r="V179" s="67"/>
      <c r="W179" s="280"/>
    </row>
    <row r="180" spans="1:23" x14ac:dyDescent="0.25">
      <c r="A180" s="11">
        <v>43983</v>
      </c>
      <c r="B180" s="45">
        <v>774</v>
      </c>
      <c r="C180" s="255">
        <f t="shared" si="23"/>
        <v>14585</v>
      </c>
      <c r="D180" s="51">
        <v>10056</v>
      </c>
      <c r="E180" s="51">
        <v>4432</v>
      </c>
      <c r="F180" s="51">
        <v>97</v>
      </c>
      <c r="G180" s="257">
        <f t="shared" si="24"/>
        <v>2502.5459999999998</v>
      </c>
      <c r="H180" s="51">
        <v>724.95899999999995</v>
      </c>
      <c r="I180" s="51">
        <v>1777.587</v>
      </c>
      <c r="J180" s="259">
        <f t="shared" si="26"/>
        <v>374.01499999999999</v>
      </c>
      <c r="K180" s="191">
        <v>255.74199999999999</v>
      </c>
      <c r="L180" s="191">
        <v>85.35</v>
      </c>
      <c r="M180" s="38">
        <v>32.923000000000002</v>
      </c>
      <c r="N180" s="261">
        <f t="shared" si="25"/>
        <v>1082.047</v>
      </c>
      <c r="O180" s="191">
        <v>784.28191100000004</v>
      </c>
      <c r="P180" s="191">
        <v>128.10706400000001</v>
      </c>
      <c r="Q180" s="191">
        <v>137.06202500000001</v>
      </c>
      <c r="R180" s="262">
        <v>32.596000000000004</v>
      </c>
      <c r="S180" s="191">
        <v>23.396000000000001</v>
      </c>
      <c r="T180" s="191">
        <v>9.1999999999999993</v>
      </c>
      <c r="U180" s="66"/>
      <c r="V180" s="67"/>
      <c r="W180" s="280"/>
    </row>
    <row r="181" spans="1:23" x14ac:dyDescent="0.25">
      <c r="A181" s="11">
        <v>44013</v>
      </c>
      <c r="B181" s="45">
        <v>1000</v>
      </c>
      <c r="C181" s="255">
        <f t="shared" si="23"/>
        <v>46623</v>
      </c>
      <c r="D181" s="51">
        <v>25361</v>
      </c>
      <c r="E181" s="51">
        <v>20723</v>
      </c>
      <c r="F181" s="51">
        <v>539</v>
      </c>
      <c r="G181" s="257">
        <f t="shared" si="24"/>
        <v>2378.8020000000001</v>
      </c>
      <c r="H181" s="51">
        <v>707.24400000000003</v>
      </c>
      <c r="I181" s="51">
        <v>1671.558</v>
      </c>
      <c r="J181" s="259">
        <f t="shared" si="26"/>
        <v>345.10900000000004</v>
      </c>
      <c r="K181" s="191">
        <v>244.21600000000001</v>
      </c>
      <c r="L181" s="191">
        <v>79</v>
      </c>
      <c r="M181" s="38">
        <v>21.893000000000001</v>
      </c>
      <c r="N181" s="261">
        <f t="shared" si="25"/>
        <v>1195.6880000000001</v>
      </c>
      <c r="O181" s="191">
        <v>930.49866199999997</v>
      </c>
      <c r="P181" s="191">
        <v>129.027648</v>
      </c>
      <c r="Q181" s="191">
        <v>104.86769</v>
      </c>
      <c r="R181" s="262">
        <v>31.294</v>
      </c>
      <c r="S181" s="191">
        <v>17.997</v>
      </c>
      <c r="T181" s="191">
        <v>13.297000000000001</v>
      </c>
      <c r="U181" s="66"/>
      <c r="V181" s="67"/>
      <c r="W181" s="280"/>
    </row>
    <row r="182" spans="1:23" x14ac:dyDescent="0.25">
      <c r="A182" s="11">
        <v>44044</v>
      </c>
      <c r="B182" s="45">
        <v>1264</v>
      </c>
      <c r="C182" s="255">
        <f t="shared" si="23"/>
        <v>78785</v>
      </c>
      <c r="D182" s="51">
        <v>41800</v>
      </c>
      <c r="E182" s="51">
        <v>34384</v>
      </c>
      <c r="F182" s="51">
        <v>2601</v>
      </c>
      <c r="G182" s="257">
        <f t="shared" si="24"/>
        <v>2448.1220000000003</v>
      </c>
      <c r="H182" s="51">
        <v>633.29600000000005</v>
      </c>
      <c r="I182" s="51">
        <v>1814.826</v>
      </c>
      <c r="J182" s="259">
        <f t="shared" si="26"/>
        <v>442.07400000000001</v>
      </c>
      <c r="K182" s="191">
        <v>309.68299999999999</v>
      </c>
      <c r="L182" s="191">
        <v>120</v>
      </c>
      <c r="M182" s="38">
        <v>12.391</v>
      </c>
      <c r="N182" s="261">
        <f t="shared" si="25"/>
        <v>1486.4570000000001</v>
      </c>
      <c r="O182" s="191">
        <v>1373.44721</v>
      </c>
      <c r="P182" s="191">
        <v>0</v>
      </c>
      <c r="Q182" s="191">
        <v>90.952789999999993</v>
      </c>
      <c r="R182" s="262">
        <v>22.057000000000002</v>
      </c>
      <c r="S182" s="191">
        <v>15.718</v>
      </c>
      <c r="T182" s="191">
        <v>6.3390000000000004</v>
      </c>
      <c r="U182" s="66"/>
      <c r="V182" s="67"/>
      <c r="W182" s="280"/>
    </row>
    <row r="183" spans="1:23" x14ac:dyDescent="0.25">
      <c r="A183" s="11">
        <v>44075</v>
      </c>
      <c r="B183" s="45">
        <v>1458</v>
      </c>
      <c r="C183" s="255">
        <f t="shared" si="23"/>
        <v>89510</v>
      </c>
      <c r="D183" s="51">
        <v>40783</v>
      </c>
      <c r="E183" s="51">
        <v>42548</v>
      </c>
      <c r="F183" s="51">
        <v>6179</v>
      </c>
      <c r="G183" s="257">
        <f t="shared" si="24"/>
        <v>2165.0509999999999</v>
      </c>
      <c r="H183" s="51">
        <v>631.75099999999998</v>
      </c>
      <c r="I183" s="51">
        <v>1533.3</v>
      </c>
      <c r="J183" s="259">
        <f t="shared" si="26"/>
        <v>381.49299999999999</v>
      </c>
      <c r="K183" s="191">
        <v>295.88</v>
      </c>
      <c r="L183" s="191">
        <v>74.5</v>
      </c>
      <c r="M183" s="38">
        <v>11.113</v>
      </c>
      <c r="N183" s="261">
        <f t="shared" si="25"/>
        <v>1472.5429999999999</v>
      </c>
      <c r="O183" s="191">
        <v>1257.858581</v>
      </c>
      <c r="P183" s="191">
        <v>0</v>
      </c>
      <c r="Q183" s="191">
        <v>189.14741900000001</v>
      </c>
      <c r="R183" s="262">
        <v>25.536999999999999</v>
      </c>
      <c r="S183" s="191">
        <v>19.887</v>
      </c>
      <c r="T183" s="191">
        <v>5.65</v>
      </c>
      <c r="U183" s="66"/>
      <c r="V183" s="67"/>
      <c r="W183" s="280"/>
    </row>
    <row r="184" spans="1:23" x14ac:dyDescent="0.25">
      <c r="A184" s="11">
        <v>44105</v>
      </c>
      <c r="B184" s="45">
        <v>1694</v>
      </c>
      <c r="C184" s="255">
        <f t="shared" si="23"/>
        <v>108504</v>
      </c>
      <c r="D184" s="51">
        <v>46144</v>
      </c>
      <c r="E184" s="51">
        <v>52899</v>
      </c>
      <c r="F184" s="51">
        <v>9461</v>
      </c>
      <c r="G184" s="257">
        <f t="shared" si="24"/>
        <v>2630.3164999999999</v>
      </c>
      <c r="H184" s="51">
        <v>756.49800000000005</v>
      </c>
      <c r="I184" s="51">
        <v>1873.8185000000001</v>
      </c>
      <c r="J184" s="259">
        <f t="shared" si="26"/>
        <v>374.93099999999998</v>
      </c>
      <c r="K184" s="191">
        <v>288.70999999999998</v>
      </c>
      <c r="L184" s="191">
        <v>73</v>
      </c>
      <c r="M184" s="38">
        <v>13.221</v>
      </c>
      <c r="N184" s="261">
        <f t="shared" si="25"/>
        <v>1151.865</v>
      </c>
      <c r="O184" s="191">
        <v>1006.4163319999999</v>
      </c>
      <c r="P184" s="191">
        <v>0</v>
      </c>
      <c r="Q184" s="191">
        <v>125.34666799999999</v>
      </c>
      <c r="R184" s="262">
        <v>20.102</v>
      </c>
      <c r="S184" s="191">
        <v>14.452</v>
      </c>
      <c r="T184" s="191">
        <v>5.65</v>
      </c>
      <c r="U184" s="66"/>
      <c r="V184" s="67"/>
      <c r="W184" s="280"/>
    </row>
    <row r="185" spans="1:23" x14ac:dyDescent="0.25">
      <c r="A185" s="11">
        <v>44136</v>
      </c>
      <c r="B185" s="45">
        <v>1814</v>
      </c>
      <c r="C185" s="255">
        <f t="shared" si="23"/>
        <v>107667</v>
      </c>
      <c r="D185" s="51">
        <v>46900</v>
      </c>
      <c r="E185" s="51">
        <v>52999</v>
      </c>
      <c r="F185" s="51">
        <v>7768</v>
      </c>
      <c r="G185" s="257">
        <f t="shared" si="24"/>
        <v>2718.6589999999997</v>
      </c>
      <c r="H185" s="51">
        <v>842.63499999999999</v>
      </c>
      <c r="I185" s="51">
        <v>1876.0239999999999</v>
      </c>
      <c r="J185" s="259">
        <f t="shared" si="26"/>
        <v>504.90100000000001</v>
      </c>
      <c r="K185" s="191">
        <v>396.06299999999999</v>
      </c>
      <c r="L185" s="191">
        <v>93.8</v>
      </c>
      <c r="M185" s="38">
        <v>15.038</v>
      </c>
      <c r="N185" s="261">
        <f t="shared" si="25"/>
        <v>1360.982</v>
      </c>
      <c r="O185" s="191">
        <v>1059.010323</v>
      </c>
      <c r="P185" s="191">
        <v>128.139847</v>
      </c>
      <c r="Q185" s="191">
        <v>150.31383</v>
      </c>
      <c r="R185" s="262">
        <v>23.518000000000001</v>
      </c>
      <c r="S185" s="191">
        <v>15.861000000000001</v>
      </c>
      <c r="T185" s="191">
        <v>7.657</v>
      </c>
      <c r="U185" s="66"/>
      <c r="V185" s="67"/>
      <c r="W185" s="280"/>
    </row>
    <row r="186" spans="1:23" x14ac:dyDescent="0.25">
      <c r="A186" s="11">
        <v>44166</v>
      </c>
      <c r="B186" s="45">
        <v>1990</v>
      </c>
      <c r="C186" s="255">
        <f t="shared" si="23"/>
        <v>133888</v>
      </c>
      <c r="D186" s="51">
        <v>56358</v>
      </c>
      <c r="E186" s="51">
        <v>71899</v>
      </c>
      <c r="F186" s="51">
        <v>5631</v>
      </c>
      <c r="G186" s="257">
        <f t="shared" si="24"/>
        <v>3587.8519999999999</v>
      </c>
      <c r="H186" s="51">
        <v>1224.848</v>
      </c>
      <c r="I186" s="51">
        <v>2363.0039999999999</v>
      </c>
      <c r="J186" s="259">
        <f t="shared" si="26"/>
        <v>483.50900000000001</v>
      </c>
      <c r="K186" s="191">
        <v>390.57499999999999</v>
      </c>
      <c r="L186" s="191">
        <v>54</v>
      </c>
      <c r="M186" s="38">
        <v>38.933999999999997</v>
      </c>
      <c r="N186" s="261">
        <f t="shared" si="25"/>
        <v>1380.02</v>
      </c>
      <c r="O186" s="191">
        <v>1043.699333</v>
      </c>
      <c r="P186" s="191">
        <v>127.532962</v>
      </c>
      <c r="Q186" s="191">
        <v>169.302705</v>
      </c>
      <c r="R186" s="262">
        <v>39.484999999999999</v>
      </c>
      <c r="S186" s="191">
        <v>26.754999999999999</v>
      </c>
      <c r="T186" s="191">
        <v>12.73</v>
      </c>
      <c r="U186" s="66"/>
      <c r="V186" s="67"/>
      <c r="W186" s="280"/>
    </row>
    <row r="187" spans="1:23" x14ac:dyDescent="0.25">
      <c r="A187" s="11">
        <v>44197</v>
      </c>
      <c r="B187" s="45">
        <v>1914</v>
      </c>
      <c r="C187" s="255">
        <f t="shared" si="23"/>
        <v>132366</v>
      </c>
      <c r="D187" s="51">
        <v>62085</v>
      </c>
      <c r="E187" s="51">
        <v>63394</v>
      </c>
      <c r="F187" s="51">
        <v>6887</v>
      </c>
      <c r="G187" s="257">
        <f t="shared" si="24"/>
        <v>3340.3296</v>
      </c>
      <c r="H187" s="51">
        <v>1544.3544999999999</v>
      </c>
      <c r="I187" s="51">
        <v>1795.9751000000001</v>
      </c>
      <c r="J187" s="259">
        <v>349.63</v>
      </c>
      <c r="K187" s="191">
        <v>283.57</v>
      </c>
      <c r="L187" s="191">
        <v>35.299999999999997</v>
      </c>
      <c r="M187" s="38">
        <v>30.76</v>
      </c>
      <c r="N187" s="261">
        <v>1209.9199999999998</v>
      </c>
      <c r="O187" s="191">
        <v>912.02</v>
      </c>
      <c r="P187" s="191">
        <v>0</v>
      </c>
      <c r="Q187" s="191">
        <v>271.08</v>
      </c>
      <c r="R187" s="262">
        <v>26.82</v>
      </c>
      <c r="S187" s="191">
        <v>24.22</v>
      </c>
      <c r="T187" s="191">
        <v>2.6</v>
      </c>
      <c r="U187" s="66"/>
      <c r="V187" s="67"/>
      <c r="W187" s="280"/>
    </row>
    <row r="188" spans="1:23" x14ac:dyDescent="0.25">
      <c r="A188" s="11">
        <v>44228</v>
      </c>
      <c r="B188" s="45">
        <v>1770</v>
      </c>
      <c r="C188" s="255">
        <f t="shared" si="23"/>
        <v>101470</v>
      </c>
      <c r="D188" s="51">
        <v>48547</v>
      </c>
      <c r="E188" s="51">
        <v>46024</v>
      </c>
      <c r="F188" s="51">
        <v>6899</v>
      </c>
      <c r="G188" s="257">
        <f t="shared" si="24"/>
        <v>3091.6010000000001</v>
      </c>
      <c r="H188" s="51">
        <v>1263.1990000000001</v>
      </c>
      <c r="I188" s="51">
        <v>1828.402</v>
      </c>
      <c r="J188" s="259">
        <v>357.04</v>
      </c>
      <c r="K188" s="191">
        <v>300.47000000000003</v>
      </c>
      <c r="L188" s="191">
        <v>35.43</v>
      </c>
      <c r="M188" s="38">
        <v>21.14</v>
      </c>
      <c r="N188" s="261">
        <v>1122.6500000000001</v>
      </c>
      <c r="O188" s="191">
        <v>768.33</v>
      </c>
      <c r="P188" s="191">
        <v>128.30000000000001</v>
      </c>
      <c r="Q188" s="191">
        <v>201.15</v>
      </c>
      <c r="R188" s="262">
        <v>24.87</v>
      </c>
      <c r="S188" s="191">
        <v>22.05</v>
      </c>
      <c r="T188" s="191">
        <v>2.82</v>
      </c>
      <c r="U188" s="66"/>
      <c r="V188" s="67"/>
      <c r="W188" s="280"/>
    </row>
    <row r="189" spans="1:23" x14ac:dyDescent="0.25">
      <c r="A189" s="11">
        <v>44256</v>
      </c>
      <c r="B189" s="45">
        <v>1933</v>
      </c>
      <c r="C189" s="255">
        <f t="shared" si="23"/>
        <v>111582</v>
      </c>
      <c r="D189" s="51">
        <v>54935</v>
      </c>
      <c r="E189" s="51">
        <v>48280</v>
      </c>
      <c r="F189" s="51">
        <v>8367</v>
      </c>
      <c r="G189" s="257">
        <f t="shared" si="24"/>
        <v>3741.6590000000001</v>
      </c>
      <c r="H189" s="51">
        <v>1857.894</v>
      </c>
      <c r="I189" s="51">
        <v>1883.7650000000001</v>
      </c>
      <c r="J189" s="259">
        <v>437.25</v>
      </c>
      <c r="K189" s="191">
        <v>377.74</v>
      </c>
      <c r="L189" s="191">
        <v>34.64</v>
      </c>
      <c r="M189" s="38">
        <v>24.87</v>
      </c>
      <c r="N189" s="261">
        <v>1369.18</v>
      </c>
      <c r="O189" s="191">
        <v>1047.33</v>
      </c>
      <c r="P189" s="191">
        <v>0</v>
      </c>
      <c r="Q189" s="191">
        <v>294.11</v>
      </c>
      <c r="R189" s="262">
        <v>27.74</v>
      </c>
      <c r="S189" s="191">
        <v>25.15</v>
      </c>
      <c r="T189" s="191">
        <v>2.59</v>
      </c>
      <c r="U189" s="66"/>
      <c r="V189" s="67"/>
      <c r="W189" s="280"/>
    </row>
    <row r="190" spans="1:23" x14ac:dyDescent="0.25">
      <c r="A190" s="11">
        <v>44287</v>
      </c>
      <c r="B190" s="45">
        <v>2003</v>
      </c>
      <c r="C190" s="255">
        <f t="shared" si="23"/>
        <v>110148</v>
      </c>
      <c r="D190" s="51">
        <v>54939</v>
      </c>
      <c r="E190" s="51">
        <v>46712</v>
      </c>
      <c r="F190" s="51">
        <v>8497</v>
      </c>
      <c r="G190" s="257">
        <f t="shared" si="24"/>
        <v>3369.2809999999999</v>
      </c>
      <c r="H190" s="51">
        <v>1315.2139999999999</v>
      </c>
      <c r="I190" s="51">
        <v>2054.067</v>
      </c>
      <c r="J190" s="259">
        <v>363.6</v>
      </c>
      <c r="K190" s="191">
        <v>271.36</v>
      </c>
      <c r="L190" s="191">
        <v>61.35</v>
      </c>
      <c r="M190" s="38">
        <v>30.89</v>
      </c>
      <c r="N190" s="261">
        <v>1769.1000000000001</v>
      </c>
      <c r="O190" s="191">
        <v>1299.6500000000001</v>
      </c>
      <c r="P190" s="191">
        <v>127.66</v>
      </c>
      <c r="Q190" s="191">
        <v>310.2</v>
      </c>
      <c r="R190" s="262">
        <v>31.59</v>
      </c>
      <c r="S190" s="191">
        <v>26.61</v>
      </c>
      <c r="T190" s="191">
        <v>4.9800000000000004</v>
      </c>
      <c r="U190" s="66"/>
      <c r="V190" s="67"/>
      <c r="W190" s="280"/>
    </row>
    <row r="191" spans="1:23" x14ac:dyDescent="0.25">
      <c r="A191" s="11">
        <v>44317</v>
      </c>
      <c r="B191" s="45">
        <v>2122</v>
      </c>
      <c r="C191" s="255">
        <f t="shared" si="23"/>
        <v>132007</v>
      </c>
      <c r="D191" s="51">
        <v>61871</v>
      </c>
      <c r="E191" s="51">
        <v>61036</v>
      </c>
      <c r="F191" s="51">
        <v>9100</v>
      </c>
      <c r="G191" s="257">
        <f t="shared" si="24"/>
        <v>3188.444</v>
      </c>
      <c r="H191" s="51">
        <v>1141.29</v>
      </c>
      <c r="I191" s="51">
        <v>2047.154</v>
      </c>
      <c r="J191" s="259">
        <v>396.15</v>
      </c>
      <c r="K191" s="191">
        <v>295.62</v>
      </c>
      <c r="L191" s="191">
        <v>64.95</v>
      </c>
      <c r="M191" s="38">
        <v>35.58</v>
      </c>
      <c r="N191" s="261">
        <v>1708.2500000000002</v>
      </c>
      <c r="O191" s="191">
        <v>1191.92</v>
      </c>
      <c r="P191" s="191">
        <v>128.46</v>
      </c>
      <c r="Q191" s="191">
        <v>355.99</v>
      </c>
      <c r="R191" s="262">
        <v>31.88</v>
      </c>
      <c r="S191" s="191">
        <v>27.08</v>
      </c>
      <c r="T191" s="191">
        <v>4.8</v>
      </c>
      <c r="U191" s="66"/>
      <c r="V191" s="67"/>
      <c r="W191" s="280"/>
    </row>
    <row r="192" spans="1:23" x14ac:dyDescent="0.25">
      <c r="A192" s="11">
        <v>44348</v>
      </c>
      <c r="B192" s="45">
        <v>2015</v>
      </c>
      <c r="C192" s="255">
        <f t="shared" si="23"/>
        <v>161262</v>
      </c>
      <c r="D192" s="51">
        <v>70947</v>
      </c>
      <c r="E192" s="51">
        <v>77347</v>
      </c>
      <c r="F192" s="51">
        <v>12968</v>
      </c>
      <c r="G192" s="257">
        <f t="shared" si="24"/>
        <v>3321.1379999999999</v>
      </c>
      <c r="H192" s="51">
        <v>919.84</v>
      </c>
      <c r="I192" s="51">
        <v>2401.2979999999998</v>
      </c>
      <c r="J192" s="259">
        <v>267.99</v>
      </c>
      <c r="K192" s="191">
        <v>216.53</v>
      </c>
      <c r="L192" s="191">
        <v>18.5</v>
      </c>
      <c r="M192" s="38">
        <v>32.96</v>
      </c>
      <c r="N192" s="261">
        <v>1208.0900000000001</v>
      </c>
      <c r="O192" s="191">
        <v>948.12</v>
      </c>
      <c r="P192" s="191">
        <v>0</v>
      </c>
      <c r="Q192" s="191">
        <v>231.29</v>
      </c>
      <c r="R192" s="262">
        <v>28.68</v>
      </c>
      <c r="S192" s="183">
        <v>23.23</v>
      </c>
      <c r="T192" s="191">
        <v>5.45</v>
      </c>
      <c r="U192" s="66"/>
      <c r="V192" s="67"/>
      <c r="W192" s="280"/>
    </row>
    <row r="193" spans="1:23" x14ac:dyDescent="0.25">
      <c r="A193" s="11">
        <v>44378</v>
      </c>
      <c r="B193" s="45">
        <v>2366</v>
      </c>
      <c r="C193" s="255">
        <f t="shared" si="23"/>
        <v>200735</v>
      </c>
      <c r="D193" s="51">
        <v>80100</v>
      </c>
      <c r="E193" s="51">
        <v>107352</v>
      </c>
      <c r="F193" s="51">
        <v>13283</v>
      </c>
      <c r="G193" s="257">
        <f t="shared" si="24"/>
        <v>3138.4740000000002</v>
      </c>
      <c r="H193" s="51">
        <v>948.35299999999995</v>
      </c>
      <c r="I193" s="51">
        <v>2190.1210000000001</v>
      </c>
      <c r="J193" s="259">
        <v>368.88</v>
      </c>
      <c r="K193" s="191">
        <v>290.98</v>
      </c>
      <c r="L193" s="191">
        <v>54.25</v>
      </c>
      <c r="M193" s="38">
        <v>23.65</v>
      </c>
      <c r="N193" s="261">
        <v>1649.81</v>
      </c>
      <c r="O193" s="191">
        <v>1153.4000000000001</v>
      </c>
      <c r="P193" s="191">
        <v>128.13999999999999</v>
      </c>
      <c r="Q193" s="191">
        <v>341.19</v>
      </c>
      <c r="R193" s="262">
        <v>27.080000000000002</v>
      </c>
      <c r="S193" s="183">
        <v>19.39</v>
      </c>
      <c r="T193" s="191">
        <v>7.69</v>
      </c>
      <c r="U193" s="66"/>
      <c r="V193" s="67"/>
      <c r="W193" s="280"/>
    </row>
    <row r="194" spans="1:23" x14ac:dyDescent="0.25">
      <c r="A194" s="11">
        <v>44409</v>
      </c>
      <c r="B194" s="45">
        <v>2404</v>
      </c>
      <c r="C194" s="255">
        <f t="shared" si="23"/>
        <v>206117</v>
      </c>
      <c r="D194" s="51">
        <v>111321</v>
      </c>
      <c r="E194" s="51">
        <v>81274</v>
      </c>
      <c r="F194" s="51">
        <v>13522</v>
      </c>
      <c r="G194" s="257">
        <f t="shared" si="24"/>
        <v>2598.5880000000002</v>
      </c>
      <c r="H194" s="51">
        <v>726.69600000000003</v>
      </c>
      <c r="I194" s="51">
        <v>1871.8920000000001</v>
      </c>
      <c r="J194" s="259">
        <v>309.43999999999994</v>
      </c>
      <c r="K194" s="191">
        <v>246.39</v>
      </c>
      <c r="L194" s="191">
        <v>45.91</v>
      </c>
      <c r="M194" s="191">
        <v>17.14</v>
      </c>
      <c r="N194" s="261">
        <v>1554.95</v>
      </c>
      <c r="O194" s="191">
        <v>1072.54</v>
      </c>
      <c r="P194" s="191">
        <v>127.89</v>
      </c>
      <c r="Q194" s="191">
        <v>323.20999999999998</v>
      </c>
      <c r="R194" s="262">
        <v>31.310000000000002</v>
      </c>
      <c r="S194" s="183">
        <v>23.6</v>
      </c>
      <c r="T194" s="191">
        <v>7.71</v>
      </c>
      <c r="U194" s="66"/>
      <c r="V194" s="67"/>
      <c r="W194" s="280"/>
    </row>
    <row r="195" spans="1:23" x14ac:dyDescent="0.25">
      <c r="A195" s="11">
        <v>44440</v>
      </c>
      <c r="B195" s="45">
        <v>2271</v>
      </c>
      <c r="C195" s="255">
        <f t="shared" si="23"/>
        <v>193746</v>
      </c>
      <c r="D195" s="51">
        <v>95316</v>
      </c>
      <c r="E195" s="51">
        <v>85925</v>
      </c>
      <c r="F195" s="51">
        <v>12505</v>
      </c>
      <c r="G195" s="257">
        <f t="shared" si="24"/>
        <v>2444.9229999999998</v>
      </c>
      <c r="H195" s="51">
        <v>659.50800000000004</v>
      </c>
      <c r="I195" s="51">
        <v>1785.415</v>
      </c>
      <c r="J195" s="259">
        <v>279.16000000000003</v>
      </c>
      <c r="K195" s="191">
        <v>235.93</v>
      </c>
      <c r="L195" s="191">
        <v>24.93</v>
      </c>
      <c r="M195" s="191">
        <v>18.3</v>
      </c>
      <c r="N195" s="261">
        <v>1589.42</v>
      </c>
      <c r="O195" s="191">
        <v>1152.5</v>
      </c>
      <c r="P195" s="191">
        <v>126.18</v>
      </c>
      <c r="Q195" s="191">
        <v>284.99</v>
      </c>
      <c r="R195" s="262">
        <v>25.75</v>
      </c>
      <c r="S195" s="183">
        <v>22.07</v>
      </c>
      <c r="T195" s="191">
        <v>3.68</v>
      </c>
      <c r="U195" s="66"/>
      <c r="V195" s="67"/>
      <c r="W195" s="280"/>
    </row>
    <row r="196" spans="1:23" x14ac:dyDescent="0.25">
      <c r="A196" s="11">
        <v>44470</v>
      </c>
      <c r="B196" s="45">
        <v>2370</v>
      </c>
      <c r="C196" s="255">
        <f t="shared" si="23"/>
        <v>193378</v>
      </c>
      <c r="D196" s="51">
        <v>90127</v>
      </c>
      <c r="E196" s="51">
        <v>91282</v>
      </c>
      <c r="F196" s="51">
        <v>11969</v>
      </c>
      <c r="G196" s="257">
        <f t="shared" si="24"/>
        <v>2624.1890000000003</v>
      </c>
      <c r="H196" s="51">
        <v>706.03899999999999</v>
      </c>
      <c r="I196" s="51">
        <v>1918.15</v>
      </c>
      <c r="J196" s="259">
        <v>238.37</v>
      </c>
      <c r="K196" s="191">
        <v>183.4</v>
      </c>
      <c r="L196" s="191">
        <v>34.909999999999997</v>
      </c>
      <c r="M196" s="191">
        <v>20.059999999999999</v>
      </c>
      <c r="N196" s="261">
        <v>1646.3999999999999</v>
      </c>
      <c r="O196" s="191">
        <v>1272.8699999999999</v>
      </c>
      <c r="P196" s="191">
        <v>128.05000000000001</v>
      </c>
      <c r="Q196" s="191">
        <v>221.49</v>
      </c>
      <c r="R196" s="262">
        <v>23.990000000000002</v>
      </c>
      <c r="S196" s="183">
        <v>20.37</v>
      </c>
      <c r="T196" s="191">
        <v>3.62</v>
      </c>
      <c r="U196" s="66"/>
      <c r="V196" s="67"/>
      <c r="W196" s="280"/>
    </row>
    <row r="197" spans="1:23" x14ac:dyDescent="0.25">
      <c r="A197" s="11">
        <v>44501</v>
      </c>
      <c r="B197" s="45">
        <v>2317</v>
      </c>
      <c r="C197" s="255">
        <f t="shared" si="23"/>
        <v>194359</v>
      </c>
      <c r="D197" s="51">
        <v>90044</v>
      </c>
      <c r="E197" s="51">
        <v>91155</v>
      </c>
      <c r="F197" s="51">
        <v>13160</v>
      </c>
      <c r="G197" s="257">
        <f t="shared" si="24"/>
        <v>2826.0349999999999</v>
      </c>
      <c r="H197" s="51">
        <v>886.49599999999998</v>
      </c>
      <c r="I197" s="51">
        <v>1939.539</v>
      </c>
      <c r="J197" s="259">
        <v>332.65000000000003</v>
      </c>
      <c r="K197" s="191">
        <v>277.66000000000003</v>
      </c>
      <c r="L197" s="191">
        <v>34.56</v>
      </c>
      <c r="M197" s="191">
        <v>20.43</v>
      </c>
      <c r="N197" s="261">
        <v>1474.89</v>
      </c>
      <c r="O197" s="191">
        <v>1078.19</v>
      </c>
      <c r="P197" s="191">
        <v>0</v>
      </c>
      <c r="Q197" s="191">
        <v>371.3</v>
      </c>
      <c r="R197" s="262">
        <v>25.400000000000002</v>
      </c>
      <c r="S197" s="183">
        <v>21.44</v>
      </c>
      <c r="T197" s="191">
        <v>3.96</v>
      </c>
      <c r="U197" s="66"/>
      <c r="V197" s="67"/>
      <c r="W197" s="280"/>
    </row>
    <row r="198" spans="1:23" x14ac:dyDescent="0.25">
      <c r="A198" s="11">
        <v>44531</v>
      </c>
      <c r="B198" s="45">
        <v>2576</v>
      </c>
      <c r="C198" s="255">
        <f t="shared" si="23"/>
        <v>220707</v>
      </c>
      <c r="D198" s="51">
        <v>93389</v>
      </c>
      <c r="E198" s="51">
        <v>110804</v>
      </c>
      <c r="F198" s="51">
        <v>16514</v>
      </c>
      <c r="G198" s="257">
        <f t="shared" si="24"/>
        <v>3540.5439999999999</v>
      </c>
      <c r="H198" s="51">
        <v>1403.5609999999999</v>
      </c>
      <c r="I198" s="51">
        <v>2136.9830000000002</v>
      </c>
      <c r="J198" s="259">
        <v>344.94000000000005</v>
      </c>
      <c r="K198" s="191">
        <v>258.35000000000002</v>
      </c>
      <c r="L198" s="191">
        <v>63.79</v>
      </c>
      <c r="M198" s="191">
        <v>22.8</v>
      </c>
      <c r="N198" s="261">
        <v>1495.11</v>
      </c>
      <c r="O198" s="191">
        <v>1153.58</v>
      </c>
      <c r="P198" s="191">
        <v>0</v>
      </c>
      <c r="Q198" s="191">
        <v>311.58</v>
      </c>
      <c r="R198" s="262">
        <v>29.950000000000003</v>
      </c>
      <c r="S198" s="183">
        <v>21.94</v>
      </c>
      <c r="T198" s="191">
        <v>8.01</v>
      </c>
      <c r="U198" s="66"/>
      <c r="V198" s="67"/>
      <c r="W198" s="280"/>
    </row>
    <row r="199" spans="1:23" x14ac:dyDescent="0.25">
      <c r="A199" s="11">
        <v>44562</v>
      </c>
      <c r="B199" s="45">
        <v>2644</v>
      </c>
      <c r="C199" s="255">
        <f t="shared" si="23"/>
        <v>205103</v>
      </c>
      <c r="D199" s="51">
        <v>91319</v>
      </c>
      <c r="E199" s="51">
        <v>97347</v>
      </c>
      <c r="F199" s="51">
        <v>16437</v>
      </c>
      <c r="G199" s="257">
        <f t="shared" si="24"/>
        <v>3218.1190000000001</v>
      </c>
      <c r="H199" s="51">
        <v>1266.4960000000001</v>
      </c>
      <c r="I199" s="51">
        <v>1951.623</v>
      </c>
      <c r="J199" s="259">
        <v>296.5</v>
      </c>
      <c r="K199" s="191">
        <v>239.4</v>
      </c>
      <c r="L199" s="191">
        <v>30.89</v>
      </c>
      <c r="M199" s="191">
        <v>26.21</v>
      </c>
      <c r="N199" s="261">
        <v>1601.98</v>
      </c>
      <c r="O199" s="191">
        <v>1195.05</v>
      </c>
      <c r="P199" s="191">
        <v>0</v>
      </c>
      <c r="Q199" s="191">
        <v>383.97</v>
      </c>
      <c r="R199" s="262">
        <v>22.959999999999997</v>
      </c>
      <c r="S199" s="183">
        <v>20.149999999999999</v>
      </c>
      <c r="T199" s="191">
        <v>2.81</v>
      </c>
      <c r="U199" s="66"/>
      <c r="V199" s="67"/>
      <c r="W199" s="280"/>
    </row>
    <row r="200" spans="1:23" x14ac:dyDescent="0.25">
      <c r="A200" s="11">
        <v>44593</v>
      </c>
      <c r="B200" s="45">
        <v>2250</v>
      </c>
      <c r="C200" s="255">
        <f t="shared" si="23"/>
        <v>196565</v>
      </c>
      <c r="D200" s="51">
        <v>92052</v>
      </c>
      <c r="E200" s="51">
        <v>91445</v>
      </c>
      <c r="F200" s="51">
        <v>13068</v>
      </c>
      <c r="G200" s="257">
        <f t="shared" si="24"/>
        <v>2903.6930000000002</v>
      </c>
      <c r="H200" s="51">
        <v>1258.0830000000001</v>
      </c>
      <c r="I200" s="51">
        <v>1645.61</v>
      </c>
      <c r="J200" s="259">
        <v>289.96000000000004</v>
      </c>
      <c r="K200" s="191">
        <v>244.67</v>
      </c>
      <c r="L200" s="191">
        <v>27.01</v>
      </c>
      <c r="M200" s="191">
        <v>18.28</v>
      </c>
      <c r="N200" s="261">
        <v>1267.24</v>
      </c>
      <c r="O200" s="191">
        <v>1028.54</v>
      </c>
      <c r="P200" s="191">
        <v>0</v>
      </c>
      <c r="Q200" s="191">
        <v>223.28</v>
      </c>
      <c r="R200" s="262">
        <v>15.42</v>
      </c>
      <c r="S200" s="183">
        <v>12.58</v>
      </c>
      <c r="T200" s="191">
        <v>2.84</v>
      </c>
      <c r="U200" s="66"/>
      <c r="V200" s="67"/>
      <c r="W200" s="280"/>
    </row>
    <row r="201" spans="1:23" x14ac:dyDescent="0.25">
      <c r="A201" s="11">
        <v>44621</v>
      </c>
      <c r="B201" s="45">
        <v>2396</v>
      </c>
      <c r="C201" s="255">
        <f t="shared" si="23"/>
        <v>216934</v>
      </c>
      <c r="D201" s="51">
        <v>110442</v>
      </c>
      <c r="E201" s="51">
        <v>94041</v>
      </c>
      <c r="F201" s="51">
        <v>12451</v>
      </c>
      <c r="G201" s="257">
        <f t="shared" si="24"/>
        <v>3923.4340000000002</v>
      </c>
      <c r="H201" s="51">
        <v>1721.357</v>
      </c>
      <c r="I201" s="51">
        <v>2202.0770000000002</v>
      </c>
      <c r="J201" s="259">
        <v>365.58</v>
      </c>
      <c r="K201" s="191">
        <v>295.37</v>
      </c>
      <c r="L201" s="191">
        <v>50.08</v>
      </c>
      <c r="M201" s="191">
        <v>20.13</v>
      </c>
      <c r="N201" s="261">
        <v>1581.86</v>
      </c>
      <c r="O201" s="191">
        <v>1281.1099999999999</v>
      </c>
      <c r="P201" s="191">
        <v>0</v>
      </c>
      <c r="Q201" s="191">
        <v>276.43</v>
      </c>
      <c r="R201" s="262">
        <v>24.32</v>
      </c>
      <c r="S201" s="183">
        <v>22.25</v>
      </c>
      <c r="T201" s="191">
        <v>2.0699999999999998</v>
      </c>
      <c r="U201" s="66"/>
      <c r="V201" s="67"/>
      <c r="W201" s="280"/>
    </row>
    <row r="202" spans="1:23" x14ac:dyDescent="0.25">
      <c r="A202" s="11">
        <v>44652</v>
      </c>
      <c r="B202" s="45">
        <v>2355</v>
      </c>
      <c r="C202" s="255">
        <f t="shared" ref="C202:C237" si="27">SUM(D202:F202)</f>
        <v>194958</v>
      </c>
      <c r="D202" s="51">
        <v>98925</v>
      </c>
      <c r="E202" s="51">
        <v>84486</v>
      </c>
      <c r="F202" s="51">
        <v>11547</v>
      </c>
      <c r="G202" s="257">
        <f t="shared" si="24"/>
        <v>3093.634</v>
      </c>
      <c r="H202" s="51">
        <v>1252.866</v>
      </c>
      <c r="I202" s="51">
        <v>1840.768</v>
      </c>
      <c r="J202" s="259">
        <v>283.06</v>
      </c>
      <c r="K202" s="191">
        <v>200.09</v>
      </c>
      <c r="L202" s="191">
        <v>59.27</v>
      </c>
      <c r="M202" s="191">
        <v>23.7</v>
      </c>
      <c r="N202" s="261">
        <v>1438.39</v>
      </c>
      <c r="O202" s="191">
        <v>1046.3800000000001</v>
      </c>
      <c r="P202" s="191">
        <v>0</v>
      </c>
      <c r="Q202" s="191">
        <v>363.02</v>
      </c>
      <c r="R202" s="262">
        <v>28.99</v>
      </c>
      <c r="S202" s="183">
        <v>22.86</v>
      </c>
      <c r="T202" s="191">
        <v>6.13</v>
      </c>
      <c r="U202" s="66"/>
      <c r="V202" s="67"/>
      <c r="W202" s="280"/>
    </row>
    <row r="203" spans="1:23" x14ac:dyDescent="0.25">
      <c r="A203" s="11">
        <v>44682</v>
      </c>
      <c r="B203" s="45">
        <v>2411</v>
      </c>
      <c r="C203" s="255">
        <f t="shared" si="27"/>
        <v>210435</v>
      </c>
      <c r="D203" s="51">
        <v>102616</v>
      </c>
      <c r="E203" s="51">
        <v>93891</v>
      </c>
      <c r="F203" s="51">
        <v>13928</v>
      </c>
      <c r="G203" s="257">
        <f t="shared" si="24"/>
        <v>2454.3820000000001</v>
      </c>
      <c r="H203" s="51">
        <v>838.28399999999999</v>
      </c>
      <c r="I203" s="51">
        <v>1616.098</v>
      </c>
      <c r="J203" s="259">
        <v>332.32</v>
      </c>
      <c r="K203" s="191">
        <v>268.39</v>
      </c>
      <c r="L203" s="191">
        <v>26.3</v>
      </c>
      <c r="M203" s="191">
        <v>37.630000000000003</v>
      </c>
      <c r="N203" s="261">
        <v>1440.7299999999998</v>
      </c>
      <c r="O203" s="191">
        <v>994.91</v>
      </c>
      <c r="P203" s="191">
        <v>127.93</v>
      </c>
      <c r="Q203" s="191">
        <v>290.57</v>
      </c>
      <c r="R203" s="262">
        <v>27.32</v>
      </c>
      <c r="S203" s="183">
        <v>21.48</v>
      </c>
      <c r="T203" s="191">
        <v>5.84</v>
      </c>
      <c r="U203" s="66"/>
      <c r="V203" s="67"/>
      <c r="W203" s="291"/>
    </row>
    <row r="204" spans="1:23" x14ac:dyDescent="0.25">
      <c r="A204" s="11">
        <v>44713</v>
      </c>
      <c r="B204" s="45">
        <v>2509</v>
      </c>
      <c r="C204" s="255">
        <f t="shared" si="27"/>
        <v>229888</v>
      </c>
      <c r="D204" s="51">
        <v>111676</v>
      </c>
      <c r="E204" s="51">
        <v>105087</v>
      </c>
      <c r="F204" s="51">
        <v>13125</v>
      </c>
      <c r="G204" s="257">
        <f t="shared" si="24"/>
        <v>3192.893</v>
      </c>
      <c r="H204" s="51">
        <v>1134.973</v>
      </c>
      <c r="I204" s="51">
        <v>2057.92</v>
      </c>
      <c r="J204" s="259">
        <v>347.48999999999995</v>
      </c>
      <c r="K204" s="191">
        <v>257.93</v>
      </c>
      <c r="L204" s="191">
        <v>57.72</v>
      </c>
      <c r="M204" s="191">
        <v>31.84</v>
      </c>
      <c r="N204" s="261">
        <v>1495.7599999999998</v>
      </c>
      <c r="O204" s="191">
        <v>1117.1099999999999</v>
      </c>
      <c r="P204" s="191">
        <v>0</v>
      </c>
      <c r="Q204" s="191">
        <v>349.05</v>
      </c>
      <c r="R204" s="262">
        <v>29.6</v>
      </c>
      <c r="S204" s="183">
        <v>22.5</v>
      </c>
      <c r="T204" s="191">
        <v>7.1</v>
      </c>
      <c r="U204" s="66"/>
      <c r="V204" s="67"/>
      <c r="W204" s="291"/>
    </row>
    <row r="205" spans="1:23" x14ac:dyDescent="0.25">
      <c r="A205" s="11">
        <v>44743</v>
      </c>
      <c r="B205" s="45">
        <v>2605</v>
      </c>
      <c r="C205" s="255">
        <f t="shared" si="27"/>
        <v>267761</v>
      </c>
      <c r="D205" s="51">
        <v>115752</v>
      </c>
      <c r="E205" s="51">
        <v>138067</v>
      </c>
      <c r="F205" s="51">
        <v>13942</v>
      </c>
      <c r="G205" s="257">
        <f t="shared" si="24"/>
        <v>2462.1419999999998</v>
      </c>
      <c r="H205" s="51">
        <v>819.61900000000003</v>
      </c>
      <c r="I205" s="51">
        <v>1642.5229999999999</v>
      </c>
      <c r="J205" s="259">
        <v>362.21</v>
      </c>
      <c r="K205" s="191">
        <v>299.63</v>
      </c>
      <c r="L205" s="191">
        <v>38.51</v>
      </c>
      <c r="M205" s="191">
        <v>24.07</v>
      </c>
      <c r="N205" s="261">
        <v>1743.6</v>
      </c>
      <c r="O205" s="191">
        <v>1273.31</v>
      </c>
      <c r="P205" s="191">
        <v>128.09</v>
      </c>
      <c r="Q205" s="191">
        <v>314.57</v>
      </c>
      <c r="R205" s="262">
        <v>27.630000000000003</v>
      </c>
      <c r="S205" s="183">
        <v>21.35</v>
      </c>
      <c r="T205" s="191">
        <v>6.28</v>
      </c>
      <c r="U205" s="66"/>
      <c r="V205" s="67"/>
      <c r="W205" s="291"/>
    </row>
    <row r="206" spans="1:23" x14ac:dyDescent="0.25">
      <c r="A206" s="11">
        <v>44774</v>
      </c>
      <c r="B206" s="45">
        <v>2697</v>
      </c>
      <c r="C206" s="255">
        <f t="shared" si="27"/>
        <v>267728</v>
      </c>
      <c r="D206" s="51">
        <v>139911</v>
      </c>
      <c r="E206" s="51">
        <v>113693</v>
      </c>
      <c r="F206" s="51">
        <v>14124</v>
      </c>
      <c r="G206" s="257">
        <f t="shared" si="24"/>
        <v>2462.1419999999998</v>
      </c>
      <c r="H206" s="51">
        <v>819.61900000000003</v>
      </c>
      <c r="I206" s="51">
        <v>1642.5229999999999</v>
      </c>
      <c r="J206" s="259">
        <v>322.60000000000002</v>
      </c>
      <c r="K206" s="191">
        <v>225.89</v>
      </c>
      <c r="L206" s="191">
        <v>78.92</v>
      </c>
      <c r="M206" s="191">
        <v>17.79</v>
      </c>
      <c r="N206" s="261">
        <v>1737.6299999999999</v>
      </c>
      <c r="O206" s="191">
        <v>1317.34</v>
      </c>
      <c r="P206" s="191">
        <v>0</v>
      </c>
      <c r="Q206" s="191">
        <v>393.67</v>
      </c>
      <c r="R206" s="262">
        <v>26.619999999999997</v>
      </c>
      <c r="S206" s="183">
        <v>16.18</v>
      </c>
      <c r="T206" s="191">
        <v>10.44</v>
      </c>
      <c r="U206" s="66"/>
      <c r="V206" s="67"/>
      <c r="W206" s="291"/>
    </row>
    <row r="207" spans="1:23" x14ac:dyDescent="0.25">
      <c r="A207" s="11">
        <v>44805</v>
      </c>
      <c r="B207" s="45">
        <v>2528</v>
      </c>
      <c r="C207" s="255">
        <f t="shared" si="27"/>
        <v>240172</v>
      </c>
      <c r="D207" s="51">
        <v>119630</v>
      </c>
      <c r="E207" s="51">
        <v>107815</v>
      </c>
      <c r="F207" s="51">
        <v>12727</v>
      </c>
      <c r="G207" s="257">
        <f t="shared" si="24"/>
        <v>2305.6530000000002</v>
      </c>
      <c r="H207" s="51">
        <v>656.39400000000001</v>
      </c>
      <c r="I207" s="51">
        <v>1649.259</v>
      </c>
      <c r="J207" s="259">
        <v>276.19</v>
      </c>
      <c r="K207" s="191">
        <v>234.97</v>
      </c>
      <c r="L207" s="191">
        <v>26.76</v>
      </c>
      <c r="M207" s="191">
        <v>14.46</v>
      </c>
      <c r="N207" s="261">
        <v>1584.2</v>
      </c>
      <c r="O207" s="191">
        <v>1191.57</v>
      </c>
      <c r="P207" s="191">
        <v>126.22</v>
      </c>
      <c r="Q207" s="191">
        <v>245.45</v>
      </c>
      <c r="R207" s="262">
        <v>20.96</v>
      </c>
      <c r="S207" s="191">
        <v>13.74</v>
      </c>
      <c r="T207" s="191">
        <v>7.22</v>
      </c>
      <c r="U207" s="66"/>
      <c r="V207" s="67"/>
      <c r="W207" s="291"/>
    </row>
    <row r="208" spans="1:23" x14ac:dyDescent="0.25">
      <c r="A208" s="11">
        <v>44835</v>
      </c>
      <c r="B208" s="45">
        <v>2444</v>
      </c>
      <c r="C208" s="255">
        <f t="shared" si="27"/>
        <v>235619</v>
      </c>
      <c r="D208" s="51">
        <v>110781</v>
      </c>
      <c r="E208" s="51">
        <v>111522</v>
      </c>
      <c r="F208" s="51">
        <v>13316</v>
      </c>
      <c r="G208" s="257">
        <f t="shared" si="24"/>
        <v>2550.9369999999999</v>
      </c>
      <c r="H208" s="51">
        <v>748.14400000000001</v>
      </c>
      <c r="I208" s="51">
        <v>1802.7929999999999</v>
      </c>
      <c r="J208" s="259">
        <v>540.8599999999999</v>
      </c>
      <c r="K208" s="191">
        <v>530.05999999999995</v>
      </c>
      <c r="L208" s="191">
        <v>0</v>
      </c>
      <c r="M208" s="191">
        <v>10.8</v>
      </c>
      <c r="N208" s="261">
        <v>1503.05</v>
      </c>
      <c r="O208" s="191">
        <v>1274.27</v>
      </c>
      <c r="P208" s="191">
        <v>121.68</v>
      </c>
      <c r="Q208" s="191">
        <v>90.3</v>
      </c>
      <c r="R208" s="262">
        <v>16.8</v>
      </c>
      <c r="S208" s="191">
        <v>11.99</v>
      </c>
      <c r="T208" s="191">
        <v>4.8099999999999996</v>
      </c>
      <c r="U208" s="66"/>
      <c r="V208" s="67"/>
      <c r="W208" s="291"/>
    </row>
    <row r="209" spans="1:23" x14ac:dyDescent="0.25">
      <c r="A209" s="11">
        <v>44866</v>
      </c>
      <c r="B209" s="45">
        <v>2410</v>
      </c>
      <c r="C209" s="255">
        <f t="shared" si="27"/>
        <v>237723</v>
      </c>
      <c r="D209" s="51">
        <v>110371</v>
      </c>
      <c r="E209" s="51">
        <v>111822</v>
      </c>
      <c r="F209" s="51">
        <v>15530</v>
      </c>
      <c r="G209" s="257">
        <f t="shared" si="24"/>
        <v>2585.357</v>
      </c>
      <c r="H209" s="51">
        <v>659.87699999999995</v>
      </c>
      <c r="I209" s="51">
        <v>1925.48</v>
      </c>
      <c r="J209" s="259">
        <v>339.27000000000004</v>
      </c>
      <c r="K209" s="191">
        <v>296.10000000000002</v>
      </c>
      <c r="L209" s="191">
        <v>24.55</v>
      </c>
      <c r="M209" s="191">
        <v>18.62</v>
      </c>
      <c r="N209" s="261">
        <v>1509.9</v>
      </c>
      <c r="O209" s="191">
        <v>1101.01</v>
      </c>
      <c r="P209" s="191">
        <v>133.53</v>
      </c>
      <c r="Q209" s="191">
        <v>245.67</v>
      </c>
      <c r="R209" s="262">
        <v>29.689999999999998</v>
      </c>
      <c r="S209" s="191">
        <v>23.54</v>
      </c>
      <c r="T209" s="191">
        <v>6.15</v>
      </c>
      <c r="U209" s="66"/>
      <c r="V209" s="67"/>
      <c r="W209" s="291"/>
    </row>
    <row r="210" spans="1:23" x14ac:dyDescent="0.25">
      <c r="A210" s="11">
        <v>44896</v>
      </c>
      <c r="B210" s="45">
        <v>2639</v>
      </c>
      <c r="C210" s="255">
        <f t="shared" si="27"/>
        <v>261314</v>
      </c>
      <c r="D210" s="51">
        <v>114265</v>
      </c>
      <c r="E210" s="51">
        <v>132019</v>
      </c>
      <c r="F210" s="51">
        <v>15030</v>
      </c>
      <c r="G210" s="257">
        <f t="shared" si="24"/>
        <v>3227.848</v>
      </c>
      <c r="H210" s="51">
        <v>1477.374</v>
      </c>
      <c r="I210" s="51">
        <v>1750.4739999999999</v>
      </c>
      <c r="J210" s="259">
        <v>281.86</v>
      </c>
      <c r="K210" s="191">
        <v>232.62</v>
      </c>
      <c r="L210" s="191">
        <v>27.95</v>
      </c>
      <c r="M210" s="191">
        <v>21.29</v>
      </c>
      <c r="N210" s="261">
        <v>1502.37</v>
      </c>
      <c r="O210" s="191">
        <v>1215.57</v>
      </c>
      <c r="P210" s="191">
        <v>0</v>
      </c>
      <c r="Q210" s="191">
        <v>256</v>
      </c>
      <c r="R210" s="262">
        <v>30.8</v>
      </c>
      <c r="S210" s="191">
        <v>25.94</v>
      </c>
      <c r="T210" s="191">
        <v>4.8600000000000003</v>
      </c>
      <c r="U210" s="191" t="e">
        <f t="shared" ref="U210" si="28">+U209/U197*U198</f>
        <v>#DIV/0!</v>
      </c>
      <c r="V210" s="67"/>
      <c r="W210" s="291"/>
    </row>
    <row r="211" spans="1:23" x14ac:dyDescent="0.25">
      <c r="A211" s="11">
        <v>44927</v>
      </c>
      <c r="B211" s="45">
        <v>2644</v>
      </c>
      <c r="C211" s="255">
        <f t="shared" si="27"/>
        <v>261739</v>
      </c>
      <c r="D211" s="51">
        <v>121172</v>
      </c>
      <c r="E211" s="51">
        <v>125678</v>
      </c>
      <c r="F211" s="51">
        <v>14889</v>
      </c>
      <c r="G211" s="257">
        <f t="shared" si="24"/>
        <v>3303.9549999999999</v>
      </c>
      <c r="H211" s="51">
        <v>1314.066</v>
      </c>
      <c r="I211" s="51">
        <v>1989.8889999999999</v>
      </c>
      <c r="J211" s="259">
        <v>410.39</v>
      </c>
      <c r="K211" s="191">
        <v>304.69</v>
      </c>
      <c r="L211" s="191">
        <v>75.239999999999995</v>
      </c>
      <c r="M211" s="191">
        <v>30.46</v>
      </c>
      <c r="N211" s="261">
        <v>1514.4899999999998</v>
      </c>
      <c r="O211" s="191">
        <v>1102.7</v>
      </c>
      <c r="P211" s="191">
        <v>133.08000000000001</v>
      </c>
      <c r="Q211" s="191">
        <v>260.33999999999997</v>
      </c>
      <c r="R211" s="262">
        <v>18.37</v>
      </c>
      <c r="S211" s="191">
        <v>14.06</v>
      </c>
      <c r="T211" s="191">
        <v>4.3099999999999996</v>
      </c>
      <c r="U211" s="191"/>
      <c r="V211" s="67"/>
      <c r="W211" s="291"/>
    </row>
    <row r="212" spans="1:23" x14ac:dyDescent="0.25">
      <c r="A212" s="11">
        <v>44958</v>
      </c>
      <c r="B212" s="45">
        <v>2393</v>
      </c>
      <c r="C212" s="255">
        <f t="shared" si="27"/>
        <v>243469</v>
      </c>
      <c r="D212" s="51">
        <v>115715</v>
      </c>
      <c r="E212" s="51">
        <v>114897</v>
      </c>
      <c r="F212" s="51">
        <v>12857</v>
      </c>
      <c r="G212" s="257">
        <f t="shared" si="24"/>
        <v>3310.1489999999999</v>
      </c>
      <c r="H212" s="51">
        <v>1474.8589999999999</v>
      </c>
      <c r="I212" s="51">
        <v>1835.29</v>
      </c>
      <c r="J212" s="259">
        <v>303.23</v>
      </c>
      <c r="K212" s="191">
        <v>287.88</v>
      </c>
      <c r="L212" s="191">
        <v>0</v>
      </c>
      <c r="M212" s="191">
        <v>15.35</v>
      </c>
      <c r="N212" s="261">
        <v>1265.19</v>
      </c>
      <c r="O212" s="191">
        <v>1007.14</v>
      </c>
      <c r="P212" s="191">
        <v>12.81</v>
      </c>
      <c r="Q212" s="191">
        <v>227.05</v>
      </c>
      <c r="R212" s="262">
        <v>18.189999999999998</v>
      </c>
      <c r="S212" s="191">
        <v>15.52</v>
      </c>
      <c r="T212" s="191">
        <v>2.67</v>
      </c>
      <c r="U212" s="191"/>
      <c r="V212" s="67"/>
      <c r="W212" s="291"/>
    </row>
    <row r="213" spans="1:23" x14ac:dyDescent="0.25">
      <c r="A213" s="11">
        <v>44986</v>
      </c>
      <c r="B213" s="45">
        <v>2773</v>
      </c>
      <c r="C213" s="255">
        <f t="shared" si="27"/>
        <v>253767</v>
      </c>
      <c r="D213" s="51">
        <v>130269</v>
      </c>
      <c r="E213" s="51">
        <v>106746</v>
      </c>
      <c r="F213" s="51">
        <v>16752</v>
      </c>
      <c r="G213" s="257">
        <f t="shared" si="24"/>
        <v>4048.366</v>
      </c>
      <c r="H213" s="51">
        <v>2051.875</v>
      </c>
      <c r="I213" s="51">
        <v>1996.491</v>
      </c>
      <c r="J213" s="259">
        <v>403.34</v>
      </c>
      <c r="K213" s="191">
        <v>350.51</v>
      </c>
      <c r="L213" s="191">
        <v>25.03</v>
      </c>
      <c r="M213" s="191">
        <v>27.8</v>
      </c>
      <c r="N213" s="261">
        <v>1746.1</v>
      </c>
      <c r="O213" s="191">
        <v>1235.07</v>
      </c>
      <c r="P213" s="191">
        <v>134.16</v>
      </c>
      <c r="Q213" s="191">
        <v>345.81</v>
      </c>
      <c r="R213" s="262">
        <v>31.06</v>
      </c>
      <c r="S213" s="191">
        <v>25.74</v>
      </c>
      <c r="T213" s="191">
        <v>5.32</v>
      </c>
      <c r="U213" s="191"/>
      <c r="V213" s="67"/>
      <c r="W213" s="291"/>
    </row>
    <row r="214" spans="1:23" x14ac:dyDescent="0.25">
      <c r="A214" s="11">
        <v>45017</v>
      </c>
      <c r="B214" s="45">
        <v>2534</v>
      </c>
      <c r="C214" s="255">
        <f t="shared" si="27"/>
        <v>228126</v>
      </c>
      <c r="D214" s="51">
        <v>111125</v>
      </c>
      <c r="E214" s="51">
        <v>100533</v>
      </c>
      <c r="F214" s="51">
        <v>16468</v>
      </c>
      <c r="G214" s="257">
        <f t="shared" si="24"/>
        <v>2997.9629999999997</v>
      </c>
      <c r="H214" s="51">
        <v>1443.154</v>
      </c>
      <c r="I214" s="51">
        <v>1554.809</v>
      </c>
      <c r="J214" s="259">
        <v>384.09999999999997</v>
      </c>
      <c r="K214" s="191">
        <v>298.52999999999997</v>
      </c>
      <c r="L214" s="191">
        <v>59.83</v>
      </c>
      <c r="M214" s="191">
        <v>25.74</v>
      </c>
      <c r="N214" s="261">
        <v>1827.3000000000002</v>
      </c>
      <c r="O214" s="191">
        <v>1412.98</v>
      </c>
      <c r="P214" s="191">
        <v>133.88</v>
      </c>
      <c r="Q214" s="191">
        <v>252.53</v>
      </c>
      <c r="R214" s="262">
        <v>27.909999999999997</v>
      </c>
      <c r="S214" s="191">
        <v>23.74</v>
      </c>
      <c r="T214" s="191">
        <v>4.17</v>
      </c>
      <c r="U214" s="191"/>
      <c r="V214" s="67"/>
      <c r="W214" s="291"/>
    </row>
    <row r="215" spans="1:23" x14ac:dyDescent="0.25">
      <c r="A215" s="11">
        <v>45047</v>
      </c>
      <c r="B215" s="45">
        <v>2767</v>
      </c>
      <c r="C215" s="255">
        <f t="shared" si="27"/>
        <v>244431</v>
      </c>
      <c r="D215" s="51">
        <v>121703</v>
      </c>
      <c r="E215" s="51">
        <v>105986</v>
      </c>
      <c r="F215" s="51">
        <v>16742</v>
      </c>
      <c r="G215" s="257">
        <f t="shared" si="24"/>
        <v>3136.0209999999997</v>
      </c>
      <c r="H215" s="51">
        <v>1081.8679999999999</v>
      </c>
      <c r="I215" s="51">
        <v>2054.1529999999998</v>
      </c>
      <c r="J215" s="259">
        <v>247.54999999999998</v>
      </c>
      <c r="K215" s="191">
        <v>183.82</v>
      </c>
      <c r="L215" s="191">
        <v>32.35</v>
      </c>
      <c r="M215" s="191">
        <v>31.38</v>
      </c>
      <c r="N215" s="261">
        <v>1754.5700000000002</v>
      </c>
      <c r="O215" s="191">
        <v>1406.15</v>
      </c>
      <c r="P215" s="191">
        <v>0</v>
      </c>
      <c r="Q215" s="191">
        <v>313.79000000000002</v>
      </c>
      <c r="R215" s="262">
        <v>34.630000000000003</v>
      </c>
      <c r="S215" s="191">
        <v>24.96</v>
      </c>
      <c r="T215" s="191">
        <v>9.67</v>
      </c>
      <c r="U215" s="191"/>
      <c r="V215" s="67"/>
      <c r="W215" s="291"/>
    </row>
    <row r="216" spans="1:23" x14ac:dyDescent="0.25">
      <c r="A216" s="11">
        <v>45078</v>
      </c>
      <c r="B216" s="45">
        <v>2526</v>
      </c>
      <c r="C216" s="255">
        <f t="shared" si="27"/>
        <v>244097</v>
      </c>
      <c r="D216" s="51">
        <v>111154</v>
      </c>
      <c r="E216" s="51">
        <v>114046</v>
      </c>
      <c r="F216" s="51">
        <v>18897</v>
      </c>
      <c r="G216" s="257">
        <f t="shared" si="24"/>
        <v>2887.306</v>
      </c>
      <c r="H216" s="51">
        <v>974.22799999999995</v>
      </c>
      <c r="I216" s="51">
        <v>1913.078</v>
      </c>
      <c r="J216" s="259">
        <v>445.46</v>
      </c>
      <c r="K216" s="191">
        <v>312.76</v>
      </c>
      <c r="L216" s="191">
        <v>110.24</v>
      </c>
      <c r="M216" s="191">
        <v>22.46</v>
      </c>
      <c r="N216" s="261">
        <v>1969.8999999999999</v>
      </c>
      <c r="O216" s="191">
        <v>1516.24</v>
      </c>
      <c r="P216" s="191">
        <v>133.25</v>
      </c>
      <c r="Q216" s="191">
        <v>289.58999999999997</v>
      </c>
      <c r="R216" s="262">
        <v>30.82</v>
      </c>
      <c r="S216" s="191">
        <v>16.09</v>
      </c>
      <c r="T216" s="191">
        <v>14.73</v>
      </c>
      <c r="U216" s="191"/>
      <c r="V216" s="67"/>
      <c r="W216" s="291"/>
    </row>
    <row r="217" spans="1:23" x14ac:dyDescent="0.25">
      <c r="A217" s="11">
        <v>45108</v>
      </c>
      <c r="B217" s="45">
        <v>2754</v>
      </c>
      <c r="C217" s="255">
        <f t="shared" si="27"/>
        <v>283908</v>
      </c>
      <c r="D217" s="51">
        <v>130708</v>
      </c>
      <c r="E217" s="51">
        <v>136628</v>
      </c>
      <c r="F217" s="51">
        <v>16572</v>
      </c>
      <c r="G217" s="257">
        <f t="shared" si="24"/>
        <v>2615.857</v>
      </c>
      <c r="H217" s="51">
        <v>819.49400000000003</v>
      </c>
      <c r="I217" s="51">
        <v>1796.3630000000001</v>
      </c>
      <c r="J217" s="259">
        <v>314.22999999999996</v>
      </c>
      <c r="K217" s="191">
        <v>264.87</v>
      </c>
      <c r="L217" s="191">
        <v>27.52</v>
      </c>
      <c r="M217" s="191">
        <v>21.84</v>
      </c>
      <c r="N217" s="261">
        <v>1529.1200000000001</v>
      </c>
      <c r="O217" s="191">
        <v>1138.53</v>
      </c>
      <c r="P217" s="191">
        <v>127.73</v>
      </c>
      <c r="Q217" s="191">
        <v>226.15</v>
      </c>
      <c r="R217" s="262">
        <v>36.71</v>
      </c>
      <c r="S217" s="191">
        <v>18.57</v>
      </c>
      <c r="T217" s="191">
        <v>18.14</v>
      </c>
      <c r="U217" s="191"/>
      <c r="V217" s="67"/>
      <c r="W217" s="291"/>
    </row>
    <row r="218" spans="1:23" x14ac:dyDescent="0.25">
      <c r="A218" s="11">
        <v>45139</v>
      </c>
      <c r="B218" s="45">
        <v>2676</v>
      </c>
      <c r="C218" s="255">
        <f t="shared" si="27"/>
        <v>279034</v>
      </c>
      <c r="D218" s="51">
        <v>140013</v>
      </c>
      <c r="E218" s="51">
        <v>124312</v>
      </c>
      <c r="F218" s="51">
        <v>14709</v>
      </c>
      <c r="G218" s="257">
        <f t="shared" si="24"/>
        <v>2773.8209999999999</v>
      </c>
      <c r="H218" s="51">
        <v>907.41600000000005</v>
      </c>
      <c r="I218" s="51">
        <v>1866.405</v>
      </c>
      <c r="J218" s="259">
        <v>335.28999999999996</v>
      </c>
      <c r="K218" s="191">
        <v>256</v>
      </c>
      <c r="L218" s="191">
        <v>56.57</v>
      </c>
      <c r="M218" s="191">
        <v>22.72</v>
      </c>
      <c r="N218" s="261">
        <v>1601</v>
      </c>
      <c r="O218" s="191">
        <v>1283.6099999999999</v>
      </c>
      <c r="P218" s="191">
        <v>0</v>
      </c>
      <c r="Q218" s="191">
        <v>286.22000000000003</v>
      </c>
      <c r="R218" s="262">
        <v>31.169999999999998</v>
      </c>
      <c r="S218" s="191">
        <v>20.38</v>
      </c>
      <c r="T218" s="191">
        <v>10.79</v>
      </c>
      <c r="U218" s="191"/>
      <c r="V218" s="67"/>
      <c r="W218" s="291"/>
    </row>
    <row r="219" spans="1:23" x14ac:dyDescent="0.25">
      <c r="A219" s="11">
        <v>45170</v>
      </c>
      <c r="B219" s="45">
        <v>2594</v>
      </c>
      <c r="C219" s="255">
        <f t="shared" si="27"/>
        <v>252037</v>
      </c>
      <c r="D219" s="51">
        <v>130118</v>
      </c>
      <c r="E219" s="51">
        <v>107832</v>
      </c>
      <c r="F219" s="51">
        <v>14087</v>
      </c>
      <c r="G219" s="257">
        <f t="shared" si="24"/>
        <v>2512.8240000000001</v>
      </c>
      <c r="H219" s="51">
        <v>732.40499999999997</v>
      </c>
      <c r="I219" s="51">
        <v>1780.4190000000001</v>
      </c>
      <c r="J219" s="259">
        <v>298.68</v>
      </c>
      <c r="K219" s="191">
        <v>217.79</v>
      </c>
      <c r="L219" s="191">
        <v>66.150000000000006</v>
      </c>
      <c r="M219" s="191">
        <v>14.74</v>
      </c>
      <c r="N219" s="261">
        <v>1422.82</v>
      </c>
      <c r="O219" s="191">
        <v>999.32</v>
      </c>
      <c r="P219" s="191">
        <v>133.91999999999999</v>
      </c>
      <c r="Q219" s="191">
        <v>262.79000000000002</v>
      </c>
      <c r="R219" s="262">
        <v>26.79</v>
      </c>
      <c r="S219" s="191">
        <v>18.010000000000002</v>
      </c>
      <c r="T219" s="191">
        <v>8.7799999999999994</v>
      </c>
      <c r="U219" s="191"/>
      <c r="V219" s="67"/>
      <c r="W219" s="291"/>
    </row>
    <row r="220" spans="1:23" x14ac:dyDescent="0.25">
      <c r="A220" s="11">
        <v>45200</v>
      </c>
      <c r="B220" s="45">
        <v>2735</v>
      </c>
      <c r="C220" s="255">
        <f t="shared" si="27"/>
        <v>255565</v>
      </c>
      <c r="D220" s="51">
        <v>123381</v>
      </c>
      <c r="E220" s="51">
        <v>118213</v>
      </c>
      <c r="F220" s="51">
        <v>13971</v>
      </c>
      <c r="G220" s="257">
        <f t="shared" si="24"/>
        <v>3181.8560000000002</v>
      </c>
      <c r="H220" s="51">
        <v>777.71699999999998</v>
      </c>
      <c r="I220" s="51">
        <v>2404.1390000000001</v>
      </c>
      <c r="J220" s="259">
        <v>328.23999999999995</v>
      </c>
      <c r="K220" s="191">
        <v>280.77999999999997</v>
      </c>
      <c r="L220" s="191">
        <v>27.51</v>
      </c>
      <c r="M220" s="191">
        <v>19.95</v>
      </c>
      <c r="N220" s="261">
        <v>1569.3300000000002</v>
      </c>
      <c r="O220" s="191">
        <v>1227.94</v>
      </c>
      <c r="P220" s="191">
        <v>0.13</v>
      </c>
      <c r="Q220" s="191">
        <v>318.76</v>
      </c>
      <c r="R220" s="262">
        <v>22.5</v>
      </c>
      <c r="S220" s="191">
        <v>12.17</v>
      </c>
      <c r="T220" s="191">
        <v>10.33</v>
      </c>
      <c r="U220" s="191"/>
      <c r="V220" s="67"/>
      <c r="W220" s="291"/>
    </row>
    <row r="221" spans="1:23" x14ac:dyDescent="0.25">
      <c r="A221" s="11">
        <v>45231</v>
      </c>
      <c r="B221" s="45">
        <v>2822</v>
      </c>
      <c r="C221" s="255">
        <f t="shared" si="27"/>
        <v>260735</v>
      </c>
      <c r="D221" s="51">
        <v>124751</v>
      </c>
      <c r="E221" s="51">
        <v>124084</v>
      </c>
      <c r="F221" s="51">
        <v>11900</v>
      </c>
      <c r="G221" s="257">
        <f t="shared" si="24"/>
        <v>3445.6219999999998</v>
      </c>
      <c r="H221" s="51">
        <v>772.02700000000004</v>
      </c>
      <c r="I221" s="51">
        <v>2673.5949999999998</v>
      </c>
      <c r="J221" s="259">
        <v>241.89999999999998</v>
      </c>
      <c r="K221" s="191">
        <v>224.26</v>
      </c>
      <c r="L221" s="191">
        <v>0</v>
      </c>
      <c r="M221" s="191">
        <v>17.64</v>
      </c>
      <c r="N221" s="261">
        <v>1482.19</v>
      </c>
      <c r="O221" s="191">
        <v>1026</v>
      </c>
      <c r="P221" s="191">
        <v>128.06</v>
      </c>
      <c r="Q221" s="191">
        <v>301.16000000000003</v>
      </c>
      <c r="R221" s="262">
        <v>26.97</v>
      </c>
      <c r="S221" s="191">
        <v>17.149999999999999</v>
      </c>
      <c r="T221" s="191">
        <v>9.82</v>
      </c>
      <c r="U221" s="191"/>
      <c r="V221" s="67"/>
      <c r="W221" s="291"/>
    </row>
    <row r="222" spans="1:23" x14ac:dyDescent="0.25">
      <c r="A222" s="11">
        <v>45261</v>
      </c>
      <c r="B222" s="45">
        <v>2920</v>
      </c>
      <c r="C222" s="255">
        <f t="shared" si="27"/>
        <v>285111</v>
      </c>
      <c r="D222" s="51">
        <v>128045</v>
      </c>
      <c r="E222" s="51">
        <v>145481</v>
      </c>
      <c r="F222" s="51">
        <v>11585</v>
      </c>
      <c r="G222" s="257">
        <f t="shared" si="24"/>
        <v>4398.3540000000003</v>
      </c>
      <c r="H222" s="51">
        <v>1280.7149999999999</v>
      </c>
      <c r="I222" s="51">
        <v>3117.6390000000001</v>
      </c>
      <c r="J222" s="259">
        <v>251.39000000000001</v>
      </c>
      <c r="K222" s="191">
        <v>176.35</v>
      </c>
      <c r="L222" s="191">
        <v>57.14</v>
      </c>
      <c r="M222" s="191">
        <v>17.899999999999999</v>
      </c>
      <c r="N222" s="261">
        <v>1412.7000000000003</v>
      </c>
      <c r="O222" s="191">
        <v>1160.6500000000001</v>
      </c>
      <c r="P222" s="191">
        <v>0.13</v>
      </c>
      <c r="Q222" s="191">
        <v>229.77</v>
      </c>
      <c r="R222" s="262">
        <v>22.15</v>
      </c>
      <c r="S222" s="191">
        <v>18.54</v>
      </c>
      <c r="T222" s="191">
        <v>3.61</v>
      </c>
      <c r="U222" s="191" t="e">
        <f>U221/U209*U210</f>
        <v>#DIV/0!</v>
      </c>
      <c r="V222" s="67"/>
      <c r="W222" s="291"/>
    </row>
    <row r="223" spans="1:23" x14ac:dyDescent="0.25">
      <c r="A223" s="11">
        <v>45292</v>
      </c>
      <c r="B223" s="45">
        <v>3043</v>
      </c>
      <c r="C223" s="255">
        <f t="shared" si="27"/>
        <v>290466</v>
      </c>
      <c r="D223" s="51">
        <v>139341</v>
      </c>
      <c r="E223" s="51">
        <v>136485</v>
      </c>
      <c r="F223" s="51">
        <v>14640</v>
      </c>
      <c r="G223" s="257">
        <f t="shared" si="24"/>
        <v>5610.655999999999</v>
      </c>
      <c r="H223" s="51">
        <v>1368.2829999999999</v>
      </c>
      <c r="I223" s="51">
        <v>4242.3729999999996</v>
      </c>
      <c r="J223" s="259">
        <v>292.92</v>
      </c>
      <c r="K223" s="191">
        <v>206.61</v>
      </c>
      <c r="L223" s="191">
        <v>63.01</v>
      </c>
      <c r="M223" s="191">
        <v>23.3</v>
      </c>
      <c r="N223" s="261">
        <v>1530.8700000000001</v>
      </c>
      <c r="O223" s="191">
        <v>1163.9100000000001</v>
      </c>
      <c r="P223" s="191">
        <v>127.95</v>
      </c>
      <c r="Q223" s="191">
        <v>230.53</v>
      </c>
      <c r="R223" s="262">
        <v>8.48</v>
      </c>
      <c r="S223" s="191">
        <v>6.07</v>
      </c>
      <c r="T223" s="191">
        <v>2.41</v>
      </c>
      <c r="U223" s="191"/>
      <c r="V223" s="67"/>
      <c r="W223" s="291"/>
    </row>
    <row r="224" spans="1:23" x14ac:dyDescent="0.25">
      <c r="A224" s="11">
        <v>45323</v>
      </c>
      <c r="B224" s="45">
        <v>2778</v>
      </c>
      <c r="C224" s="255">
        <f t="shared" si="27"/>
        <v>246064</v>
      </c>
      <c r="D224" s="51">
        <v>121099</v>
      </c>
      <c r="E224" s="51">
        <v>109361</v>
      </c>
      <c r="F224" s="51">
        <v>15604</v>
      </c>
      <c r="G224" s="257">
        <f t="shared" si="24"/>
        <v>3996.5730000000003</v>
      </c>
      <c r="H224" s="51">
        <v>1153.5809999999999</v>
      </c>
      <c r="I224" s="51">
        <v>2842.9920000000002</v>
      </c>
      <c r="J224" s="259">
        <v>445.96000000000004</v>
      </c>
      <c r="K224" s="191">
        <v>289.39</v>
      </c>
      <c r="L224" s="191">
        <v>140.08000000000001</v>
      </c>
      <c r="M224" s="191">
        <v>16.489999999999998</v>
      </c>
      <c r="N224" s="261">
        <v>1233.67</v>
      </c>
      <c r="O224" s="191">
        <v>814.95</v>
      </c>
      <c r="P224" s="191">
        <v>128.29</v>
      </c>
      <c r="Q224" s="191">
        <v>285.41000000000003</v>
      </c>
      <c r="R224" s="262">
        <v>5.0200000000000005</v>
      </c>
      <c r="S224" s="191">
        <v>3.95</v>
      </c>
      <c r="T224" s="191">
        <v>1.07</v>
      </c>
      <c r="U224" s="191"/>
      <c r="V224" s="67"/>
      <c r="W224" s="291"/>
    </row>
    <row r="225" spans="1:23" x14ac:dyDescent="0.25">
      <c r="A225" s="11">
        <v>45352</v>
      </c>
      <c r="B225" s="45">
        <v>2752</v>
      </c>
      <c r="C225" s="255">
        <f t="shared" si="27"/>
        <v>236196</v>
      </c>
      <c r="D225" s="51">
        <v>122227</v>
      </c>
      <c r="E225" s="51">
        <v>100043</v>
      </c>
      <c r="F225" s="51">
        <v>13926</v>
      </c>
      <c r="G225" s="257">
        <f t="shared" si="24"/>
        <v>3992.7619999999997</v>
      </c>
      <c r="H225" s="51">
        <v>1586.9390000000001</v>
      </c>
      <c r="I225" s="51">
        <v>2405.8229999999999</v>
      </c>
      <c r="J225" s="259">
        <v>355.59</v>
      </c>
      <c r="K225" s="191">
        <v>335.13</v>
      </c>
      <c r="L225" s="191">
        <v>0</v>
      </c>
      <c r="M225" s="191">
        <v>20.46</v>
      </c>
      <c r="N225" s="261">
        <v>1499.67</v>
      </c>
      <c r="O225" s="191">
        <v>1233.4000000000001</v>
      </c>
      <c r="P225" s="191">
        <v>0</v>
      </c>
      <c r="Q225" s="191">
        <v>257.05</v>
      </c>
      <c r="R225" s="262">
        <v>9.2200000000000006</v>
      </c>
      <c r="S225" s="191">
        <v>5.03</v>
      </c>
      <c r="T225" s="191">
        <v>4.1900000000000004</v>
      </c>
      <c r="U225" s="191"/>
      <c r="V225" s="67"/>
      <c r="W225" s="291"/>
    </row>
    <row r="226" spans="1:23" x14ac:dyDescent="0.25">
      <c r="A226" s="11">
        <v>45383</v>
      </c>
      <c r="B226" s="45">
        <v>2424</v>
      </c>
      <c r="C226" s="255">
        <f t="shared" si="27"/>
        <v>227625</v>
      </c>
      <c r="D226" s="51">
        <v>108876</v>
      </c>
      <c r="E226" s="51">
        <v>105226</v>
      </c>
      <c r="F226" s="51">
        <v>13523</v>
      </c>
      <c r="G226" s="257">
        <f t="shared" si="24"/>
        <v>2938.12</v>
      </c>
      <c r="H226" s="51">
        <v>1395.537</v>
      </c>
      <c r="I226" s="51">
        <v>1542.5830000000001</v>
      </c>
      <c r="J226" s="259">
        <v>381.29</v>
      </c>
      <c r="K226" s="191">
        <v>259.01</v>
      </c>
      <c r="L226" s="191">
        <v>99.55</v>
      </c>
      <c r="M226" s="191">
        <v>22.73</v>
      </c>
      <c r="N226" s="261">
        <v>1484.82</v>
      </c>
      <c r="O226" s="191">
        <v>1119.05</v>
      </c>
      <c r="P226" s="191">
        <v>128.19999999999999</v>
      </c>
      <c r="Q226" s="191">
        <v>222.96</v>
      </c>
      <c r="R226" s="262">
        <v>14.61</v>
      </c>
      <c r="S226" s="191">
        <v>8.7200000000000006</v>
      </c>
      <c r="T226" s="191">
        <v>5.89</v>
      </c>
      <c r="U226" s="191"/>
      <c r="V226" s="67"/>
      <c r="W226" s="291"/>
    </row>
    <row r="227" spans="1:23" x14ac:dyDescent="0.25">
      <c r="A227" s="11">
        <v>45413</v>
      </c>
      <c r="B227" s="45">
        <v>2462</v>
      </c>
      <c r="C227" s="255">
        <f t="shared" si="27"/>
        <v>240072</v>
      </c>
      <c r="D227" s="51">
        <v>117821</v>
      </c>
      <c r="E227" s="51">
        <v>108726</v>
      </c>
      <c r="F227" s="51">
        <v>13525</v>
      </c>
      <c r="G227" s="257">
        <f t="shared" si="24"/>
        <v>3321.8810000000003</v>
      </c>
      <c r="H227" s="51">
        <v>1222.537</v>
      </c>
      <c r="I227" s="51">
        <v>2099.3440000000001</v>
      </c>
      <c r="J227" s="259">
        <v>313.77</v>
      </c>
      <c r="K227" s="191">
        <v>257.64</v>
      </c>
      <c r="L227" s="191">
        <v>23.49</v>
      </c>
      <c r="M227" s="191">
        <v>32.64</v>
      </c>
      <c r="N227" s="261">
        <v>1797.41</v>
      </c>
      <c r="O227" s="191">
        <v>1314.67</v>
      </c>
      <c r="P227" s="191">
        <v>133.91</v>
      </c>
      <c r="Q227" s="191">
        <v>333</v>
      </c>
      <c r="R227" s="262">
        <v>15.83</v>
      </c>
      <c r="S227" s="191">
        <v>7.9</v>
      </c>
      <c r="T227" s="191">
        <v>7.93</v>
      </c>
      <c r="U227" s="191"/>
      <c r="V227" s="67"/>
      <c r="W227" s="291"/>
    </row>
    <row r="228" spans="1:23" x14ac:dyDescent="0.25">
      <c r="A228" s="11">
        <v>45444</v>
      </c>
      <c r="B228" s="45">
        <v>2580</v>
      </c>
      <c r="C228" s="255">
        <f t="shared" si="27"/>
        <v>257285</v>
      </c>
      <c r="D228" s="51">
        <v>112186</v>
      </c>
      <c r="E228" s="51">
        <v>131135</v>
      </c>
      <c r="F228" s="51">
        <v>13964</v>
      </c>
      <c r="G228" s="257">
        <f t="shared" si="24"/>
        <v>2791.114</v>
      </c>
      <c r="H228" s="51">
        <v>839.05200000000002</v>
      </c>
      <c r="I228" s="51">
        <v>1952.0619999999999</v>
      </c>
      <c r="J228" s="259">
        <v>350.72999999999996</v>
      </c>
      <c r="K228" s="191">
        <v>283.76</v>
      </c>
      <c r="L228" s="191">
        <v>46.27</v>
      </c>
      <c r="M228" s="191">
        <v>20.7</v>
      </c>
      <c r="N228" s="261">
        <v>1371.44</v>
      </c>
      <c r="O228" s="191">
        <v>951.17</v>
      </c>
      <c r="P228" s="191">
        <v>134.93</v>
      </c>
      <c r="Q228" s="191">
        <v>272.67</v>
      </c>
      <c r="R228" s="262">
        <v>12.67</v>
      </c>
      <c r="S228" s="191">
        <v>7.36</v>
      </c>
      <c r="T228" s="191">
        <v>5.31</v>
      </c>
      <c r="U228" s="191"/>
      <c r="V228" s="67"/>
      <c r="W228" s="291"/>
    </row>
    <row r="229" spans="1:23" x14ac:dyDescent="0.25">
      <c r="A229" s="11">
        <v>45474</v>
      </c>
      <c r="B229" s="45">
        <v>2457</v>
      </c>
      <c r="C229" s="255">
        <f t="shared" si="27"/>
        <v>276344</v>
      </c>
      <c r="D229" s="51">
        <v>129101</v>
      </c>
      <c r="E229" s="51">
        <v>130732</v>
      </c>
      <c r="F229" s="51">
        <v>16511</v>
      </c>
      <c r="G229" s="257">
        <f t="shared" si="24"/>
        <v>2837.4230000000002</v>
      </c>
      <c r="H229" s="51">
        <v>808.14800000000002</v>
      </c>
      <c r="I229" s="51">
        <v>2029.2750000000001</v>
      </c>
      <c r="J229" s="259">
        <v>563.26</v>
      </c>
      <c r="K229" s="191">
        <v>466.44</v>
      </c>
      <c r="L229" s="191">
        <v>79.86</v>
      </c>
      <c r="M229" s="191">
        <v>16.96</v>
      </c>
      <c r="N229" s="261">
        <v>1721.51</v>
      </c>
      <c r="O229" s="191">
        <v>1315.86</v>
      </c>
      <c r="P229" s="191">
        <v>0</v>
      </c>
      <c r="Q229" s="191">
        <v>393.5</v>
      </c>
      <c r="R229" s="262">
        <v>12.15</v>
      </c>
      <c r="S229" s="191">
        <v>6.54</v>
      </c>
      <c r="T229" s="191">
        <v>5.61</v>
      </c>
      <c r="U229" s="191"/>
      <c r="V229" s="67"/>
      <c r="W229" s="291"/>
    </row>
    <row r="230" spans="1:23" x14ac:dyDescent="0.25">
      <c r="A230" s="11">
        <v>45505</v>
      </c>
      <c r="B230" s="45">
        <v>2484</v>
      </c>
      <c r="C230" s="255">
        <f t="shared" si="27"/>
        <v>278315</v>
      </c>
      <c r="D230" s="51">
        <v>138154</v>
      </c>
      <c r="E230" s="51">
        <v>126152</v>
      </c>
      <c r="F230" s="51">
        <v>14009</v>
      </c>
      <c r="G230" s="257">
        <f t="shared" si="24"/>
        <v>2759.9030000000002</v>
      </c>
      <c r="H230" s="51">
        <v>717.27800000000002</v>
      </c>
      <c r="I230" s="51">
        <v>2042.625</v>
      </c>
      <c r="J230" s="259">
        <v>722.82</v>
      </c>
      <c r="K230" s="191">
        <v>683.15</v>
      </c>
      <c r="L230" s="191">
        <v>25.08</v>
      </c>
      <c r="M230" s="191">
        <v>14.59</v>
      </c>
      <c r="N230" s="261">
        <v>1396.1</v>
      </c>
      <c r="O230" s="191">
        <v>952.4</v>
      </c>
      <c r="P230" s="191">
        <v>133.94</v>
      </c>
      <c r="Q230" s="191">
        <v>295.82</v>
      </c>
      <c r="R230" s="262">
        <v>13.94</v>
      </c>
      <c r="S230" s="191">
        <v>4.88</v>
      </c>
      <c r="T230" s="191">
        <v>9.06</v>
      </c>
      <c r="U230" s="191"/>
      <c r="V230" s="67"/>
      <c r="W230" s="291"/>
    </row>
    <row r="231" spans="1:23" x14ac:dyDescent="0.25">
      <c r="A231" s="11">
        <v>45536</v>
      </c>
      <c r="B231" s="45">
        <v>2418</v>
      </c>
      <c r="C231" s="255">
        <f t="shared" si="27"/>
        <v>241899</v>
      </c>
      <c r="D231" s="51">
        <v>126927</v>
      </c>
      <c r="E231" s="51">
        <v>102352</v>
      </c>
      <c r="F231" s="51">
        <v>12620</v>
      </c>
      <c r="G231" s="257">
        <f t="shared" ref="G231:G236" si="29">H231+I231</f>
        <v>2307.4180000000001</v>
      </c>
      <c r="H231" s="51">
        <v>606.59500000000003</v>
      </c>
      <c r="I231" s="51">
        <v>1700.8230000000001</v>
      </c>
      <c r="J231" s="259">
        <v>609.43999999999994</v>
      </c>
      <c r="K231" s="191">
        <v>528.27</v>
      </c>
      <c r="L231" s="191">
        <v>63.99</v>
      </c>
      <c r="M231" s="191">
        <v>17.18</v>
      </c>
      <c r="N231" s="261">
        <v>1578.0899999999997</v>
      </c>
      <c r="O231" s="191">
        <v>1117.0899999999999</v>
      </c>
      <c r="P231" s="191">
        <v>127.61</v>
      </c>
      <c r="Q231" s="191">
        <v>319.12</v>
      </c>
      <c r="R231" s="262">
        <v>14.27</v>
      </c>
      <c r="S231" s="191">
        <v>3.73</v>
      </c>
      <c r="T231" s="191">
        <v>10.54</v>
      </c>
      <c r="U231" s="191"/>
      <c r="V231" s="67"/>
      <c r="W231" s="291"/>
    </row>
    <row r="232" spans="1:23" x14ac:dyDescent="0.25">
      <c r="A232" s="11">
        <v>45566</v>
      </c>
      <c r="B232" s="45">
        <v>2476</v>
      </c>
      <c r="C232" s="255">
        <f t="shared" si="27"/>
        <v>233862</v>
      </c>
      <c r="D232" s="51">
        <v>108541</v>
      </c>
      <c r="E232" s="51">
        <v>112052</v>
      </c>
      <c r="F232" s="51">
        <v>13269</v>
      </c>
      <c r="G232" s="257">
        <f t="shared" si="29"/>
        <v>3180.777</v>
      </c>
      <c r="H232" s="51">
        <v>781.35</v>
      </c>
      <c r="I232" s="51">
        <v>2399.4270000000001</v>
      </c>
      <c r="J232" s="259">
        <v>677.2700000000001</v>
      </c>
      <c r="K232" s="191">
        <v>637.83000000000004</v>
      </c>
      <c r="L232" s="191">
        <v>23.5</v>
      </c>
      <c r="M232" s="191">
        <v>15.94</v>
      </c>
      <c r="N232" s="261">
        <v>1579.6200000000001</v>
      </c>
      <c r="O232" s="191">
        <v>1220.26</v>
      </c>
      <c r="P232" s="191">
        <v>133.87</v>
      </c>
      <c r="Q232" s="191">
        <v>214.57</v>
      </c>
      <c r="R232" s="262">
        <v>10.92</v>
      </c>
      <c r="S232" s="191">
        <v>5.56</v>
      </c>
      <c r="T232" s="191">
        <v>5.36</v>
      </c>
      <c r="U232" s="191"/>
      <c r="V232" s="67"/>
      <c r="W232" s="291"/>
    </row>
    <row r="233" spans="1:23" x14ac:dyDescent="0.25">
      <c r="A233" s="11">
        <v>45597</v>
      </c>
      <c r="B233" s="45">
        <v>2583</v>
      </c>
      <c r="C233" s="255">
        <f t="shared" si="27"/>
        <v>246907</v>
      </c>
      <c r="D233" s="51">
        <v>114312</v>
      </c>
      <c r="E233" s="51">
        <v>120668</v>
      </c>
      <c r="F233" s="51">
        <v>11927</v>
      </c>
      <c r="G233" s="257">
        <f t="shared" si="29"/>
        <v>2844.9319999999998</v>
      </c>
      <c r="H233" s="51">
        <v>838.88</v>
      </c>
      <c r="I233" s="51">
        <v>2006.0519999999999</v>
      </c>
      <c r="J233" s="259">
        <v>594.91</v>
      </c>
      <c r="K233" s="191">
        <v>541.29999999999995</v>
      </c>
      <c r="L233" s="191">
        <v>41.42</v>
      </c>
      <c r="M233" s="191">
        <v>12.19</v>
      </c>
      <c r="N233" s="261">
        <v>1425.56</v>
      </c>
      <c r="O233" s="191">
        <v>1087.29</v>
      </c>
      <c r="P233" s="191">
        <v>128.37</v>
      </c>
      <c r="Q233" s="191">
        <v>199.43</v>
      </c>
      <c r="R233" s="262">
        <v>10.47</v>
      </c>
      <c r="S233" s="191">
        <v>6.9</v>
      </c>
      <c r="T233" s="191">
        <v>3.57</v>
      </c>
      <c r="U233" s="191"/>
      <c r="V233" s="67"/>
      <c r="W233" s="291"/>
    </row>
    <row r="234" spans="1:23" x14ac:dyDescent="0.25">
      <c r="A234" s="11">
        <v>45627</v>
      </c>
      <c r="B234" s="45">
        <v>2774</v>
      </c>
      <c r="C234" s="255">
        <f>SUM(D234:F234)</f>
        <v>273540</v>
      </c>
      <c r="D234" s="51">
        <v>120194</v>
      </c>
      <c r="E234" s="51">
        <v>140962</v>
      </c>
      <c r="F234" s="51">
        <v>12384</v>
      </c>
      <c r="G234" s="257">
        <f t="shared" si="29"/>
        <v>3340.23</v>
      </c>
      <c r="H234" s="51">
        <v>1187.3409999999999</v>
      </c>
      <c r="I234" s="51">
        <v>2152.8890000000001</v>
      </c>
      <c r="J234" s="259">
        <v>989.79</v>
      </c>
      <c r="K234" s="191">
        <v>852.9</v>
      </c>
      <c r="L234" s="191">
        <v>121.47</v>
      </c>
      <c r="M234" s="191">
        <v>15.42</v>
      </c>
      <c r="N234" s="261">
        <v>1659</v>
      </c>
      <c r="O234" s="191">
        <v>1247.3699999999999</v>
      </c>
      <c r="P234" s="191">
        <v>128.44999999999999</v>
      </c>
      <c r="Q234" s="191">
        <v>273.60000000000002</v>
      </c>
      <c r="R234" s="262">
        <v>9.58</v>
      </c>
      <c r="S234" s="191">
        <v>8.02</v>
      </c>
      <c r="T234" s="191">
        <v>1.56</v>
      </c>
      <c r="U234" s="191"/>
      <c r="V234" s="67"/>
      <c r="W234" s="291"/>
    </row>
    <row r="235" spans="1:23" x14ac:dyDescent="0.25">
      <c r="A235" s="11">
        <v>45658</v>
      </c>
      <c r="B235" s="45">
        <v>2605</v>
      </c>
      <c r="C235" s="255">
        <f t="shared" si="27"/>
        <v>275989</v>
      </c>
      <c r="D235" s="51">
        <v>130105</v>
      </c>
      <c r="E235" s="51">
        <v>132379</v>
      </c>
      <c r="F235" s="51">
        <v>13505</v>
      </c>
      <c r="G235" s="257">
        <f t="shared" si="29"/>
        <v>3104.6489999999999</v>
      </c>
      <c r="H235" s="51">
        <v>1162.53</v>
      </c>
      <c r="I235" s="51">
        <v>1942.1189999999999</v>
      </c>
      <c r="J235" s="259">
        <v>610.0870000000001</v>
      </c>
      <c r="K235" s="191">
        <v>592.90700000000004</v>
      </c>
      <c r="L235" s="191">
        <v>4.0000000000000001E-3</v>
      </c>
      <c r="M235" s="191">
        <v>17.175999999999998</v>
      </c>
      <c r="N235" s="261">
        <v>1561.9469999999999</v>
      </c>
      <c r="O235" s="191">
        <v>1179.799</v>
      </c>
      <c r="P235" s="191">
        <v>127.985</v>
      </c>
      <c r="Q235" s="191">
        <v>245.40299999999999</v>
      </c>
      <c r="R235" s="262">
        <v>8.76</v>
      </c>
      <c r="S235" s="191">
        <v>6.6879999999999997</v>
      </c>
      <c r="T235" s="191">
        <v>2.0720000000000001</v>
      </c>
      <c r="U235" s="191"/>
      <c r="V235" s="67"/>
      <c r="W235" s="291"/>
    </row>
    <row r="236" spans="1:23" x14ac:dyDescent="0.25">
      <c r="A236" s="11">
        <v>45689</v>
      </c>
      <c r="B236" s="45">
        <v>2286</v>
      </c>
      <c r="C236" s="255">
        <f t="shared" si="27"/>
        <v>247119</v>
      </c>
      <c r="D236" s="51">
        <v>122775</v>
      </c>
      <c r="E236" s="51">
        <v>114280</v>
      </c>
      <c r="F236" s="51">
        <v>10064</v>
      </c>
      <c r="G236" s="257">
        <f t="shared" si="29"/>
        <v>2904.192</v>
      </c>
      <c r="H236" s="51">
        <v>1296.289</v>
      </c>
      <c r="I236" s="51">
        <v>1607.903</v>
      </c>
      <c r="J236" s="259">
        <v>596.46</v>
      </c>
      <c r="K236" s="191">
        <v>487.66300000000001</v>
      </c>
      <c r="L236" s="191">
        <v>94.355000000000004</v>
      </c>
      <c r="M236" s="191">
        <v>14.442</v>
      </c>
      <c r="N236" s="261">
        <v>1846.4549999999999</v>
      </c>
      <c r="O236" s="191">
        <v>1374.0440000000001</v>
      </c>
      <c r="P236" s="191">
        <v>217.48500000000001</v>
      </c>
      <c r="Q236" s="191">
        <v>247.214</v>
      </c>
      <c r="R236" s="262">
        <v>7.7119999999999997</v>
      </c>
      <c r="S236" s="191">
        <v>6.492</v>
      </c>
      <c r="T236" s="191">
        <v>1.22</v>
      </c>
      <c r="U236" s="191"/>
      <c r="V236" s="67"/>
      <c r="W236" s="291"/>
    </row>
    <row r="237" spans="1:23" x14ac:dyDescent="0.25">
      <c r="A237" s="11">
        <v>45717</v>
      </c>
      <c r="B237" s="45">
        <v>2378</v>
      </c>
      <c r="C237" s="255">
        <f t="shared" si="27"/>
        <v>225990</v>
      </c>
      <c r="D237" s="51">
        <v>118554</v>
      </c>
      <c r="E237" s="51">
        <v>97218</v>
      </c>
      <c r="F237" s="51">
        <v>10218</v>
      </c>
      <c r="G237" s="257">
        <f t="shared" ref="G237:G244" si="30">H237+I237</f>
        <v>3552.3490000000002</v>
      </c>
      <c r="H237" s="51">
        <v>1721.6559999999999</v>
      </c>
      <c r="I237" s="51">
        <v>1830.693</v>
      </c>
      <c r="J237" s="259">
        <v>751.67499999999995</v>
      </c>
      <c r="K237" s="191">
        <v>695.88199999999995</v>
      </c>
      <c r="L237" s="191">
        <v>31.638000000000002</v>
      </c>
      <c r="M237" s="191">
        <v>24.155000000000001</v>
      </c>
      <c r="N237" s="261">
        <v>1429.5070000000001</v>
      </c>
      <c r="O237" s="191">
        <v>1139.4280000000001</v>
      </c>
      <c r="P237" s="191">
        <v>0</v>
      </c>
      <c r="Q237" s="191">
        <v>277.92899999999997</v>
      </c>
      <c r="R237" s="262">
        <v>12.149999999999999</v>
      </c>
      <c r="S237" s="191">
        <v>7.0869999999999997</v>
      </c>
      <c r="T237" s="191">
        <v>5.0629999999999997</v>
      </c>
      <c r="U237" s="191"/>
      <c r="V237" s="67"/>
      <c r="W237" s="291"/>
    </row>
    <row r="238" spans="1:23" x14ac:dyDescent="0.25">
      <c r="A238" s="11">
        <v>45748</v>
      </c>
      <c r="B238" s="45">
        <v>2250</v>
      </c>
      <c r="C238" s="255">
        <f t="shared" ref="C238:C243" si="31">SUM(D238:F238)</f>
        <v>238613</v>
      </c>
      <c r="D238" s="51">
        <v>118067</v>
      </c>
      <c r="E238" s="51">
        <v>107225</v>
      </c>
      <c r="F238" s="51">
        <v>13321</v>
      </c>
      <c r="G238" s="257">
        <f t="shared" si="30"/>
        <v>2957.3509999999997</v>
      </c>
      <c r="H238" s="51">
        <v>1174.7449999999999</v>
      </c>
      <c r="I238" s="51">
        <v>1782.606</v>
      </c>
      <c r="J238" s="259">
        <v>953.79800000000012</v>
      </c>
      <c r="K238" s="191">
        <v>861.84</v>
      </c>
      <c r="L238" s="191">
        <v>67.046000000000006</v>
      </c>
      <c r="M238" s="191">
        <v>24.911999999999999</v>
      </c>
      <c r="N238" s="261">
        <v>1985.1220000000001</v>
      </c>
      <c r="O238" s="191">
        <v>1546.41</v>
      </c>
      <c r="P238" s="191">
        <v>128.01</v>
      </c>
      <c r="Q238" s="191">
        <v>303.75200000000001</v>
      </c>
      <c r="R238" s="262">
        <v>6.95</v>
      </c>
      <c r="S238" s="191">
        <v>3.589</v>
      </c>
      <c r="T238" s="191">
        <v>3.3610000000000002</v>
      </c>
      <c r="U238" s="191"/>
      <c r="V238" s="67"/>
      <c r="W238" s="291"/>
    </row>
    <row r="239" spans="1:23" x14ac:dyDescent="0.25">
      <c r="A239" s="11">
        <v>45778</v>
      </c>
      <c r="B239" s="45">
        <v>2391</v>
      </c>
      <c r="C239" s="255">
        <f t="shared" si="31"/>
        <v>247165</v>
      </c>
      <c r="D239" s="51">
        <v>120826</v>
      </c>
      <c r="E239" s="51">
        <v>111233</v>
      </c>
      <c r="F239" s="51">
        <v>15106</v>
      </c>
      <c r="G239" s="257">
        <f t="shared" si="30"/>
        <v>3560.0630000000001</v>
      </c>
      <c r="H239" s="51">
        <v>1255.681</v>
      </c>
      <c r="I239" s="51">
        <v>2304.3820000000001</v>
      </c>
      <c r="J239" s="259">
        <v>742.80300000000011</v>
      </c>
      <c r="K239" s="191">
        <v>646.49300000000005</v>
      </c>
      <c r="L239" s="191">
        <v>70.144000000000005</v>
      </c>
      <c r="M239" s="191">
        <v>26.166</v>
      </c>
      <c r="N239" s="261">
        <v>1736.8700000000001</v>
      </c>
      <c r="O239" s="191">
        <v>1247.825</v>
      </c>
      <c r="P239" s="191">
        <v>134.304</v>
      </c>
      <c r="Q239" s="191">
        <v>344.577</v>
      </c>
      <c r="R239" s="262">
        <v>10.164</v>
      </c>
      <c r="S239" s="191">
        <v>6.2930000000000001</v>
      </c>
      <c r="T239" s="191">
        <v>3.871</v>
      </c>
      <c r="U239" s="191"/>
      <c r="V239" s="67"/>
      <c r="W239" s="291"/>
    </row>
    <row r="240" spans="1:23" x14ac:dyDescent="0.25">
      <c r="A240" s="11">
        <v>45809</v>
      </c>
      <c r="B240" s="45">
        <v>2198</v>
      </c>
      <c r="C240" s="255">
        <f t="shared" si="31"/>
        <v>240709</v>
      </c>
      <c r="D240" s="51">
        <v>106520</v>
      </c>
      <c r="E240" s="51">
        <v>123366</v>
      </c>
      <c r="F240" s="51">
        <v>10823</v>
      </c>
      <c r="G240" s="257">
        <f t="shared" si="30"/>
        <v>2844.8969999999999</v>
      </c>
      <c r="H240" s="51">
        <v>753.351</v>
      </c>
      <c r="I240" s="51">
        <v>2091.5459999999998</v>
      </c>
      <c r="J240" s="259">
        <v>855.17100000000005</v>
      </c>
      <c r="K240" s="191">
        <v>793.99300000000005</v>
      </c>
      <c r="L240" s="191">
        <v>36.840000000000003</v>
      </c>
      <c r="M240" s="191">
        <v>24.338000000000001</v>
      </c>
      <c r="N240" s="261">
        <v>1552.6000000000004</v>
      </c>
      <c r="O240" s="191">
        <v>1117.2260000000001</v>
      </c>
      <c r="P240" s="191">
        <v>128.43</v>
      </c>
      <c r="Q240" s="191">
        <v>290.18700000000001</v>
      </c>
      <c r="R240" s="262">
        <v>16.757000000000001</v>
      </c>
      <c r="S240" s="191">
        <v>9.1210000000000004</v>
      </c>
      <c r="T240" s="191">
        <v>7.6360000000000001</v>
      </c>
      <c r="U240" s="191"/>
      <c r="V240" s="67"/>
      <c r="W240" s="291"/>
    </row>
    <row r="241" spans="1:27" x14ac:dyDescent="0.25">
      <c r="A241" s="11">
        <v>45839</v>
      </c>
      <c r="B241" s="45">
        <v>2218</v>
      </c>
      <c r="C241" s="255">
        <f t="shared" si="31"/>
        <v>277055</v>
      </c>
      <c r="D241" s="51">
        <v>127898</v>
      </c>
      <c r="E241" s="51">
        <v>135080</v>
      </c>
      <c r="F241" s="51">
        <v>14077</v>
      </c>
      <c r="G241" s="257">
        <f t="shared" si="30"/>
        <v>3229.7280000000001</v>
      </c>
      <c r="H241" s="51">
        <v>873.13099999999997</v>
      </c>
      <c r="I241" s="51">
        <v>2356.5970000000002</v>
      </c>
      <c r="J241" s="259">
        <v>992.34100000000012</v>
      </c>
      <c r="K241" s="191">
        <v>846.98400000000004</v>
      </c>
      <c r="L241" s="191">
        <v>117.099</v>
      </c>
      <c r="M241" s="191">
        <v>28.257999999999999</v>
      </c>
      <c r="N241" s="261">
        <v>1518.5390000000002</v>
      </c>
      <c r="O241" s="191">
        <v>1125.1300000000001</v>
      </c>
      <c r="P241" s="191">
        <v>128.24600000000001</v>
      </c>
      <c r="Q241" s="191">
        <v>252.18100000000001</v>
      </c>
      <c r="R241" s="262">
        <v>12.981999999999999</v>
      </c>
      <c r="S241" s="191">
        <v>3.7530000000000001</v>
      </c>
      <c r="T241" s="191">
        <v>9.2289999999999992</v>
      </c>
      <c r="U241" s="191"/>
      <c r="V241" s="67"/>
      <c r="W241" s="291"/>
      <c r="AA241" s="363"/>
    </row>
    <row r="242" spans="1:27" x14ac:dyDescent="0.25">
      <c r="A242" s="11">
        <v>45870</v>
      </c>
      <c r="B242" s="45">
        <v>2213</v>
      </c>
      <c r="C242" s="255">
        <f t="shared" si="31"/>
        <v>280720</v>
      </c>
      <c r="D242" s="51">
        <v>144523</v>
      </c>
      <c r="E242" s="51">
        <v>125709</v>
      </c>
      <c r="F242" s="51">
        <v>10488</v>
      </c>
      <c r="G242" s="257">
        <f t="shared" si="30"/>
        <v>2410.0720000000001</v>
      </c>
      <c r="H242" s="51">
        <v>657.59199999999998</v>
      </c>
      <c r="I242" s="51">
        <v>1752.48</v>
      </c>
      <c r="J242" s="259">
        <v>795.47900000000004</v>
      </c>
      <c r="K242" s="191">
        <v>709.11</v>
      </c>
      <c r="L242" s="191">
        <v>66.388000000000005</v>
      </c>
      <c r="M242" s="191">
        <v>19.981000000000002</v>
      </c>
      <c r="N242" s="261">
        <v>1663.655</v>
      </c>
      <c r="O242" s="191">
        <v>1221.248</v>
      </c>
      <c r="P242" s="191">
        <v>128.36799999999999</v>
      </c>
      <c r="Q242" s="191">
        <v>298.79000000000002</v>
      </c>
      <c r="R242" s="262">
        <v>15.248999999999999</v>
      </c>
      <c r="S242" s="191">
        <v>5.9109999999999996</v>
      </c>
      <c r="T242" s="191">
        <v>9.3379999999999992</v>
      </c>
      <c r="U242" s="191"/>
      <c r="V242" s="67"/>
      <c r="W242" s="291"/>
      <c r="AA242" s="363"/>
    </row>
    <row r="243" spans="1:27" x14ac:dyDescent="0.25">
      <c r="A243" s="11">
        <v>45901</v>
      </c>
      <c r="B243" s="45">
        <v>2186</v>
      </c>
      <c r="C243" s="255">
        <f t="shared" si="31"/>
        <v>240182</v>
      </c>
      <c r="D243" s="51">
        <v>128729</v>
      </c>
      <c r="E243" s="51">
        <v>99444</v>
      </c>
      <c r="F243" s="51">
        <v>12009</v>
      </c>
      <c r="G243" s="257">
        <f t="shared" si="30"/>
        <v>2403.3780000000002</v>
      </c>
      <c r="H243" s="51">
        <v>619.74400000000003</v>
      </c>
      <c r="I243" s="51">
        <v>1783.634</v>
      </c>
      <c r="J243" s="259">
        <v>716.91700000000003</v>
      </c>
      <c r="K243" s="191">
        <v>693.49099999999999</v>
      </c>
      <c r="L243" s="191">
        <v>0</v>
      </c>
      <c r="M243" s="191">
        <v>23.425999999999998</v>
      </c>
      <c r="N243" s="261">
        <v>1601.2359999999999</v>
      </c>
      <c r="O243" s="191">
        <v>1287.51</v>
      </c>
      <c r="P243" s="191">
        <v>128.44200000000001</v>
      </c>
      <c r="Q243" s="191">
        <v>166.387</v>
      </c>
      <c r="R243" s="262">
        <v>18.896999999999998</v>
      </c>
      <c r="S243" s="191">
        <v>4.633</v>
      </c>
      <c r="T243" s="191">
        <v>14.263999999999999</v>
      </c>
      <c r="U243" s="191"/>
      <c r="V243" s="67"/>
      <c r="W243" s="291"/>
      <c r="AA243" s="363"/>
    </row>
    <row r="244" spans="1:27" x14ac:dyDescent="0.25">
      <c r="A244" s="11">
        <v>45931</v>
      </c>
      <c r="B244" s="45">
        <v>2277</v>
      </c>
      <c r="C244" s="255">
        <f>SUM(D244:F244)</f>
        <v>232303</v>
      </c>
      <c r="D244" s="51">
        <v>106769</v>
      </c>
      <c r="E244" s="51">
        <v>114453</v>
      </c>
      <c r="F244" s="51">
        <v>11081</v>
      </c>
      <c r="G244" s="257">
        <f t="shared" si="30"/>
        <v>2705.95</v>
      </c>
      <c r="H244" s="51">
        <v>596.1</v>
      </c>
      <c r="I244" s="51">
        <v>2109.85</v>
      </c>
      <c r="J244" s="259">
        <v>824.98500000000001</v>
      </c>
      <c r="K244" s="191">
        <v>744.16600000000005</v>
      </c>
      <c r="L244" s="191">
        <v>59.851999999999997</v>
      </c>
      <c r="M244" s="191">
        <v>20.966999999999999</v>
      </c>
      <c r="N244" s="261">
        <v>1778.6529999999998</v>
      </c>
      <c r="O244" s="191">
        <v>1398.9069999999999</v>
      </c>
      <c r="P244" s="191">
        <v>134.00200000000001</v>
      </c>
      <c r="Q244" s="191">
        <v>229.976</v>
      </c>
      <c r="R244" s="262">
        <v>15.767999999999999</v>
      </c>
      <c r="S244" s="191">
        <v>6.0389999999999997</v>
      </c>
      <c r="T244" s="191">
        <v>9.7289999999999992</v>
      </c>
      <c r="U244" s="191"/>
      <c r="V244" s="67"/>
      <c r="W244" s="291"/>
      <c r="AA244" s="363"/>
    </row>
    <row r="245" spans="1:27" x14ac:dyDescent="0.25">
      <c r="A245" s="11">
        <v>45962</v>
      </c>
      <c r="B245" s="51">
        <v>2425</v>
      </c>
      <c r="C245" s="255">
        <f>SUM(D245:F245)</f>
        <v>248768</v>
      </c>
      <c r="D245" s="51">
        <v>115417</v>
      </c>
      <c r="E245" s="51">
        <v>123835</v>
      </c>
      <c r="F245" s="51">
        <v>9516</v>
      </c>
      <c r="G245" s="257">
        <f>H245+I245</f>
        <v>2845.9110000000001</v>
      </c>
      <c r="H245" s="51">
        <v>789.62699999999995</v>
      </c>
      <c r="I245" s="51">
        <v>2056.2840000000001</v>
      </c>
      <c r="J245" s="259">
        <v>892.63900000000001</v>
      </c>
      <c r="K245" s="191">
        <v>866.69600000000003</v>
      </c>
      <c r="L245" s="191">
        <v>9.0739999999999998</v>
      </c>
      <c r="M245" s="191">
        <v>16.869</v>
      </c>
      <c r="N245" s="261">
        <v>1557.0240000000001</v>
      </c>
      <c r="O245" s="191">
        <v>1240.098</v>
      </c>
      <c r="P245" s="191">
        <v>134.624</v>
      </c>
      <c r="Q245" s="191">
        <v>169.053</v>
      </c>
      <c r="R245" s="262">
        <v>13.249000000000001</v>
      </c>
      <c r="S245" s="191">
        <v>6.9530000000000003</v>
      </c>
      <c r="T245" s="191">
        <v>6.2960000000000003</v>
      </c>
      <c r="U245" s="191"/>
      <c r="W245" s="291"/>
      <c r="AA245" s="363"/>
    </row>
    <row r="246" spans="1:27" x14ac:dyDescent="0.25">
      <c r="A246" s="11">
        <v>45992</v>
      </c>
      <c r="B246" s="51">
        <v>2531</v>
      </c>
      <c r="C246" s="255">
        <f>SUM(D246:F246)</f>
        <v>281606</v>
      </c>
      <c r="D246" s="51">
        <v>123889</v>
      </c>
      <c r="E246" s="51">
        <v>148114</v>
      </c>
      <c r="F246" s="51">
        <v>9603</v>
      </c>
      <c r="G246" s="257">
        <f>H246+I246</f>
        <v>3636.6769999999997</v>
      </c>
      <c r="H246" s="51">
        <v>1195.854</v>
      </c>
      <c r="I246" s="51">
        <v>2440.8229999999999</v>
      </c>
      <c r="J246" s="259">
        <v>895.90899999999999</v>
      </c>
      <c r="K246" s="191">
        <v>873.07399999999996</v>
      </c>
      <c r="L246" s="191">
        <v>0</v>
      </c>
      <c r="M246" s="191">
        <v>22.835000000000001</v>
      </c>
      <c r="N246" s="261">
        <v>1798.1690000000001</v>
      </c>
      <c r="O246" s="191">
        <v>1519.8040000000001</v>
      </c>
      <c r="P246" s="191">
        <v>0</v>
      </c>
      <c r="Q246" s="191">
        <v>273.62599999999998</v>
      </c>
      <c r="R246" s="262">
        <v>4.7390000000000008</v>
      </c>
      <c r="S246" s="191">
        <v>4.1950000000000003</v>
      </c>
      <c r="T246" s="191">
        <v>0.54400000000000004</v>
      </c>
      <c r="U246" s="191"/>
      <c r="W246" s="291"/>
      <c r="AA246" s="363"/>
    </row>
    <row r="247" spans="1:27" x14ac:dyDescent="0.25">
      <c r="A247" s="11">
        <v>46023</v>
      </c>
      <c r="B247" s="51">
        <v>2429</v>
      </c>
      <c r="C247" s="255">
        <f>SUM(D247:F247)</f>
        <v>288537</v>
      </c>
      <c r="D247" s="51">
        <v>139382</v>
      </c>
      <c r="E247" s="51">
        <v>140936</v>
      </c>
      <c r="F247" s="51">
        <v>8219</v>
      </c>
      <c r="G247" s="257">
        <f>H247+I247</f>
        <v>4158.7550000000001</v>
      </c>
      <c r="H247" s="51">
        <v>1573.0360000000001</v>
      </c>
      <c r="I247" s="51">
        <v>2585.7190000000001</v>
      </c>
      <c r="J247" s="367">
        <v>912.62100000000009</v>
      </c>
      <c r="K247" s="191">
        <v>799.37800000000004</v>
      </c>
      <c r="L247" s="191">
        <v>94.561999999999998</v>
      </c>
      <c r="M247" s="191">
        <v>18.681000000000001</v>
      </c>
      <c r="N247" s="368">
        <v>1429.317</v>
      </c>
      <c r="O247" s="191">
        <v>1103.7270000000001</v>
      </c>
      <c r="P247" s="191">
        <v>135.17599999999999</v>
      </c>
      <c r="Q247" s="191">
        <v>178.25200000000001</v>
      </c>
      <c r="R247" s="262">
        <v>12.161999999999999</v>
      </c>
      <c r="S247" s="191">
        <v>5.6349999999999998</v>
      </c>
      <c r="T247" s="191">
        <v>6.5270000000000001</v>
      </c>
      <c r="U247" s="191"/>
      <c r="W247" s="291"/>
      <c r="AA247" s="363"/>
    </row>
    <row r="248" spans="1:27" x14ac:dyDescent="0.25">
      <c r="A248" s="359"/>
      <c r="S248" s="293"/>
    </row>
    <row r="249" spans="1:27" x14ac:dyDescent="0.25">
      <c r="E249" t="s">
        <v>431</v>
      </c>
      <c r="S249" s="293"/>
    </row>
    <row r="250" spans="1:27" x14ac:dyDescent="0.25">
      <c r="R250" t="s">
        <v>431</v>
      </c>
      <c r="S250" s="294"/>
      <c r="T250" s="184"/>
    </row>
    <row r="251" spans="1:27" x14ac:dyDescent="0.25">
      <c r="J251" s="324"/>
      <c r="K251" s="324"/>
      <c r="L251" s="325"/>
      <c r="M251" s="324"/>
      <c r="N251" s="324"/>
      <c r="O251" s="324"/>
      <c r="P251" s="324"/>
      <c r="Q251" s="324"/>
      <c r="R251" s="324"/>
      <c r="S251" s="75"/>
      <c r="T251" s="324"/>
    </row>
    <row r="252" spans="1:27" x14ac:dyDescent="0.25">
      <c r="J252" s="324"/>
      <c r="K252" s="324"/>
      <c r="L252" s="324"/>
      <c r="M252" s="324"/>
      <c r="N252" s="324"/>
      <c r="O252" s="324"/>
      <c r="P252" s="324"/>
      <c r="Q252" s="324"/>
      <c r="R252" s="324"/>
      <c r="S252" s="75"/>
      <c r="T252" s="324"/>
    </row>
  </sheetData>
  <mergeCells count="9">
    <mergeCell ref="A1:J1"/>
    <mergeCell ref="B4:B5"/>
    <mergeCell ref="B3:I3"/>
    <mergeCell ref="X4:Z4"/>
    <mergeCell ref="W3:Z3"/>
    <mergeCell ref="N4:O4"/>
    <mergeCell ref="J4:K4"/>
    <mergeCell ref="J3:V3"/>
    <mergeCell ref="U4:V4"/>
  </mergeCells>
  <pageMargins left="0.7" right="0.7" top="0.75" bottom="0.75" header="0.3" footer="0.3"/>
  <pageSetup paperSize="9" orientation="portrait" r:id="rId1"/>
  <ignoredErrors>
    <ignoredError sqref="J168 N167:N16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237"/>
  <sheetViews>
    <sheetView zoomScale="98" zoomScaleNormal="98" workbookViewId="0">
      <pane xSplit="1" ySplit="6" topLeftCell="B226" activePane="bottomRight" state="frozen"/>
      <selection pane="topRight" activeCell="B1" sqref="B1"/>
      <selection pane="bottomLeft" activeCell="A7" sqref="A7"/>
      <selection pane="bottomRight" activeCell="C237" sqref="C237"/>
    </sheetView>
  </sheetViews>
  <sheetFormatPr defaultColWidth="11.42578125" defaultRowHeight="15" x14ac:dyDescent="0.25"/>
  <cols>
    <col min="2" max="3" width="14" style="231" bestFit="1" customWidth="1"/>
    <col min="4" max="8" width="11.42578125" style="231"/>
    <col min="9" max="9" width="28.42578125" style="231" bestFit="1" customWidth="1"/>
    <col min="10" max="10" width="11.42578125" style="231"/>
    <col min="11" max="11" width="19.85546875" style="231" bestFit="1" customWidth="1"/>
    <col min="12" max="12" width="30.42578125" style="231" bestFit="1" customWidth="1"/>
    <col min="13" max="13" width="30.42578125" style="231" customWidth="1"/>
    <col min="14" max="16" width="11.42578125" style="231"/>
    <col min="17" max="17" width="12.5703125" style="231" customWidth="1"/>
    <col min="18" max="18" width="19.28515625" style="231" customWidth="1"/>
    <col min="19" max="19" width="13.85546875" style="231" customWidth="1"/>
    <col min="20" max="23" width="11.42578125" style="231"/>
    <col min="24" max="24" width="42.85546875" style="231" bestFit="1" customWidth="1"/>
    <col min="25" max="25" width="21.42578125" style="231" bestFit="1" customWidth="1"/>
    <col min="26" max="26" width="45.85546875" style="231" bestFit="1" customWidth="1"/>
    <col min="27" max="38" width="11.42578125" style="231"/>
    <col min="39" max="39" width="13.140625" style="231" customWidth="1"/>
    <col min="40" max="40" width="11.42578125" style="231"/>
    <col min="41" max="41" width="17.140625" style="231" customWidth="1"/>
    <col min="42" max="44" width="11.42578125" style="231"/>
  </cols>
  <sheetData>
    <row r="1" spans="1:44" ht="23.25" x14ac:dyDescent="0.35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2"/>
      <c r="L1" s="2"/>
      <c r="M1" s="2"/>
      <c r="N1" s="2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</row>
    <row r="3" spans="1:44" x14ac:dyDescent="0.25">
      <c r="B3" s="421" t="s">
        <v>473</v>
      </c>
      <c r="C3" s="421"/>
      <c r="D3" s="421"/>
      <c r="E3" s="421"/>
      <c r="F3" s="421"/>
      <c r="G3" s="421"/>
      <c r="H3" s="421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spans="1:44" x14ac:dyDescent="0.25">
      <c r="B4" s="20"/>
      <c r="C4" s="19" t="s">
        <v>107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78" t="s">
        <v>131</v>
      </c>
      <c r="AP4" s="79"/>
      <c r="AQ4" s="79"/>
      <c r="AR4" s="79"/>
    </row>
    <row r="5" spans="1:44" ht="105" x14ac:dyDescent="0.25">
      <c r="B5" s="20"/>
      <c r="C5" s="420" t="s">
        <v>394</v>
      </c>
      <c r="D5" s="73" t="s">
        <v>108</v>
      </c>
      <c r="E5" s="74"/>
      <c r="F5" s="74"/>
      <c r="G5" s="74"/>
      <c r="H5" s="74"/>
      <c r="I5" s="74"/>
      <c r="J5" s="74"/>
      <c r="K5" s="77" t="s">
        <v>448</v>
      </c>
      <c r="L5" s="22"/>
      <c r="M5" s="22"/>
      <c r="N5" s="73" t="s">
        <v>118</v>
      </c>
      <c r="O5" s="74"/>
      <c r="P5" s="74"/>
      <c r="Q5" s="74"/>
      <c r="R5" s="74"/>
      <c r="S5" s="74"/>
      <c r="T5" s="74"/>
      <c r="U5" s="77" t="s">
        <v>119</v>
      </c>
      <c r="V5" s="22"/>
      <c r="W5" s="22"/>
      <c r="X5" s="22"/>
      <c r="Y5" s="73" t="s">
        <v>123</v>
      </c>
      <c r="Z5" s="77" t="s">
        <v>124</v>
      </c>
      <c r="AA5" s="22"/>
      <c r="AB5" s="22"/>
      <c r="AC5" s="22"/>
      <c r="AD5" s="73" t="s">
        <v>127</v>
      </c>
      <c r="AE5" s="74"/>
      <c r="AF5" s="74"/>
      <c r="AG5" s="73"/>
      <c r="AH5" s="73"/>
      <c r="AI5" s="357" t="s">
        <v>454</v>
      </c>
      <c r="AJ5" s="357" t="s">
        <v>455</v>
      </c>
      <c r="AK5" s="357" t="s">
        <v>456</v>
      </c>
      <c r="AL5" s="357"/>
      <c r="AM5" s="358" t="s">
        <v>458</v>
      </c>
      <c r="AN5" s="358" t="s">
        <v>459</v>
      </c>
      <c r="AO5" s="79"/>
      <c r="AP5" s="267" t="s">
        <v>132</v>
      </c>
      <c r="AQ5" s="267" t="s">
        <v>133</v>
      </c>
      <c r="AR5" s="267" t="s">
        <v>134</v>
      </c>
    </row>
    <row r="6" spans="1:44" s="208" customFormat="1" ht="90" x14ac:dyDescent="0.25">
      <c r="B6" s="209"/>
      <c r="C6" s="420"/>
      <c r="D6" s="210"/>
      <c r="E6" s="207" t="s">
        <v>109</v>
      </c>
      <c r="F6" s="207" t="s">
        <v>110</v>
      </c>
      <c r="G6" s="207" t="s">
        <v>446</v>
      </c>
      <c r="H6" s="207" t="s">
        <v>447</v>
      </c>
      <c r="I6" s="207" t="s">
        <v>111</v>
      </c>
      <c r="J6" s="207" t="s">
        <v>112</v>
      </c>
      <c r="K6" s="354"/>
      <c r="L6" s="207" t="s">
        <v>113</v>
      </c>
      <c r="M6" s="207" t="s">
        <v>114</v>
      </c>
      <c r="N6" s="210"/>
      <c r="O6" s="207" t="s">
        <v>449</v>
      </c>
      <c r="P6" s="207" t="s">
        <v>450</v>
      </c>
      <c r="Q6" s="207" t="s">
        <v>115</v>
      </c>
      <c r="R6" s="207" t="s">
        <v>116</v>
      </c>
      <c r="S6" s="207" t="s">
        <v>117</v>
      </c>
      <c r="T6" s="207" t="s">
        <v>451</v>
      </c>
      <c r="U6" s="211"/>
      <c r="V6" s="212" t="s">
        <v>120</v>
      </c>
      <c r="W6" s="212" t="s">
        <v>121</v>
      </c>
      <c r="X6" s="212" t="s">
        <v>122</v>
      </c>
      <c r="Y6" s="210"/>
      <c r="Z6" s="211"/>
      <c r="AA6" s="207" t="s">
        <v>452</v>
      </c>
      <c r="AB6" s="207" t="s">
        <v>125</v>
      </c>
      <c r="AC6" s="207" t="s">
        <v>126</v>
      </c>
      <c r="AD6" s="210"/>
      <c r="AE6" s="213" t="s">
        <v>128</v>
      </c>
      <c r="AF6" s="213" t="s">
        <v>453</v>
      </c>
      <c r="AG6" s="208" t="s">
        <v>129</v>
      </c>
      <c r="AH6" s="208" t="s">
        <v>130</v>
      </c>
      <c r="AI6" s="211"/>
      <c r="AJ6" s="211"/>
      <c r="AK6" s="211"/>
      <c r="AL6" s="208" t="s">
        <v>457</v>
      </c>
      <c r="AM6" s="210"/>
      <c r="AN6" s="210"/>
      <c r="AO6" s="224" t="s">
        <v>395</v>
      </c>
    </row>
    <row r="7" spans="1:44" hidden="1" x14ac:dyDescent="0.25">
      <c r="A7" s="11">
        <v>39083</v>
      </c>
      <c r="B7" s="188"/>
      <c r="C7" s="252">
        <v>56.996544175957339</v>
      </c>
      <c r="D7" s="235">
        <v>58.556864719363404</v>
      </c>
      <c r="E7" s="190">
        <v>15.284174551726764</v>
      </c>
      <c r="F7" s="190">
        <v>48.297289893013335</v>
      </c>
      <c r="G7" s="190">
        <v>0</v>
      </c>
      <c r="H7" s="190">
        <v>46.252822909768845</v>
      </c>
      <c r="I7" s="190">
        <v>58.121028232037894</v>
      </c>
      <c r="J7" s="190">
        <v>0</v>
      </c>
      <c r="K7" s="355">
        <v>60.013695711160061</v>
      </c>
      <c r="L7" s="298">
        <v>0</v>
      </c>
      <c r="M7" s="298">
        <v>0</v>
      </c>
      <c r="N7" s="300">
        <v>0</v>
      </c>
      <c r="O7" s="190">
        <v>0</v>
      </c>
      <c r="P7" s="190">
        <v>0</v>
      </c>
      <c r="Q7" s="190">
        <v>0</v>
      </c>
      <c r="R7" s="190">
        <v>80.880027503808122</v>
      </c>
      <c r="S7" s="190">
        <v>0</v>
      </c>
      <c r="T7" s="190">
        <v>0</v>
      </c>
      <c r="U7" s="189">
        <v>23.553649439346309</v>
      </c>
      <c r="V7" s="298">
        <v>0</v>
      </c>
      <c r="W7" s="298">
        <v>0</v>
      </c>
      <c r="X7" s="298">
        <v>0</v>
      </c>
      <c r="Y7" s="269">
        <v>117.02681991630843</v>
      </c>
      <c r="Z7" s="189">
        <v>0</v>
      </c>
      <c r="AA7" s="190">
        <v>0</v>
      </c>
      <c r="AB7" s="190">
        <v>0</v>
      </c>
      <c r="AC7" s="190">
        <v>0</v>
      </c>
      <c r="AD7" s="235">
        <v>0</v>
      </c>
      <c r="AE7" s="190">
        <v>0</v>
      </c>
      <c r="AF7" s="190">
        <v>0</v>
      </c>
      <c r="AG7" s="268">
        <v>0</v>
      </c>
      <c r="AH7" s="268">
        <v>0</v>
      </c>
      <c r="AI7" s="271">
        <v>0</v>
      </c>
      <c r="AJ7" s="271">
        <v>0</v>
      </c>
      <c r="AK7" s="271">
        <v>74.511281145126333</v>
      </c>
      <c r="AL7" s="268">
        <v>74.511281145126333</v>
      </c>
      <c r="AM7" s="270">
        <v>0</v>
      </c>
      <c r="AN7" s="270">
        <v>0</v>
      </c>
      <c r="AO7" s="237">
        <v>41.758839506237095</v>
      </c>
      <c r="AP7" s="234">
        <v>54.079655020970165</v>
      </c>
      <c r="AQ7" s="234">
        <v>33.228273644355752</v>
      </c>
      <c r="AR7" s="234">
        <v>31.630908556562833</v>
      </c>
    </row>
    <row r="8" spans="1:44" hidden="1" x14ac:dyDescent="0.25">
      <c r="A8" s="11">
        <v>39114</v>
      </c>
      <c r="B8" s="188"/>
      <c r="C8" s="252">
        <v>59.116801378225084</v>
      </c>
      <c r="D8" s="235">
        <v>69.240625458849252</v>
      </c>
      <c r="E8" s="190">
        <v>18.998747806162477</v>
      </c>
      <c r="F8" s="190">
        <v>48.659625599368866</v>
      </c>
      <c r="G8" s="190">
        <v>0</v>
      </c>
      <c r="H8" s="190">
        <v>81.297368798206548</v>
      </c>
      <c r="I8" s="190">
        <v>69.074733455805386</v>
      </c>
      <c r="J8" s="190">
        <v>0</v>
      </c>
      <c r="K8" s="355">
        <v>65.746931047784571</v>
      </c>
      <c r="L8" s="298">
        <v>0</v>
      </c>
      <c r="M8" s="298">
        <v>0</v>
      </c>
      <c r="N8" s="300">
        <v>0</v>
      </c>
      <c r="O8" s="190">
        <v>0</v>
      </c>
      <c r="P8" s="190">
        <v>0</v>
      </c>
      <c r="Q8" s="190">
        <v>0</v>
      </c>
      <c r="R8" s="190">
        <v>73.046866065811457</v>
      </c>
      <c r="S8" s="190">
        <v>0</v>
      </c>
      <c r="T8" s="190">
        <v>0</v>
      </c>
      <c r="U8" s="189">
        <v>32.022160669596872</v>
      </c>
      <c r="V8" s="298">
        <v>0</v>
      </c>
      <c r="W8" s="298">
        <v>0</v>
      </c>
      <c r="X8" s="298">
        <v>0</v>
      </c>
      <c r="Y8" s="269">
        <v>131.88267094040549</v>
      </c>
      <c r="Z8" s="189">
        <v>0</v>
      </c>
      <c r="AA8" s="190">
        <v>0</v>
      </c>
      <c r="AB8" s="190">
        <v>0</v>
      </c>
      <c r="AC8" s="190">
        <v>0</v>
      </c>
      <c r="AD8" s="235">
        <v>0</v>
      </c>
      <c r="AE8" s="190">
        <v>0</v>
      </c>
      <c r="AF8" s="190">
        <v>0</v>
      </c>
      <c r="AG8" s="268">
        <v>0</v>
      </c>
      <c r="AH8" s="268">
        <v>0</v>
      </c>
      <c r="AI8" s="271">
        <v>0</v>
      </c>
      <c r="AJ8" s="271">
        <v>0</v>
      </c>
      <c r="AK8" s="271">
        <v>76.153260721395682</v>
      </c>
      <c r="AL8" s="268">
        <v>76.153260721395682</v>
      </c>
      <c r="AM8" s="270">
        <v>0</v>
      </c>
      <c r="AN8" s="270">
        <v>0</v>
      </c>
      <c r="AO8" s="237">
        <v>32.730907686483256</v>
      </c>
      <c r="AP8" s="234">
        <v>47.359401932566527</v>
      </c>
      <c r="AQ8" s="234">
        <v>34.284143627345003</v>
      </c>
      <c r="AR8" s="234">
        <v>37.19555102326612</v>
      </c>
    </row>
    <row r="9" spans="1:44" hidden="1" x14ac:dyDescent="0.25">
      <c r="A9" s="11">
        <v>39142</v>
      </c>
      <c r="B9" s="188"/>
      <c r="C9" s="252">
        <v>62.649822632243634</v>
      </c>
      <c r="D9" s="235">
        <v>62.463499208692909</v>
      </c>
      <c r="E9" s="190">
        <v>20.115332317587487</v>
      </c>
      <c r="F9" s="190">
        <v>41.221467653225389</v>
      </c>
      <c r="G9" s="190">
        <v>0</v>
      </c>
      <c r="H9" s="190">
        <v>84.504265668138999</v>
      </c>
      <c r="I9" s="190">
        <v>61.866097847047001</v>
      </c>
      <c r="J9" s="190">
        <v>0</v>
      </c>
      <c r="K9" s="355">
        <v>65.12764748602244</v>
      </c>
      <c r="L9" s="298">
        <v>0</v>
      </c>
      <c r="M9" s="298">
        <v>0</v>
      </c>
      <c r="N9" s="300">
        <v>0</v>
      </c>
      <c r="O9" s="190">
        <v>0</v>
      </c>
      <c r="P9" s="190">
        <v>0</v>
      </c>
      <c r="Q9" s="190">
        <v>0</v>
      </c>
      <c r="R9" s="190">
        <v>88.361108503455668</v>
      </c>
      <c r="S9" s="190">
        <v>0</v>
      </c>
      <c r="T9" s="190">
        <v>0</v>
      </c>
      <c r="U9" s="189">
        <v>29.896955356539085</v>
      </c>
      <c r="V9" s="298">
        <v>0</v>
      </c>
      <c r="W9" s="298">
        <v>0</v>
      </c>
      <c r="X9" s="298">
        <v>0</v>
      </c>
      <c r="Y9" s="269">
        <v>137.04941697396924</v>
      </c>
      <c r="Z9" s="189">
        <v>0</v>
      </c>
      <c r="AA9" s="190">
        <v>0</v>
      </c>
      <c r="AB9" s="190">
        <v>0</v>
      </c>
      <c r="AC9" s="190">
        <v>0</v>
      </c>
      <c r="AD9" s="235">
        <v>0</v>
      </c>
      <c r="AE9" s="190">
        <v>0</v>
      </c>
      <c r="AF9" s="190">
        <v>0</v>
      </c>
      <c r="AG9" s="268">
        <v>0</v>
      </c>
      <c r="AH9" s="268">
        <v>0</v>
      </c>
      <c r="AI9" s="271">
        <v>0</v>
      </c>
      <c r="AJ9" s="271">
        <v>0</v>
      </c>
      <c r="AK9" s="271">
        <v>54.632829349631294</v>
      </c>
      <c r="AL9" s="268">
        <v>54.632829349631294</v>
      </c>
      <c r="AM9" s="270">
        <v>0</v>
      </c>
      <c r="AN9" s="270">
        <v>0</v>
      </c>
      <c r="AO9" s="237">
        <v>35.560150358751102</v>
      </c>
      <c r="AP9" s="234">
        <v>58.772559681010485</v>
      </c>
      <c r="AQ9" s="234">
        <v>29.912456473428602</v>
      </c>
      <c r="AR9" s="234">
        <v>41.127072341489821</v>
      </c>
    </row>
    <row r="10" spans="1:44" hidden="1" x14ac:dyDescent="0.25">
      <c r="A10" s="11">
        <v>39173</v>
      </c>
      <c r="B10" s="188"/>
      <c r="C10" s="252">
        <v>60.186366677723328</v>
      </c>
      <c r="D10" s="235">
        <v>62.754664421202207</v>
      </c>
      <c r="E10" s="190">
        <v>17.136704166100429</v>
      </c>
      <c r="F10" s="190">
        <v>59.08392715581639</v>
      </c>
      <c r="G10" s="190">
        <v>0</v>
      </c>
      <c r="H10" s="190">
        <v>35.901461886505857</v>
      </c>
      <c r="I10" s="190">
        <v>61.425930249863846</v>
      </c>
      <c r="J10" s="190">
        <v>0</v>
      </c>
      <c r="K10" s="355">
        <v>72.136262203805927</v>
      </c>
      <c r="L10" s="298">
        <v>0</v>
      </c>
      <c r="M10" s="298">
        <v>0</v>
      </c>
      <c r="N10" s="300">
        <v>0</v>
      </c>
      <c r="O10" s="190">
        <v>0</v>
      </c>
      <c r="P10" s="190">
        <v>0</v>
      </c>
      <c r="Q10" s="190">
        <v>0</v>
      </c>
      <c r="R10" s="190">
        <v>80.683110119571737</v>
      </c>
      <c r="S10" s="190">
        <v>0</v>
      </c>
      <c r="T10" s="190">
        <v>0</v>
      </c>
      <c r="U10" s="189">
        <v>26.986767923836201</v>
      </c>
      <c r="V10" s="298">
        <v>0</v>
      </c>
      <c r="W10" s="298">
        <v>0</v>
      </c>
      <c r="X10" s="298">
        <v>0</v>
      </c>
      <c r="Y10" s="269">
        <v>157.92468263903288</v>
      </c>
      <c r="Z10" s="189">
        <v>0</v>
      </c>
      <c r="AA10" s="190">
        <v>0</v>
      </c>
      <c r="AB10" s="190">
        <v>0</v>
      </c>
      <c r="AC10" s="190">
        <v>0</v>
      </c>
      <c r="AD10" s="235">
        <v>0</v>
      </c>
      <c r="AE10" s="190">
        <v>0</v>
      </c>
      <c r="AF10" s="190">
        <v>0</v>
      </c>
      <c r="AG10" s="268">
        <v>0</v>
      </c>
      <c r="AH10" s="268">
        <v>0</v>
      </c>
      <c r="AI10" s="271">
        <v>0</v>
      </c>
      <c r="AJ10" s="271">
        <v>0</v>
      </c>
      <c r="AK10" s="271">
        <v>52.32565455714537</v>
      </c>
      <c r="AL10" s="268">
        <v>52.32565455714537</v>
      </c>
      <c r="AM10" s="270">
        <v>0</v>
      </c>
      <c r="AN10" s="270">
        <v>0</v>
      </c>
      <c r="AO10" s="237">
        <v>39.155626489400142</v>
      </c>
      <c r="AP10" s="234">
        <v>56.699783233069056</v>
      </c>
      <c r="AQ10" s="234">
        <v>27.459644991003934</v>
      </c>
      <c r="AR10" s="234">
        <v>36.353736038599024</v>
      </c>
    </row>
    <row r="11" spans="1:44" hidden="1" x14ac:dyDescent="0.25">
      <c r="A11" s="11">
        <v>39203</v>
      </c>
      <c r="B11" s="188"/>
      <c r="C11" s="252">
        <v>62.528218775943429</v>
      </c>
      <c r="D11" s="235">
        <v>60.332824111560612</v>
      </c>
      <c r="E11" s="190">
        <v>16.209288794515533</v>
      </c>
      <c r="F11" s="190">
        <v>50.823321893049744</v>
      </c>
      <c r="G11" s="190">
        <v>0</v>
      </c>
      <c r="H11" s="190">
        <v>56.100685841718651</v>
      </c>
      <c r="I11" s="190">
        <v>59.383620598082111</v>
      </c>
      <c r="J11" s="190">
        <v>0</v>
      </c>
      <c r="K11" s="355">
        <v>53.487777096910364</v>
      </c>
      <c r="L11" s="298">
        <v>0</v>
      </c>
      <c r="M11" s="298">
        <v>0</v>
      </c>
      <c r="N11" s="300">
        <v>0</v>
      </c>
      <c r="O11" s="190">
        <v>0</v>
      </c>
      <c r="P11" s="190">
        <v>0</v>
      </c>
      <c r="Q11" s="190">
        <v>0</v>
      </c>
      <c r="R11" s="190">
        <v>85.533768351564717</v>
      </c>
      <c r="S11" s="190">
        <v>0</v>
      </c>
      <c r="T11" s="190">
        <v>0</v>
      </c>
      <c r="U11" s="189">
        <v>38.584697165137236</v>
      </c>
      <c r="V11" s="298">
        <v>0</v>
      </c>
      <c r="W11" s="298">
        <v>0</v>
      </c>
      <c r="X11" s="298">
        <v>0</v>
      </c>
      <c r="Y11" s="269">
        <v>141.45513406354695</v>
      </c>
      <c r="Z11" s="189">
        <v>0</v>
      </c>
      <c r="AA11" s="190">
        <v>0</v>
      </c>
      <c r="AB11" s="190">
        <v>0</v>
      </c>
      <c r="AC11" s="190">
        <v>0</v>
      </c>
      <c r="AD11" s="235">
        <v>0</v>
      </c>
      <c r="AE11" s="190">
        <v>0</v>
      </c>
      <c r="AF11" s="190">
        <v>0</v>
      </c>
      <c r="AG11" s="268">
        <v>0</v>
      </c>
      <c r="AH11" s="268">
        <v>0</v>
      </c>
      <c r="AI11" s="271">
        <v>0</v>
      </c>
      <c r="AJ11" s="271">
        <v>0</v>
      </c>
      <c r="AK11" s="271">
        <v>52.154719274536511</v>
      </c>
      <c r="AL11" s="268">
        <v>52.154719274536511</v>
      </c>
      <c r="AM11" s="270">
        <v>0</v>
      </c>
      <c r="AN11" s="270">
        <v>0</v>
      </c>
      <c r="AO11" s="237">
        <v>36.513748606426056</v>
      </c>
      <c r="AP11" s="234">
        <v>59.661646300602492</v>
      </c>
      <c r="AQ11" s="234">
        <v>32.000740702693612</v>
      </c>
      <c r="AR11" s="234">
        <v>38.151846404145033</v>
      </c>
    </row>
    <row r="12" spans="1:44" hidden="1" x14ac:dyDescent="0.25">
      <c r="A12" s="11">
        <v>39234</v>
      </c>
      <c r="B12" s="188"/>
      <c r="C12" s="252">
        <v>66.441966874814213</v>
      </c>
      <c r="D12" s="235">
        <v>62.336401401894015</v>
      </c>
      <c r="E12" s="190">
        <v>14.603196920259609</v>
      </c>
      <c r="F12" s="190">
        <v>42.59759265095061</v>
      </c>
      <c r="G12" s="190">
        <v>0</v>
      </c>
      <c r="H12" s="190">
        <v>64.26006688596361</v>
      </c>
      <c r="I12" s="190">
        <v>63.086875334837167</v>
      </c>
      <c r="J12" s="190">
        <v>0</v>
      </c>
      <c r="K12" s="355">
        <v>61.031761463112034</v>
      </c>
      <c r="L12" s="298">
        <v>0</v>
      </c>
      <c r="M12" s="298">
        <v>0</v>
      </c>
      <c r="N12" s="300">
        <v>0</v>
      </c>
      <c r="O12" s="190">
        <v>0</v>
      </c>
      <c r="P12" s="190">
        <v>0</v>
      </c>
      <c r="Q12" s="190">
        <v>0</v>
      </c>
      <c r="R12" s="190">
        <v>93.845652725720399</v>
      </c>
      <c r="S12" s="190">
        <v>0</v>
      </c>
      <c r="T12" s="190">
        <v>0</v>
      </c>
      <c r="U12" s="189">
        <v>30.639486626729603</v>
      </c>
      <c r="V12" s="298">
        <v>0</v>
      </c>
      <c r="W12" s="298">
        <v>0</v>
      </c>
      <c r="X12" s="298">
        <v>0</v>
      </c>
      <c r="Y12" s="269">
        <v>222.9202898901014</v>
      </c>
      <c r="Z12" s="189">
        <v>0</v>
      </c>
      <c r="AA12" s="190">
        <v>0</v>
      </c>
      <c r="AB12" s="190">
        <v>0</v>
      </c>
      <c r="AC12" s="190">
        <v>0</v>
      </c>
      <c r="AD12" s="235">
        <v>0</v>
      </c>
      <c r="AE12" s="190">
        <v>0</v>
      </c>
      <c r="AF12" s="190">
        <v>0</v>
      </c>
      <c r="AG12" s="268">
        <v>0</v>
      </c>
      <c r="AH12" s="268">
        <v>0</v>
      </c>
      <c r="AI12" s="271">
        <v>0</v>
      </c>
      <c r="AJ12" s="271">
        <v>0</v>
      </c>
      <c r="AK12" s="271">
        <v>73.361446808981867</v>
      </c>
      <c r="AL12" s="268">
        <v>73.361446808981867</v>
      </c>
      <c r="AM12" s="270">
        <v>0</v>
      </c>
      <c r="AN12" s="270">
        <v>0</v>
      </c>
      <c r="AO12" s="237">
        <v>35.03255792050242</v>
      </c>
      <c r="AP12" s="234">
        <v>61.017620392838218</v>
      </c>
      <c r="AQ12" s="234">
        <v>28.889755220056717</v>
      </c>
      <c r="AR12" s="234">
        <v>37.613915235142848</v>
      </c>
    </row>
    <row r="13" spans="1:44" hidden="1" x14ac:dyDescent="0.25">
      <c r="A13" s="11">
        <v>39264</v>
      </c>
      <c r="B13" s="188"/>
      <c r="C13" s="252">
        <v>59.137787718013733</v>
      </c>
      <c r="D13" s="235">
        <v>55.49996231288825</v>
      </c>
      <c r="E13" s="190">
        <v>14.792007114538936</v>
      </c>
      <c r="F13" s="190">
        <v>46.859504632796565</v>
      </c>
      <c r="G13" s="190">
        <v>0</v>
      </c>
      <c r="H13" s="190">
        <v>72.889600805376091</v>
      </c>
      <c r="I13" s="190">
        <v>53.992570381558068</v>
      </c>
      <c r="J13" s="190">
        <v>0</v>
      </c>
      <c r="K13" s="355">
        <v>46.722765248644052</v>
      </c>
      <c r="L13" s="298">
        <v>0</v>
      </c>
      <c r="M13" s="298">
        <v>0</v>
      </c>
      <c r="N13" s="300">
        <v>0</v>
      </c>
      <c r="O13" s="190">
        <v>0</v>
      </c>
      <c r="P13" s="190">
        <v>0</v>
      </c>
      <c r="Q13" s="190">
        <v>0</v>
      </c>
      <c r="R13" s="190">
        <v>85.676279196604227</v>
      </c>
      <c r="S13" s="190">
        <v>0</v>
      </c>
      <c r="T13" s="190">
        <v>0</v>
      </c>
      <c r="U13" s="189">
        <v>27.252742972906795</v>
      </c>
      <c r="V13" s="298">
        <v>0</v>
      </c>
      <c r="W13" s="298">
        <v>0</v>
      </c>
      <c r="X13" s="298">
        <v>0</v>
      </c>
      <c r="Y13" s="269">
        <v>166.06175822895477</v>
      </c>
      <c r="Z13" s="189">
        <v>0</v>
      </c>
      <c r="AA13" s="190">
        <v>0</v>
      </c>
      <c r="AB13" s="190">
        <v>0</v>
      </c>
      <c r="AC13" s="190">
        <v>0</v>
      </c>
      <c r="AD13" s="235">
        <v>0</v>
      </c>
      <c r="AE13" s="190">
        <v>0</v>
      </c>
      <c r="AF13" s="190">
        <v>0</v>
      </c>
      <c r="AG13" s="268">
        <v>0</v>
      </c>
      <c r="AH13" s="268">
        <v>0</v>
      </c>
      <c r="AI13" s="271">
        <v>0</v>
      </c>
      <c r="AJ13" s="271">
        <v>0</v>
      </c>
      <c r="AK13" s="271">
        <v>36.656947607626734</v>
      </c>
      <c r="AL13" s="268">
        <v>36.656947607626734</v>
      </c>
      <c r="AM13" s="270">
        <v>0</v>
      </c>
      <c r="AN13" s="270">
        <v>0</v>
      </c>
      <c r="AO13" s="237">
        <v>31.981639594430458</v>
      </c>
      <c r="AP13" s="234">
        <v>58.278952179288666</v>
      </c>
      <c r="AQ13" s="234">
        <v>32.897244560576496</v>
      </c>
      <c r="AR13" s="234">
        <v>31.316308494190555</v>
      </c>
    </row>
    <row r="14" spans="1:44" hidden="1" x14ac:dyDescent="0.25">
      <c r="A14" s="11">
        <v>39295</v>
      </c>
      <c r="B14" s="188"/>
      <c r="C14" s="252">
        <v>57.315865113148725</v>
      </c>
      <c r="D14" s="235">
        <v>62.352181016188823</v>
      </c>
      <c r="E14" s="190">
        <v>16.005324634255768</v>
      </c>
      <c r="F14" s="190">
        <v>22.885404860530016</v>
      </c>
      <c r="G14" s="190">
        <v>0</v>
      </c>
      <c r="H14" s="190">
        <v>48.24061570184945</v>
      </c>
      <c r="I14" s="190">
        <v>66.39877152623464</v>
      </c>
      <c r="J14" s="190">
        <v>0</v>
      </c>
      <c r="K14" s="355">
        <v>37.05518185930493</v>
      </c>
      <c r="L14" s="298">
        <v>0</v>
      </c>
      <c r="M14" s="298">
        <v>0</v>
      </c>
      <c r="N14" s="300">
        <v>0</v>
      </c>
      <c r="O14" s="190">
        <v>0</v>
      </c>
      <c r="P14" s="190">
        <v>0</v>
      </c>
      <c r="Q14" s="190">
        <v>0</v>
      </c>
      <c r="R14" s="190">
        <v>72.550206218950152</v>
      </c>
      <c r="S14" s="190">
        <v>0</v>
      </c>
      <c r="T14" s="190">
        <v>0</v>
      </c>
      <c r="U14" s="189">
        <v>38.860141309916472</v>
      </c>
      <c r="V14" s="298">
        <v>0</v>
      </c>
      <c r="W14" s="298">
        <v>0</v>
      </c>
      <c r="X14" s="298">
        <v>0</v>
      </c>
      <c r="Y14" s="269">
        <v>178.04154692891404</v>
      </c>
      <c r="Z14" s="189">
        <v>0</v>
      </c>
      <c r="AA14" s="190">
        <v>0</v>
      </c>
      <c r="AB14" s="190">
        <v>0</v>
      </c>
      <c r="AC14" s="190">
        <v>0</v>
      </c>
      <c r="AD14" s="235">
        <v>0</v>
      </c>
      <c r="AE14" s="190">
        <v>0</v>
      </c>
      <c r="AF14" s="190">
        <v>0</v>
      </c>
      <c r="AG14" s="268">
        <v>0</v>
      </c>
      <c r="AH14" s="268">
        <v>0</v>
      </c>
      <c r="AI14" s="271">
        <v>0</v>
      </c>
      <c r="AJ14" s="271">
        <v>0</v>
      </c>
      <c r="AK14" s="271">
        <v>103.44703752591971</v>
      </c>
      <c r="AL14" s="268">
        <v>103.44703752591971</v>
      </c>
      <c r="AM14" s="270">
        <v>0</v>
      </c>
      <c r="AN14" s="270">
        <v>0</v>
      </c>
      <c r="AO14" s="237">
        <v>40.761504676393315</v>
      </c>
      <c r="AP14" s="234">
        <v>58.509053227717537</v>
      </c>
      <c r="AQ14" s="234">
        <v>35.20761940958257</v>
      </c>
      <c r="AR14" s="234">
        <v>32.318335796097848</v>
      </c>
    </row>
    <row r="15" spans="1:44" hidden="1" x14ac:dyDescent="0.25">
      <c r="A15" s="11">
        <v>39326</v>
      </c>
      <c r="B15" s="188"/>
      <c r="C15" s="252">
        <v>64.953011571937765</v>
      </c>
      <c r="D15" s="235">
        <v>62.076169175974002</v>
      </c>
      <c r="E15" s="190">
        <v>15.555277107575897</v>
      </c>
      <c r="F15" s="190">
        <v>26.630040057837622</v>
      </c>
      <c r="G15" s="190">
        <v>0</v>
      </c>
      <c r="H15" s="190">
        <v>62.084004299722572</v>
      </c>
      <c r="I15" s="190">
        <v>65.153062193811678</v>
      </c>
      <c r="J15" s="190">
        <v>0</v>
      </c>
      <c r="K15" s="355">
        <v>46.296249937910908</v>
      </c>
      <c r="L15" s="298">
        <v>0</v>
      </c>
      <c r="M15" s="298">
        <v>0</v>
      </c>
      <c r="N15" s="300">
        <v>0</v>
      </c>
      <c r="O15" s="190">
        <v>0</v>
      </c>
      <c r="P15" s="190">
        <v>0</v>
      </c>
      <c r="Q15" s="190">
        <v>0</v>
      </c>
      <c r="R15" s="190">
        <v>100.57913688630892</v>
      </c>
      <c r="S15" s="190">
        <v>0</v>
      </c>
      <c r="T15" s="190">
        <v>0</v>
      </c>
      <c r="U15" s="189">
        <v>27.242910046462995</v>
      </c>
      <c r="V15" s="298">
        <v>0</v>
      </c>
      <c r="W15" s="298">
        <v>0</v>
      </c>
      <c r="X15" s="298">
        <v>0</v>
      </c>
      <c r="Y15" s="269">
        <v>169.74873354523362</v>
      </c>
      <c r="Z15" s="189">
        <v>0</v>
      </c>
      <c r="AA15" s="190">
        <v>0</v>
      </c>
      <c r="AB15" s="190">
        <v>0</v>
      </c>
      <c r="AC15" s="190">
        <v>0</v>
      </c>
      <c r="AD15" s="235">
        <v>0</v>
      </c>
      <c r="AE15" s="190">
        <v>0</v>
      </c>
      <c r="AF15" s="190">
        <v>0</v>
      </c>
      <c r="AG15" s="268">
        <v>0</v>
      </c>
      <c r="AH15" s="268">
        <v>0</v>
      </c>
      <c r="AI15" s="271">
        <v>0</v>
      </c>
      <c r="AJ15" s="271">
        <v>0</v>
      </c>
      <c r="AK15" s="271">
        <v>76.578446414457176</v>
      </c>
      <c r="AL15" s="268">
        <v>76.578446414457176</v>
      </c>
      <c r="AM15" s="270">
        <v>0</v>
      </c>
      <c r="AN15" s="270">
        <v>0</v>
      </c>
      <c r="AO15" s="237">
        <v>33.111383268159628</v>
      </c>
      <c r="AP15" s="234">
        <v>57.683509112144328</v>
      </c>
      <c r="AQ15" s="234">
        <v>29.852516253573985</v>
      </c>
      <c r="AR15" s="234">
        <v>33.401636306358206</v>
      </c>
    </row>
    <row r="16" spans="1:44" hidden="1" x14ac:dyDescent="0.25">
      <c r="A16" s="11">
        <v>39356</v>
      </c>
      <c r="B16" s="188"/>
      <c r="C16" s="252">
        <v>70.219775098917225</v>
      </c>
      <c r="D16" s="235">
        <v>69.775703806760632</v>
      </c>
      <c r="E16" s="190">
        <v>18.98548974716536</v>
      </c>
      <c r="F16" s="190">
        <v>61.389762268850703</v>
      </c>
      <c r="G16" s="190">
        <v>0</v>
      </c>
      <c r="H16" s="190">
        <v>48.793350025501894</v>
      </c>
      <c r="I16" s="190">
        <v>68.712617176012571</v>
      </c>
      <c r="J16" s="190">
        <v>0</v>
      </c>
      <c r="K16" s="355">
        <v>63.336414226405488</v>
      </c>
      <c r="L16" s="298">
        <v>0</v>
      </c>
      <c r="M16" s="298">
        <v>0</v>
      </c>
      <c r="N16" s="300">
        <v>0</v>
      </c>
      <c r="O16" s="190">
        <v>0</v>
      </c>
      <c r="P16" s="190">
        <v>0</v>
      </c>
      <c r="Q16" s="190">
        <v>0</v>
      </c>
      <c r="R16" s="190">
        <v>105.54064895729294</v>
      </c>
      <c r="S16" s="190">
        <v>0</v>
      </c>
      <c r="T16" s="190">
        <v>0</v>
      </c>
      <c r="U16" s="189">
        <v>31.695717929882953</v>
      </c>
      <c r="V16" s="298">
        <v>0</v>
      </c>
      <c r="W16" s="298">
        <v>0</v>
      </c>
      <c r="X16" s="298">
        <v>0</v>
      </c>
      <c r="Y16" s="269">
        <v>177.35698551260714</v>
      </c>
      <c r="Z16" s="189">
        <v>0</v>
      </c>
      <c r="AA16" s="190">
        <v>0</v>
      </c>
      <c r="AB16" s="190">
        <v>0</v>
      </c>
      <c r="AC16" s="190">
        <v>0</v>
      </c>
      <c r="AD16" s="235">
        <v>0</v>
      </c>
      <c r="AE16" s="190">
        <v>0</v>
      </c>
      <c r="AF16" s="190">
        <v>0</v>
      </c>
      <c r="AG16" s="268">
        <v>0</v>
      </c>
      <c r="AH16" s="268">
        <v>0</v>
      </c>
      <c r="AI16" s="271">
        <v>0</v>
      </c>
      <c r="AJ16" s="271">
        <v>0</v>
      </c>
      <c r="AK16" s="271">
        <v>67.946625860024724</v>
      </c>
      <c r="AL16" s="268">
        <v>67.946625860024724</v>
      </c>
      <c r="AM16" s="270">
        <v>0</v>
      </c>
      <c r="AN16" s="270">
        <v>0</v>
      </c>
      <c r="AO16" s="237">
        <v>39.12634774151001</v>
      </c>
      <c r="AP16" s="234">
        <v>65.281750797255754</v>
      </c>
      <c r="AQ16" s="234">
        <v>27.819072098724209</v>
      </c>
      <c r="AR16" s="234">
        <v>32.372782201107341</v>
      </c>
    </row>
    <row r="17" spans="1:44" hidden="1" x14ac:dyDescent="0.25">
      <c r="A17" s="11">
        <v>39387</v>
      </c>
      <c r="B17" s="188"/>
      <c r="C17" s="252">
        <v>70.822442087695549</v>
      </c>
      <c r="D17" s="235">
        <v>78.124173920675332</v>
      </c>
      <c r="E17" s="190">
        <v>22.166193024066143</v>
      </c>
      <c r="F17" s="190">
        <v>62.357621335609025</v>
      </c>
      <c r="G17" s="190">
        <v>0</v>
      </c>
      <c r="H17" s="190">
        <v>94.43941213302044</v>
      </c>
      <c r="I17" s="190">
        <v>76.568338246309438</v>
      </c>
      <c r="J17" s="190">
        <v>0</v>
      </c>
      <c r="K17" s="355">
        <v>61.956164934633989</v>
      </c>
      <c r="L17" s="298">
        <v>0</v>
      </c>
      <c r="M17" s="298">
        <v>0</v>
      </c>
      <c r="N17" s="300">
        <v>0</v>
      </c>
      <c r="O17" s="190">
        <v>0</v>
      </c>
      <c r="P17" s="190">
        <v>0</v>
      </c>
      <c r="Q17" s="190">
        <v>0</v>
      </c>
      <c r="R17" s="190">
        <v>91.120168341943042</v>
      </c>
      <c r="S17" s="190">
        <v>0</v>
      </c>
      <c r="T17" s="190">
        <v>0</v>
      </c>
      <c r="U17" s="189">
        <v>48.583981347214333</v>
      </c>
      <c r="V17" s="298">
        <v>0</v>
      </c>
      <c r="W17" s="298">
        <v>0</v>
      </c>
      <c r="X17" s="298">
        <v>0</v>
      </c>
      <c r="Y17" s="269">
        <v>98.833351498869987</v>
      </c>
      <c r="Z17" s="189">
        <v>0</v>
      </c>
      <c r="AA17" s="190">
        <v>0</v>
      </c>
      <c r="AB17" s="190">
        <v>0</v>
      </c>
      <c r="AC17" s="190">
        <v>0</v>
      </c>
      <c r="AD17" s="235">
        <v>0</v>
      </c>
      <c r="AE17" s="190">
        <v>0</v>
      </c>
      <c r="AF17" s="190">
        <v>0</v>
      </c>
      <c r="AG17" s="268">
        <v>0</v>
      </c>
      <c r="AH17" s="268">
        <v>0</v>
      </c>
      <c r="AI17" s="271">
        <v>0</v>
      </c>
      <c r="AJ17" s="271">
        <v>0</v>
      </c>
      <c r="AK17" s="271">
        <v>74.832805063413986</v>
      </c>
      <c r="AL17" s="268">
        <v>74.832805063413986</v>
      </c>
      <c r="AM17" s="270">
        <v>0</v>
      </c>
      <c r="AN17" s="270">
        <v>0</v>
      </c>
      <c r="AO17" s="237">
        <v>39.373731747678704</v>
      </c>
      <c r="AP17" s="234">
        <v>69.84877728204917</v>
      </c>
      <c r="AQ17" s="234">
        <v>31.905651878559777</v>
      </c>
      <c r="AR17" s="234">
        <v>32.662344834440546</v>
      </c>
    </row>
    <row r="18" spans="1:44" hidden="1" x14ac:dyDescent="0.25">
      <c r="A18" s="11">
        <v>39417</v>
      </c>
      <c r="B18" s="188"/>
      <c r="C18" s="252">
        <v>67.365223868130528</v>
      </c>
      <c r="D18" s="235">
        <v>84.358302850187513</v>
      </c>
      <c r="E18" s="190">
        <v>30.554547880114825</v>
      </c>
      <c r="F18" s="190">
        <v>47.120421957166492</v>
      </c>
      <c r="G18" s="190">
        <v>0</v>
      </c>
      <c r="H18" s="190">
        <v>40.641747271404661</v>
      </c>
      <c r="I18" s="190">
        <v>86.48300390005825</v>
      </c>
      <c r="J18" s="190">
        <v>0</v>
      </c>
      <c r="K18" s="355">
        <v>67.247684969688123</v>
      </c>
      <c r="L18" s="298">
        <v>0</v>
      </c>
      <c r="M18" s="298">
        <v>0</v>
      </c>
      <c r="N18" s="300">
        <v>0</v>
      </c>
      <c r="O18" s="190">
        <v>0</v>
      </c>
      <c r="P18" s="190">
        <v>0</v>
      </c>
      <c r="Q18" s="190">
        <v>0</v>
      </c>
      <c r="R18" s="190">
        <v>80.960251871699384</v>
      </c>
      <c r="S18" s="190">
        <v>0</v>
      </c>
      <c r="T18" s="190">
        <v>0</v>
      </c>
      <c r="U18" s="189">
        <v>40.934277125526116</v>
      </c>
      <c r="V18" s="298">
        <v>0</v>
      </c>
      <c r="W18" s="298">
        <v>0</v>
      </c>
      <c r="X18" s="298">
        <v>0</v>
      </c>
      <c r="Y18" s="269">
        <v>155.14808757914173</v>
      </c>
      <c r="Z18" s="189">
        <v>0</v>
      </c>
      <c r="AA18" s="190">
        <v>0</v>
      </c>
      <c r="AB18" s="190">
        <v>0</v>
      </c>
      <c r="AC18" s="190">
        <v>0</v>
      </c>
      <c r="AD18" s="235">
        <v>0</v>
      </c>
      <c r="AE18" s="190">
        <v>0</v>
      </c>
      <c r="AF18" s="190">
        <v>0</v>
      </c>
      <c r="AG18" s="268">
        <v>0</v>
      </c>
      <c r="AH18" s="268">
        <v>0</v>
      </c>
      <c r="AI18" s="271">
        <v>0</v>
      </c>
      <c r="AJ18" s="271">
        <v>0</v>
      </c>
      <c r="AK18" s="271">
        <v>103.74372510736187</v>
      </c>
      <c r="AL18" s="268">
        <v>103.74372510736187</v>
      </c>
      <c r="AM18" s="270">
        <v>0</v>
      </c>
      <c r="AN18" s="270">
        <v>0</v>
      </c>
      <c r="AO18" s="237">
        <v>39.704026781946958</v>
      </c>
      <c r="AP18" s="234">
        <v>69.06304393413572</v>
      </c>
      <c r="AQ18" s="234">
        <v>36.100065585648267</v>
      </c>
      <c r="AR18" s="234">
        <v>36.273837801846945</v>
      </c>
    </row>
    <row r="19" spans="1:44" hidden="1" x14ac:dyDescent="0.25">
      <c r="A19" s="11">
        <v>39448</v>
      </c>
      <c r="B19" s="188"/>
      <c r="C19" s="252">
        <v>61.071162423303889</v>
      </c>
      <c r="D19" s="235">
        <v>73.365196528084127</v>
      </c>
      <c r="E19" s="190">
        <v>41.404617578229789</v>
      </c>
      <c r="F19" s="190">
        <v>49.867398210108966</v>
      </c>
      <c r="G19" s="190">
        <v>0</v>
      </c>
      <c r="H19" s="190">
        <v>61.951338253382822</v>
      </c>
      <c r="I19" s="190">
        <v>70.401995713477859</v>
      </c>
      <c r="J19" s="190">
        <v>0</v>
      </c>
      <c r="K19" s="355">
        <v>75.453271917477295</v>
      </c>
      <c r="L19" s="298">
        <v>0</v>
      </c>
      <c r="M19" s="298">
        <v>0</v>
      </c>
      <c r="N19" s="300">
        <v>0</v>
      </c>
      <c r="O19" s="190">
        <v>0</v>
      </c>
      <c r="P19" s="190">
        <v>0</v>
      </c>
      <c r="Q19" s="190">
        <v>0</v>
      </c>
      <c r="R19" s="190">
        <v>78.184724139566029</v>
      </c>
      <c r="S19" s="190">
        <v>0</v>
      </c>
      <c r="T19" s="190">
        <v>0</v>
      </c>
      <c r="U19" s="189">
        <v>31.584130003739798</v>
      </c>
      <c r="V19" s="298">
        <v>0</v>
      </c>
      <c r="W19" s="298">
        <v>0</v>
      </c>
      <c r="X19" s="298">
        <v>0</v>
      </c>
      <c r="Y19" s="269">
        <v>139.26088362675642</v>
      </c>
      <c r="Z19" s="189">
        <v>0</v>
      </c>
      <c r="AA19" s="190">
        <v>0</v>
      </c>
      <c r="AB19" s="190">
        <v>0</v>
      </c>
      <c r="AC19" s="190">
        <v>0</v>
      </c>
      <c r="AD19" s="235">
        <v>0</v>
      </c>
      <c r="AE19" s="190">
        <v>0</v>
      </c>
      <c r="AF19" s="190">
        <v>0</v>
      </c>
      <c r="AG19" s="268">
        <v>0</v>
      </c>
      <c r="AH19" s="268">
        <v>0</v>
      </c>
      <c r="AI19" s="271">
        <v>0</v>
      </c>
      <c r="AJ19" s="271">
        <v>0</v>
      </c>
      <c r="AK19" s="271">
        <v>139.49357333581202</v>
      </c>
      <c r="AL19" s="268">
        <v>139.49357333581202</v>
      </c>
      <c r="AM19" s="270">
        <v>0</v>
      </c>
      <c r="AN19" s="270">
        <v>0</v>
      </c>
      <c r="AO19" s="237">
        <v>41.108490379156358</v>
      </c>
      <c r="AP19" s="234">
        <v>60.027669793199053</v>
      </c>
      <c r="AQ19" s="234">
        <v>29.023603553699786</v>
      </c>
      <c r="AR19" s="234">
        <v>31.997746978939443</v>
      </c>
    </row>
    <row r="20" spans="1:44" hidden="1" x14ac:dyDescent="0.25">
      <c r="A20" s="11">
        <v>39479</v>
      </c>
      <c r="B20" s="188"/>
      <c r="C20" s="252">
        <v>76.259407689815234</v>
      </c>
      <c r="D20" s="235">
        <v>90.720038896731609</v>
      </c>
      <c r="E20" s="190">
        <v>45.130932521982309</v>
      </c>
      <c r="F20" s="190">
        <v>45.178612301983797</v>
      </c>
      <c r="G20" s="190">
        <v>0</v>
      </c>
      <c r="H20" s="190">
        <v>47.503939220505153</v>
      </c>
      <c r="I20" s="190">
        <v>91.566289935139991</v>
      </c>
      <c r="J20" s="190">
        <v>0</v>
      </c>
      <c r="K20" s="355">
        <v>85.005637811466414</v>
      </c>
      <c r="L20" s="298">
        <v>0</v>
      </c>
      <c r="M20" s="298">
        <v>0</v>
      </c>
      <c r="N20" s="300">
        <v>0</v>
      </c>
      <c r="O20" s="190">
        <v>0</v>
      </c>
      <c r="P20" s="190">
        <v>0</v>
      </c>
      <c r="Q20" s="190">
        <v>0</v>
      </c>
      <c r="R20" s="190">
        <v>97.427954887228097</v>
      </c>
      <c r="S20" s="190">
        <v>0</v>
      </c>
      <c r="T20" s="190">
        <v>0</v>
      </c>
      <c r="U20" s="189">
        <v>48.884567927696224</v>
      </c>
      <c r="V20" s="298">
        <v>0</v>
      </c>
      <c r="W20" s="298">
        <v>0</v>
      </c>
      <c r="X20" s="298">
        <v>0</v>
      </c>
      <c r="Y20" s="269">
        <v>108.10885215047672</v>
      </c>
      <c r="Z20" s="189">
        <v>0</v>
      </c>
      <c r="AA20" s="190">
        <v>0</v>
      </c>
      <c r="AB20" s="190">
        <v>0</v>
      </c>
      <c r="AC20" s="190">
        <v>0</v>
      </c>
      <c r="AD20" s="235">
        <v>0</v>
      </c>
      <c r="AE20" s="190">
        <v>0</v>
      </c>
      <c r="AF20" s="190">
        <v>0</v>
      </c>
      <c r="AG20" s="268">
        <v>0</v>
      </c>
      <c r="AH20" s="268">
        <v>0</v>
      </c>
      <c r="AI20" s="271">
        <v>0</v>
      </c>
      <c r="AJ20" s="271">
        <v>0</v>
      </c>
      <c r="AK20" s="271">
        <v>57.397910692794859</v>
      </c>
      <c r="AL20" s="268">
        <v>57.397910692794859</v>
      </c>
      <c r="AM20" s="270">
        <v>0</v>
      </c>
      <c r="AN20" s="270">
        <v>0</v>
      </c>
      <c r="AO20" s="237">
        <v>36.690749717492281</v>
      </c>
      <c r="AP20" s="234">
        <v>64.969848927060198</v>
      </c>
      <c r="AQ20" s="234">
        <v>32.589866664242287</v>
      </c>
      <c r="AR20" s="234">
        <v>33.54764568744703</v>
      </c>
    </row>
    <row r="21" spans="1:44" hidden="1" x14ac:dyDescent="0.25">
      <c r="A21" s="11">
        <v>39508</v>
      </c>
      <c r="B21" s="188"/>
      <c r="C21" s="252">
        <v>74.451750777234054</v>
      </c>
      <c r="D21" s="235">
        <v>85.19360230732525</v>
      </c>
      <c r="E21" s="190">
        <v>44.367768346962713</v>
      </c>
      <c r="F21" s="190">
        <v>89.441397746651958</v>
      </c>
      <c r="G21" s="190">
        <v>0</v>
      </c>
      <c r="H21" s="190">
        <v>39.698176960604791</v>
      </c>
      <c r="I21" s="190">
        <v>78.48189219269608</v>
      </c>
      <c r="J21" s="190">
        <v>0</v>
      </c>
      <c r="K21" s="355">
        <v>57.618706509753501</v>
      </c>
      <c r="L21" s="298">
        <v>0</v>
      </c>
      <c r="M21" s="298">
        <v>0</v>
      </c>
      <c r="N21" s="300">
        <v>0</v>
      </c>
      <c r="O21" s="190">
        <v>0</v>
      </c>
      <c r="P21" s="190">
        <v>0</v>
      </c>
      <c r="Q21" s="190">
        <v>0</v>
      </c>
      <c r="R21" s="190">
        <v>105.15026544258428</v>
      </c>
      <c r="S21" s="190">
        <v>0</v>
      </c>
      <c r="T21" s="190">
        <v>0</v>
      </c>
      <c r="U21" s="189">
        <v>39.818611471176816</v>
      </c>
      <c r="V21" s="298">
        <v>0</v>
      </c>
      <c r="W21" s="298">
        <v>0</v>
      </c>
      <c r="X21" s="298">
        <v>0</v>
      </c>
      <c r="Y21" s="269">
        <v>151.82925090263819</v>
      </c>
      <c r="Z21" s="189">
        <v>0</v>
      </c>
      <c r="AA21" s="190">
        <v>0</v>
      </c>
      <c r="AB21" s="190">
        <v>0</v>
      </c>
      <c r="AC21" s="190">
        <v>0</v>
      </c>
      <c r="AD21" s="235">
        <v>0</v>
      </c>
      <c r="AE21" s="190">
        <v>0</v>
      </c>
      <c r="AF21" s="190">
        <v>0</v>
      </c>
      <c r="AG21" s="268">
        <v>0</v>
      </c>
      <c r="AH21" s="268">
        <v>0</v>
      </c>
      <c r="AI21" s="271">
        <v>0</v>
      </c>
      <c r="AJ21" s="271">
        <v>0</v>
      </c>
      <c r="AK21" s="271">
        <v>72.510921972237099</v>
      </c>
      <c r="AL21" s="268">
        <v>72.510921972237099</v>
      </c>
      <c r="AM21" s="270">
        <v>0</v>
      </c>
      <c r="AN21" s="270">
        <v>0</v>
      </c>
      <c r="AO21" s="237">
        <v>34.289286911883664</v>
      </c>
      <c r="AP21" s="234">
        <v>74.370909162385487</v>
      </c>
      <c r="AQ21" s="234">
        <v>32.670096876908708</v>
      </c>
      <c r="AR21" s="234">
        <v>45.427245436947587</v>
      </c>
    </row>
    <row r="22" spans="1:44" hidden="1" x14ac:dyDescent="0.25">
      <c r="A22" s="11">
        <v>39539</v>
      </c>
      <c r="B22" s="188"/>
      <c r="C22" s="252">
        <v>69.573512180256557</v>
      </c>
      <c r="D22" s="235">
        <v>63.052685255060801</v>
      </c>
      <c r="E22" s="190">
        <v>32.009992794696416</v>
      </c>
      <c r="F22" s="190">
        <v>43.75868415437909</v>
      </c>
      <c r="G22" s="190">
        <v>0</v>
      </c>
      <c r="H22" s="190">
        <v>53.393988147183329</v>
      </c>
      <c r="I22" s="190">
        <v>60.996025788558114</v>
      </c>
      <c r="J22" s="190">
        <v>0</v>
      </c>
      <c r="K22" s="355">
        <v>59.435403399821958</v>
      </c>
      <c r="L22" s="298">
        <v>0</v>
      </c>
      <c r="M22" s="298">
        <v>0</v>
      </c>
      <c r="N22" s="300">
        <v>0</v>
      </c>
      <c r="O22" s="190">
        <v>0</v>
      </c>
      <c r="P22" s="190">
        <v>0</v>
      </c>
      <c r="Q22" s="190">
        <v>0</v>
      </c>
      <c r="R22" s="190">
        <v>102.46119561949187</v>
      </c>
      <c r="S22" s="190">
        <v>0</v>
      </c>
      <c r="T22" s="190">
        <v>0</v>
      </c>
      <c r="U22" s="189">
        <v>40.397744795490347</v>
      </c>
      <c r="V22" s="298">
        <v>0</v>
      </c>
      <c r="W22" s="298">
        <v>0</v>
      </c>
      <c r="X22" s="298">
        <v>0</v>
      </c>
      <c r="Y22" s="269">
        <v>138.04468765875043</v>
      </c>
      <c r="Z22" s="189">
        <v>0</v>
      </c>
      <c r="AA22" s="190">
        <v>0</v>
      </c>
      <c r="AB22" s="190">
        <v>0</v>
      </c>
      <c r="AC22" s="190">
        <v>0</v>
      </c>
      <c r="AD22" s="235">
        <v>0</v>
      </c>
      <c r="AE22" s="190">
        <v>0</v>
      </c>
      <c r="AF22" s="190">
        <v>0</v>
      </c>
      <c r="AG22" s="268">
        <v>0</v>
      </c>
      <c r="AH22" s="268">
        <v>0</v>
      </c>
      <c r="AI22" s="271">
        <v>0</v>
      </c>
      <c r="AJ22" s="271">
        <v>0</v>
      </c>
      <c r="AK22" s="271">
        <v>68.333990306539704</v>
      </c>
      <c r="AL22" s="268">
        <v>68.333990306539704</v>
      </c>
      <c r="AM22" s="270">
        <v>0</v>
      </c>
      <c r="AN22" s="270">
        <v>0</v>
      </c>
      <c r="AO22" s="237">
        <v>33.289596314245358</v>
      </c>
      <c r="AP22" s="234">
        <v>68.650305140335945</v>
      </c>
      <c r="AQ22" s="234">
        <v>32.299695365099922</v>
      </c>
      <c r="AR22" s="234">
        <v>30.064559975759146</v>
      </c>
    </row>
    <row r="23" spans="1:44" hidden="1" x14ac:dyDescent="0.25">
      <c r="A23" s="11">
        <v>39569</v>
      </c>
      <c r="B23" s="188"/>
      <c r="C23" s="252">
        <v>72.108054907801275</v>
      </c>
      <c r="D23" s="235">
        <v>65.254060208842176</v>
      </c>
      <c r="E23" s="190">
        <v>27.959169113075578</v>
      </c>
      <c r="F23" s="190">
        <v>41.488341459166293</v>
      </c>
      <c r="G23" s="190">
        <v>0</v>
      </c>
      <c r="H23" s="190">
        <v>54.848785419469898</v>
      </c>
      <c r="I23" s="190">
        <v>64.64503489881082</v>
      </c>
      <c r="J23" s="190">
        <v>0</v>
      </c>
      <c r="K23" s="355">
        <v>55.223627276871902</v>
      </c>
      <c r="L23" s="298">
        <v>0</v>
      </c>
      <c r="M23" s="298">
        <v>0</v>
      </c>
      <c r="N23" s="300">
        <v>0</v>
      </c>
      <c r="O23" s="190">
        <v>0</v>
      </c>
      <c r="P23" s="190">
        <v>0</v>
      </c>
      <c r="Q23" s="190">
        <v>0</v>
      </c>
      <c r="R23" s="190">
        <v>101.51924792006399</v>
      </c>
      <c r="S23" s="190">
        <v>0</v>
      </c>
      <c r="T23" s="190">
        <v>0</v>
      </c>
      <c r="U23" s="189">
        <v>53.523352582811285</v>
      </c>
      <c r="V23" s="298">
        <v>0</v>
      </c>
      <c r="W23" s="298">
        <v>0</v>
      </c>
      <c r="X23" s="298">
        <v>0</v>
      </c>
      <c r="Y23" s="269">
        <v>132.791219831277</v>
      </c>
      <c r="Z23" s="189">
        <v>0</v>
      </c>
      <c r="AA23" s="190">
        <v>0</v>
      </c>
      <c r="AB23" s="190">
        <v>0</v>
      </c>
      <c r="AC23" s="190">
        <v>0</v>
      </c>
      <c r="AD23" s="235">
        <v>0</v>
      </c>
      <c r="AE23" s="190">
        <v>0</v>
      </c>
      <c r="AF23" s="190">
        <v>0</v>
      </c>
      <c r="AG23" s="268">
        <v>0</v>
      </c>
      <c r="AH23" s="268">
        <v>0</v>
      </c>
      <c r="AI23" s="271">
        <v>0</v>
      </c>
      <c r="AJ23" s="271">
        <v>0</v>
      </c>
      <c r="AK23" s="271">
        <v>74.747440139299016</v>
      </c>
      <c r="AL23" s="268">
        <v>74.747440139299016</v>
      </c>
      <c r="AM23" s="270">
        <v>0</v>
      </c>
      <c r="AN23" s="270">
        <v>0</v>
      </c>
      <c r="AO23" s="237">
        <v>33.789383600497914</v>
      </c>
      <c r="AP23" s="234">
        <v>64.070162298970416</v>
      </c>
      <c r="AQ23" s="234">
        <v>40.189718212007342</v>
      </c>
      <c r="AR23" s="234">
        <v>30.519123211566537</v>
      </c>
    </row>
    <row r="24" spans="1:44" hidden="1" x14ac:dyDescent="0.25">
      <c r="A24" s="11">
        <v>39600</v>
      </c>
      <c r="B24" s="188"/>
      <c r="C24" s="252">
        <v>68.792320236206479</v>
      </c>
      <c r="D24" s="235">
        <v>63.832744575412697</v>
      </c>
      <c r="E24" s="190">
        <v>27.390503559445612</v>
      </c>
      <c r="F24" s="190">
        <v>44.742217565535569</v>
      </c>
      <c r="G24" s="190">
        <v>0</v>
      </c>
      <c r="H24" s="190">
        <v>55.206946041326624</v>
      </c>
      <c r="I24" s="190">
        <v>62.537574525665164</v>
      </c>
      <c r="J24" s="190">
        <v>0</v>
      </c>
      <c r="K24" s="355">
        <v>53.137616615605019</v>
      </c>
      <c r="L24" s="298">
        <v>0</v>
      </c>
      <c r="M24" s="298">
        <v>0</v>
      </c>
      <c r="N24" s="300">
        <v>0</v>
      </c>
      <c r="O24" s="190">
        <v>0</v>
      </c>
      <c r="P24" s="190">
        <v>0</v>
      </c>
      <c r="Q24" s="190">
        <v>0</v>
      </c>
      <c r="R24" s="190">
        <v>98.975640517742477</v>
      </c>
      <c r="S24" s="190">
        <v>0</v>
      </c>
      <c r="T24" s="190">
        <v>0</v>
      </c>
      <c r="U24" s="189">
        <v>44.838560743079121</v>
      </c>
      <c r="V24" s="298">
        <v>0</v>
      </c>
      <c r="W24" s="298">
        <v>0</v>
      </c>
      <c r="X24" s="298">
        <v>0</v>
      </c>
      <c r="Y24" s="269">
        <v>141.69660281747673</v>
      </c>
      <c r="Z24" s="189">
        <v>0</v>
      </c>
      <c r="AA24" s="190">
        <v>0</v>
      </c>
      <c r="AB24" s="190">
        <v>0</v>
      </c>
      <c r="AC24" s="190">
        <v>0</v>
      </c>
      <c r="AD24" s="235">
        <v>0</v>
      </c>
      <c r="AE24" s="190">
        <v>0</v>
      </c>
      <c r="AF24" s="190">
        <v>0</v>
      </c>
      <c r="AG24" s="268">
        <v>0</v>
      </c>
      <c r="AH24" s="268">
        <v>0</v>
      </c>
      <c r="AI24" s="271">
        <v>0</v>
      </c>
      <c r="AJ24" s="271">
        <v>0</v>
      </c>
      <c r="AK24" s="271">
        <v>71.284538397582352</v>
      </c>
      <c r="AL24" s="268">
        <v>71.284538397582352</v>
      </c>
      <c r="AM24" s="270">
        <v>0</v>
      </c>
      <c r="AN24" s="270">
        <v>0</v>
      </c>
      <c r="AO24" s="237">
        <v>33.30037021918718</v>
      </c>
      <c r="AP24" s="234">
        <v>69.693625710712851</v>
      </c>
      <c r="AQ24" s="234">
        <v>33.437089258932929</v>
      </c>
      <c r="AR24" s="234">
        <v>32.243338450942922</v>
      </c>
    </row>
    <row r="25" spans="1:44" hidden="1" x14ac:dyDescent="0.25">
      <c r="A25" s="11">
        <v>39630</v>
      </c>
      <c r="B25" s="188"/>
      <c r="C25" s="252">
        <v>64.25820923720498</v>
      </c>
      <c r="D25" s="235">
        <v>56.897223875025396</v>
      </c>
      <c r="E25" s="190">
        <v>27.510357691195519</v>
      </c>
      <c r="F25" s="190">
        <v>51.497155394402739</v>
      </c>
      <c r="G25" s="190">
        <v>0</v>
      </c>
      <c r="H25" s="190">
        <v>52.676083172677124</v>
      </c>
      <c r="I25" s="190">
        <v>53.28527626491379</v>
      </c>
      <c r="J25" s="190">
        <v>0</v>
      </c>
      <c r="K25" s="355">
        <v>50.828459148140027</v>
      </c>
      <c r="L25" s="298">
        <v>0</v>
      </c>
      <c r="M25" s="298">
        <v>0</v>
      </c>
      <c r="N25" s="300">
        <v>0</v>
      </c>
      <c r="O25" s="190">
        <v>0</v>
      </c>
      <c r="P25" s="190">
        <v>0</v>
      </c>
      <c r="Q25" s="190">
        <v>0</v>
      </c>
      <c r="R25" s="190">
        <v>94.979466191275137</v>
      </c>
      <c r="S25" s="190">
        <v>0</v>
      </c>
      <c r="T25" s="190">
        <v>0</v>
      </c>
      <c r="U25" s="189">
        <v>35.766056144173525</v>
      </c>
      <c r="V25" s="298">
        <v>0</v>
      </c>
      <c r="W25" s="298">
        <v>0</v>
      </c>
      <c r="X25" s="298">
        <v>0</v>
      </c>
      <c r="Y25" s="269">
        <v>183.18048069611351</v>
      </c>
      <c r="Z25" s="189">
        <v>0</v>
      </c>
      <c r="AA25" s="190">
        <v>0</v>
      </c>
      <c r="AB25" s="190">
        <v>0</v>
      </c>
      <c r="AC25" s="190">
        <v>0</v>
      </c>
      <c r="AD25" s="235">
        <v>0</v>
      </c>
      <c r="AE25" s="190">
        <v>0</v>
      </c>
      <c r="AF25" s="190">
        <v>0</v>
      </c>
      <c r="AG25" s="268">
        <v>0</v>
      </c>
      <c r="AH25" s="268">
        <v>0</v>
      </c>
      <c r="AI25" s="271">
        <v>0</v>
      </c>
      <c r="AJ25" s="271">
        <v>0</v>
      </c>
      <c r="AK25" s="271">
        <v>46.068544478994816</v>
      </c>
      <c r="AL25" s="268">
        <v>46.068544478994816</v>
      </c>
      <c r="AM25" s="270">
        <v>0</v>
      </c>
      <c r="AN25" s="270">
        <v>0</v>
      </c>
      <c r="AO25" s="237">
        <v>28.459078402369265</v>
      </c>
      <c r="AP25" s="234">
        <v>54.941613163893983</v>
      </c>
      <c r="AQ25" s="234">
        <v>28.726252146264603</v>
      </c>
      <c r="AR25" s="234">
        <v>27.504132564039391</v>
      </c>
    </row>
    <row r="26" spans="1:44" hidden="1" x14ac:dyDescent="0.25">
      <c r="A26" s="11">
        <v>39661</v>
      </c>
      <c r="B26" s="188"/>
      <c r="C26" s="252">
        <v>65.353030155967872</v>
      </c>
      <c r="D26" s="235">
        <v>63.685209066984392</v>
      </c>
      <c r="E26" s="190">
        <v>25.358321780368364</v>
      </c>
      <c r="F26" s="190">
        <v>32.311100309308245</v>
      </c>
      <c r="G26" s="190">
        <v>0</v>
      </c>
      <c r="H26" s="190">
        <v>52.795450338841036</v>
      </c>
      <c r="I26" s="190">
        <v>64.725477361333247</v>
      </c>
      <c r="J26" s="190">
        <v>0</v>
      </c>
      <c r="K26" s="355">
        <v>43.77253124170489</v>
      </c>
      <c r="L26" s="298">
        <v>0</v>
      </c>
      <c r="M26" s="298">
        <v>0</v>
      </c>
      <c r="N26" s="300">
        <v>0</v>
      </c>
      <c r="O26" s="190">
        <v>0</v>
      </c>
      <c r="P26" s="190">
        <v>0</v>
      </c>
      <c r="Q26" s="190">
        <v>0</v>
      </c>
      <c r="R26" s="190">
        <v>82.980328641848573</v>
      </c>
      <c r="S26" s="190">
        <v>0</v>
      </c>
      <c r="T26" s="190">
        <v>0</v>
      </c>
      <c r="U26" s="189">
        <v>56.430544835037658</v>
      </c>
      <c r="V26" s="298">
        <v>0</v>
      </c>
      <c r="W26" s="298">
        <v>0</v>
      </c>
      <c r="X26" s="298">
        <v>0</v>
      </c>
      <c r="Y26" s="269">
        <v>114.33404578355851</v>
      </c>
      <c r="Z26" s="189">
        <v>0</v>
      </c>
      <c r="AA26" s="190">
        <v>0</v>
      </c>
      <c r="AB26" s="190">
        <v>0</v>
      </c>
      <c r="AC26" s="190">
        <v>0</v>
      </c>
      <c r="AD26" s="235">
        <v>0</v>
      </c>
      <c r="AE26" s="190">
        <v>0</v>
      </c>
      <c r="AF26" s="190">
        <v>0</v>
      </c>
      <c r="AG26" s="268">
        <v>0</v>
      </c>
      <c r="AH26" s="268">
        <v>0</v>
      </c>
      <c r="AI26" s="271">
        <v>0</v>
      </c>
      <c r="AJ26" s="271">
        <v>0</v>
      </c>
      <c r="AK26" s="271">
        <v>72.718965399619847</v>
      </c>
      <c r="AL26" s="268">
        <v>72.718965399619847</v>
      </c>
      <c r="AM26" s="270">
        <v>0</v>
      </c>
      <c r="AN26" s="270">
        <v>0</v>
      </c>
      <c r="AO26" s="237">
        <v>30.142804703843318</v>
      </c>
      <c r="AP26" s="234">
        <v>62.047687588999501</v>
      </c>
      <c r="AQ26" s="234">
        <v>34.038320936772607</v>
      </c>
      <c r="AR26" s="234">
        <v>29.062267966742905</v>
      </c>
    </row>
    <row r="27" spans="1:44" hidden="1" x14ac:dyDescent="0.25">
      <c r="A27" s="11">
        <v>39692</v>
      </c>
      <c r="B27" s="188"/>
      <c r="C27" s="252">
        <v>68.744576078976593</v>
      </c>
      <c r="D27" s="235">
        <v>60.221177907617069</v>
      </c>
      <c r="E27" s="190">
        <v>20.964127489681378</v>
      </c>
      <c r="F27" s="190">
        <v>39.293732627039709</v>
      </c>
      <c r="G27" s="190">
        <v>0</v>
      </c>
      <c r="H27" s="190">
        <v>61.767046847835609</v>
      </c>
      <c r="I27" s="190">
        <v>60.027247040632112</v>
      </c>
      <c r="J27" s="190">
        <v>0</v>
      </c>
      <c r="K27" s="355">
        <v>61.793719230508039</v>
      </c>
      <c r="L27" s="298">
        <v>0</v>
      </c>
      <c r="M27" s="298">
        <v>0</v>
      </c>
      <c r="N27" s="300">
        <v>0</v>
      </c>
      <c r="O27" s="190">
        <v>0</v>
      </c>
      <c r="P27" s="190">
        <v>0</v>
      </c>
      <c r="Q27" s="190">
        <v>0</v>
      </c>
      <c r="R27" s="190">
        <v>99.525144924468123</v>
      </c>
      <c r="S27" s="190">
        <v>0</v>
      </c>
      <c r="T27" s="190">
        <v>0</v>
      </c>
      <c r="U27" s="189">
        <v>43.545079733470828</v>
      </c>
      <c r="V27" s="298">
        <v>0</v>
      </c>
      <c r="W27" s="298">
        <v>0</v>
      </c>
      <c r="X27" s="298">
        <v>0</v>
      </c>
      <c r="Y27" s="269">
        <v>110.93032237823641</v>
      </c>
      <c r="Z27" s="189">
        <v>0</v>
      </c>
      <c r="AA27" s="190">
        <v>0</v>
      </c>
      <c r="AB27" s="190">
        <v>0</v>
      </c>
      <c r="AC27" s="190">
        <v>0</v>
      </c>
      <c r="AD27" s="235">
        <v>0</v>
      </c>
      <c r="AE27" s="190">
        <v>0</v>
      </c>
      <c r="AF27" s="190">
        <v>0</v>
      </c>
      <c r="AG27" s="268">
        <v>0</v>
      </c>
      <c r="AH27" s="268">
        <v>0</v>
      </c>
      <c r="AI27" s="271">
        <v>0</v>
      </c>
      <c r="AJ27" s="271">
        <v>0</v>
      </c>
      <c r="AK27" s="271">
        <v>58.686254382816806</v>
      </c>
      <c r="AL27" s="268">
        <v>58.686254382816806</v>
      </c>
      <c r="AM27" s="270">
        <v>0</v>
      </c>
      <c r="AN27" s="270">
        <v>0</v>
      </c>
      <c r="AO27" s="237">
        <v>32.920111347790517</v>
      </c>
      <c r="AP27" s="234">
        <v>52.722697853169585</v>
      </c>
      <c r="AQ27" s="234">
        <v>29.745178255677033</v>
      </c>
      <c r="AR27" s="234">
        <v>32.79308197020422</v>
      </c>
    </row>
    <row r="28" spans="1:44" hidden="1" x14ac:dyDescent="0.25">
      <c r="A28" s="11">
        <v>39722</v>
      </c>
      <c r="B28" s="188"/>
      <c r="C28" s="252">
        <v>67.53944080236451</v>
      </c>
      <c r="D28" s="235">
        <v>58.123316113061065</v>
      </c>
      <c r="E28" s="190">
        <v>36.295519729287548</v>
      </c>
      <c r="F28" s="190">
        <v>38.832264551597824</v>
      </c>
      <c r="G28" s="190">
        <v>0</v>
      </c>
      <c r="H28" s="190">
        <v>55.036321825441924</v>
      </c>
      <c r="I28" s="190">
        <v>55.081906824935544</v>
      </c>
      <c r="J28" s="190">
        <v>0</v>
      </c>
      <c r="K28" s="355">
        <v>61.919852291395877</v>
      </c>
      <c r="L28" s="298">
        <v>0</v>
      </c>
      <c r="M28" s="298">
        <v>0</v>
      </c>
      <c r="N28" s="300">
        <v>0</v>
      </c>
      <c r="O28" s="190">
        <v>0</v>
      </c>
      <c r="P28" s="190">
        <v>0</v>
      </c>
      <c r="Q28" s="190">
        <v>0</v>
      </c>
      <c r="R28" s="190">
        <v>99.577538418037804</v>
      </c>
      <c r="S28" s="190">
        <v>0</v>
      </c>
      <c r="T28" s="190">
        <v>0</v>
      </c>
      <c r="U28" s="189">
        <v>36.863136715392955</v>
      </c>
      <c r="V28" s="298">
        <v>0</v>
      </c>
      <c r="W28" s="298">
        <v>0</v>
      </c>
      <c r="X28" s="298">
        <v>0</v>
      </c>
      <c r="Y28" s="269">
        <v>194.82486855833707</v>
      </c>
      <c r="Z28" s="189">
        <v>0</v>
      </c>
      <c r="AA28" s="190">
        <v>0</v>
      </c>
      <c r="AB28" s="190">
        <v>0</v>
      </c>
      <c r="AC28" s="190">
        <v>0</v>
      </c>
      <c r="AD28" s="235">
        <v>0</v>
      </c>
      <c r="AE28" s="190">
        <v>0</v>
      </c>
      <c r="AF28" s="190">
        <v>0</v>
      </c>
      <c r="AG28" s="268">
        <v>0</v>
      </c>
      <c r="AH28" s="268">
        <v>0</v>
      </c>
      <c r="AI28" s="271">
        <v>0</v>
      </c>
      <c r="AJ28" s="271">
        <v>0</v>
      </c>
      <c r="AK28" s="271">
        <v>73.045413165377525</v>
      </c>
      <c r="AL28" s="268">
        <v>73.045413165377525</v>
      </c>
      <c r="AM28" s="270">
        <v>0</v>
      </c>
      <c r="AN28" s="270">
        <v>0</v>
      </c>
      <c r="AO28" s="237">
        <v>45.298828943183608</v>
      </c>
      <c r="AP28" s="234">
        <v>57.164658854088131</v>
      </c>
      <c r="AQ28" s="234">
        <v>24.115565106976661</v>
      </c>
      <c r="AR28" s="234">
        <v>34.139409411202145</v>
      </c>
    </row>
    <row r="29" spans="1:44" hidden="1" x14ac:dyDescent="0.25">
      <c r="A29" s="11">
        <v>39753</v>
      </c>
      <c r="B29" s="188"/>
      <c r="C29" s="252">
        <v>72.263018761658913</v>
      </c>
      <c r="D29" s="235">
        <v>57.831736773407584</v>
      </c>
      <c r="E29" s="190">
        <v>25.411076688281831</v>
      </c>
      <c r="F29" s="190">
        <v>41.960941308258242</v>
      </c>
      <c r="G29" s="190">
        <v>0</v>
      </c>
      <c r="H29" s="190">
        <v>114.06307243043703</v>
      </c>
      <c r="I29" s="190">
        <v>54.409412390763329</v>
      </c>
      <c r="J29" s="190">
        <v>0</v>
      </c>
      <c r="K29" s="355">
        <v>61.040165654935343</v>
      </c>
      <c r="L29" s="298">
        <v>0</v>
      </c>
      <c r="M29" s="298">
        <v>0</v>
      </c>
      <c r="N29" s="300">
        <v>0</v>
      </c>
      <c r="O29" s="190">
        <v>0</v>
      </c>
      <c r="P29" s="190">
        <v>0</v>
      </c>
      <c r="Q29" s="190">
        <v>0</v>
      </c>
      <c r="R29" s="190">
        <v>86.324947717188934</v>
      </c>
      <c r="S29" s="190">
        <v>0</v>
      </c>
      <c r="T29" s="190">
        <v>0</v>
      </c>
      <c r="U29" s="189">
        <v>79.622028490662373</v>
      </c>
      <c r="V29" s="298">
        <v>0</v>
      </c>
      <c r="W29" s="298">
        <v>0</v>
      </c>
      <c r="X29" s="298">
        <v>0</v>
      </c>
      <c r="Y29" s="269">
        <v>120.59066794387461</v>
      </c>
      <c r="Z29" s="189">
        <v>0</v>
      </c>
      <c r="AA29" s="190">
        <v>0</v>
      </c>
      <c r="AB29" s="190">
        <v>0</v>
      </c>
      <c r="AC29" s="190">
        <v>0</v>
      </c>
      <c r="AD29" s="235">
        <v>0</v>
      </c>
      <c r="AE29" s="190">
        <v>0</v>
      </c>
      <c r="AF29" s="190">
        <v>0</v>
      </c>
      <c r="AG29" s="268">
        <v>0</v>
      </c>
      <c r="AH29" s="268">
        <v>0</v>
      </c>
      <c r="AI29" s="271">
        <v>0</v>
      </c>
      <c r="AJ29" s="271">
        <v>0</v>
      </c>
      <c r="AK29" s="271">
        <v>75.920181646073232</v>
      </c>
      <c r="AL29" s="268">
        <v>75.920181646073232</v>
      </c>
      <c r="AM29" s="270">
        <v>0</v>
      </c>
      <c r="AN29" s="270">
        <v>0</v>
      </c>
      <c r="AO29" s="237">
        <v>37.238209972092164</v>
      </c>
      <c r="AP29" s="234">
        <v>70.283704304569653</v>
      </c>
      <c r="AQ29" s="234">
        <v>34.120178043379056</v>
      </c>
      <c r="AR29" s="234">
        <v>46.840075965974478</v>
      </c>
    </row>
    <row r="30" spans="1:44" hidden="1" x14ac:dyDescent="0.25">
      <c r="A30" s="11">
        <v>39783</v>
      </c>
      <c r="B30" s="188"/>
      <c r="C30" s="252">
        <v>69.820948536877552</v>
      </c>
      <c r="D30" s="235">
        <v>56.361133984269742</v>
      </c>
      <c r="E30" s="190">
        <v>28.61450979092308</v>
      </c>
      <c r="F30" s="190">
        <v>48.767019499453383</v>
      </c>
      <c r="G30" s="190">
        <v>0</v>
      </c>
      <c r="H30" s="190">
        <v>69.006337486387139</v>
      </c>
      <c r="I30" s="190">
        <v>52.384938947739066</v>
      </c>
      <c r="J30" s="190">
        <v>0</v>
      </c>
      <c r="K30" s="355">
        <v>64.811542863702414</v>
      </c>
      <c r="L30" s="298">
        <v>0</v>
      </c>
      <c r="M30" s="298">
        <v>0</v>
      </c>
      <c r="N30" s="300">
        <v>0</v>
      </c>
      <c r="O30" s="190">
        <v>0</v>
      </c>
      <c r="P30" s="190">
        <v>0</v>
      </c>
      <c r="Q30" s="190">
        <v>0</v>
      </c>
      <c r="R30" s="190">
        <v>101.00315037961619</v>
      </c>
      <c r="S30" s="190">
        <v>0</v>
      </c>
      <c r="T30" s="190">
        <v>0</v>
      </c>
      <c r="U30" s="189">
        <v>43.095840102787726</v>
      </c>
      <c r="V30" s="298">
        <v>0</v>
      </c>
      <c r="W30" s="298">
        <v>0</v>
      </c>
      <c r="X30" s="298">
        <v>0</v>
      </c>
      <c r="Y30" s="269">
        <v>135.76424268176586</v>
      </c>
      <c r="Z30" s="189">
        <v>0</v>
      </c>
      <c r="AA30" s="190">
        <v>0</v>
      </c>
      <c r="AB30" s="190">
        <v>0</v>
      </c>
      <c r="AC30" s="190">
        <v>0</v>
      </c>
      <c r="AD30" s="235">
        <v>0</v>
      </c>
      <c r="AE30" s="190">
        <v>0</v>
      </c>
      <c r="AF30" s="190">
        <v>0</v>
      </c>
      <c r="AG30" s="268">
        <v>0</v>
      </c>
      <c r="AH30" s="268">
        <v>0</v>
      </c>
      <c r="AI30" s="271">
        <v>0</v>
      </c>
      <c r="AJ30" s="271">
        <v>0</v>
      </c>
      <c r="AK30" s="271">
        <v>72.519892209169939</v>
      </c>
      <c r="AL30" s="268">
        <v>72.519892209169939</v>
      </c>
      <c r="AM30" s="270">
        <v>0</v>
      </c>
      <c r="AN30" s="270">
        <v>0</v>
      </c>
      <c r="AO30" s="237">
        <v>54.722126096463498</v>
      </c>
      <c r="AP30" s="234">
        <v>70.010767631397783</v>
      </c>
      <c r="AQ30" s="234">
        <v>38.539566627776153</v>
      </c>
      <c r="AR30" s="234">
        <v>38.879722107427057</v>
      </c>
    </row>
    <row r="31" spans="1:44" hidden="1" x14ac:dyDescent="0.25">
      <c r="A31" s="11">
        <v>39814</v>
      </c>
      <c r="B31" s="188"/>
      <c r="C31" s="252">
        <v>61.199356641117078</v>
      </c>
      <c r="D31" s="235">
        <v>52.667361456917774</v>
      </c>
      <c r="E31" s="190">
        <v>27.766967480881572</v>
      </c>
      <c r="F31" s="190">
        <v>44.172515870704281</v>
      </c>
      <c r="G31" s="190">
        <v>0</v>
      </c>
      <c r="H31" s="190">
        <v>52.425086072913601</v>
      </c>
      <c r="I31" s="190">
        <v>49.348372134615623</v>
      </c>
      <c r="J31" s="190">
        <v>0</v>
      </c>
      <c r="K31" s="355">
        <v>44.934955930737431</v>
      </c>
      <c r="L31" s="298">
        <v>0</v>
      </c>
      <c r="M31" s="298">
        <v>0</v>
      </c>
      <c r="N31" s="300">
        <v>0</v>
      </c>
      <c r="O31" s="190">
        <v>0</v>
      </c>
      <c r="P31" s="190">
        <v>0</v>
      </c>
      <c r="Q31" s="190">
        <v>0</v>
      </c>
      <c r="R31" s="190">
        <v>91.339556643399618</v>
      </c>
      <c r="S31" s="190">
        <v>0</v>
      </c>
      <c r="T31" s="190">
        <v>0</v>
      </c>
      <c r="U31" s="189">
        <v>32.698390719412139</v>
      </c>
      <c r="V31" s="298">
        <v>0</v>
      </c>
      <c r="W31" s="298">
        <v>0</v>
      </c>
      <c r="X31" s="298">
        <v>0</v>
      </c>
      <c r="Y31" s="269">
        <v>129.32063898265213</v>
      </c>
      <c r="Z31" s="189">
        <v>0</v>
      </c>
      <c r="AA31" s="190">
        <v>0</v>
      </c>
      <c r="AB31" s="190">
        <v>0</v>
      </c>
      <c r="AC31" s="190">
        <v>0</v>
      </c>
      <c r="AD31" s="235">
        <v>0</v>
      </c>
      <c r="AE31" s="190">
        <v>0</v>
      </c>
      <c r="AF31" s="190">
        <v>0</v>
      </c>
      <c r="AG31" s="268">
        <v>0</v>
      </c>
      <c r="AH31" s="268">
        <v>0</v>
      </c>
      <c r="AI31" s="271">
        <v>0</v>
      </c>
      <c r="AJ31" s="271">
        <v>0</v>
      </c>
      <c r="AK31" s="271">
        <v>114.11462547582821</v>
      </c>
      <c r="AL31" s="268">
        <v>114.11462547582821</v>
      </c>
      <c r="AM31" s="270">
        <v>0</v>
      </c>
      <c r="AN31" s="270">
        <v>0</v>
      </c>
      <c r="AO31" s="237">
        <v>32.008188334061742</v>
      </c>
      <c r="AP31" s="234">
        <v>63.639792511103991</v>
      </c>
      <c r="AQ31" s="234">
        <v>31.209251907287712</v>
      </c>
      <c r="AR31" s="234">
        <v>29.346028038021331</v>
      </c>
    </row>
    <row r="32" spans="1:44" hidden="1" x14ac:dyDescent="0.25">
      <c r="A32" s="11">
        <v>39845</v>
      </c>
      <c r="B32" s="188"/>
      <c r="C32" s="252">
        <v>71.249992137771216</v>
      </c>
      <c r="D32" s="235">
        <v>62.218114126938261</v>
      </c>
      <c r="E32" s="190">
        <v>37.194173712495164</v>
      </c>
      <c r="F32" s="190">
        <v>50.017297419883462</v>
      </c>
      <c r="G32" s="190">
        <v>0</v>
      </c>
      <c r="H32" s="190">
        <v>65.536982307006795</v>
      </c>
      <c r="I32" s="190">
        <v>57.745867472991172</v>
      </c>
      <c r="J32" s="190">
        <v>0</v>
      </c>
      <c r="K32" s="355">
        <v>58.156831824487774</v>
      </c>
      <c r="L32" s="298">
        <v>0</v>
      </c>
      <c r="M32" s="298">
        <v>0</v>
      </c>
      <c r="N32" s="300">
        <v>0</v>
      </c>
      <c r="O32" s="190">
        <v>0</v>
      </c>
      <c r="P32" s="190">
        <v>0</v>
      </c>
      <c r="Q32" s="190">
        <v>0</v>
      </c>
      <c r="R32" s="190">
        <v>95.501152340505953</v>
      </c>
      <c r="S32" s="190">
        <v>0</v>
      </c>
      <c r="T32" s="190">
        <v>0</v>
      </c>
      <c r="U32" s="189">
        <v>54.487185670788151</v>
      </c>
      <c r="V32" s="298">
        <v>0</v>
      </c>
      <c r="W32" s="298">
        <v>0</v>
      </c>
      <c r="X32" s="298">
        <v>0</v>
      </c>
      <c r="Y32" s="269">
        <v>207.84134883370493</v>
      </c>
      <c r="Z32" s="189">
        <v>0</v>
      </c>
      <c r="AA32" s="190">
        <v>0</v>
      </c>
      <c r="AB32" s="190">
        <v>0</v>
      </c>
      <c r="AC32" s="190">
        <v>0</v>
      </c>
      <c r="AD32" s="235">
        <v>0</v>
      </c>
      <c r="AE32" s="190">
        <v>0</v>
      </c>
      <c r="AF32" s="190">
        <v>0</v>
      </c>
      <c r="AG32" s="268">
        <v>0</v>
      </c>
      <c r="AH32" s="268">
        <v>0</v>
      </c>
      <c r="AI32" s="271">
        <v>0</v>
      </c>
      <c r="AJ32" s="271">
        <v>0</v>
      </c>
      <c r="AK32" s="271">
        <v>77.940396444526684</v>
      </c>
      <c r="AL32" s="268">
        <v>77.940396444526684</v>
      </c>
      <c r="AM32" s="270">
        <v>0</v>
      </c>
      <c r="AN32" s="270">
        <v>0</v>
      </c>
      <c r="AO32" s="237">
        <v>36.577064480680228</v>
      </c>
      <c r="AP32" s="234">
        <v>63.358917311753963</v>
      </c>
      <c r="AQ32" s="234">
        <v>27.414398502151812</v>
      </c>
      <c r="AR32" s="234">
        <v>30.014903821135185</v>
      </c>
    </row>
    <row r="33" spans="1:44" hidden="1" x14ac:dyDescent="0.25">
      <c r="A33" s="11">
        <v>39873</v>
      </c>
      <c r="B33" s="188"/>
      <c r="C33" s="252">
        <v>68.519742620290089</v>
      </c>
      <c r="D33" s="235">
        <v>53.25323290141425</v>
      </c>
      <c r="E33" s="190">
        <v>19.40683882002735</v>
      </c>
      <c r="F33" s="190">
        <v>44.364153346431308</v>
      </c>
      <c r="G33" s="190">
        <v>0</v>
      </c>
      <c r="H33" s="190">
        <v>62.322801955435843</v>
      </c>
      <c r="I33" s="190">
        <v>51.202989363459899</v>
      </c>
      <c r="J33" s="190">
        <v>0</v>
      </c>
      <c r="K33" s="355">
        <v>51.955654886058952</v>
      </c>
      <c r="L33" s="298">
        <v>0</v>
      </c>
      <c r="M33" s="298">
        <v>0</v>
      </c>
      <c r="N33" s="300">
        <v>0</v>
      </c>
      <c r="O33" s="190">
        <v>0</v>
      </c>
      <c r="P33" s="190">
        <v>0</v>
      </c>
      <c r="Q33" s="190">
        <v>0</v>
      </c>
      <c r="R33" s="190">
        <v>105.70447177389497</v>
      </c>
      <c r="S33" s="190">
        <v>0</v>
      </c>
      <c r="T33" s="190">
        <v>0</v>
      </c>
      <c r="U33" s="189">
        <v>34.714739591508895</v>
      </c>
      <c r="V33" s="298">
        <v>0</v>
      </c>
      <c r="W33" s="298">
        <v>0</v>
      </c>
      <c r="X33" s="298">
        <v>0</v>
      </c>
      <c r="Y33" s="269">
        <v>216.49935685098225</v>
      </c>
      <c r="Z33" s="189">
        <v>0</v>
      </c>
      <c r="AA33" s="190">
        <v>0</v>
      </c>
      <c r="AB33" s="190">
        <v>0</v>
      </c>
      <c r="AC33" s="190">
        <v>0</v>
      </c>
      <c r="AD33" s="235">
        <v>0</v>
      </c>
      <c r="AE33" s="190">
        <v>0</v>
      </c>
      <c r="AF33" s="190">
        <v>0</v>
      </c>
      <c r="AG33" s="268">
        <v>0</v>
      </c>
      <c r="AH33" s="268">
        <v>0</v>
      </c>
      <c r="AI33" s="271">
        <v>0</v>
      </c>
      <c r="AJ33" s="271">
        <v>0</v>
      </c>
      <c r="AK33" s="271">
        <v>75.81231050221551</v>
      </c>
      <c r="AL33" s="268">
        <v>75.81231050221551</v>
      </c>
      <c r="AM33" s="270">
        <v>0</v>
      </c>
      <c r="AN33" s="270">
        <v>0</v>
      </c>
      <c r="AO33" s="237">
        <v>39.480126028941335</v>
      </c>
      <c r="AP33" s="234">
        <v>67.903559723502099</v>
      </c>
      <c r="AQ33" s="234">
        <v>39.334488458486021</v>
      </c>
      <c r="AR33" s="234">
        <v>31.237880224254113</v>
      </c>
    </row>
    <row r="34" spans="1:44" hidden="1" x14ac:dyDescent="0.25">
      <c r="A34" s="11">
        <v>39904</v>
      </c>
      <c r="B34" s="188"/>
      <c r="C34" s="252">
        <v>69.808901676823368</v>
      </c>
      <c r="D34" s="235">
        <v>60.111438101151585</v>
      </c>
      <c r="E34" s="190">
        <v>20.630803060104224</v>
      </c>
      <c r="F34" s="190">
        <v>65.863105497062307</v>
      </c>
      <c r="G34" s="190">
        <v>0</v>
      </c>
      <c r="H34" s="190">
        <v>40.471252757745567</v>
      </c>
      <c r="I34" s="190">
        <v>56.468633729938603</v>
      </c>
      <c r="J34" s="190">
        <v>0</v>
      </c>
      <c r="K34" s="355">
        <v>61.146630848441795</v>
      </c>
      <c r="L34" s="298">
        <v>0</v>
      </c>
      <c r="M34" s="298">
        <v>0</v>
      </c>
      <c r="N34" s="300">
        <v>0</v>
      </c>
      <c r="O34" s="190">
        <v>0</v>
      </c>
      <c r="P34" s="190">
        <v>0</v>
      </c>
      <c r="Q34" s="190">
        <v>0</v>
      </c>
      <c r="R34" s="190">
        <v>108.50762322471451</v>
      </c>
      <c r="S34" s="190">
        <v>0</v>
      </c>
      <c r="T34" s="190">
        <v>0</v>
      </c>
      <c r="U34" s="189">
        <v>33.916825707061847</v>
      </c>
      <c r="V34" s="298">
        <v>0</v>
      </c>
      <c r="W34" s="298">
        <v>0</v>
      </c>
      <c r="X34" s="298">
        <v>0</v>
      </c>
      <c r="Y34" s="269">
        <v>225.99211843490218</v>
      </c>
      <c r="Z34" s="189">
        <v>0</v>
      </c>
      <c r="AA34" s="190">
        <v>0</v>
      </c>
      <c r="AB34" s="190">
        <v>0</v>
      </c>
      <c r="AC34" s="190">
        <v>0</v>
      </c>
      <c r="AD34" s="235">
        <v>0</v>
      </c>
      <c r="AE34" s="190">
        <v>0</v>
      </c>
      <c r="AF34" s="190">
        <v>0</v>
      </c>
      <c r="AG34" s="268">
        <v>0</v>
      </c>
      <c r="AH34" s="268">
        <v>0</v>
      </c>
      <c r="AI34" s="271">
        <v>0</v>
      </c>
      <c r="AJ34" s="271">
        <v>0</v>
      </c>
      <c r="AK34" s="271">
        <v>85.949183029419501</v>
      </c>
      <c r="AL34" s="268">
        <v>85.949183029419501</v>
      </c>
      <c r="AM34" s="270">
        <v>0</v>
      </c>
      <c r="AN34" s="270">
        <v>0</v>
      </c>
      <c r="AO34" s="237">
        <v>33.206592692679571</v>
      </c>
      <c r="AP34" s="234">
        <v>73.838623974897175</v>
      </c>
      <c r="AQ34" s="234">
        <v>31.413222431736632</v>
      </c>
      <c r="AR34" s="234">
        <v>28.724872353115007</v>
      </c>
    </row>
    <row r="35" spans="1:44" hidden="1" x14ac:dyDescent="0.25">
      <c r="A35" s="11">
        <v>39934</v>
      </c>
      <c r="B35" s="188"/>
      <c r="C35" s="252">
        <v>68.840938712480366</v>
      </c>
      <c r="D35" s="235">
        <v>54.288796703043339</v>
      </c>
      <c r="E35" s="190">
        <v>21.905171918239013</v>
      </c>
      <c r="F35" s="190">
        <v>54.450802819816296</v>
      </c>
      <c r="G35" s="190">
        <v>0</v>
      </c>
      <c r="H35" s="190">
        <v>45.664267257751234</v>
      </c>
      <c r="I35" s="190">
        <v>50.926049261666876</v>
      </c>
      <c r="J35" s="190">
        <v>0</v>
      </c>
      <c r="K35" s="355">
        <v>41.133860550806808</v>
      </c>
      <c r="L35" s="298">
        <v>0</v>
      </c>
      <c r="M35" s="298">
        <v>0</v>
      </c>
      <c r="N35" s="300">
        <v>0</v>
      </c>
      <c r="O35" s="190">
        <v>0</v>
      </c>
      <c r="P35" s="190">
        <v>0</v>
      </c>
      <c r="Q35" s="190">
        <v>0</v>
      </c>
      <c r="R35" s="190">
        <v>95.158188705203443</v>
      </c>
      <c r="S35" s="190">
        <v>0</v>
      </c>
      <c r="T35" s="190">
        <v>0</v>
      </c>
      <c r="U35" s="189">
        <v>61.627671896337141</v>
      </c>
      <c r="V35" s="298">
        <v>0</v>
      </c>
      <c r="W35" s="298">
        <v>0</v>
      </c>
      <c r="X35" s="298">
        <v>0</v>
      </c>
      <c r="Y35" s="269">
        <v>124.83416119197197</v>
      </c>
      <c r="Z35" s="189">
        <v>0</v>
      </c>
      <c r="AA35" s="190">
        <v>0</v>
      </c>
      <c r="AB35" s="190">
        <v>0</v>
      </c>
      <c r="AC35" s="190">
        <v>0</v>
      </c>
      <c r="AD35" s="235">
        <v>0</v>
      </c>
      <c r="AE35" s="190">
        <v>0</v>
      </c>
      <c r="AF35" s="190">
        <v>0</v>
      </c>
      <c r="AG35" s="268">
        <v>0</v>
      </c>
      <c r="AH35" s="268">
        <v>0</v>
      </c>
      <c r="AI35" s="271">
        <v>0</v>
      </c>
      <c r="AJ35" s="271">
        <v>0</v>
      </c>
      <c r="AK35" s="271">
        <v>87.066237000216006</v>
      </c>
      <c r="AL35" s="268">
        <v>87.066237000216006</v>
      </c>
      <c r="AM35" s="270">
        <v>0</v>
      </c>
      <c r="AN35" s="270">
        <v>0</v>
      </c>
      <c r="AO35" s="237">
        <v>31.38189073669832</v>
      </c>
      <c r="AP35" s="234">
        <v>57.684656414744097</v>
      </c>
      <c r="AQ35" s="234">
        <v>29.420557865889197</v>
      </c>
      <c r="AR35" s="234">
        <v>26.625231929094269</v>
      </c>
    </row>
    <row r="36" spans="1:44" hidden="1" x14ac:dyDescent="0.25">
      <c r="A36" s="11">
        <v>39965</v>
      </c>
      <c r="B36" s="188"/>
      <c r="C36" s="252">
        <v>65.845834121819038</v>
      </c>
      <c r="D36" s="235">
        <v>58.468296875648328</v>
      </c>
      <c r="E36" s="190">
        <v>17.811106412885291</v>
      </c>
      <c r="F36" s="190">
        <v>57.766201886740397</v>
      </c>
      <c r="G36" s="190">
        <v>0</v>
      </c>
      <c r="H36" s="190">
        <v>38.912034899806081</v>
      </c>
      <c r="I36" s="190">
        <v>56.316862424443734</v>
      </c>
      <c r="J36" s="190">
        <v>0</v>
      </c>
      <c r="K36" s="355">
        <v>45.489670729462446</v>
      </c>
      <c r="L36" s="298">
        <v>0</v>
      </c>
      <c r="M36" s="298">
        <v>0</v>
      </c>
      <c r="N36" s="300">
        <v>0</v>
      </c>
      <c r="O36" s="190">
        <v>0</v>
      </c>
      <c r="P36" s="190">
        <v>0</v>
      </c>
      <c r="Q36" s="190">
        <v>0</v>
      </c>
      <c r="R36" s="190">
        <v>96.622685975167371</v>
      </c>
      <c r="S36" s="190">
        <v>0</v>
      </c>
      <c r="T36" s="190">
        <v>0</v>
      </c>
      <c r="U36" s="189">
        <v>42.331681327114246</v>
      </c>
      <c r="V36" s="298">
        <v>0</v>
      </c>
      <c r="W36" s="298">
        <v>0</v>
      </c>
      <c r="X36" s="298">
        <v>0</v>
      </c>
      <c r="Y36" s="269">
        <v>169.49907320145866</v>
      </c>
      <c r="Z36" s="189">
        <v>0</v>
      </c>
      <c r="AA36" s="190">
        <v>0</v>
      </c>
      <c r="AB36" s="190">
        <v>0</v>
      </c>
      <c r="AC36" s="190">
        <v>0</v>
      </c>
      <c r="AD36" s="235">
        <v>0</v>
      </c>
      <c r="AE36" s="190">
        <v>0</v>
      </c>
      <c r="AF36" s="190">
        <v>0</v>
      </c>
      <c r="AG36" s="268">
        <v>0</v>
      </c>
      <c r="AH36" s="268">
        <v>0</v>
      </c>
      <c r="AI36" s="271">
        <v>0</v>
      </c>
      <c r="AJ36" s="271">
        <v>0</v>
      </c>
      <c r="AK36" s="271">
        <v>88.377248689540636</v>
      </c>
      <c r="AL36" s="268">
        <v>88.377248689540636</v>
      </c>
      <c r="AM36" s="270">
        <v>0</v>
      </c>
      <c r="AN36" s="270">
        <v>0</v>
      </c>
      <c r="AO36" s="237">
        <v>42.419368157050691</v>
      </c>
      <c r="AP36" s="234">
        <v>59.256146525656014</v>
      </c>
      <c r="AQ36" s="234">
        <v>24.316686410607637</v>
      </c>
      <c r="AR36" s="234">
        <v>29.487747017493305</v>
      </c>
    </row>
    <row r="37" spans="1:44" hidden="1" x14ac:dyDescent="0.25">
      <c r="A37" s="11">
        <v>39995</v>
      </c>
      <c r="B37" s="188"/>
      <c r="C37" s="252">
        <v>63.218174755708411</v>
      </c>
      <c r="D37" s="235">
        <v>59.440817017353147</v>
      </c>
      <c r="E37" s="190">
        <v>38.12090099997318</v>
      </c>
      <c r="F37" s="190">
        <v>64.958800462218818</v>
      </c>
      <c r="G37" s="190">
        <v>0</v>
      </c>
      <c r="H37" s="190">
        <v>35.447475497636589</v>
      </c>
      <c r="I37" s="190">
        <v>52.857081268403938</v>
      </c>
      <c r="J37" s="190">
        <v>0</v>
      </c>
      <c r="K37" s="355">
        <v>34.65146158854354</v>
      </c>
      <c r="L37" s="298">
        <v>0</v>
      </c>
      <c r="M37" s="298">
        <v>0</v>
      </c>
      <c r="N37" s="300">
        <v>0</v>
      </c>
      <c r="O37" s="190">
        <v>0</v>
      </c>
      <c r="P37" s="190">
        <v>0</v>
      </c>
      <c r="Q37" s="190">
        <v>0</v>
      </c>
      <c r="R37" s="190">
        <v>94.016223854155939</v>
      </c>
      <c r="S37" s="190">
        <v>0</v>
      </c>
      <c r="T37" s="190">
        <v>0</v>
      </c>
      <c r="U37" s="189">
        <v>38.353948010634021</v>
      </c>
      <c r="V37" s="298">
        <v>0</v>
      </c>
      <c r="W37" s="298">
        <v>0</v>
      </c>
      <c r="X37" s="298">
        <v>0</v>
      </c>
      <c r="Y37" s="269">
        <v>161.27952813572779</v>
      </c>
      <c r="Z37" s="189">
        <v>0</v>
      </c>
      <c r="AA37" s="190">
        <v>0</v>
      </c>
      <c r="AB37" s="190">
        <v>0</v>
      </c>
      <c r="AC37" s="190">
        <v>0</v>
      </c>
      <c r="AD37" s="235">
        <v>0</v>
      </c>
      <c r="AE37" s="190">
        <v>0</v>
      </c>
      <c r="AF37" s="190">
        <v>0</v>
      </c>
      <c r="AG37" s="268">
        <v>0</v>
      </c>
      <c r="AH37" s="268">
        <v>0</v>
      </c>
      <c r="AI37" s="271">
        <v>0</v>
      </c>
      <c r="AJ37" s="271">
        <v>0</v>
      </c>
      <c r="AK37" s="271">
        <v>55.276551718398366</v>
      </c>
      <c r="AL37" s="268">
        <v>55.276551718398366</v>
      </c>
      <c r="AM37" s="270">
        <v>0</v>
      </c>
      <c r="AN37" s="270">
        <v>0</v>
      </c>
      <c r="AO37" s="237">
        <v>30.795980804339202</v>
      </c>
      <c r="AP37" s="234">
        <v>62.193368295964305</v>
      </c>
      <c r="AQ37" s="234">
        <v>31.184015877894804</v>
      </c>
      <c r="AR37" s="234">
        <v>29.648839170751856</v>
      </c>
    </row>
    <row r="38" spans="1:44" hidden="1" x14ac:dyDescent="0.25">
      <c r="A38" s="11">
        <v>40026</v>
      </c>
      <c r="B38" s="188"/>
      <c r="C38" s="252">
        <v>63.855974132233428</v>
      </c>
      <c r="D38" s="235">
        <v>56.346467197688582</v>
      </c>
      <c r="E38" s="190">
        <v>35.751609686924454</v>
      </c>
      <c r="F38" s="190">
        <v>45.26345560639411</v>
      </c>
      <c r="G38" s="190">
        <v>0</v>
      </c>
      <c r="H38" s="190">
        <v>36.69888430454909</v>
      </c>
      <c r="I38" s="190">
        <v>52.61431899596861</v>
      </c>
      <c r="J38" s="190">
        <v>0</v>
      </c>
      <c r="K38" s="355">
        <v>33.497522788364527</v>
      </c>
      <c r="L38" s="298">
        <v>0</v>
      </c>
      <c r="M38" s="298">
        <v>0</v>
      </c>
      <c r="N38" s="300">
        <v>0</v>
      </c>
      <c r="O38" s="190">
        <v>0</v>
      </c>
      <c r="P38" s="190">
        <v>0</v>
      </c>
      <c r="Q38" s="190">
        <v>0</v>
      </c>
      <c r="R38" s="190">
        <v>83.918883496595257</v>
      </c>
      <c r="S38" s="190">
        <v>0</v>
      </c>
      <c r="T38" s="190">
        <v>0</v>
      </c>
      <c r="U38" s="189">
        <v>60.226671480403091</v>
      </c>
      <c r="V38" s="298">
        <v>0</v>
      </c>
      <c r="W38" s="298">
        <v>0</v>
      </c>
      <c r="X38" s="298">
        <v>0</v>
      </c>
      <c r="Y38" s="269">
        <v>89.304064323291968</v>
      </c>
      <c r="Z38" s="189">
        <v>0</v>
      </c>
      <c r="AA38" s="190">
        <v>0</v>
      </c>
      <c r="AB38" s="190">
        <v>0</v>
      </c>
      <c r="AC38" s="190">
        <v>0</v>
      </c>
      <c r="AD38" s="235">
        <v>0</v>
      </c>
      <c r="AE38" s="190">
        <v>0</v>
      </c>
      <c r="AF38" s="190">
        <v>0</v>
      </c>
      <c r="AG38" s="268">
        <v>0</v>
      </c>
      <c r="AH38" s="268">
        <v>0</v>
      </c>
      <c r="AI38" s="271">
        <v>0</v>
      </c>
      <c r="AJ38" s="271">
        <v>0</v>
      </c>
      <c r="AK38" s="271">
        <v>63.877366297483071</v>
      </c>
      <c r="AL38" s="268">
        <v>63.877366297483071</v>
      </c>
      <c r="AM38" s="270">
        <v>0</v>
      </c>
      <c r="AN38" s="270">
        <v>0</v>
      </c>
      <c r="AO38" s="237">
        <v>31.010152033421367</v>
      </c>
      <c r="AP38" s="234">
        <v>55.425084046905262</v>
      </c>
      <c r="AQ38" s="234">
        <v>36.6538693216078</v>
      </c>
      <c r="AR38" s="234">
        <v>26.970737399703197</v>
      </c>
    </row>
    <row r="39" spans="1:44" hidden="1" x14ac:dyDescent="0.25">
      <c r="A39" s="11">
        <v>40057</v>
      </c>
      <c r="B39" s="188"/>
      <c r="C39" s="252">
        <v>66.075613446394939</v>
      </c>
      <c r="D39" s="235">
        <v>58.074060288025066</v>
      </c>
      <c r="E39" s="190">
        <v>25.800892475905986</v>
      </c>
      <c r="F39" s="190">
        <v>50.594862967260497</v>
      </c>
      <c r="G39" s="190">
        <v>0</v>
      </c>
      <c r="H39" s="190">
        <v>51.57427855860778</v>
      </c>
      <c r="I39" s="190">
        <v>55.163098678845124</v>
      </c>
      <c r="J39" s="190">
        <v>0</v>
      </c>
      <c r="K39" s="355">
        <v>46.702384451482118</v>
      </c>
      <c r="L39" s="298">
        <v>0</v>
      </c>
      <c r="M39" s="298">
        <v>0</v>
      </c>
      <c r="N39" s="300">
        <v>0</v>
      </c>
      <c r="O39" s="190">
        <v>0</v>
      </c>
      <c r="P39" s="190">
        <v>0</v>
      </c>
      <c r="Q39" s="190">
        <v>0</v>
      </c>
      <c r="R39" s="190">
        <v>100.32460280941298</v>
      </c>
      <c r="S39" s="190">
        <v>0</v>
      </c>
      <c r="T39" s="190">
        <v>0</v>
      </c>
      <c r="U39" s="189">
        <v>39.843514633645363</v>
      </c>
      <c r="V39" s="298">
        <v>0</v>
      </c>
      <c r="W39" s="298">
        <v>0</v>
      </c>
      <c r="X39" s="298">
        <v>0</v>
      </c>
      <c r="Y39" s="269">
        <v>212.05828446300544</v>
      </c>
      <c r="Z39" s="189">
        <v>0</v>
      </c>
      <c r="AA39" s="190">
        <v>0</v>
      </c>
      <c r="AB39" s="190">
        <v>0</v>
      </c>
      <c r="AC39" s="190">
        <v>0</v>
      </c>
      <c r="AD39" s="235">
        <v>0</v>
      </c>
      <c r="AE39" s="190">
        <v>0</v>
      </c>
      <c r="AF39" s="190">
        <v>0</v>
      </c>
      <c r="AG39" s="268">
        <v>0</v>
      </c>
      <c r="AH39" s="268">
        <v>0</v>
      </c>
      <c r="AI39" s="271">
        <v>0</v>
      </c>
      <c r="AJ39" s="271">
        <v>0</v>
      </c>
      <c r="AK39" s="271">
        <v>86.853706343583212</v>
      </c>
      <c r="AL39" s="268">
        <v>86.853706343583212</v>
      </c>
      <c r="AM39" s="270">
        <v>0</v>
      </c>
      <c r="AN39" s="270">
        <v>0</v>
      </c>
      <c r="AO39" s="237">
        <v>36.614174120795958</v>
      </c>
      <c r="AP39" s="234">
        <v>49.673784547967735</v>
      </c>
      <c r="AQ39" s="234">
        <v>22.084681994720167</v>
      </c>
      <c r="AR39" s="234">
        <v>27.401735161081628</v>
      </c>
    </row>
    <row r="40" spans="1:44" hidden="1" x14ac:dyDescent="0.25">
      <c r="A40" s="11">
        <v>40087</v>
      </c>
      <c r="B40" s="188"/>
      <c r="C40" s="252">
        <v>65.231453707897657</v>
      </c>
      <c r="D40" s="235">
        <v>58.405338990900049</v>
      </c>
      <c r="E40" s="190">
        <v>43.514777474482479</v>
      </c>
      <c r="F40" s="190">
        <v>46.944592621198346</v>
      </c>
      <c r="G40" s="190">
        <v>0</v>
      </c>
      <c r="H40" s="190">
        <v>46.52679573685311</v>
      </c>
      <c r="I40" s="190">
        <v>53.131916402318204</v>
      </c>
      <c r="J40" s="190">
        <v>0</v>
      </c>
      <c r="K40" s="355">
        <v>61.357505914169678</v>
      </c>
      <c r="L40" s="298">
        <v>0</v>
      </c>
      <c r="M40" s="298">
        <v>0</v>
      </c>
      <c r="N40" s="300">
        <v>0</v>
      </c>
      <c r="O40" s="190">
        <v>0</v>
      </c>
      <c r="P40" s="190">
        <v>0</v>
      </c>
      <c r="Q40" s="190">
        <v>0</v>
      </c>
      <c r="R40" s="190">
        <v>99.797053351546182</v>
      </c>
      <c r="S40" s="190">
        <v>0</v>
      </c>
      <c r="T40" s="190">
        <v>0</v>
      </c>
      <c r="U40" s="189">
        <v>33.87914424902587</v>
      </c>
      <c r="V40" s="298">
        <v>0</v>
      </c>
      <c r="W40" s="298">
        <v>0</v>
      </c>
      <c r="X40" s="298">
        <v>0</v>
      </c>
      <c r="Y40" s="269">
        <v>134.45379503990083</v>
      </c>
      <c r="Z40" s="189">
        <v>0</v>
      </c>
      <c r="AA40" s="190">
        <v>0</v>
      </c>
      <c r="AB40" s="190">
        <v>0</v>
      </c>
      <c r="AC40" s="190">
        <v>0</v>
      </c>
      <c r="AD40" s="235">
        <v>0</v>
      </c>
      <c r="AE40" s="190">
        <v>0</v>
      </c>
      <c r="AF40" s="190">
        <v>0</v>
      </c>
      <c r="AG40" s="268">
        <v>0</v>
      </c>
      <c r="AH40" s="268">
        <v>0</v>
      </c>
      <c r="AI40" s="271">
        <v>0</v>
      </c>
      <c r="AJ40" s="271">
        <v>0</v>
      </c>
      <c r="AK40" s="271">
        <v>73.826277987356875</v>
      </c>
      <c r="AL40" s="268">
        <v>73.826277987356875</v>
      </c>
      <c r="AM40" s="270">
        <v>0</v>
      </c>
      <c r="AN40" s="270">
        <v>0</v>
      </c>
      <c r="AO40" s="237">
        <v>33.514746681551273</v>
      </c>
      <c r="AP40" s="234">
        <v>58.609480275539063</v>
      </c>
      <c r="AQ40" s="234">
        <v>31.001647416472682</v>
      </c>
      <c r="AR40" s="234">
        <v>27.628601560444757</v>
      </c>
    </row>
    <row r="41" spans="1:44" hidden="1" x14ac:dyDescent="0.25">
      <c r="A41" s="11">
        <v>40118</v>
      </c>
      <c r="B41" s="188"/>
      <c r="C41" s="252">
        <v>80.228240212864648</v>
      </c>
      <c r="D41" s="235">
        <v>66.361571735326834</v>
      </c>
      <c r="E41" s="190">
        <v>33.919049897387495</v>
      </c>
      <c r="F41" s="190">
        <v>65.314305051495666</v>
      </c>
      <c r="G41" s="190">
        <v>0</v>
      </c>
      <c r="H41" s="190">
        <v>96.143036386805505</v>
      </c>
      <c r="I41" s="190">
        <v>59.966649737137246</v>
      </c>
      <c r="J41" s="190">
        <v>0</v>
      </c>
      <c r="K41" s="355">
        <v>57.957513837121809</v>
      </c>
      <c r="L41" s="298">
        <v>0</v>
      </c>
      <c r="M41" s="298">
        <v>0</v>
      </c>
      <c r="N41" s="300">
        <v>0</v>
      </c>
      <c r="O41" s="190">
        <v>0</v>
      </c>
      <c r="P41" s="190">
        <v>0</v>
      </c>
      <c r="Q41" s="190">
        <v>0</v>
      </c>
      <c r="R41" s="190">
        <v>107.66922124423651</v>
      </c>
      <c r="S41" s="190">
        <v>0</v>
      </c>
      <c r="T41" s="190">
        <v>0</v>
      </c>
      <c r="U41" s="189">
        <v>72.763904297765549</v>
      </c>
      <c r="V41" s="298">
        <v>0</v>
      </c>
      <c r="W41" s="298">
        <v>0</v>
      </c>
      <c r="X41" s="298">
        <v>0</v>
      </c>
      <c r="Y41" s="269">
        <v>89.928468247233994</v>
      </c>
      <c r="Z41" s="189">
        <v>0</v>
      </c>
      <c r="AA41" s="190">
        <v>0</v>
      </c>
      <c r="AB41" s="190">
        <v>0</v>
      </c>
      <c r="AC41" s="190">
        <v>0</v>
      </c>
      <c r="AD41" s="235">
        <v>0</v>
      </c>
      <c r="AE41" s="190">
        <v>0</v>
      </c>
      <c r="AF41" s="190">
        <v>0</v>
      </c>
      <c r="AG41" s="268">
        <v>0</v>
      </c>
      <c r="AH41" s="268">
        <v>0</v>
      </c>
      <c r="AI41" s="271">
        <v>0</v>
      </c>
      <c r="AJ41" s="271">
        <v>0</v>
      </c>
      <c r="AK41" s="271">
        <v>119.49350726374047</v>
      </c>
      <c r="AL41" s="268">
        <v>119.49350726374047</v>
      </c>
      <c r="AM41" s="270">
        <v>0</v>
      </c>
      <c r="AN41" s="270">
        <v>0</v>
      </c>
      <c r="AO41" s="237">
        <v>37.224888535649782</v>
      </c>
      <c r="AP41" s="234">
        <v>55.918253955905953</v>
      </c>
      <c r="AQ41" s="234">
        <v>30.552153989767856</v>
      </c>
      <c r="AR41" s="234">
        <v>29.201238725795413</v>
      </c>
    </row>
    <row r="42" spans="1:44" hidden="1" x14ac:dyDescent="0.25">
      <c r="A42" s="11">
        <v>40148</v>
      </c>
      <c r="B42" s="188"/>
      <c r="C42" s="252">
        <v>68.137345573176376</v>
      </c>
      <c r="D42" s="235">
        <v>59.469443604096746</v>
      </c>
      <c r="E42" s="190">
        <v>31.340805458047409</v>
      </c>
      <c r="F42" s="190">
        <v>50.574835083558099</v>
      </c>
      <c r="G42" s="190">
        <v>0</v>
      </c>
      <c r="H42" s="190">
        <v>51.113916900373155</v>
      </c>
      <c r="I42" s="190">
        <v>55.858212635272857</v>
      </c>
      <c r="J42" s="190">
        <v>0</v>
      </c>
      <c r="K42" s="355">
        <v>56.944356544716172</v>
      </c>
      <c r="L42" s="298">
        <v>0</v>
      </c>
      <c r="M42" s="298">
        <v>0</v>
      </c>
      <c r="N42" s="300">
        <v>0</v>
      </c>
      <c r="O42" s="190">
        <v>0</v>
      </c>
      <c r="P42" s="190">
        <v>0</v>
      </c>
      <c r="Q42" s="190">
        <v>0</v>
      </c>
      <c r="R42" s="190">
        <v>106.37071039175218</v>
      </c>
      <c r="S42" s="190">
        <v>0</v>
      </c>
      <c r="T42" s="190">
        <v>0</v>
      </c>
      <c r="U42" s="189">
        <v>33.209539744686786</v>
      </c>
      <c r="V42" s="298">
        <v>0</v>
      </c>
      <c r="W42" s="298">
        <v>0</v>
      </c>
      <c r="X42" s="298">
        <v>0</v>
      </c>
      <c r="Y42" s="269">
        <v>113.85888241275519</v>
      </c>
      <c r="Z42" s="189">
        <v>0</v>
      </c>
      <c r="AA42" s="190">
        <v>0</v>
      </c>
      <c r="AB42" s="190">
        <v>0</v>
      </c>
      <c r="AC42" s="190">
        <v>0</v>
      </c>
      <c r="AD42" s="235">
        <v>0</v>
      </c>
      <c r="AE42" s="190">
        <v>0</v>
      </c>
      <c r="AF42" s="190">
        <v>0</v>
      </c>
      <c r="AG42" s="268">
        <v>0</v>
      </c>
      <c r="AH42" s="268">
        <v>0</v>
      </c>
      <c r="AI42" s="271">
        <v>0</v>
      </c>
      <c r="AJ42" s="271">
        <v>0</v>
      </c>
      <c r="AK42" s="271">
        <v>92.964494808387357</v>
      </c>
      <c r="AL42" s="268">
        <v>92.964494808387357</v>
      </c>
      <c r="AM42" s="270">
        <v>0</v>
      </c>
      <c r="AN42" s="270">
        <v>0</v>
      </c>
      <c r="AO42" s="237">
        <v>47.527920879149015</v>
      </c>
      <c r="AP42" s="234">
        <v>94.769514604013423</v>
      </c>
      <c r="AQ42" s="234">
        <v>33.992117132925209</v>
      </c>
      <c r="AR42" s="234">
        <v>34.467459563178956</v>
      </c>
    </row>
    <row r="43" spans="1:44" hidden="1" x14ac:dyDescent="0.25">
      <c r="A43" s="11">
        <v>40179</v>
      </c>
      <c r="B43" s="188"/>
      <c r="C43" s="252">
        <v>63.5265977625549</v>
      </c>
      <c r="D43" s="235">
        <v>55.24413332683875</v>
      </c>
      <c r="E43" s="190">
        <v>30.743731234583375</v>
      </c>
      <c r="F43" s="190">
        <v>49.269327816998143</v>
      </c>
      <c r="G43" s="190">
        <v>0</v>
      </c>
      <c r="H43" s="190">
        <v>26.365332834684239</v>
      </c>
      <c r="I43" s="190">
        <v>51.878616230425088</v>
      </c>
      <c r="J43" s="190">
        <v>0</v>
      </c>
      <c r="K43" s="355">
        <v>56.251813492802647</v>
      </c>
      <c r="L43" s="298">
        <v>0</v>
      </c>
      <c r="M43" s="298">
        <v>0</v>
      </c>
      <c r="N43" s="300">
        <v>0</v>
      </c>
      <c r="O43" s="190">
        <v>0</v>
      </c>
      <c r="P43" s="190">
        <v>0</v>
      </c>
      <c r="Q43" s="190">
        <v>0</v>
      </c>
      <c r="R43" s="190">
        <v>95.276190179601443</v>
      </c>
      <c r="S43" s="190">
        <v>0</v>
      </c>
      <c r="T43" s="190">
        <v>0</v>
      </c>
      <c r="U43" s="189">
        <v>35.860016446062637</v>
      </c>
      <c r="V43" s="298">
        <v>0</v>
      </c>
      <c r="W43" s="298">
        <v>0</v>
      </c>
      <c r="X43" s="298">
        <v>0</v>
      </c>
      <c r="Y43" s="269">
        <v>52.589452611723175</v>
      </c>
      <c r="Z43" s="189">
        <v>0</v>
      </c>
      <c r="AA43" s="190">
        <v>0</v>
      </c>
      <c r="AB43" s="190">
        <v>0</v>
      </c>
      <c r="AC43" s="190">
        <v>0</v>
      </c>
      <c r="AD43" s="235">
        <v>0</v>
      </c>
      <c r="AE43" s="190">
        <v>0</v>
      </c>
      <c r="AF43" s="190">
        <v>0</v>
      </c>
      <c r="AG43" s="268">
        <v>0</v>
      </c>
      <c r="AH43" s="268">
        <v>0</v>
      </c>
      <c r="AI43" s="271">
        <v>0</v>
      </c>
      <c r="AJ43" s="271">
        <v>0</v>
      </c>
      <c r="AK43" s="271">
        <v>122.04180430921514</v>
      </c>
      <c r="AL43" s="268">
        <v>122.04180430921514</v>
      </c>
      <c r="AM43" s="270">
        <v>0</v>
      </c>
      <c r="AN43" s="270">
        <v>0</v>
      </c>
      <c r="AO43" s="237">
        <v>28.833964801454691</v>
      </c>
      <c r="AP43" s="234">
        <v>68.754584227725445</v>
      </c>
      <c r="AQ43" s="234">
        <v>32.477635732843005</v>
      </c>
      <c r="AR43" s="234">
        <v>24.529052068013545</v>
      </c>
    </row>
    <row r="44" spans="1:44" hidden="1" x14ac:dyDescent="0.25">
      <c r="A44" s="11">
        <v>40210</v>
      </c>
      <c r="B44" s="188"/>
      <c r="C44" s="252">
        <v>70.062586676638105</v>
      </c>
      <c r="D44" s="235">
        <v>64.515483606289067</v>
      </c>
      <c r="E44" s="190">
        <v>37.798543719513269</v>
      </c>
      <c r="F44" s="190">
        <v>70.915695311376581</v>
      </c>
      <c r="G44" s="190">
        <v>0</v>
      </c>
      <c r="H44" s="190">
        <v>24.363892560729422</v>
      </c>
      <c r="I44" s="190">
        <v>58.364078089222694</v>
      </c>
      <c r="J44" s="190">
        <v>0</v>
      </c>
      <c r="K44" s="355">
        <v>59.44434626188707</v>
      </c>
      <c r="L44" s="298">
        <v>0</v>
      </c>
      <c r="M44" s="298">
        <v>0</v>
      </c>
      <c r="N44" s="300">
        <v>0</v>
      </c>
      <c r="O44" s="190">
        <v>0</v>
      </c>
      <c r="P44" s="190">
        <v>0</v>
      </c>
      <c r="Q44" s="190">
        <v>0</v>
      </c>
      <c r="R44" s="190">
        <v>95.866611077629329</v>
      </c>
      <c r="S44" s="190">
        <v>0</v>
      </c>
      <c r="T44" s="190">
        <v>0</v>
      </c>
      <c r="U44" s="189">
        <v>48.062655624909766</v>
      </c>
      <c r="V44" s="298">
        <v>0</v>
      </c>
      <c r="W44" s="298">
        <v>0</v>
      </c>
      <c r="X44" s="298">
        <v>0</v>
      </c>
      <c r="Y44" s="269">
        <v>210.2336259239043</v>
      </c>
      <c r="Z44" s="189">
        <v>0</v>
      </c>
      <c r="AA44" s="190">
        <v>0</v>
      </c>
      <c r="AB44" s="190">
        <v>0</v>
      </c>
      <c r="AC44" s="190">
        <v>0</v>
      </c>
      <c r="AD44" s="235">
        <v>0</v>
      </c>
      <c r="AE44" s="190">
        <v>0</v>
      </c>
      <c r="AF44" s="190">
        <v>0</v>
      </c>
      <c r="AG44" s="268">
        <v>0</v>
      </c>
      <c r="AH44" s="268">
        <v>0</v>
      </c>
      <c r="AI44" s="271">
        <v>0</v>
      </c>
      <c r="AJ44" s="271">
        <v>0</v>
      </c>
      <c r="AK44" s="271">
        <v>94.259398668785821</v>
      </c>
      <c r="AL44" s="268">
        <v>94.259398668785821</v>
      </c>
      <c r="AM44" s="270">
        <v>0</v>
      </c>
      <c r="AN44" s="270">
        <v>0</v>
      </c>
      <c r="AO44" s="237">
        <v>28.634885305656628</v>
      </c>
      <c r="AP44" s="234">
        <v>49.769991322740339</v>
      </c>
      <c r="AQ44" s="234">
        <v>22.598493104918386</v>
      </c>
      <c r="AR44" s="234">
        <v>21.890658473176725</v>
      </c>
    </row>
    <row r="45" spans="1:44" hidden="1" x14ac:dyDescent="0.25">
      <c r="A45" s="11">
        <v>40238</v>
      </c>
      <c r="B45" s="188"/>
      <c r="C45" s="252">
        <v>68.389619967876172</v>
      </c>
      <c r="D45" s="235">
        <v>60.403204975564982</v>
      </c>
      <c r="E45" s="190">
        <v>35.090947627283931</v>
      </c>
      <c r="F45" s="190">
        <v>69.061132111402642</v>
      </c>
      <c r="G45" s="190">
        <v>0</v>
      </c>
      <c r="H45" s="190">
        <v>57.415846326012179</v>
      </c>
      <c r="I45" s="190">
        <v>53.244435977976927</v>
      </c>
      <c r="J45" s="190">
        <v>0</v>
      </c>
      <c r="K45" s="355">
        <v>61.718971271281163</v>
      </c>
      <c r="L45" s="298">
        <v>0</v>
      </c>
      <c r="M45" s="298">
        <v>0</v>
      </c>
      <c r="N45" s="300">
        <v>0</v>
      </c>
      <c r="O45" s="190">
        <v>0</v>
      </c>
      <c r="P45" s="190">
        <v>0</v>
      </c>
      <c r="Q45" s="190">
        <v>0</v>
      </c>
      <c r="R45" s="190">
        <v>96.589412045219305</v>
      </c>
      <c r="S45" s="190">
        <v>0</v>
      </c>
      <c r="T45" s="190">
        <v>0</v>
      </c>
      <c r="U45" s="189">
        <v>45.119257906095463</v>
      </c>
      <c r="V45" s="298">
        <v>0</v>
      </c>
      <c r="W45" s="298">
        <v>0</v>
      </c>
      <c r="X45" s="298">
        <v>0</v>
      </c>
      <c r="Y45" s="269">
        <v>170.63688947735906</v>
      </c>
      <c r="Z45" s="189">
        <v>0</v>
      </c>
      <c r="AA45" s="190">
        <v>0</v>
      </c>
      <c r="AB45" s="190">
        <v>0</v>
      </c>
      <c r="AC45" s="190">
        <v>0</v>
      </c>
      <c r="AD45" s="235">
        <v>0</v>
      </c>
      <c r="AE45" s="190">
        <v>0</v>
      </c>
      <c r="AF45" s="190">
        <v>0</v>
      </c>
      <c r="AG45" s="268">
        <v>0</v>
      </c>
      <c r="AH45" s="268">
        <v>0</v>
      </c>
      <c r="AI45" s="271">
        <v>0</v>
      </c>
      <c r="AJ45" s="271">
        <v>0</v>
      </c>
      <c r="AK45" s="271">
        <v>74.103520007408321</v>
      </c>
      <c r="AL45" s="268">
        <v>74.103520007408321</v>
      </c>
      <c r="AM45" s="270">
        <v>0</v>
      </c>
      <c r="AN45" s="270">
        <v>0</v>
      </c>
      <c r="AO45" s="237">
        <v>34.399030223930211</v>
      </c>
      <c r="AP45" s="234">
        <v>56.519178919241263</v>
      </c>
      <c r="AQ45" s="234">
        <v>28.501423004481943</v>
      </c>
      <c r="AR45" s="234">
        <v>31.83242353501155</v>
      </c>
    </row>
    <row r="46" spans="1:44" hidden="1" x14ac:dyDescent="0.25">
      <c r="A46" s="11">
        <v>40269</v>
      </c>
      <c r="B46" s="188"/>
      <c r="C46" s="252">
        <v>68.30516315308094</v>
      </c>
      <c r="D46" s="235">
        <v>61.614508180813942</v>
      </c>
      <c r="E46" s="190">
        <v>32.100084219842017</v>
      </c>
      <c r="F46" s="190">
        <v>86.855554885074625</v>
      </c>
      <c r="G46" s="190">
        <v>0</v>
      </c>
      <c r="H46" s="190">
        <v>44.934054930976771</v>
      </c>
      <c r="I46" s="190">
        <v>52.828667265654168</v>
      </c>
      <c r="J46" s="190">
        <v>0</v>
      </c>
      <c r="K46" s="355">
        <v>55.002514901523718</v>
      </c>
      <c r="L46" s="298">
        <v>0</v>
      </c>
      <c r="M46" s="298">
        <v>0</v>
      </c>
      <c r="N46" s="300">
        <v>0</v>
      </c>
      <c r="O46" s="190">
        <v>0</v>
      </c>
      <c r="P46" s="190">
        <v>0</v>
      </c>
      <c r="Q46" s="190">
        <v>0</v>
      </c>
      <c r="R46" s="190">
        <v>105.80163766623326</v>
      </c>
      <c r="S46" s="190">
        <v>0</v>
      </c>
      <c r="T46" s="190">
        <v>0</v>
      </c>
      <c r="U46" s="189">
        <v>33.601107197648247</v>
      </c>
      <c r="V46" s="298">
        <v>0</v>
      </c>
      <c r="W46" s="298">
        <v>0</v>
      </c>
      <c r="X46" s="298">
        <v>0</v>
      </c>
      <c r="Y46" s="269">
        <v>147.78882053269683</v>
      </c>
      <c r="Z46" s="189">
        <v>0</v>
      </c>
      <c r="AA46" s="190">
        <v>0</v>
      </c>
      <c r="AB46" s="190">
        <v>0</v>
      </c>
      <c r="AC46" s="190">
        <v>0</v>
      </c>
      <c r="AD46" s="235">
        <v>0</v>
      </c>
      <c r="AE46" s="190">
        <v>0</v>
      </c>
      <c r="AF46" s="190">
        <v>0</v>
      </c>
      <c r="AG46" s="268">
        <v>0</v>
      </c>
      <c r="AH46" s="268">
        <v>0</v>
      </c>
      <c r="AI46" s="271">
        <v>0</v>
      </c>
      <c r="AJ46" s="271">
        <v>0</v>
      </c>
      <c r="AK46" s="271">
        <v>86.299337558003117</v>
      </c>
      <c r="AL46" s="268">
        <v>86.299337558003117</v>
      </c>
      <c r="AM46" s="270">
        <v>0</v>
      </c>
      <c r="AN46" s="270">
        <v>0</v>
      </c>
      <c r="AO46" s="237">
        <v>34.384379720708964</v>
      </c>
      <c r="AP46" s="234">
        <v>60.17948803923214</v>
      </c>
      <c r="AQ46" s="234">
        <v>28.035867567386543</v>
      </c>
      <c r="AR46" s="234">
        <v>23.467798808744398</v>
      </c>
    </row>
    <row r="47" spans="1:44" hidden="1" x14ac:dyDescent="0.25">
      <c r="A47" s="11">
        <v>40299</v>
      </c>
      <c r="B47" s="188"/>
      <c r="C47" s="252">
        <v>73.924836860075942</v>
      </c>
      <c r="D47" s="235">
        <v>65.279001386721973</v>
      </c>
      <c r="E47" s="190">
        <v>44.384048761277207</v>
      </c>
      <c r="F47" s="190">
        <v>79.393186632193292</v>
      </c>
      <c r="G47" s="190">
        <v>0</v>
      </c>
      <c r="H47" s="190">
        <v>48.388643807647483</v>
      </c>
      <c r="I47" s="190">
        <v>56.066872498305869</v>
      </c>
      <c r="J47" s="190">
        <v>0</v>
      </c>
      <c r="K47" s="355">
        <v>54.073243633464614</v>
      </c>
      <c r="L47" s="298">
        <v>0</v>
      </c>
      <c r="M47" s="298">
        <v>0</v>
      </c>
      <c r="N47" s="300">
        <v>0</v>
      </c>
      <c r="O47" s="190">
        <v>0</v>
      </c>
      <c r="P47" s="190">
        <v>0</v>
      </c>
      <c r="Q47" s="190">
        <v>0</v>
      </c>
      <c r="R47" s="190">
        <v>100.47451144979016</v>
      </c>
      <c r="S47" s="190">
        <v>0</v>
      </c>
      <c r="T47" s="190">
        <v>0</v>
      </c>
      <c r="U47" s="189">
        <v>59.525775747352149</v>
      </c>
      <c r="V47" s="298">
        <v>0</v>
      </c>
      <c r="W47" s="298">
        <v>0</v>
      </c>
      <c r="X47" s="298">
        <v>0</v>
      </c>
      <c r="Y47" s="269">
        <v>204.94404707223424</v>
      </c>
      <c r="Z47" s="189">
        <v>0</v>
      </c>
      <c r="AA47" s="190">
        <v>0</v>
      </c>
      <c r="AB47" s="190">
        <v>0</v>
      </c>
      <c r="AC47" s="190">
        <v>0</v>
      </c>
      <c r="AD47" s="235">
        <v>0</v>
      </c>
      <c r="AE47" s="190">
        <v>0</v>
      </c>
      <c r="AF47" s="190">
        <v>0</v>
      </c>
      <c r="AG47" s="268">
        <v>0</v>
      </c>
      <c r="AH47" s="268">
        <v>0</v>
      </c>
      <c r="AI47" s="271">
        <v>0</v>
      </c>
      <c r="AJ47" s="271">
        <v>0</v>
      </c>
      <c r="AK47" s="271">
        <v>82.421886262400889</v>
      </c>
      <c r="AL47" s="268">
        <v>82.421886262400889</v>
      </c>
      <c r="AM47" s="270">
        <v>0</v>
      </c>
      <c r="AN47" s="270">
        <v>0</v>
      </c>
      <c r="AO47" s="237">
        <v>35.882384201103605</v>
      </c>
      <c r="AP47" s="234">
        <v>58.890747660095165</v>
      </c>
      <c r="AQ47" s="234">
        <v>25.092626025150381</v>
      </c>
      <c r="AR47" s="234">
        <v>27.809757822116392</v>
      </c>
    </row>
    <row r="48" spans="1:44" hidden="1" x14ac:dyDescent="0.25">
      <c r="A48" s="11">
        <v>40330</v>
      </c>
      <c r="B48" s="188"/>
      <c r="C48" s="252">
        <v>67.069714581795338</v>
      </c>
      <c r="D48" s="235">
        <v>62.921471798627564</v>
      </c>
      <c r="E48" s="190">
        <v>48.834572206996221</v>
      </c>
      <c r="F48" s="190">
        <v>56.213575919965592</v>
      </c>
      <c r="G48" s="190">
        <v>0</v>
      </c>
      <c r="H48" s="190">
        <v>44.619422675033356</v>
      </c>
      <c r="I48" s="190">
        <v>56.182757387724052</v>
      </c>
      <c r="J48" s="190">
        <v>0</v>
      </c>
      <c r="K48" s="355">
        <v>53.045476621668172</v>
      </c>
      <c r="L48" s="298">
        <v>0</v>
      </c>
      <c r="M48" s="298">
        <v>0</v>
      </c>
      <c r="N48" s="300">
        <v>0</v>
      </c>
      <c r="O48" s="190">
        <v>0</v>
      </c>
      <c r="P48" s="190">
        <v>0</v>
      </c>
      <c r="Q48" s="190">
        <v>0</v>
      </c>
      <c r="R48" s="190">
        <v>102.18762899459314</v>
      </c>
      <c r="S48" s="190">
        <v>0</v>
      </c>
      <c r="T48" s="190">
        <v>0</v>
      </c>
      <c r="U48" s="189">
        <v>35.161620330572141</v>
      </c>
      <c r="V48" s="298">
        <v>0</v>
      </c>
      <c r="W48" s="298">
        <v>0</v>
      </c>
      <c r="X48" s="298">
        <v>0</v>
      </c>
      <c r="Y48" s="269">
        <v>118.39048781068364</v>
      </c>
      <c r="Z48" s="189">
        <v>0</v>
      </c>
      <c r="AA48" s="190">
        <v>0</v>
      </c>
      <c r="AB48" s="190">
        <v>0</v>
      </c>
      <c r="AC48" s="190">
        <v>0</v>
      </c>
      <c r="AD48" s="235">
        <v>0</v>
      </c>
      <c r="AE48" s="190">
        <v>0</v>
      </c>
      <c r="AF48" s="190">
        <v>0</v>
      </c>
      <c r="AG48" s="268">
        <v>0</v>
      </c>
      <c r="AH48" s="268">
        <v>0</v>
      </c>
      <c r="AI48" s="271">
        <v>0</v>
      </c>
      <c r="AJ48" s="271">
        <v>0</v>
      </c>
      <c r="AK48" s="271">
        <v>74.89813593423213</v>
      </c>
      <c r="AL48" s="268">
        <v>74.89813593423213</v>
      </c>
      <c r="AM48" s="270">
        <v>0</v>
      </c>
      <c r="AN48" s="270">
        <v>0</v>
      </c>
      <c r="AO48" s="237">
        <v>41.71549556460986</v>
      </c>
      <c r="AP48" s="234">
        <v>55.059378666304504</v>
      </c>
      <c r="AQ48" s="234">
        <v>28.326983344262278</v>
      </c>
      <c r="AR48" s="234">
        <v>28.77830154044619</v>
      </c>
    </row>
    <row r="49" spans="1:44" hidden="1" x14ac:dyDescent="0.25">
      <c r="A49" s="11">
        <v>40360</v>
      </c>
      <c r="B49" s="188"/>
      <c r="C49" s="252">
        <v>66.716491216533782</v>
      </c>
      <c r="D49" s="235">
        <v>60.454277822814738</v>
      </c>
      <c r="E49" s="190">
        <v>26.339369351497496</v>
      </c>
      <c r="F49" s="190">
        <v>56.914023812565894</v>
      </c>
      <c r="G49" s="190">
        <v>0</v>
      </c>
      <c r="H49" s="190">
        <v>38.986028275681278</v>
      </c>
      <c r="I49" s="190">
        <v>57.297990791476415</v>
      </c>
      <c r="J49" s="190">
        <v>0</v>
      </c>
      <c r="K49" s="355">
        <v>47.589304768264469</v>
      </c>
      <c r="L49" s="298">
        <v>0</v>
      </c>
      <c r="M49" s="298">
        <v>0</v>
      </c>
      <c r="N49" s="300">
        <v>0</v>
      </c>
      <c r="O49" s="190">
        <v>0</v>
      </c>
      <c r="P49" s="190">
        <v>0</v>
      </c>
      <c r="Q49" s="190">
        <v>0</v>
      </c>
      <c r="R49" s="190">
        <v>99.323238743189776</v>
      </c>
      <c r="S49" s="190">
        <v>0</v>
      </c>
      <c r="T49" s="190">
        <v>0</v>
      </c>
      <c r="U49" s="189">
        <v>39.308394819512877</v>
      </c>
      <c r="V49" s="298">
        <v>0</v>
      </c>
      <c r="W49" s="298">
        <v>0</v>
      </c>
      <c r="X49" s="298">
        <v>0</v>
      </c>
      <c r="Y49" s="269">
        <v>84.906109336258538</v>
      </c>
      <c r="Z49" s="189">
        <v>0</v>
      </c>
      <c r="AA49" s="190">
        <v>0</v>
      </c>
      <c r="AB49" s="190">
        <v>0</v>
      </c>
      <c r="AC49" s="190">
        <v>0</v>
      </c>
      <c r="AD49" s="235">
        <v>0</v>
      </c>
      <c r="AE49" s="190">
        <v>0</v>
      </c>
      <c r="AF49" s="190">
        <v>0</v>
      </c>
      <c r="AG49" s="268">
        <v>0</v>
      </c>
      <c r="AH49" s="268">
        <v>0</v>
      </c>
      <c r="AI49" s="271">
        <v>0</v>
      </c>
      <c r="AJ49" s="271">
        <v>0</v>
      </c>
      <c r="AK49" s="271">
        <v>62.756395643683412</v>
      </c>
      <c r="AL49" s="268">
        <v>62.756395643683412</v>
      </c>
      <c r="AM49" s="270">
        <v>0</v>
      </c>
      <c r="AN49" s="270">
        <v>0</v>
      </c>
      <c r="AO49" s="237">
        <v>40.404680219249208</v>
      </c>
      <c r="AP49" s="234">
        <v>79.851446447353894</v>
      </c>
      <c r="AQ49" s="234">
        <v>39.326214222895018</v>
      </c>
      <c r="AR49" s="234">
        <v>29.354739156074647</v>
      </c>
    </row>
    <row r="50" spans="1:44" hidden="1" x14ac:dyDescent="0.25">
      <c r="A50" s="11">
        <v>40391</v>
      </c>
      <c r="B50" s="188"/>
      <c r="C50" s="252">
        <v>69.618405628035163</v>
      </c>
      <c r="D50" s="235">
        <v>57.780824288962911</v>
      </c>
      <c r="E50" s="190">
        <v>28.878992149567704</v>
      </c>
      <c r="F50" s="190">
        <v>49.513925759937855</v>
      </c>
      <c r="G50" s="190">
        <v>0</v>
      </c>
      <c r="H50" s="190">
        <v>38.318078667631063</v>
      </c>
      <c r="I50" s="190">
        <v>54.833290135861823</v>
      </c>
      <c r="J50" s="190">
        <v>0</v>
      </c>
      <c r="K50" s="355">
        <v>45.192737113956618</v>
      </c>
      <c r="L50" s="298">
        <v>0</v>
      </c>
      <c r="M50" s="298">
        <v>0</v>
      </c>
      <c r="N50" s="300">
        <v>0</v>
      </c>
      <c r="O50" s="190">
        <v>0</v>
      </c>
      <c r="P50" s="190">
        <v>0</v>
      </c>
      <c r="Q50" s="190">
        <v>0</v>
      </c>
      <c r="R50" s="190">
        <v>101.22266368348473</v>
      </c>
      <c r="S50" s="190">
        <v>0</v>
      </c>
      <c r="T50" s="190">
        <v>0</v>
      </c>
      <c r="U50" s="189">
        <v>52.211154399387574</v>
      </c>
      <c r="V50" s="298">
        <v>0</v>
      </c>
      <c r="W50" s="298">
        <v>0</v>
      </c>
      <c r="X50" s="298">
        <v>0</v>
      </c>
      <c r="Y50" s="269">
        <v>144.13263291651077</v>
      </c>
      <c r="Z50" s="189">
        <v>0</v>
      </c>
      <c r="AA50" s="190">
        <v>0</v>
      </c>
      <c r="AB50" s="190">
        <v>0</v>
      </c>
      <c r="AC50" s="190">
        <v>0</v>
      </c>
      <c r="AD50" s="235">
        <v>0</v>
      </c>
      <c r="AE50" s="190">
        <v>0</v>
      </c>
      <c r="AF50" s="190">
        <v>0</v>
      </c>
      <c r="AG50" s="268">
        <v>0</v>
      </c>
      <c r="AH50" s="268">
        <v>0</v>
      </c>
      <c r="AI50" s="271">
        <v>0</v>
      </c>
      <c r="AJ50" s="271">
        <v>0</v>
      </c>
      <c r="AK50" s="271">
        <v>77.361528578272285</v>
      </c>
      <c r="AL50" s="268">
        <v>77.361528578272285</v>
      </c>
      <c r="AM50" s="270">
        <v>0</v>
      </c>
      <c r="AN50" s="270">
        <v>0</v>
      </c>
      <c r="AO50" s="237">
        <v>37.223731013818814</v>
      </c>
      <c r="AP50" s="234">
        <v>61.902894571406854</v>
      </c>
      <c r="AQ50" s="234">
        <v>32.639335549996318</v>
      </c>
      <c r="AR50" s="234">
        <v>35.502074083470497</v>
      </c>
    </row>
    <row r="51" spans="1:44" hidden="1" x14ac:dyDescent="0.25">
      <c r="A51" s="11">
        <v>40422</v>
      </c>
      <c r="B51" s="188"/>
      <c r="C51" s="252">
        <v>66.623662426921825</v>
      </c>
      <c r="D51" s="235">
        <v>62.637804025714686</v>
      </c>
      <c r="E51" s="190">
        <v>36.812717697454197</v>
      </c>
      <c r="F51" s="190">
        <v>57.068629607624715</v>
      </c>
      <c r="G51" s="190">
        <v>0</v>
      </c>
      <c r="H51" s="190">
        <v>52.428767229309493</v>
      </c>
      <c r="I51" s="190">
        <v>57.61158357475076</v>
      </c>
      <c r="J51" s="190">
        <v>0</v>
      </c>
      <c r="K51" s="355">
        <v>58.259131953371089</v>
      </c>
      <c r="L51" s="298">
        <v>0</v>
      </c>
      <c r="M51" s="298">
        <v>0</v>
      </c>
      <c r="N51" s="300">
        <v>0</v>
      </c>
      <c r="O51" s="190">
        <v>0</v>
      </c>
      <c r="P51" s="190">
        <v>0</v>
      </c>
      <c r="Q51" s="190">
        <v>0</v>
      </c>
      <c r="R51" s="190">
        <v>99.736252149130294</v>
      </c>
      <c r="S51" s="190">
        <v>0</v>
      </c>
      <c r="T51" s="190">
        <v>0</v>
      </c>
      <c r="U51" s="189">
        <v>39.34903983535407</v>
      </c>
      <c r="V51" s="298">
        <v>0</v>
      </c>
      <c r="W51" s="298">
        <v>0</v>
      </c>
      <c r="X51" s="298">
        <v>0</v>
      </c>
      <c r="Y51" s="269">
        <v>94.301593671184534</v>
      </c>
      <c r="Z51" s="189">
        <v>0</v>
      </c>
      <c r="AA51" s="190">
        <v>0</v>
      </c>
      <c r="AB51" s="190">
        <v>0</v>
      </c>
      <c r="AC51" s="190">
        <v>0</v>
      </c>
      <c r="AD51" s="235">
        <v>0</v>
      </c>
      <c r="AE51" s="190">
        <v>0</v>
      </c>
      <c r="AF51" s="190">
        <v>0</v>
      </c>
      <c r="AG51" s="268">
        <v>0</v>
      </c>
      <c r="AH51" s="268">
        <v>0</v>
      </c>
      <c r="AI51" s="271">
        <v>0</v>
      </c>
      <c r="AJ51" s="271">
        <v>0</v>
      </c>
      <c r="AK51" s="271">
        <v>71.126346298595635</v>
      </c>
      <c r="AL51" s="268">
        <v>71.126346298595635</v>
      </c>
      <c r="AM51" s="270">
        <v>0</v>
      </c>
      <c r="AN51" s="270">
        <v>0</v>
      </c>
      <c r="AO51" s="237">
        <v>36.429044541317779</v>
      </c>
      <c r="AP51" s="234">
        <v>70.563338700368917</v>
      </c>
      <c r="AQ51" s="234">
        <v>32.944849864222036</v>
      </c>
      <c r="AR51" s="234">
        <v>29.598215313929174</v>
      </c>
    </row>
    <row r="52" spans="1:44" hidden="1" x14ac:dyDescent="0.25">
      <c r="A52" s="11">
        <v>40452</v>
      </c>
      <c r="B52" s="188"/>
      <c r="C52" s="252">
        <v>67.190730168521739</v>
      </c>
      <c r="D52" s="235">
        <v>70.879052408342076</v>
      </c>
      <c r="E52" s="190">
        <v>32.980802722514852</v>
      </c>
      <c r="F52" s="190">
        <v>53.058449248842621</v>
      </c>
      <c r="G52" s="190">
        <v>0</v>
      </c>
      <c r="H52" s="190">
        <v>51.388885132306967</v>
      </c>
      <c r="I52" s="190">
        <v>68.758315596871697</v>
      </c>
      <c r="J52" s="190">
        <v>0</v>
      </c>
      <c r="K52" s="355">
        <v>57.544773668332304</v>
      </c>
      <c r="L52" s="298">
        <v>0</v>
      </c>
      <c r="M52" s="298">
        <v>0</v>
      </c>
      <c r="N52" s="300">
        <v>0</v>
      </c>
      <c r="O52" s="190">
        <v>0</v>
      </c>
      <c r="P52" s="190">
        <v>0</v>
      </c>
      <c r="Q52" s="190">
        <v>0</v>
      </c>
      <c r="R52" s="190">
        <v>101.58638890084994</v>
      </c>
      <c r="S52" s="190">
        <v>0</v>
      </c>
      <c r="T52" s="190">
        <v>0</v>
      </c>
      <c r="U52" s="189">
        <v>31.071665634045178</v>
      </c>
      <c r="V52" s="298">
        <v>0</v>
      </c>
      <c r="W52" s="298">
        <v>0</v>
      </c>
      <c r="X52" s="298">
        <v>0</v>
      </c>
      <c r="Y52" s="269">
        <v>120.86989779401131</v>
      </c>
      <c r="Z52" s="189">
        <v>0</v>
      </c>
      <c r="AA52" s="190">
        <v>0</v>
      </c>
      <c r="AB52" s="190">
        <v>0</v>
      </c>
      <c r="AC52" s="190">
        <v>0</v>
      </c>
      <c r="AD52" s="235">
        <v>0</v>
      </c>
      <c r="AE52" s="190">
        <v>0</v>
      </c>
      <c r="AF52" s="190">
        <v>0</v>
      </c>
      <c r="AG52" s="268">
        <v>0</v>
      </c>
      <c r="AH52" s="268">
        <v>0</v>
      </c>
      <c r="AI52" s="271">
        <v>0</v>
      </c>
      <c r="AJ52" s="271">
        <v>0</v>
      </c>
      <c r="AK52" s="271">
        <v>88.383815867942218</v>
      </c>
      <c r="AL52" s="268">
        <v>88.383815867942218</v>
      </c>
      <c r="AM52" s="270">
        <v>0</v>
      </c>
      <c r="AN52" s="270">
        <v>0</v>
      </c>
      <c r="AO52" s="237">
        <v>39.119440200507093</v>
      </c>
      <c r="AP52" s="234">
        <v>60.529841557270963</v>
      </c>
      <c r="AQ52" s="234">
        <v>33.924215384366917</v>
      </c>
      <c r="AR52" s="234">
        <v>28.85086854879529</v>
      </c>
    </row>
    <row r="53" spans="1:44" hidden="1" x14ac:dyDescent="0.25">
      <c r="A53" s="11">
        <v>40483</v>
      </c>
      <c r="B53" s="188"/>
      <c r="C53" s="252">
        <v>73.985064591745115</v>
      </c>
      <c r="D53" s="235">
        <v>70.181012568704745</v>
      </c>
      <c r="E53" s="190">
        <v>27.462633697817434</v>
      </c>
      <c r="F53" s="190">
        <v>48.820442278304157</v>
      </c>
      <c r="G53" s="190">
        <v>0</v>
      </c>
      <c r="H53" s="190">
        <v>45.623040503051186</v>
      </c>
      <c r="I53" s="190">
        <v>70.411278377351294</v>
      </c>
      <c r="J53" s="190">
        <v>0</v>
      </c>
      <c r="K53" s="355">
        <v>79.999466816721849</v>
      </c>
      <c r="L53" s="298">
        <v>0</v>
      </c>
      <c r="M53" s="298">
        <v>0</v>
      </c>
      <c r="N53" s="300">
        <v>0</v>
      </c>
      <c r="O53" s="190">
        <v>0</v>
      </c>
      <c r="P53" s="190">
        <v>0</v>
      </c>
      <c r="Q53" s="190">
        <v>0</v>
      </c>
      <c r="R53" s="190">
        <v>88.680077968638855</v>
      </c>
      <c r="S53" s="190">
        <v>0</v>
      </c>
      <c r="T53" s="190">
        <v>0</v>
      </c>
      <c r="U53" s="189">
        <v>61.559002082946293</v>
      </c>
      <c r="V53" s="298">
        <v>0</v>
      </c>
      <c r="W53" s="298">
        <v>0</v>
      </c>
      <c r="X53" s="298">
        <v>0</v>
      </c>
      <c r="Y53" s="269">
        <v>87.908602269476262</v>
      </c>
      <c r="Z53" s="189">
        <v>0</v>
      </c>
      <c r="AA53" s="190">
        <v>0</v>
      </c>
      <c r="AB53" s="190">
        <v>0</v>
      </c>
      <c r="AC53" s="190">
        <v>0</v>
      </c>
      <c r="AD53" s="235">
        <v>0</v>
      </c>
      <c r="AE53" s="190">
        <v>0</v>
      </c>
      <c r="AF53" s="190">
        <v>0</v>
      </c>
      <c r="AG53" s="268">
        <v>0</v>
      </c>
      <c r="AH53" s="268">
        <v>0</v>
      </c>
      <c r="AI53" s="271">
        <v>0</v>
      </c>
      <c r="AJ53" s="271">
        <v>0</v>
      </c>
      <c r="AK53" s="271">
        <v>101.17548841372309</v>
      </c>
      <c r="AL53" s="268">
        <v>101.17548841372309</v>
      </c>
      <c r="AM53" s="270">
        <v>0</v>
      </c>
      <c r="AN53" s="270">
        <v>0</v>
      </c>
      <c r="AO53" s="237">
        <v>41.354814538110908</v>
      </c>
      <c r="AP53" s="234">
        <v>75.050442883904481</v>
      </c>
      <c r="AQ53" s="234">
        <v>40.175189393508468</v>
      </c>
      <c r="AR53" s="234">
        <v>29.722386928898512</v>
      </c>
    </row>
    <row r="54" spans="1:44" hidden="1" x14ac:dyDescent="0.25">
      <c r="A54" s="11">
        <v>40513</v>
      </c>
      <c r="B54" s="188"/>
      <c r="C54" s="252">
        <v>78.35955727218888</v>
      </c>
      <c r="D54" s="235">
        <v>59.172070079374897</v>
      </c>
      <c r="E54" s="190">
        <v>27.382471684046376</v>
      </c>
      <c r="F54" s="190">
        <v>43.688617399599991</v>
      </c>
      <c r="G54" s="190">
        <v>0</v>
      </c>
      <c r="H54" s="190">
        <v>46.654350911108509</v>
      </c>
      <c r="I54" s="190">
        <v>56.508805765722428</v>
      </c>
      <c r="J54" s="190">
        <v>0</v>
      </c>
      <c r="K54" s="355">
        <v>69.030122852243437</v>
      </c>
      <c r="L54" s="298">
        <v>0</v>
      </c>
      <c r="M54" s="298">
        <v>0</v>
      </c>
      <c r="N54" s="300">
        <v>0</v>
      </c>
      <c r="O54" s="190">
        <v>0</v>
      </c>
      <c r="P54" s="190">
        <v>0</v>
      </c>
      <c r="Q54" s="190">
        <v>0</v>
      </c>
      <c r="R54" s="190">
        <v>115.90401583902596</v>
      </c>
      <c r="S54" s="190">
        <v>0</v>
      </c>
      <c r="T54" s="190">
        <v>0</v>
      </c>
      <c r="U54" s="189">
        <v>50.30924370465376</v>
      </c>
      <c r="V54" s="298">
        <v>0</v>
      </c>
      <c r="W54" s="298">
        <v>0</v>
      </c>
      <c r="X54" s="298">
        <v>0</v>
      </c>
      <c r="Y54" s="269">
        <v>85.201327649457454</v>
      </c>
      <c r="Z54" s="189">
        <v>0</v>
      </c>
      <c r="AA54" s="190">
        <v>0</v>
      </c>
      <c r="AB54" s="190">
        <v>0</v>
      </c>
      <c r="AC54" s="190">
        <v>0</v>
      </c>
      <c r="AD54" s="235">
        <v>0</v>
      </c>
      <c r="AE54" s="190">
        <v>0</v>
      </c>
      <c r="AF54" s="190">
        <v>0</v>
      </c>
      <c r="AG54" s="268">
        <v>0</v>
      </c>
      <c r="AH54" s="268">
        <v>0</v>
      </c>
      <c r="AI54" s="271">
        <v>0</v>
      </c>
      <c r="AJ54" s="271">
        <v>0</v>
      </c>
      <c r="AK54" s="271">
        <v>36.178959432025692</v>
      </c>
      <c r="AL54" s="268">
        <v>36.178959432025692</v>
      </c>
      <c r="AM54" s="270">
        <v>0</v>
      </c>
      <c r="AN54" s="270">
        <v>0</v>
      </c>
      <c r="AO54" s="237">
        <v>55.857506902406691</v>
      </c>
      <c r="AP54" s="234">
        <v>92.524681456395399</v>
      </c>
      <c r="AQ54" s="234">
        <v>43.771119011446729</v>
      </c>
      <c r="AR54" s="234">
        <v>43.76546332460579</v>
      </c>
    </row>
    <row r="55" spans="1:44" hidden="1" x14ac:dyDescent="0.25">
      <c r="A55" s="11">
        <v>40544</v>
      </c>
      <c r="B55" s="188"/>
      <c r="C55" s="252">
        <v>65.664215342348911</v>
      </c>
      <c r="D55" s="235">
        <v>57.882484739429465</v>
      </c>
      <c r="E55" s="190">
        <v>23.80002742151629</v>
      </c>
      <c r="F55" s="190">
        <v>47.569350944009827</v>
      </c>
      <c r="G55" s="190">
        <v>0</v>
      </c>
      <c r="H55" s="190">
        <v>48.100735948146223</v>
      </c>
      <c r="I55" s="190">
        <v>54.696570482804759</v>
      </c>
      <c r="J55" s="190">
        <v>0</v>
      </c>
      <c r="K55" s="355">
        <v>77.927299353228904</v>
      </c>
      <c r="L55" s="298">
        <v>0</v>
      </c>
      <c r="M55" s="298">
        <v>0</v>
      </c>
      <c r="N55" s="300">
        <v>0</v>
      </c>
      <c r="O55" s="190">
        <v>0</v>
      </c>
      <c r="P55" s="190">
        <v>0</v>
      </c>
      <c r="Q55" s="190">
        <v>0</v>
      </c>
      <c r="R55" s="190">
        <v>99.672746389602963</v>
      </c>
      <c r="S55" s="190">
        <v>0</v>
      </c>
      <c r="T55" s="190">
        <v>0</v>
      </c>
      <c r="U55" s="189">
        <v>29.140543208712725</v>
      </c>
      <c r="V55" s="298">
        <v>0</v>
      </c>
      <c r="W55" s="298">
        <v>0</v>
      </c>
      <c r="X55" s="298">
        <v>0</v>
      </c>
      <c r="Y55" s="269">
        <v>86.5073215582551</v>
      </c>
      <c r="Z55" s="189">
        <v>0</v>
      </c>
      <c r="AA55" s="190">
        <v>0</v>
      </c>
      <c r="AB55" s="190">
        <v>0</v>
      </c>
      <c r="AC55" s="190">
        <v>0</v>
      </c>
      <c r="AD55" s="235">
        <v>0</v>
      </c>
      <c r="AE55" s="190">
        <v>0</v>
      </c>
      <c r="AF55" s="190">
        <v>0</v>
      </c>
      <c r="AG55" s="268">
        <v>0</v>
      </c>
      <c r="AH55" s="268">
        <v>0</v>
      </c>
      <c r="AI55" s="271">
        <v>0</v>
      </c>
      <c r="AJ55" s="271">
        <v>0</v>
      </c>
      <c r="AK55" s="271">
        <v>129.10042353151613</v>
      </c>
      <c r="AL55" s="268">
        <v>129.10042353151613</v>
      </c>
      <c r="AM55" s="270">
        <v>0</v>
      </c>
      <c r="AN55" s="270">
        <v>0</v>
      </c>
      <c r="AO55" s="237">
        <v>41.848938719224918</v>
      </c>
      <c r="AP55" s="234">
        <v>67.239343985827787</v>
      </c>
      <c r="AQ55" s="234">
        <v>28.177985029755195</v>
      </c>
      <c r="AR55" s="234">
        <v>33.907722690682441</v>
      </c>
    </row>
    <row r="56" spans="1:44" hidden="1" x14ac:dyDescent="0.25">
      <c r="A56" s="11">
        <v>40575</v>
      </c>
      <c r="B56" s="188"/>
      <c r="C56" s="252">
        <v>72.398474973027703</v>
      </c>
      <c r="D56" s="235">
        <v>73.767160915151962</v>
      </c>
      <c r="E56" s="190">
        <v>27.493349565819177</v>
      </c>
      <c r="F56" s="190">
        <v>57.213885307688642</v>
      </c>
      <c r="G56" s="190">
        <v>0</v>
      </c>
      <c r="H56" s="190">
        <v>47.523044962650943</v>
      </c>
      <c r="I56" s="190">
        <v>73.34298960691298</v>
      </c>
      <c r="J56" s="190">
        <v>0</v>
      </c>
      <c r="K56" s="355">
        <v>79.089073204886773</v>
      </c>
      <c r="L56" s="298">
        <v>0</v>
      </c>
      <c r="M56" s="298">
        <v>0</v>
      </c>
      <c r="N56" s="300">
        <v>0</v>
      </c>
      <c r="O56" s="190">
        <v>0</v>
      </c>
      <c r="P56" s="190">
        <v>0</v>
      </c>
      <c r="Q56" s="190">
        <v>0</v>
      </c>
      <c r="R56" s="190">
        <v>90.595975596699077</v>
      </c>
      <c r="S56" s="190">
        <v>0</v>
      </c>
      <c r="T56" s="190">
        <v>0</v>
      </c>
      <c r="U56" s="189">
        <v>53.775063877658667</v>
      </c>
      <c r="V56" s="298">
        <v>0</v>
      </c>
      <c r="W56" s="298">
        <v>0</v>
      </c>
      <c r="X56" s="298">
        <v>0</v>
      </c>
      <c r="Y56" s="269">
        <v>93.689247135314076</v>
      </c>
      <c r="Z56" s="189">
        <v>0</v>
      </c>
      <c r="AA56" s="190">
        <v>0</v>
      </c>
      <c r="AB56" s="190">
        <v>0</v>
      </c>
      <c r="AC56" s="190">
        <v>0</v>
      </c>
      <c r="AD56" s="235">
        <v>0</v>
      </c>
      <c r="AE56" s="190">
        <v>0</v>
      </c>
      <c r="AF56" s="190">
        <v>0</v>
      </c>
      <c r="AG56" s="268">
        <v>0</v>
      </c>
      <c r="AH56" s="268">
        <v>0</v>
      </c>
      <c r="AI56" s="271">
        <v>0</v>
      </c>
      <c r="AJ56" s="271">
        <v>0</v>
      </c>
      <c r="AK56" s="271">
        <v>97.948444545035102</v>
      </c>
      <c r="AL56" s="268">
        <v>97.948444545035102</v>
      </c>
      <c r="AM56" s="270">
        <v>0</v>
      </c>
      <c r="AN56" s="270">
        <v>0</v>
      </c>
      <c r="AO56" s="237">
        <v>43.867902083039603</v>
      </c>
      <c r="AP56" s="234">
        <v>64.477280097078065</v>
      </c>
      <c r="AQ56" s="234">
        <v>27.627411205231596</v>
      </c>
      <c r="AR56" s="234">
        <v>31.170247366481487</v>
      </c>
    </row>
    <row r="57" spans="1:44" hidden="1" x14ac:dyDescent="0.25">
      <c r="A57" s="11">
        <v>40603</v>
      </c>
      <c r="B57" s="188"/>
      <c r="C57" s="252">
        <v>71.021499633620465</v>
      </c>
      <c r="D57" s="235">
        <v>70.147638561844346</v>
      </c>
      <c r="E57" s="190">
        <v>24.912261078617544</v>
      </c>
      <c r="F57" s="190">
        <v>58.247748712763851</v>
      </c>
      <c r="G57" s="190">
        <v>0</v>
      </c>
      <c r="H57" s="190">
        <v>45.897568855856335</v>
      </c>
      <c r="I57" s="190">
        <v>69.22333231820889</v>
      </c>
      <c r="J57" s="190">
        <v>0</v>
      </c>
      <c r="K57" s="355">
        <v>70.498572141409511</v>
      </c>
      <c r="L57" s="298">
        <v>0</v>
      </c>
      <c r="M57" s="298">
        <v>0</v>
      </c>
      <c r="N57" s="300">
        <v>0</v>
      </c>
      <c r="O57" s="190">
        <v>0</v>
      </c>
      <c r="P57" s="190">
        <v>0</v>
      </c>
      <c r="Q57" s="190">
        <v>0</v>
      </c>
      <c r="R57" s="190">
        <v>103.66237293364247</v>
      </c>
      <c r="S57" s="190">
        <v>0</v>
      </c>
      <c r="T57" s="190">
        <v>0</v>
      </c>
      <c r="U57" s="189">
        <v>36.761109075941611</v>
      </c>
      <c r="V57" s="298">
        <v>0</v>
      </c>
      <c r="W57" s="298">
        <v>0</v>
      </c>
      <c r="X57" s="298">
        <v>0</v>
      </c>
      <c r="Y57" s="269">
        <v>87.270817470377892</v>
      </c>
      <c r="Z57" s="189">
        <v>0</v>
      </c>
      <c r="AA57" s="190">
        <v>0</v>
      </c>
      <c r="AB57" s="190">
        <v>0</v>
      </c>
      <c r="AC57" s="190">
        <v>0</v>
      </c>
      <c r="AD57" s="235">
        <v>0</v>
      </c>
      <c r="AE57" s="190">
        <v>0</v>
      </c>
      <c r="AF57" s="190">
        <v>0</v>
      </c>
      <c r="AG57" s="268">
        <v>0</v>
      </c>
      <c r="AH57" s="268">
        <v>0</v>
      </c>
      <c r="AI57" s="271">
        <v>0</v>
      </c>
      <c r="AJ57" s="271">
        <v>0</v>
      </c>
      <c r="AK57" s="271">
        <v>83.885212464073618</v>
      </c>
      <c r="AL57" s="268">
        <v>83.885212464073618</v>
      </c>
      <c r="AM57" s="270">
        <v>0</v>
      </c>
      <c r="AN57" s="270">
        <v>0</v>
      </c>
      <c r="AO57" s="237">
        <v>49.963720068746149</v>
      </c>
      <c r="AP57" s="234">
        <v>78.19091976719524</v>
      </c>
      <c r="AQ57" s="234">
        <v>29.825359800270256</v>
      </c>
      <c r="AR57" s="234">
        <v>33.641944156859388</v>
      </c>
    </row>
    <row r="58" spans="1:44" hidden="1" x14ac:dyDescent="0.25">
      <c r="A58" s="11">
        <v>40634</v>
      </c>
      <c r="B58" s="188"/>
      <c r="C58" s="252">
        <v>73.210950562375402</v>
      </c>
      <c r="D58" s="235">
        <v>67.565738877172038</v>
      </c>
      <c r="E58" s="190">
        <v>27.630078829565228</v>
      </c>
      <c r="F58" s="190">
        <v>68.814100527326246</v>
      </c>
      <c r="G58" s="190">
        <v>0</v>
      </c>
      <c r="H58" s="190">
        <v>44.518508470236704</v>
      </c>
      <c r="I58" s="190">
        <v>63.456749007582673</v>
      </c>
      <c r="J58" s="190">
        <v>0</v>
      </c>
      <c r="K58" s="355">
        <v>70.794617201961231</v>
      </c>
      <c r="L58" s="298">
        <v>0</v>
      </c>
      <c r="M58" s="298">
        <v>0</v>
      </c>
      <c r="N58" s="300">
        <v>0</v>
      </c>
      <c r="O58" s="190">
        <v>0</v>
      </c>
      <c r="P58" s="190">
        <v>0</v>
      </c>
      <c r="Q58" s="190">
        <v>0</v>
      </c>
      <c r="R58" s="190">
        <v>97.340664144229976</v>
      </c>
      <c r="S58" s="190">
        <v>0</v>
      </c>
      <c r="T58" s="190">
        <v>0</v>
      </c>
      <c r="U58" s="189">
        <v>54.527929725648946</v>
      </c>
      <c r="V58" s="298">
        <v>0</v>
      </c>
      <c r="W58" s="298">
        <v>0</v>
      </c>
      <c r="X58" s="298">
        <v>0</v>
      </c>
      <c r="Y58" s="269">
        <v>94.053349314012948</v>
      </c>
      <c r="Z58" s="189">
        <v>0</v>
      </c>
      <c r="AA58" s="190">
        <v>0</v>
      </c>
      <c r="AB58" s="190">
        <v>0</v>
      </c>
      <c r="AC58" s="190">
        <v>0</v>
      </c>
      <c r="AD58" s="235">
        <v>0</v>
      </c>
      <c r="AE58" s="190">
        <v>0</v>
      </c>
      <c r="AF58" s="190">
        <v>0</v>
      </c>
      <c r="AG58" s="268">
        <v>0</v>
      </c>
      <c r="AH58" s="268">
        <v>0</v>
      </c>
      <c r="AI58" s="271">
        <v>0</v>
      </c>
      <c r="AJ58" s="271">
        <v>0</v>
      </c>
      <c r="AK58" s="271">
        <v>78.168620284952681</v>
      </c>
      <c r="AL58" s="268">
        <v>78.168620284952681</v>
      </c>
      <c r="AM58" s="270">
        <v>0</v>
      </c>
      <c r="AN58" s="270">
        <v>0</v>
      </c>
      <c r="AO58" s="237">
        <v>46.8268469307123</v>
      </c>
      <c r="AP58" s="234">
        <v>77.497762043353589</v>
      </c>
      <c r="AQ58" s="234">
        <v>27.752669187353373</v>
      </c>
      <c r="AR58" s="234">
        <v>35.389598320761351</v>
      </c>
    </row>
    <row r="59" spans="1:44" hidden="1" x14ac:dyDescent="0.25">
      <c r="A59" s="11">
        <v>40664</v>
      </c>
      <c r="B59" s="188"/>
      <c r="C59" s="252">
        <v>74.534713435734162</v>
      </c>
      <c r="D59" s="235">
        <v>62.955932651937431</v>
      </c>
      <c r="E59" s="190">
        <v>41.428927776973055</v>
      </c>
      <c r="F59" s="190">
        <v>56.887093131127827</v>
      </c>
      <c r="G59" s="190">
        <v>0</v>
      </c>
      <c r="H59" s="190">
        <v>47.260169869133541</v>
      </c>
      <c r="I59" s="190">
        <v>55.71173017331126</v>
      </c>
      <c r="J59" s="190">
        <v>0</v>
      </c>
      <c r="K59" s="355">
        <v>61.439505797272425</v>
      </c>
      <c r="L59" s="298">
        <v>0</v>
      </c>
      <c r="M59" s="298">
        <v>0</v>
      </c>
      <c r="N59" s="300">
        <v>0</v>
      </c>
      <c r="O59" s="190">
        <v>0</v>
      </c>
      <c r="P59" s="190">
        <v>0</v>
      </c>
      <c r="Q59" s="190">
        <v>0</v>
      </c>
      <c r="R59" s="190">
        <v>100.57021598035553</v>
      </c>
      <c r="S59" s="190">
        <v>0</v>
      </c>
      <c r="T59" s="190">
        <v>0</v>
      </c>
      <c r="U59" s="189">
        <v>59.646111231475921</v>
      </c>
      <c r="V59" s="298">
        <v>0</v>
      </c>
      <c r="W59" s="298">
        <v>0</v>
      </c>
      <c r="X59" s="298">
        <v>0</v>
      </c>
      <c r="Y59" s="269">
        <v>127.79988388617902</v>
      </c>
      <c r="Z59" s="189">
        <v>0</v>
      </c>
      <c r="AA59" s="190">
        <v>0</v>
      </c>
      <c r="AB59" s="190">
        <v>0</v>
      </c>
      <c r="AC59" s="190">
        <v>0</v>
      </c>
      <c r="AD59" s="235">
        <v>0</v>
      </c>
      <c r="AE59" s="190">
        <v>0</v>
      </c>
      <c r="AF59" s="190">
        <v>0</v>
      </c>
      <c r="AG59" s="268">
        <v>0</v>
      </c>
      <c r="AH59" s="268">
        <v>0</v>
      </c>
      <c r="AI59" s="271">
        <v>0</v>
      </c>
      <c r="AJ59" s="271">
        <v>0</v>
      </c>
      <c r="AK59" s="271">
        <v>84.130741249523254</v>
      </c>
      <c r="AL59" s="268">
        <v>84.130741249523254</v>
      </c>
      <c r="AM59" s="270">
        <v>0</v>
      </c>
      <c r="AN59" s="270">
        <v>0</v>
      </c>
      <c r="AO59" s="237">
        <v>46.407486380949422</v>
      </c>
      <c r="AP59" s="234">
        <v>67.58279107506084</v>
      </c>
      <c r="AQ59" s="234">
        <v>26.495060981864722</v>
      </c>
      <c r="AR59" s="234">
        <v>34.75867505928256</v>
      </c>
    </row>
    <row r="60" spans="1:44" hidden="1" x14ac:dyDescent="0.25">
      <c r="A60" s="11">
        <v>40695</v>
      </c>
      <c r="B60" s="188"/>
      <c r="C60" s="252">
        <v>72.072027640246645</v>
      </c>
      <c r="D60" s="235">
        <v>68.950537209839936</v>
      </c>
      <c r="E60" s="190">
        <v>28.459998236613522</v>
      </c>
      <c r="F60" s="190">
        <v>46.573198339320328</v>
      </c>
      <c r="G60" s="190">
        <v>0</v>
      </c>
      <c r="H60" s="190">
        <v>48.397048405701803</v>
      </c>
      <c r="I60" s="190">
        <v>68.468071976021818</v>
      </c>
      <c r="J60" s="190">
        <v>0</v>
      </c>
      <c r="K60" s="355">
        <v>63.63299392798222</v>
      </c>
      <c r="L60" s="298">
        <v>0</v>
      </c>
      <c r="M60" s="298">
        <v>0</v>
      </c>
      <c r="N60" s="300">
        <v>0</v>
      </c>
      <c r="O60" s="190">
        <v>0</v>
      </c>
      <c r="P60" s="190">
        <v>0</v>
      </c>
      <c r="Q60" s="190">
        <v>0</v>
      </c>
      <c r="R60" s="190">
        <v>101.69697071861411</v>
      </c>
      <c r="S60" s="190">
        <v>0</v>
      </c>
      <c r="T60" s="190">
        <v>0</v>
      </c>
      <c r="U60" s="189">
        <v>43.625607049895869</v>
      </c>
      <c r="V60" s="298">
        <v>0</v>
      </c>
      <c r="W60" s="298">
        <v>0</v>
      </c>
      <c r="X60" s="298">
        <v>0</v>
      </c>
      <c r="Y60" s="269">
        <v>107.52429593638138</v>
      </c>
      <c r="Z60" s="189">
        <v>0</v>
      </c>
      <c r="AA60" s="190">
        <v>0</v>
      </c>
      <c r="AB60" s="190">
        <v>0</v>
      </c>
      <c r="AC60" s="190">
        <v>0</v>
      </c>
      <c r="AD60" s="235">
        <v>0</v>
      </c>
      <c r="AE60" s="190">
        <v>0</v>
      </c>
      <c r="AF60" s="190">
        <v>0</v>
      </c>
      <c r="AG60" s="268">
        <v>0</v>
      </c>
      <c r="AH60" s="268">
        <v>0</v>
      </c>
      <c r="AI60" s="271">
        <v>0</v>
      </c>
      <c r="AJ60" s="271">
        <v>0</v>
      </c>
      <c r="AK60" s="271">
        <v>75.832249632157783</v>
      </c>
      <c r="AL60" s="268">
        <v>75.832249632157783</v>
      </c>
      <c r="AM60" s="270">
        <v>0</v>
      </c>
      <c r="AN60" s="270">
        <v>0</v>
      </c>
      <c r="AO60" s="237">
        <v>45.406707024755057</v>
      </c>
      <c r="AP60" s="234">
        <v>62.665609464229533</v>
      </c>
      <c r="AQ60" s="234">
        <v>29.758599906563493</v>
      </c>
      <c r="AR60" s="234">
        <v>30.730214578351308</v>
      </c>
    </row>
    <row r="61" spans="1:44" hidden="1" x14ac:dyDescent="0.25">
      <c r="A61" s="11">
        <v>40725</v>
      </c>
      <c r="B61" s="188"/>
      <c r="C61" s="252">
        <v>72.310611873945675</v>
      </c>
      <c r="D61" s="235">
        <v>77.375147311705959</v>
      </c>
      <c r="E61" s="190">
        <v>30.079752960684644</v>
      </c>
      <c r="F61" s="190">
        <v>55.189493074350189</v>
      </c>
      <c r="G61" s="190">
        <v>0</v>
      </c>
      <c r="H61" s="190">
        <v>47.673209503329979</v>
      </c>
      <c r="I61" s="190">
        <v>77.875969977613281</v>
      </c>
      <c r="J61" s="190">
        <v>0</v>
      </c>
      <c r="K61" s="355">
        <v>49.845956193311295</v>
      </c>
      <c r="L61" s="298">
        <v>0</v>
      </c>
      <c r="M61" s="298">
        <v>0</v>
      </c>
      <c r="N61" s="300">
        <v>0</v>
      </c>
      <c r="O61" s="190">
        <v>0</v>
      </c>
      <c r="P61" s="190">
        <v>0</v>
      </c>
      <c r="Q61" s="190">
        <v>0</v>
      </c>
      <c r="R61" s="190">
        <v>98.767043958745489</v>
      </c>
      <c r="S61" s="190">
        <v>0</v>
      </c>
      <c r="T61" s="190">
        <v>0</v>
      </c>
      <c r="U61" s="189">
        <v>45.504975331803884</v>
      </c>
      <c r="V61" s="298">
        <v>0</v>
      </c>
      <c r="W61" s="298">
        <v>0</v>
      </c>
      <c r="X61" s="298">
        <v>0</v>
      </c>
      <c r="Y61" s="269">
        <v>142.98562532093663</v>
      </c>
      <c r="Z61" s="189">
        <v>0</v>
      </c>
      <c r="AA61" s="190">
        <v>0</v>
      </c>
      <c r="AB61" s="190">
        <v>0</v>
      </c>
      <c r="AC61" s="190">
        <v>0</v>
      </c>
      <c r="AD61" s="235">
        <v>0</v>
      </c>
      <c r="AE61" s="190">
        <v>0</v>
      </c>
      <c r="AF61" s="190">
        <v>0</v>
      </c>
      <c r="AG61" s="268">
        <v>0</v>
      </c>
      <c r="AH61" s="268">
        <v>0</v>
      </c>
      <c r="AI61" s="271">
        <v>0</v>
      </c>
      <c r="AJ61" s="271">
        <v>0</v>
      </c>
      <c r="AK61" s="271">
        <v>86.979993522771963</v>
      </c>
      <c r="AL61" s="268">
        <v>86.979993522771963</v>
      </c>
      <c r="AM61" s="270">
        <v>0</v>
      </c>
      <c r="AN61" s="270">
        <v>0</v>
      </c>
      <c r="AO61" s="237">
        <v>47.465655931920075</v>
      </c>
      <c r="AP61" s="234">
        <v>58.709505633427284</v>
      </c>
      <c r="AQ61" s="234">
        <v>35.439307758062064</v>
      </c>
      <c r="AR61" s="234">
        <v>35.737118142435307</v>
      </c>
    </row>
    <row r="62" spans="1:44" hidden="1" x14ac:dyDescent="0.25">
      <c r="A62" s="11">
        <v>40756</v>
      </c>
      <c r="B62" s="188"/>
      <c r="C62" s="252">
        <v>76.630095607211771</v>
      </c>
      <c r="D62" s="235">
        <v>64.093688070476276</v>
      </c>
      <c r="E62" s="190">
        <v>23.29289402831489</v>
      </c>
      <c r="F62" s="190">
        <v>52.792304525870797</v>
      </c>
      <c r="G62" s="190">
        <v>0</v>
      </c>
      <c r="H62" s="190">
        <v>45.521655488999158</v>
      </c>
      <c r="I62" s="190">
        <v>62.590585206002885</v>
      </c>
      <c r="J62" s="190">
        <v>0</v>
      </c>
      <c r="K62" s="355">
        <v>58.841145649489761</v>
      </c>
      <c r="L62" s="298">
        <v>0</v>
      </c>
      <c r="M62" s="298">
        <v>0</v>
      </c>
      <c r="N62" s="300">
        <v>0</v>
      </c>
      <c r="O62" s="190">
        <v>0</v>
      </c>
      <c r="P62" s="190">
        <v>0</v>
      </c>
      <c r="Q62" s="190">
        <v>0</v>
      </c>
      <c r="R62" s="190">
        <v>105.54300636540597</v>
      </c>
      <c r="S62" s="190">
        <v>0</v>
      </c>
      <c r="T62" s="190">
        <v>0</v>
      </c>
      <c r="U62" s="189">
        <v>58.025623561025128</v>
      </c>
      <c r="V62" s="298">
        <v>0</v>
      </c>
      <c r="W62" s="298">
        <v>0</v>
      </c>
      <c r="X62" s="298">
        <v>0</v>
      </c>
      <c r="Y62" s="269">
        <v>126.62590624235467</v>
      </c>
      <c r="Z62" s="189">
        <v>0</v>
      </c>
      <c r="AA62" s="190">
        <v>0</v>
      </c>
      <c r="AB62" s="190">
        <v>0</v>
      </c>
      <c r="AC62" s="190">
        <v>0</v>
      </c>
      <c r="AD62" s="235">
        <v>0</v>
      </c>
      <c r="AE62" s="190">
        <v>0</v>
      </c>
      <c r="AF62" s="190">
        <v>0</v>
      </c>
      <c r="AG62" s="268">
        <v>0</v>
      </c>
      <c r="AH62" s="268">
        <v>0</v>
      </c>
      <c r="AI62" s="271">
        <v>0</v>
      </c>
      <c r="AJ62" s="271">
        <v>0</v>
      </c>
      <c r="AK62" s="271">
        <v>82.717158882148851</v>
      </c>
      <c r="AL62" s="268">
        <v>82.717158882148851</v>
      </c>
      <c r="AM62" s="270">
        <v>0</v>
      </c>
      <c r="AN62" s="270">
        <v>0</v>
      </c>
      <c r="AO62" s="237">
        <v>46.481948420840048</v>
      </c>
      <c r="AP62" s="234">
        <v>64.687166194347441</v>
      </c>
      <c r="AQ62" s="234">
        <v>32.463061261233449</v>
      </c>
      <c r="AR62" s="234">
        <v>45.300144037910265</v>
      </c>
    </row>
    <row r="63" spans="1:44" hidden="1" x14ac:dyDescent="0.25">
      <c r="A63" s="11">
        <v>40787</v>
      </c>
      <c r="B63" s="188"/>
      <c r="C63" s="252">
        <v>75.03130373297526</v>
      </c>
      <c r="D63" s="235">
        <v>67.273801768274637</v>
      </c>
      <c r="E63" s="190">
        <v>23.807822802699775</v>
      </c>
      <c r="F63" s="190">
        <v>56.965419575768081</v>
      </c>
      <c r="G63" s="190">
        <v>0</v>
      </c>
      <c r="H63" s="190">
        <v>40.777717893517597</v>
      </c>
      <c r="I63" s="190">
        <v>66.758402704575531</v>
      </c>
      <c r="J63" s="190">
        <v>0</v>
      </c>
      <c r="K63" s="355">
        <v>64.352677259484835</v>
      </c>
      <c r="L63" s="298">
        <v>0</v>
      </c>
      <c r="M63" s="298">
        <v>0</v>
      </c>
      <c r="N63" s="300">
        <v>0</v>
      </c>
      <c r="O63" s="190">
        <v>0</v>
      </c>
      <c r="P63" s="190">
        <v>0</v>
      </c>
      <c r="Q63" s="190">
        <v>0</v>
      </c>
      <c r="R63" s="190">
        <v>108.71193292508538</v>
      </c>
      <c r="S63" s="190">
        <v>0</v>
      </c>
      <c r="T63" s="190">
        <v>0</v>
      </c>
      <c r="U63" s="189">
        <v>45.661265547734949</v>
      </c>
      <c r="V63" s="298">
        <v>0</v>
      </c>
      <c r="W63" s="298">
        <v>0</v>
      </c>
      <c r="X63" s="298">
        <v>0</v>
      </c>
      <c r="Y63" s="269">
        <v>92.168788128942197</v>
      </c>
      <c r="Z63" s="189">
        <v>0</v>
      </c>
      <c r="AA63" s="190">
        <v>0</v>
      </c>
      <c r="AB63" s="190">
        <v>0</v>
      </c>
      <c r="AC63" s="190">
        <v>0</v>
      </c>
      <c r="AD63" s="235">
        <v>0</v>
      </c>
      <c r="AE63" s="190">
        <v>0</v>
      </c>
      <c r="AF63" s="190">
        <v>0</v>
      </c>
      <c r="AG63" s="268">
        <v>0</v>
      </c>
      <c r="AH63" s="268">
        <v>0</v>
      </c>
      <c r="AI63" s="271">
        <v>0</v>
      </c>
      <c r="AJ63" s="271">
        <v>0</v>
      </c>
      <c r="AK63" s="271">
        <v>89.012750252092445</v>
      </c>
      <c r="AL63" s="268">
        <v>89.012750252092445</v>
      </c>
      <c r="AM63" s="270">
        <v>0</v>
      </c>
      <c r="AN63" s="270">
        <v>0</v>
      </c>
      <c r="AO63" s="237">
        <v>48.475099983833381</v>
      </c>
      <c r="AP63" s="234">
        <v>68.149800196836054</v>
      </c>
      <c r="AQ63" s="234">
        <v>36.297005131826452</v>
      </c>
      <c r="AR63" s="234">
        <v>36.839896968027311</v>
      </c>
    </row>
    <row r="64" spans="1:44" hidden="1" x14ac:dyDescent="0.25">
      <c r="A64" s="11">
        <v>40817</v>
      </c>
      <c r="B64" s="188"/>
      <c r="C64" s="252">
        <v>70.239772811368098</v>
      </c>
      <c r="D64" s="235">
        <v>60.786578633275411</v>
      </c>
      <c r="E64" s="190">
        <v>25.441702339956137</v>
      </c>
      <c r="F64" s="190">
        <v>39.086141414178584</v>
      </c>
      <c r="G64" s="190">
        <v>0</v>
      </c>
      <c r="H64" s="190">
        <v>40.395977464048656</v>
      </c>
      <c r="I64" s="190">
        <v>61.02023034100872</v>
      </c>
      <c r="J64" s="190">
        <v>0</v>
      </c>
      <c r="K64" s="355">
        <v>68.578577602576061</v>
      </c>
      <c r="L64" s="298">
        <v>0</v>
      </c>
      <c r="M64" s="298">
        <v>0</v>
      </c>
      <c r="N64" s="300">
        <v>0</v>
      </c>
      <c r="O64" s="190">
        <v>0</v>
      </c>
      <c r="P64" s="190">
        <v>0</v>
      </c>
      <c r="Q64" s="190">
        <v>0</v>
      </c>
      <c r="R64" s="190">
        <v>101.75127402664106</v>
      </c>
      <c r="S64" s="190">
        <v>0</v>
      </c>
      <c r="T64" s="190">
        <v>0</v>
      </c>
      <c r="U64" s="189">
        <v>43.779536820993869</v>
      </c>
      <c r="V64" s="298">
        <v>0</v>
      </c>
      <c r="W64" s="298">
        <v>0</v>
      </c>
      <c r="X64" s="298">
        <v>0</v>
      </c>
      <c r="Y64" s="269">
        <v>69.691641695708356</v>
      </c>
      <c r="Z64" s="189">
        <v>0</v>
      </c>
      <c r="AA64" s="190">
        <v>0</v>
      </c>
      <c r="AB64" s="190">
        <v>0</v>
      </c>
      <c r="AC64" s="190">
        <v>0</v>
      </c>
      <c r="AD64" s="235">
        <v>0</v>
      </c>
      <c r="AE64" s="190">
        <v>0</v>
      </c>
      <c r="AF64" s="190">
        <v>0</v>
      </c>
      <c r="AG64" s="268">
        <v>0</v>
      </c>
      <c r="AH64" s="268">
        <v>0</v>
      </c>
      <c r="AI64" s="271">
        <v>0</v>
      </c>
      <c r="AJ64" s="271">
        <v>0</v>
      </c>
      <c r="AK64" s="271">
        <v>73.144221429144807</v>
      </c>
      <c r="AL64" s="268">
        <v>73.144221429144807</v>
      </c>
      <c r="AM64" s="270">
        <v>0</v>
      </c>
      <c r="AN64" s="270">
        <v>0</v>
      </c>
      <c r="AO64" s="237">
        <v>46.10190893375691</v>
      </c>
      <c r="AP64" s="234">
        <v>66.034115857841158</v>
      </c>
      <c r="AQ64" s="234">
        <v>34.516860677703775</v>
      </c>
      <c r="AR64" s="234">
        <v>37.629479239610703</v>
      </c>
    </row>
    <row r="65" spans="1:44" hidden="1" x14ac:dyDescent="0.25">
      <c r="A65" s="11">
        <v>40848</v>
      </c>
      <c r="B65" s="188"/>
      <c r="C65" s="252">
        <v>85.355482137225522</v>
      </c>
      <c r="D65" s="235">
        <v>76.351265775820337</v>
      </c>
      <c r="E65" s="190">
        <v>30.564868540865682</v>
      </c>
      <c r="F65" s="190">
        <v>48.332395908219581</v>
      </c>
      <c r="G65" s="190">
        <v>0</v>
      </c>
      <c r="H65" s="190">
        <v>42.874058312374046</v>
      </c>
      <c r="I65" s="190">
        <v>78.45159479384381</v>
      </c>
      <c r="J65" s="190">
        <v>0</v>
      </c>
      <c r="K65" s="355">
        <v>70.894809007607677</v>
      </c>
      <c r="L65" s="298">
        <v>0</v>
      </c>
      <c r="M65" s="298">
        <v>0</v>
      </c>
      <c r="N65" s="300">
        <v>0</v>
      </c>
      <c r="O65" s="190">
        <v>0</v>
      </c>
      <c r="P65" s="190">
        <v>0</v>
      </c>
      <c r="Q65" s="190">
        <v>0</v>
      </c>
      <c r="R65" s="190">
        <v>107.30838819332023</v>
      </c>
      <c r="S65" s="190">
        <v>0</v>
      </c>
      <c r="T65" s="190">
        <v>0</v>
      </c>
      <c r="U65" s="189">
        <v>73.011681647902293</v>
      </c>
      <c r="V65" s="298">
        <v>0</v>
      </c>
      <c r="W65" s="298">
        <v>0</v>
      </c>
      <c r="X65" s="298">
        <v>0</v>
      </c>
      <c r="Y65" s="269">
        <v>129.61774180869094</v>
      </c>
      <c r="Z65" s="189">
        <v>0</v>
      </c>
      <c r="AA65" s="190">
        <v>0</v>
      </c>
      <c r="AB65" s="190">
        <v>0</v>
      </c>
      <c r="AC65" s="190">
        <v>0</v>
      </c>
      <c r="AD65" s="235">
        <v>0</v>
      </c>
      <c r="AE65" s="190">
        <v>0</v>
      </c>
      <c r="AF65" s="190">
        <v>0</v>
      </c>
      <c r="AG65" s="268">
        <v>0</v>
      </c>
      <c r="AH65" s="268">
        <v>0</v>
      </c>
      <c r="AI65" s="271">
        <v>0</v>
      </c>
      <c r="AJ65" s="271">
        <v>0</v>
      </c>
      <c r="AK65" s="271">
        <v>114.11697038627705</v>
      </c>
      <c r="AL65" s="268">
        <v>114.11697038627705</v>
      </c>
      <c r="AM65" s="270">
        <v>0</v>
      </c>
      <c r="AN65" s="270">
        <v>0</v>
      </c>
      <c r="AO65" s="237">
        <v>35.551703700055434</v>
      </c>
      <c r="AP65" s="234">
        <v>64.405876444799659</v>
      </c>
      <c r="AQ65" s="234">
        <v>34.064484021179041</v>
      </c>
      <c r="AR65" s="234">
        <v>36.724588702076836</v>
      </c>
    </row>
    <row r="66" spans="1:44" hidden="1" x14ac:dyDescent="0.25">
      <c r="A66" s="11">
        <v>40878</v>
      </c>
      <c r="B66" s="188"/>
      <c r="C66" s="252">
        <v>78.776992267096105</v>
      </c>
      <c r="D66" s="235">
        <v>69.622070008842698</v>
      </c>
      <c r="E66" s="190">
        <v>30.491905191654393</v>
      </c>
      <c r="F66" s="190">
        <v>57.196040274376692</v>
      </c>
      <c r="G66" s="190">
        <v>0</v>
      </c>
      <c r="H66" s="190">
        <v>42.830797170163997</v>
      </c>
      <c r="I66" s="190">
        <v>67.903416133605134</v>
      </c>
      <c r="J66" s="190">
        <v>0</v>
      </c>
      <c r="K66" s="355">
        <v>67.52636072679266</v>
      </c>
      <c r="L66" s="298">
        <v>0</v>
      </c>
      <c r="M66" s="298">
        <v>0</v>
      </c>
      <c r="N66" s="300">
        <v>0</v>
      </c>
      <c r="O66" s="190">
        <v>0</v>
      </c>
      <c r="P66" s="190">
        <v>0</v>
      </c>
      <c r="Q66" s="190">
        <v>0</v>
      </c>
      <c r="R66" s="190">
        <v>110.566567532497</v>
      </c>
      <c r="S66" s="190">
        <v>0</v>
      </c>
      <c r="T66" s="190">
        <v>0</v>
      </c>
      <c r="U66" s="189">
        <v>47.823911362357741</v>
      </c>
      <c r="V66" s="298">
        <v>0</v>
      </c>
      <c r="W66" s="298">
        <v>0</v>
      </c>
      <c r="X66" s="298">
        <v>0</v>
      </c>
      <c r="Y66" s="269">
        <v>163.72936194883354</v>
      </c>
      <c r="Z66" s="189">
        <v>0</v>
      </c>
      <c r="AA66" s="190">
        <v>0</v>
      </c>
      <c r="AB66" s="190">
        <v>0</v>
      </c>
      <c r="AC66" s="190">
        <v>0</v>
      </c>
      <c r="AD66" s="235">
        <v>0</v>
      </c>
      <c r="AE66" s="190">
        <v>0</v>
      </c>
      <c r="AF66" s="190">
        <v>0</v>
      </c>
      <c r="AG66" s="268">
        <v>0</v>
      </c>
      <c r="AH66" s="268">
        <v>0</v>
      </c>
      <c r="AI66" s="271">
        <v>0</v>
      </c>
      <c r="AJ66" s="271">
        <v>0</v>
      </c>
      <c r="AK66" s="271">
        <v>111.42889810663138</v>
      </c>
      <c r="AL66" s="268">
        <v>111.42889810663138</v>
      </c>
      <c r="AM66" s="270">
        <v>0</v>
      </c>
      <c r="AN66" s="270">
        <v>0</v>
      </c>
      <c r="AO66" s="237">
        <v>55.635295238774553</v>
      </c>
      <c r="AP66" s="234">
        <v>122.88583980556301</v>
      </c>
      <c r="AQ66" s="234">
        <v>38.911551626153454</v>
      </c>
      <c r="AR66" s="234">
        <v>38.987864076366378</v>
      </c>
    </row>
    <row r="67" spans="1:44" hidden="1" x14ac:dyDescent="0.25">
      <c r="A67" s="11">
        <v>40909</v>
      </c>
      <c r="B67" s="188"/>
      <c r="C67" s="252">
        <v>69.620239793866375</v>
      </c>
      <c r="D67" s="235">
        <v>64.223226602891287</v>
      </c>
      <c r="E67" s="190">
        <v>21.15458341251448</v>
      </c>
      <c r="F67" s="190">
        <v>74.323869027075716</v>
      </c>
      <c r="G67" s="190">
        <v>0</v>
      </c>
      <c r="H67" s="190">
        <v>37.960560566334799</v>
      </c>
      <c r="I67" s="190">
        <v>60.664256648935705</v>
      </c>
      <c r="J67" s="190">
        <v>0</v>
      </c>
      <c r="K67" s="355">
        <v>51.928000522818984</v>
      </c>
      <c r="L67" s="298">
        <v>0</v>
      </c>
      <c r="M67" s="298">
        <v>0</v>
      </c>
      <c r="N67" s="300">
        <v>0</v>
      </c>
      <c r="O67" s="190">
        <v>0</v>
      </c>
      <c r="P67" s="190">
        <v>0</v>
      </c>
      <c r="Q67" s="190">
        <v>0</v>
      </c>
      <c r="R67" s="190">
        <v>99.111717900415726</v>
      </c>
      <c r="S67" s="190">
        <v>0</v>
      </c>
      <c r="T67" s="190">
        <v>0</v>
      </c>
      <c r="U67" s="189">
        <v>38.757684448928927</v>
      </c>
      <c r="V67" s="298">
        <v>0</v>
      </c>
      <c r="W67" s="298">
        <v>0</v>
      </c>
      <c r="X67" s="298">
        <v>0</v>
      </c>
      <c r="Y67" s="269">
        <v>130.06877796069801</v>
      </c>
      <c r="Z67" s="189">
        <v>0</v>
      </c>
      <c r="AA67" s="190">
        <v>0</v>
      </c>
      <c r="AB67" s="190">
        <v>0</v>
      </c>
      <c r="AC67" s="190">
        <v>0</v>
      </c>
      <c r="AD67" s="235">
        <v>0</v>
      </c>
      <c r="AE67" s="190">
        <v>0</v>
      </c>
      <c r="AF67" s="190">
        <v>0</v>
      </c>
      <c r="AG67" s="268">
        <v>0</v>
      </c>
      <c r="AH67" s="268">
        <v>0</v>
      </c>
      <c r="AI67" s="271">
        <v>0</v>
      </c>
      <c r="AJ67" s="271">
        <v>0</v>
      </c>
      <c r="AK67" s="271">
        <v>126.69394990051674</v>
      </c>
      <c r="AL67" s="268">
        <v>126.69394990051674</v>
      </c>
      <c r="AM67" s="270">
        <v>0</v>
      </c>
      <c r="AN67" s="270">
        <v>0</v>
      </c>
      <c r="AO67" s="237">
        <v>47.060189561504863</v>
      </c>
      <c r="AP67" s="234">
        <v>61.187173511882953</v>
      </c>
      <c r="AQ67" s="234">
        <v>30.306190374451596</v>
      </c>
      <c r="AR67" s="234">
        <v>34.230019655159822</v>
      </c>
    </row>
    <row r="68" spans="1:44" hidden="1" x14ac:dyDescent="0.25">
      <c r="A68" s="11">
        <v>40940</v>
      </c>
      <c r="B68" s="188"/>
      <c r="C68" s="252">
        <v>76.660017101220916</v>
      </c>
      <c r="D68" s="235">
        <v>76.125154305032083</v>
      </c>
      <c r="E68" s="190">
        <v>25.934391626938773</v>
      </c>
      <c r="F68" s="190">
        <v>78.91950363483987</v>
      </c>
      <c r="G68" s="190">
        <v>0</v>
      </c>
      <c r="H68" s="190">
        <v>52.171216523347681</v>
      </c>
      <c r="I68" s="190">
        <v>72.141805311394634</v>
      </c>
      <c r="J68" s="190">
        <v>0</v>
      </c>
      <c r="K68" s="355">
        <v>50.248735212216822</v>
      </c>
      <c r="L68" s="298">
        <v>0</v>
      </c>
      <c r="M68" s="298">
        <v>0</v>
      </c>
      <c r="N68" s="300">
        <v>0</v>
      </c>
      <c r="O68" s="190">
        <v>0</v>
      </c>
      <c r="P68" s="190">
        <v>0</v>
      </c>
      <c r="Q68" s="190">
        <v>0</v>
      </c>
      <c r="R68" s="190">
        <v>102.30732602219702</v>
      </c>
      <c r="S68" s="190">
        <v>0</v>
      </c>
      <c r="T68" s="190">
        <v>0</v>
      </c>
      <c r="U68" s="189">
        <v>58.838801664781812</v>
      </c>
      <c r="V68" s="298">
        <v>0</v>
      </c>
      <c r="W68" s="298">
        <v>0</v>
      </c>
      <c r="X68" s="298">
        <v>0</v>
      </c>
      <c r="Y68" s="269">
        <v>117.3622197101275</v>
      </c>
      <c r="Z68" s="189">
        <v>0</v>
      </c>
      <c r="AA68" s="190">
        <v>0</v>
      </c>
      <c r="AB68" s="190">
        <v>0</v>
      </c>
      <c r="AC68" s="190">
        <v>0</v>
      </c>
      <c r="AD68" s="235">
        <v>0</v>
      </c>
      <c r="AE68" s="190">
        <v>0</v>
      </c>
      <c r="AF68" s="190">
        <v>0</v>
      </c>
      <c r="AG68" s="268">
        <v>0</v>
      </c>
      <c r="AH68" s="268">
        <v>0</v>
      </c>
      <c r="AI68" s="271">
        <v>0</v>
      </c>
      <c r="AJ68" s="271">
        <v>0</v>
      </c>
      <c r="AK68" s="271">
        <v>94.274184500979104</v>
      </c>
      <c r="AL68" s="268">
        <v>94.274184500979104</v>
      </c>
      <c r="AM68" s="270">
        <v>0</v>
      </c>
      <c r="AN68" s="270">
        <v>0</v>
      </c>
      <c r="AO68" s="237">
        <v>44.775416203709518</v>
      </c>
      <c r="AP68" s="234">
        <v>65.606581399426901</v>
      </c>
      <c r="AQ68" s="234">
        <v>31.454343862657986</v>
      </c>
      <c r="AR68" s="234">
        <v>33.858077905990086</v>
      </c>
    </row>
    <row r="69" spans="1:44" hidden="1" x14ac:dyDescent="0.25">
      <c r="A69" s="11">
        <v>40969</v>
      </c>
      <c r="B69" s="188"/>
      <c r="C69" s="252">
        <v>73.071218177371179</v>
      </c>
      <c r="D69" s="235">
        <v>67.781475771873303</v>
      </c>
      <c r="E69" s="190">
        <v>23.585747185927286</v>
      </c>
      <c r="F69" s="190">
        <v>82.667767123419836</v>
      </c>
      <c r="G69" s="190">
        <v>0</v>
      </c>
      <c r="H69" s="190">
        <v>59.549200594335865</v>
      </c>
      <c r="I69" s="190">
        <v>59.64801189156816</v>
      </c>
      <c r="J69" s="190">
        <v>0</v>
      </c>
      <c r="K69" s="355">
        <v>53.384215793136001</v>
      </c>
      <c r="L69" s="298">
        <v>0</v>
      </c>
      <c r="M69" s="298">
        <v>0</v>
      </c>
      <c r="N69" s="300">
        <v>0</v>
      </c>
      <c r="O69" s="190">
        <v>0</v>
      </c>
      <c r="P69" s="190">
        <v>0</v>
      </c>
      <c r="Q69" s="190">
        <v>0</v>
      </c>
      <c r="R69" s="190">
        <v>103.87097804827822</v>
      </c>
      <c r="S69" s="190">
        <v>0</v>
      </c>
      <c r="T69" s="190">
        <v>0</v>
      </c>
      <c r="U69" s="189">
        <v>44.647192852724793</v>
      </c>
      <c r="V69" s="298">
        <v>0</v>
      </c>
      <c r="W69" s="298">
        <v>0</v>
      </c>
      <c r="X69" s="298">
        <v>0</v>
      </c>
      <c r="Y69" s="269">
        <v>154.43083914764844</v>
      </c>
      <c r="Z69" s="189">
        <v>0</v>
      </c>
      <c r="AA69" s="190">
        <v>0</v>
      </c>
      <c r="AB69" s="190">
        <v>0</v>
      </c>
      <c r="AC69" s="190">
        <v>0</v>
      </c>
      <c r="AD69" s="235">
        <v>0</v>
      </c>
      <c r="AE69" s="190">
        <v>0</v>
      </c>
      <c r="AF69" s="190">
        <v>0</v>
      </c>
      <c r="AG69" s="268">
        <v>0</v>
      </c>
      <c r="AH69" s="268">
        <v>0</v>
      </c>
      <c r="AI69" s="271">
        <v>0</v>
      </c>
      <c r="AJ69" s="271">
        <v>0</v>
      </c>
      <c r="AK69" s="271">
        <v>90.125638044771605</v>
      </c>
      <c r="AL69" s="268">
        <v>90.125638044771605</v>
      </c>
      <c r="AM69" s="270">
        <v>0</v>
      </c>
      <c r="AN69" s="270">
        <v>0</v>
      </c>
      <c r="AO69" s="237">
        <v>47.768741735521743</v>
      </c>
      <c r="AP69" s="234">
        <v>69.710808725825416</v>
      </c>
      <c r="AQ69" s="234">
        <v>32.041844830098761</v>
      </c>
      <c r="AR69" s="234">
        <v>37.120624848518588</v>
      </c>
    </row>
    <row r="70" spans="1:44" hidden="1" x14ac:dyDescent="0.25">
      <c r="A70" s="11">
        <v>41000</v>
      </c>
      <c r="B70" s="188"/>
      <c r="C70" s="252">
        <v>71.377525460543282</v>
      </c>
      <c r="D70" s="235">
        <v>63.582363358065955</v>
      </c>
      <c r="E70" s="190">
        <v>27.659709400797947</v>
      </c>
      <c r="F70" s="190">
        <v>75.72074937436777</v>
      </c>
      <c r="G70" s="190">
        <v>0</v>
      </c>
      <c r="H70" s="190">
        <v>62.149492176327037</v>
      </c>
      <c r="I70" s="190">
        <v>53.893448743075936</v>
      </c>
      <c r="J70" s="190">
        <v>0</v>
      </c>
      <c r="K70" s="355">
        <v>52.298720821808793</v>
      </c>
      <c r="L70" s="298">
        <v>0</v>
      </c>
      <c r="M70" s="298">
        <v>0</v>
      </c>
      <c r="N70" s="300">
        <v>0</v>
      </c>
      <c r="O70" s="190">
        <v>0</v>
      </c>
      <c r="P70" s="190">
        <v>0</v>
      </c>
      <c r="Q70" s="190">
        <v>0</v>
      </c>
      <c r="R70" s="190">
        <v>104.56232014616798</v>
      </c>
      <c r="S70" s="190">
        <v>0</v>
      </c>
      <c r="T70" s="190">
        <v>0</v>
      </c>
      <c r="U70" s="189">
        <v>42.712548473977911</v>
      </c>
      <c r="V70" s="298">
        <v>0</v>
      </c>
      <c r="W70" s="298">
        <v>0</v>
      </c>
      <c r="X70" s="298">
        <v>0</v>
      </c>
      <c r="Y70" s="269">
        <v>101.15545147497232</v>
      </c>
      <c r="Z70" s="189">
        <v>0</v>
      </c>
      <c r="AA70" s="190">
        <v>0</v>
      </c>
      <c r="AB70" s="190">
        <v>0</v>
      </c>
      <c r="AC70" s="190">
        <v>0</v>
      </c>
      <c r="AD70" s="235">
        <v>0</v>
      </c>
      <c r="AE70" s="190">
        <v>0</v>
      </c>
      <c r="AF70" s="190">
        <v>0</v>
      </c>
      <c r="AG70" s="268">
        <v>0</v>
      </c>
      <c r="AH70" s="268">
        <v>0</v>
      </c>
      <c r="AI70" s="271">
        <v>0</v>
      </c>
      <c r="AJ70" s="271">
        <v>0</v>
      </c>
      <c r="AK70" s="271">
        <v>94.691172261453033</v>
      </c>
      <c r="AL70" s="268">
        <v>94.691172261453033</v>
      </c>
      <c r="AM70" s="270">
        <v>0</v>
      </c>
      <c r="AN70" s="270">
        <v>0</v>
      </c>
      <c r="AO70" s="237">
        <v>44.573473091855398</v>
      </c>
      <c r="AP70" s="234">
        <v>69.528332640123452</v>
      </c>
      <c r="AQ70" s="234">
        <v>32.26220941595399</v>
      </c>
      <c r="AR70" s="234">
        <v>33.652052332685692</v>
      </c>
    </row>
    <row r="71" spans="1:44" hidden="1" x14ac:dyDescent="0.25">
      <c r="A71" s="11">
        <v>41030</v>
      </c>
      <c r="B71" s="188"/>
      <c r="C71" s="252">
        <v>74.240326032072574</v>
      </c>
      <c r="D71" s="235">
        <v>65.844237227840182</v>
      </c>
      <c r="E71" s="190">
        <v>18.19578432339382</v>
      </c>
      <c r="F71" s="190">
        <v>78.315390690707829</v>
      </c>
      <c r="G71" s="190">
        <v>0</v>
      </c>
      <c r="H71" s="190">
        <v>72.87070529089209</v>
      </c>
      <c r="I71" s="190">
        <v>56.873971203568786</v>
      </c>
      <c r="J71" s="190">
        <v>0</v>
      </c>
      <c r="K71" s="355">
        <v>52.436289914519193</v>
      </c>
      <c r="L71" s="298">
        <v>0</v>
      </c>
      <c r="M71" s="298">
        <v>0</v>
      </c>
      <c r="N71" s="300">
        <v>0</v>
      </c>
      <c r="O71" s="190">
        <v>0</v>
      </c>
      <c r="P71" s="190">
        <v>0</v>
      </c>
      <c r="Q71" s="190">
        <v>0</v>
      </c>
      <c r="R71" s="190">
        <v>99.810064165704858</v>
      </c>
      <c r="S71" s="190">
        <v>0</v>
      </c>
      <c r="T71" s="190">
        <v>0</v>
      </c>
      <c r="U71" s="189">
        <v>58.341947210124061</v>
      </c>
      <c r="V71" s="298">
        <v>0</v>
      </c>
      <c r="W71" s="298">
        <v>0</v>
      </c>
      <c r="X71" s="298">
        <v>0</v>
      </c>
      <c r="Y71" s="269">
        <v>90.962496342969004</v>
      </c>
      <c r="Z71" s="189">
        <v>0</v>
      </c>
      <c r="AA71" s="190">
        <v>0</v>
      </c>
      <c r="AB71" s="190">
        <v>0</v>
      </c>
      <c r="AC71" s="190">
        <v>0</v>
      </c>
      <c r="AD71" s="235">
        <v>0</v>
      </c>
      <c r="AE71" s="190">
        <v>0</v>
      </c>
      <c r="AF71" s="190">
        <v>0</v>
      </c>
      <c r="AG71" s="268">
        <v>0</v>
      </c>
      <c r="AH71" s="268">
        <v>0</v>
      </c>
      <c r="AI71" s="271">
        <v>0</v>
      </c>
      <c r="AJ71" s="271">
        <v>0</v>
      </c>
      <c r="AK71" s="271">
        <v>84.919507348879094</v>
      </c>
      <c r="AL71" s="268">
        <v>84.919507348879094</v>
      </c>
      <c r="AM71" s="270">
        <v>0</v>
      </c>
      <c r="AN71" s="270">
        <v>0</v>
      </c>
      <c r="AO71" s="237">
        <v>48.593650678560614</v>
      </c>
      <c r="AP71" s="234">
        <v>65.026741958444831</v>
      </c>
      <c r="AQ71" s="234">
        <v>33.346384136800403</v>
      </c>
      <c r="AR71" s="234">
        <v>33.583839705372711</v>
      </c>
    </row>
    <row r="72" spans="1:44" hidden="1" x14ac:dyDescent="0.25">
      <c r="A72" s="11">
        <v>41061</v>
      </c>
      <c r="B72" s="188"/>
      <c r="C72" s="252">
        <v>78.296342068674093</v>
      </c>
      <c r="D72" s="235">
        <v>72.806887631114421</v>
      </c>
      <c r="E72" s="190">
        <v>26.631640635250474</v>
      </c>
      <c r="F72" s="190">
        <v>83.480795274723064</v>
      </c>
      <c r="G72" s="190">
        <v>0</v>
      </c>
      <c r="H72" s="190">
        <v>72.823124721530803</v>
      </c>
      <c r="I72" s="190">
        <v>63.216461113585403</v>
      </c>
      <c r="J72" s="190">
        <v>0</v>
      </c>
      <c r="K72" s="355">
        <v>56.530048065625046</v>
      </c>
      <c r="L72" s="298">
        <v>0</v>
      </c>
      <c r="M72" s="298">
        <v>0</v>
      </c>
      <c r="N72" s="300">
        <v>0</v>
      </c>
      <c r="O72" s="190">
        <v>0</v>
      </c>
      <c r="P72" s="190">
        <v>0</v>
      </c>
      <c r="Q72" s="190">
        <v>0</v>
      </c>
      <c r="R72" s="190">
        <v>109.0874375653066</v>
      </c>
      <c r="S72" s="190">
        <v>0</v>
      </c>
      <c r="T72" s="190">
        <v>0</v>
      </c>
      <c r="U72" s="189">
        <v>52.82827694603921</v>
      </c>
      <c r="V72" s="298">
        <v>0</v>
      </c>
      <c r="W72" s="298">
        <v>0</v>
      </c>
      <c r="X72" s="298">
        <v>0</v>
      </c>
      <c r="Y72" s="269">
        <v>112.88882553936207</v>
      </c>
      <c r="Z72" s="189">
        <v>0</v>
      </c>
      <c r="AA72" s="190">
        <v>0</v>
      </c>
      <c r="AB72" s="190">
        <v>0</v>
      </c>
      <c r="AC72" s="190">
        <v>0</v>
      </c>
      <c r="AD72" s="235">
        <v>0</v>
      </c>
      <c r="AE72" s="190">
        <v>0</v>
      </c>
      <c r="AF72" s="190">
        <v>0</v>
      </c>
      <c r="AG72" s="268">
        <v>0</v>
      </c>
      <c r="AH72" s="268">
        <v>0</v>
      </c>
      <c r="AI72" s="271">
        <v>0</v>
      </c>
      <c r="AJ72" s="271">
        <v>0</v>
      </c>
      <c r="AK72" s="271">
        <v>88.408267874519254</v>
      </c>
      <c r="AL72" s="268">
        <v>88.408267874519254</v>
      </c>
      <c r="AM72" s="270">
        <v>0</v>
      </c>
      <c r="AN72" s="270">
        <v>0</v>
      </c>
      <c r="AO72" s="237">
        <v>50.760156412209646</v>
      </c>
      <c r="AP72" s="234">
        <v>60.698259014295189</v>
      </c>
      <c r="AQ72" s="234">
        <v>38.498197107483897</v>
      </c>
      <c r="AR72" s="234">
        <v>32.92039513220039</v>
      </c>
    </row>
    <row r="73" spans="1:44" hidden="1" x14ac:dyDescent="0.25">
      <c r="A73" s="11">
        <v>41091</v>
      </c>
      <c r="B73" s="188"/>
      <c r="C73" s="252">
        <v>73.540680973215217</v>
      </c>
      <c r="D73" s="235">
        <v>73.197589584832613</v>
      </c>
      <c r="E73" s="190">
        <v>18.92422839085328</v>
      </c>
      <c r="F73" s="190">
        <v>78.145262653854957</v>
      </c>
      <c r="G73" s="190">
        <v>0</v>
      </c>
      <c r="H73" s="190">
        <v>93.504866985701753</v>
      </c>
      <c r="I73" s="190">
        <v>63.024824246792789</v>
      </c>
      <c r="J73" s="190">
        <v>0</v>
      </c>
      <c r="K73" s="355">
        <v>44.981599585559714</v>
      </c>
      <c r="L73" s="298">
        <v>0</v>
      </c>
      <c r="M73" s="298">
        <v>0</v>
      </c>
      <c r="N73" s="300">
        <v>0</v>
      </c>
      <c r="O73" s="190">
        <v>0</v>
      </c>
      <c r="P73" s="190">
        <v>0</v>
      </c>
      <c r="Q73" s="190">
        <v>0</v>
      </c>
      <c r="R73" s="190">
        <v>108.64436850592836</v>
      </c>
      <c r="S73" s="190">
        <v>0</v>
      </c>
      <c r="T73" s="190">
        <v>0</v>
      </c>
      <c r="U73" s="189">
        <v>40.125438509326038</v>
      </c>
      <c r="V73" s="298">
        <v>0</v>
      </c>
      <c r="W73" s="298">
        <v>0</v>
      </c>
      <c r="X73" s="298">
        <v>0</v>
      </c>
      <c r="Y73" s="269">
        <v>41.754624603826272</v>
      </c>
      <c r="Z73" s="189">
        <v>0</v>
      </c>
      <c r="AA73" s="190">
        <v>0</v>
      </c>
      <c r="AB73" s="190">
        <v>0</v>
      </c>
      <c r="AC73" s="190">
        <v>0</v>
      </c>
      <c r="AD73" s="235">
        <v>0</v>
      </c>
      <c r="AE73" s="190">
        <v>0</v>
      </c>
      <c r="AF73" s="190">
        <v>0</v>
      </c>
      <c r="AG73" s="268">
        <v>0</v>
      </c>
      <c r="AH73" s="268">
        <v>0</v>
      </c>
      <c r="AI73" s="271">
        <v>0</v>
      </c>
      <c r="AJ73" s="271">
        <v>0</v>
      </c>
      <c r="AK73" s="271">
        <v>71.290802033148438</v>
      </c>
      <c r="AL73" s="268">
        <v>71.290802033148438</v>
      </c>
      <c r="AM73" s="270">
        <v>0</v>
      </c>
      <c r="AN73" s="270">
        <v>0</v>
      </c>
      <c r="AO73" s="237">
        <v>48.055991609535646</v>
      </c>
      <c r="AP73" s="234">
        <v>50.16044020960382</v>
      </c>
      <c r="AQ73" s="234">
        <v>38.156581619725912</v>
      </c>
      <c r="AR73" s="234">
        <v>34.848470587920382</v>
      </c>
    </row>
    <row r="74" spans="1:44" hidden="1" x14ac:dyDescent="0.25">
      <c r="A74" s="11">
        <v>41122</v>
      </c>
      <c r="B74" s="188"/>
      <c r="C74" s="252">
        <v>81.252873553128879</v>
      </c>
      <c r="D74" s="235">
        <v>76.114373465629512</v>
      </c>
      <c r="E74" s="190">
        <v>31.033175383338904</v>
      </c>
      <c r="F74" s="190">
        <v>73.742952111286968</v>
      </c>
      <c r="G74" s="190">
        <v>0</v>
      </c>
      <c r="H74" s="190">
        <v>101.50865424723276</v>
      </c>
      <c r="I74" s="190">
        <v>63.459954198740824</v>
      </c>
      <c r="J74" s="190">
        <v>0</v>
      </c>
      <c r="K74" s="355">
        <v>50.080357754487594</v>
      </c>
      <c r="L74" s="298">
        <v>0</v>
      </c>
      <c r="M74" s="298">
        <v>0</v>
      </c>
      <c r="N74" s="300">
        <v>0</v>
      </c>
      <c r="O74" s="190">
        <v>0</v>
      </c>
      <c r="P74" s="190">
        <v>0</v>
      </c>
      <c r="Q74" s="190">
        <v>0</v>
      </c>
      <c r="R74" s="190">
        <v>105.17481106364266</v>
      </c>
      <c r="S74" s="190">
        <v>0</v>
      </c>
      <c r="T74" s="190">
        <v>0</v>
      </c>
      <c r="U74" s="189">
        <v>68.798546624269363</v>
      </c>
      <c r="V74" s="298">
        <v>0</v>
      </c>
      <c r="W74" s="298">
        <v>0</v>
      </c>
      <c r="X74" s="298">
        <v>0</v>
      </c>
      <c r="Y74" s="269">
        <v>98.223266868663643</v>
      </c>
      <c r="Z74" s="189">
        <v>0</v>
      </c>
      <c r="AA74" s="190">
        <v>0</v>
      </c>
      <c r="AB74" s="190">
        <v>0</v>
      </c>
      <c r="AC74" s="190">
        <v>0</v>
      </c>
      <c r="AD74" s="235">
        <v>0</v>
      </c>
      <c r="AE74" s="190">
        <v>0</v>
      </c>
      <c r="AF74" s="190">
        <v>0</v>
      </c>
      <c r="AG74" s="268">
        <v>0</v>
      </c>
      <c r="AH74" s="268">
        <v>0</v>
      </c>
      <c r="AI74" s="271">
        <v>0</v>
      </c>
      <c r="AJ74" s="271">
        <v>0</v>
      </c>
      <c r="AK74" s="271">
        <v>90.795655190893939</v>
      </c>
      <c r="AL74" s="268">
        <v>90.795655190893939</v>
      </c>
      <c r="AM74" s="270">
        <v>0</v>
      </c>
      <c r="AN74" s="270">
        <v>0</v>
      </c>
      <c r="AO74" s="237">
        <v>44.414805304207725</v>
      </c>
      <c r="AP74" s="234">
        <v>61.939135990594259</v>
      </c>
      <c r="AQ74" s="234">
        <v>35.202947565857038</v>
      </c>
      <c r="AR74" s="234">
        <v>27.137278012726195</v>
      </c>
    </row>
    <row r="75" spans="1:44" hidden="1" x14ac:dyDescent="0.25">
      <c r="A75" s="11">
        <v>41153</v>
      </c>
      <c r="B75" s="188"/>
      <c r="C75" s="252">
        <v>76.868195978573752</v>
      </c>
      <c r="D75" s="235">
        <v>72.162889756301723</v>
      </c>
      <c r="E75" s="190">
        <v>21.28253906962556</v>
      </c>
      <c r="F75" s="190">
        <v>64.641705305663265</v>
      </c>
      <c r="G75" s="190">
        <v>0</v>
      </c>
      <c r="H75" s="190">
        <v>54.808826058604545</v>
      </c>
      <c r="I75" s="190">
        <v>70.103959734542585</v>
      </c>
      <c r="J75" s="190">
        <v>0</v>
      </c>
      <c r="K75" s="355">
        <v>52.654921190667636</v>
      </c>
      <c r="L75" s="298">
        <v>0</v>
      </c>
      <c r="M75" s="298">
        <v>0</v>
      </c>
      <c r="N75" s="300">
        <v>0</v>
      </c>
      <c r="O75" s="190">
        <v>0</v>
      </c>
      <c r="P75" s="190">
        <v>0</v>
      </c>
      <c r="Q75" s="190">
        <v>0</v>
      </c>
      <c r="R75" s="190">
        <v>114.47162217158966</v>
      </c>
      <c r="S75" s="190">
        <v>0</v>
      </c>
      <c r="T75" s="190">
        <v>0</v>
      </c>
      <c r="U75" s="189">
        <v>41.590198456483321</v>
      </c>
      <c r="V75" s="298">
        <v>0</v>
      </c>
      <c r="W75" s="298">
        <v>0</v>
      </c>
      <c r="X75" s="298">
        <v>0</v>
      </c>
      <c r="Y75" s="269">
        <v>113.38990490019252</v>
      </c>
      <c r="Z75" s="189">
        <v>0</v>
      </c>
      <c r="AA75" s="190">
        <v>0</v>
      </c>
      <c r="AB75" s="190">
        <v>0</v>
      </c>
      <c r="AC75" s="190">
        <v>0</v>
      </c>
      <c r="AD75" s="235">
        <v>0</v>
      </c>
      <c r="AE75" s="190">
        <v>0</v>
      </c>
      <c r="AF75" s="190">
        <v>0</v>
      </c>
      <c r="AG75" s="268">
        <v>0</v>
      </c>
      <c r="AH75" s="268">
        <v>0</v>
      </c>
      <c r="AI75" s="271">
        <v>0</v>
      </c>
      <c r="AJ75" s="271">
        <v>0</v>
      </c>
      <c r="AK75" s="271">
        <v>85.854159626966876</v>
      </c>
      <c r="AL75" s="268">
        <v>85.854159626966876</v>
      </c>
      <c r="AM75" s="270">
        <v>0</v>
      </c>
      <c r="AN75" s="270">
        <v>0</v>
      </c>
      <c r="AO75" s="237">
        <v>42.917125111819473</v>
      </c>
      <c r="AP75" s="234">
        <v>67.791999155639161</v>
      </c>
      <c r="AQ75" s="234">
        <v>34.830823271882863</v>
      </c>
      <c r="AR75" s="234">
        <v>39.588490138780664</v>
      </c>
    </row>
    <row r="76" spans="1:44" hidden="1" x14ac:dyDescent="0.25">
      <c r="A76" s="11">
        <v>41183</v>
      </c>
      <c r="B76" s="188"/>
      <c r="C76" s="252">
        <v>78.296942477684766</v>
      </c>
      <c r="D76" s="235">
        <v>76.172585746202103</v>
      </c>
      <c r="E76" s="190">
        <v>24.761231968328918</v>
      </c>
      <c r="F76" s="190">
        <v>77.455117312641661</v>
      </c>
      <c r="G76" s="190">
        <v>0</v>
      </c>
      <c r="H76" s="190">
        <v>107.66936530036268</v>
      </c>
      <c r="I76" s="190">
        <v>63.31485645177424</v>
      </c>
      <c r="J76" s="190">
        <v>0</v>
      </c>
      <c r="K76" s="355">
        <v>80.575405137641312</v>
      </c>
      <c r="L76" s="298">
        <v>0</v>
      </c>
      <c r="M76" s="298">
        <v>0</v>
      </c>
      <c r="N76" s="300">
        <v>0</v>
      </c>
      <c r="O76" s="190">
        <v>0</v>
      </c>
      <c r="P76" s="190">
        <v>0</v>
      </c>
      <c r="Q76" s="190">
        <v>0</v>
      </c>
      <c r="R76" s="190">
        <v>117.22858783154658</v>
      </c>
      <c r="S76" s="190">
        <v>0</v>
      </c>
      <c r="T76" s="190">
        <v>0</v>
      </c>
      <c r="U76" s="189">
        <v>37.674468850782553</v>
      </c>
      <c r="V76" s="298">
        <v>0</v>
      </c>
      <c r="W76" s="298">
        <v>0</v>
      </c>
      <c r="X76" s="298">
        <v>0</v>
      </c>
      <c r="Y76" s="269">
        <v>82.260927584400861</v>
      </c>
      <c r="Z76" s="189">
        <v>0</v>
      </c>
      <c r="AA76" s="190">
        <v>0</v>
      </c>
      <c r="AB76" s="190">
        <v>0</v>
      </c>
      <c r="AC76" s="190">
        <v>0</v>
      </c>
      <c r="AD76" s="235">
        <v>0</v>
      </c>
      <c r="AE76" s="190">
        <v>0</v>
      </c>
      <c r="AF76" s="190">
        <v>0</v>
      </c>
      <c r="AG76" s="268">
        <v>0</v>
      </c>
      <c r="AH76" s="268">
        <v>0</v>
      </c>
      <c r="AI76" s="271">
        <v>0</v>
      </c>
      <c r="AJ76" s="271">
        <v>0</v>
      </c>
      <c r="AK76" s="271">
        <v>87.365740270820524</v>
      </c>
      <c r="AL76" s="268">
        <v>87.365740270820524</v>
      </c>
      <c r="AM76" s="270">
        <v>0</v>
      </c>
      <c r="AN76" s="270">
        <v>0</v>
      </c>
      <c r="AO76" s="237">
        <v>45.092114105463104</v>
      </c>
      <c r="AP76" s="234">
        <v>65.036588266044433</v>
      </c>
      <c r="AQ76" s="234">
        <v>35.203738217175612</v>
      </c>
      <c r="AR76" s="234">
        <v>38.664954646402158</v>
      </c>
    </row>
    <row r="77" spans="1:44" hidden="1" x14ac:dyDescent="0.25">
      <c r="A77" s="11">
        <v>41214</v>
      </c>
      <c r="B77" s="188"/>
      <c r="C77" s="252">
        <v>98.028211495243156</v>
      </c>
      <c r="D77" s="235">
        <v>104.59814983665892</v>
      </c>
      <c r="E77" s="190">
        <v>26.168175209785709</v>
      </c>
      <c r="F77" s="190">
        <v>86.253948189520585</v>
      </c>
      <c r="G77" s="190">
        <v>0</v>
      </c>
      <c r="H77" s="190">
        <v>58.810532581848911</v>
      </c>
      <c r="I77" s="190">
        <v>107.58408260795741</v>
      </c>
      <c r="J77" s="190">
        <v>0</v>
      </c>
      <c r="K77" s="355">
        <v>78.262940232501691</v>
      </c>
      <c r="L77" s="298">
        <v>0</v>
      </c>
      <c r="M77" s="298">
        <v>0</v>
      </c>
      <c r="N77" s="300">
        <v>0</v>
      </c>
      <c r="O77" s="190">
        <v>0</v>
      </c>
      <c r="P77" s="190">
        <v>0</v>
      </c>
      <c r="Q77" s="190">
        <v>0</v>
      </c>
      <c r="R77" s="190">
        <v>131.76939975390522</v>
      </c>
      <c r="S77" s="190">
        <v>0</v>
      </c>
      <c r="T77" s="190">
        <v>0</v>
      </c>
      <c r="U77" s="189">
        <v>65.225813117441575</v>
      </c>
      <c r="V77" s="298">
        <v>0</v>
      </c>
      <c r="W77" s="298">
        <v>0</v>
      </c>
      <c r="X77" s="298">
        <v>0</v>
      </c>
      <c r="Y77" s="269">
        <v>92.261032065067113</v>
      </c>
      <c r="Z77" s="189">
        <v>0</v>
      </c>
      <c r="AA77" s="190">
        <v>0</v>
      </c>
      <c r="AB77" s="190">
        <v>0</v>
      </c>
      <c r="AC77" s="190">
        <v>0</v>
      </c>
      <c r="AD77" s="235">
        <v>0</v>
      </c>
      <c r="AE77" s="190">
        <v>0</v>
      </c>
      <c r="AF77" s="190">
        <v>0</v>
      </c>
      <c r="AG77" s="268">
        <v>0</v>
      </c>
      <c r="AH77" s="268">
        <v>0</v>
      </c>
      <c r="AI77" s="271">
        <v>0</v>
      </c>
      <c r="AJ77" s="271">
        <v>0</v>
      </c>
      <c r="AK77" s="271">
        <v>95.883529349150109</v>
      </c>
      <c r="AL77" s="268">
        <v>95.883529349150109</v>
      </c>
      <c r="AM77" s="270">
        <v>0</v>
      </c>
      <c r="AN77" s="270">
        <v>0</v>
      </c>
      <c r="AO77" s="237">
        <v>46.872901675497275</v>
      </c>
      <c r="AP77" s="234">
        <v>78.073254647418608</v>
      </c>
      <c r="AQ77" s="234">
        <v>33.51239749807084</v>
      </c>
      <c r="AR77" s="234">
        <v>41.160093571052847</v>
      </c>
    </row>
    <row r="78" spans="1:44" hidden="1" x14ac:dyDescent="0.25">
      <c r="A78" s="11">
        <v>41244</v>
      </c>
      <c r="B78" s="188"/>
      <c r="C78" s="252">
        <v>77.36813555184807</v>
      </c>
      <c r="D78" s="235">
        <v>70.82565624313284</v>
      </c>
      <c r="E78" s="190">
        <v>19.427609895906503</v>
      </c>
      <c r="F78" s="190">
        <v>89.950083414080666</v>
      </c>
      <c r="G78" s="190">
        <v>0</v>
      </c>
      <c r="H78" s="190">
        <v>63.488035491060131</v>
      </c>
      <c r="I78" s="190">
        <v>62.710855319290339</v>
      </c>
      <c r="J78" s="190">
        <v>0</v>
      </c>
      <c r="K78" s="355">
        <v>78.339601568033842</v>
      </c>
      <c r="L78" s="298">
        <v>0</v>
      </c>
      <c r="M78" s="298">
        <v>0</v>
      </c>
      <c r="N78" s="300">
        <v>0</v>
      </c>
      <c r="O78" s="190">
        <v>0</v>
      </c>
      <c r="P78" s="190">
        <v>0</v>
      </c>
      <c r="Q78" s="190">
        <v>0</v>
      </c>
      <c r="R78" s="190">
        <v>112.93445946342902</v>
      </c>
      <c r="S78" s="190">
        <v>0</v>
      </c>
      <c r="T78" s="190">
        <v>0</v>
      </c>
      <c r="U78" s="189">
        <v>42.912753974916107</v>
      </c>
      <c r="V78" s="298">
        <v>0</v>
      </c>
      <c r="W78" s="298">
        <v>0</v>
      </c>
      <c r="X78" s="298">
        <v>0</v>
      </c>
      <c r="Y78" s="269">
        <v>101.87355558993386</v>
      </c>
      <c r="Z78" s="189">
        <v>0</v>
      </c>
      <c r="AA78" s="190">
        <v>0</v>
      </c>
      <c r="AB78" s="190">
        <v>0</v>
      </c>
      <c r="AC78" s="190">
        <v>0</v>
      </c>
      <c r="AD78" s="235">
        <v>0</v>
      </c>
      <c r="AE78" s="190">
        <v>0</v>
      </c>
      <c r="AF78" s="190">
        <v>0</v>
      </c>
      <c r="AG78" s="268">
        <v>0</v>
      </c>
      <c r="AH78" s="268">
        <v>0</v>
      </c>
      <c r="AI78" s="271">
        <v>0</v>
      </c>
      <c r="AJ78" s="271">
        <v>0</v>
      </c>
      <c r="AK78" s="271">
        <v>99.146471208056482</v>
      </c>
      <c r="AL78" s="268">
        <v>99.146471208056482</v>
      </c>
      <c r="AM78" s="270">
        <v>0</v>
      </c>
      <c r="AN78" s="270">
        <v>0</v>
      </c>
      <c r="AO78" s="237">
        <v>52.059531455913771</v>
      </c>
      <c r="AP78" s="234">
        <v>61.788977701352074</v>
      </c>
      <c r="AQ78" s="234">
        <v>39.3876930908921</v>
      </c>
      <c r="AR78" s="234">
        <v>45.343258971205977</v>
      </c>
    </row>
    <row r="79" spans="1:44" hidden="1" x14ac:dyDescent="0.25">
      <c r="A79" s="11">
        <v>41275</v>
      </c>
      <c r="B79" s="188"/>
      <c r="C79" s="252">
        <v>74.08533948660245</v>
      </c>
      <c r="D79" s="235">
        <v>59.923555256243191</v>
      </c>
      <c r="E79" s="190">
        <v>20.852381055890294</v>
      </c>
      <c r="F79" s="190">
        <v>93.991397697540265</v>
      </c>
      <c r="G79" s="190">
        <v>0</v>
      </c>
      <c r="H79" s="190">
        <v>41.079848391342729</v>
      </c>
      <c r="I79" s="190">
        <v>50.917444552027646</v>
      </c>
      <c r="J79" s="190">
        <v>0</v>
      </c>
      <c r="K79" s="355">
        <v>68.233990980685377</v>
      </c>
      <c r="L79" s="298">
        <v>0</v>
      </c>
      <c r="M79" s="298">
        <v>0</v>
      </c>
      <c r="N79" s="300">
        <v>0</v>
      </c>
      <c r="O79" s="190">
        <v>0</v>
      </c>
      <c r="P79" s="190">
        <v>0</v>
      </c>
      <c r="Q79" s="190">
        <v>0</v>
      </c>
      <c r="R79" s="190">
        <v>113.0607470293795</v>
      </c>
      <c r="S79" s="190">
        <v>0</v>
      </c>
      <c r="T79" s="190">
        <v>0</v>
      </c>
      <c r="U79" s="189">
        <v>38.654753650588681</v>
      </c>
      <c r="V79" s="298">
        <v>0</v>
      </c>
      <c r="W79" s="298">
        <v>0</v>
      </c>
      <c r="X79" s="298">
        <v>0</v>
      </c>
      <c r="Y79" s="269">
        <v>101.21538816457317</v>
      </c>
      <c r="Z79" s="189">
        <v>0</v>
      </c>
      <c r="AA79" s="190">
        <v>0</v>
      </c>
      <c r="AB79" s="190">
        <v>0</v>
      </c>
      <c r="AC79" s="190">
        <v>0</v>
      </c>
      <c r="AD79" s="235">
        <v>0</v>
      </c>
      <c r="AE79" s="190">
        <v>0</v>
      </c>
      <c r="AF79" s="190">
        <v>0</v>
      </c>
      <c r="AG79" s="268">
        <v>0</v>
      </c>
      <c r="AH79" s="268">
        <v>0</v>
      </c>
      <c r="AI79" s="271">
        <v>0</v>
      </c>
      <c r="AJ79" s="271">
        <v>0</v>
      </c>
      <c r="AK79" s="271">
        <v>145.8686967161226</v>
      </c>
      <c r="AL79" s="268">
        <v>145.8686967161226</v>
      </c>
      <c r="AM79" s="270">
        <v>0</v>
      </c>
      <c r="AN79" s="270">
        <v>0</v>
      </c>
      <c r="AO79" s="237">
        <v>46.656170151416035</v>
      </c>
      <c r="AP79" s="234">
        <v>61.891234867340174</v>
      </c>
      <c r="AQ79" s="234">
        <v>34.019067239318375</v>
      </c>
      <c r="AR79" s="234">
        <v>36.237615092680258</v>
      </c>
    </row>
    <row r="80" spans="1:44" hidden="1" x14ac:dyDescent="0.25">
      <c r="A80" s="11">
        <v>41306</v>
      </c>
      <c r="B80" s="188"/>
      <c r="C80" s="252">
        <v>79.883424652039892</v>
      </c>
      <c r="D80" s="235">
        <v>73.500972831482471</v>
      </c>
      <c r="E80" s="190">
        <v>24.706443559664962</v>
      </c>
      <c r="F80" s="190">
        <v>77.719763962151859</v>
      </c>
      <c r="G80" s="190">
        <v>0</v>
      </c>
      <c r="H80" s="190">
        <v>54.447020589032149</v>
      </c>
      <c r="I80" s="190">
        <v>68.766892015848825</v>
      </c>
      <c r="J80" s="190">
        <v>0</v>
      </c>
      <c r="K80" s="355">
        <v>83.694004556210828</v>
      </c>
      <c r="L80" s="298">
        <v>0</v>
      </c>
      <c r="M80" s="298">
        <v>0</v>
      </c>
      <c r="N80" s="300">
        <v>0</v>
      </c>
      <c r="O80" s="190">
        <v>0</v>
      </c>
      <c r="P80" s="190">
        <v>0</v>
      </c>
      <c r="Q80" s="190">
        <v>0</v>
      </c>
      <c r="R80" s="190">
        <v>108.47635147262383</v>
      </c>
      <c r="S80" s="190">
        <v>0</v>
      </c>
      <c r="T80" s="190">
        <v>0</v>
      </c>
      <c r="U80" s="189">
        <v>53.542551082064655</v>
      </c>
      <c r="V80" s="298">
        <v>0</v>
      </c>
      <c r="W80" s="298">
        <v>0</v>
      </c>
      <c r="X80" s="298">
        <v>0</v>
      </c>
      <c r="Y80" s="269">
        <v>132.47319153521667</v>
      </c>
      <c r="Z80" s="189">
        <v>0</v>
      </c>
      <c r="AA80" s="190">
        <v>0</v>
      </c>
      <c r="AB80" s="190">
        <v>0</v>
      </c>
      <c r="AC80" s="190">
        <v>0</v>
      </c>
      <c r="AD80" s="235">
        <v>0</v>
      </c>
      <c r="AE80" s="190">
        <v>0</v>
      </c>
      <c r="AF80" s="190">
        <v>0</v>
      </c>
      <c r="AG80" s="268">
        <v>0</v>
      </c>
      <c r="AH80" s="268">
        <v>0</v>
      </c>
      <c r="AI80" s="271">
        <v>0</v>
      </c>
      <c r="AJ80" s="271">
        <v>0</v>
      </c>
      <c r="AK80" s="271">
        <v>100.85650145394084</v>
      </c>
      <c r="AL80" s="268">
        <v>100.85650145394084</v>
      </c>
      <c r="AM80" s="270">
        <v>0</v>
      </c>
      <c r="AN80" s="270">
        <v>0</v>
      </c>
      <c r="AO80" s="237">
        <v>48.59885126255692</v>
      </c>
      <c r="AP80" s="234">
        <v>92.30024643391036</v>
      </c>
      <c r="AQ80" s="234">
        <v>34.936940440164271</v>
      </c>
      <c r="AR80" s="234">
        <v>37.129867395656063</v>
      </c>
    </row>
    <row r="81" spans="1:44" hidden="1" x14ac:dyDescent="0.25">
      <c r="A81" s="11">
        <v>41334</v>
      </c>
      <c r="B81" s="188"/>
      <c r="C81" s="252">
        <v>81.184096832136305</v>
      </c>
      <c r="D81" s="235">
        <v>72.150597345180373</v>
      </c>
      <c r="E81" s="190">
        <v>36.163469921407625</v>
      </c>
      <c r="F81" s="190">
        <v>69.944525245780838</v>
      </c>
      <c r="G81" s="190">
        <v>0</v>
      </c>
      <c r="H81" s="190">
        <v>52.476604852135914</v>
      </c>
      <c r="I81" s="190">
        <v>65.975297648181154</v>
      </c>
      <c r="J81" s="190">
        <v>0</v>
      </c>
      <c r="K81" s="355">
        <v>67.401940871027207</v>
      </c>
      <c r="L81" s="298">
        <v>0</v>
      </c>
      <c r="M81" s="298">
        <v>0</v>
      </c>
      <c r="N81" s="300">
        <v>0</v>
      </c>
      <c r="O81" s="190">
        <v>0</v>
      </c>
      <c r="P81" s="190">
        <v>0</v>
      </c>
      <c r="Q81" s="190">
        <v>0</v>
      </c>
      <c r="R81" s="190">
        <v>115.64054443229521</v>
      </c>
      <c r="S81" s="190">
        <v>0</v>
      </c>
      <c r="T81" s="190">
        <v>0</v>
      </c>
      <c r="U81" s="189">
        <v>53.547184878570434</v>
      </c>
      <c r="V81" s="298">
        <v>0</v>
      </c>
      <c r="W81" s="298">
        <v>0</v>
      </c>
      <c r="X81" s="298">
        <v>0</v>
      </c>
      <c r="Y81" s="269">
        <v>146.66148929492181</v>
      </c>
      <c r="Z81" s="189">
        <v>0</v>
      </c>
      <c r="AA81" s="190">
        <v>0</v>
      </c>
      <c r="AB81" s="190">
        <v>0</v>
      </c>
      <c r="AC81" s="190">
        <v>0</v>
      </c>
      <c r="AD81" s="235">
        <v>0</v>
      </c>
      <c r="AE81" s="190">
        <v>0</v>
      </c>
      <c r="AF81" s="190">
        <v>0</v>
      </c>
      <c r="AG81" s="268">
        <v>0</v>
      </c>
      <c r="AH81" s="268">
        <v>0</v>
      </c>
      <c r="AI81" s="271">
        <v>0</v>
      </c>
      <c r="AJ81" s="271">
        <v>0</v>
      </c>
      <c r="AK81" s="271">
        <v>113.03846168751933</v>
      </c>
      <c r="AL81" s="268">
        <v>113.03846168751933</v>
      </c>
      <c r="AM81" s="270">
        <v>0</v>
      </c>
      <c r="AN81" s="270">
        <v>0</v>
      </c>
      <c r="AO81" s="237">
        <v>51.131419105762824</v>
      </c>
      <c r="AP81" s="234">
        <v>71.621535196966789</v>
      </c>
      <c r="AQ81" s="234">
        <v>36.826054196123131</v>
      </c>
      <c r="AR81" s="234">
        <v>36.939803617047275</v>
      </c>
    </row>
    <row r="82" spans="1:44" hidden="1" x14ac:dyDescent="0.25">
      <c r="A82" s="11">
        <v>41365</v>
      </c>
      <c r="B82" s="188"/>
      <c r="C82" s="252">
        <v>76.993216081396568</v>
      </c>
      <c r="D82" s="235">
        <v>72.79218436748809</v>
      </c>
      <c r="E82" s="190">
        <v>35.419767526544696</v>
      </c>
      <c r="F82" s="190">
        <v>86.672608238965339</v>
      </c>
      <c r="G82" s="190">
        <v>0</v>
      </c>
      <c r="H82" s="190">
        <v>55.227446489168884</v>
      </c>
      <c r="I82" s="190">
        <v>63.514599196446696</v>
      </c>
      <c r="J82" s="190">
        <v>0</v>
      </c>
      <c r="K82" s="355">
        <v>67.029480255061117</v>
      </c>
      <c r="L82" s="298">
        <v>0</v>
      </c>
      <c r="M82" s="298">
        <v>0</v>
      </c>
      <c r="N82" s="300">
        <v>0</v>
      </c>
      <c r="O82" s="190">
        <v>0</v>
      </c>
      <c r="P82" s="190">
        <v>0</v>
      </c>
      <c r="Q82" s="190">
        <v>0</v>
      </c>
      <c r="R82" s="190">
        <v>115.46832231520028</v>
      </c>
      <c r="S82" s="190">
        <v>0</v>
      </c>
      <c r="T82" s="190">
        <v>0</v>
      </c>
      <c r="U82" s="189">
        <v>39.027352940046555</v>
      </c>
      <c r="V82" s="298">
        <v>0</v>
      </c>
      <c r="W82" s="298">
        <v>0</v>
      </c>
      <c r="X82" s="298">
        <v>0</v>
      </c>
      <c r="Y82" s="269">
        <v>96.627780559795681</v>
      </c>
      <c r="Z82" s="189">
        <v>0</v>
      </c>
      <c r="AA82" s="190">
        <v>0</v>
      </c>
      <c r="AB82" s="190">
        <v>0</v>
      </c>
      <c r="AC82" s="190">
        <v>0</v>
      </c>
      <c r="AD82" s="235">
        <v>0</v>
      </c>
      <c r="AE82" s="190">
        <v>0</v>
      </c>
      <c r="AF82" s="190">
        <v>0</v>
      </c>
      <c r="AG82" s="268">
        <v>0</v>
      </c>
      <c r="AH82" s="268">
        <v>0</v>
      </c>
      <c r="AI82" s="271">
        <v>0</v>
      </c>
      <c r="AJ82" s="271">
        <v>0</v>
      </c>
      <c r="AK82" s="271">
        <v>93.947000743788394</v>
      </c>
      <c r="AL82" s="268">
        <v>93.947000743788394</v>
      </c>
      <c r="AM82" s="270">
        <v>0</v>
      </c>
      <c r="AN82" s="270">
        <v>0</v>
      </c>
      <c r="AO82" s="237">
        <v>49.506523788011492</v>
      </c>
      <c r="AP82" s="234">
        <v>69.721551791852704</v>
      </c>
      <c r="AQ82" s="234">
        <v>36.883769283886743</v>
      </c>
      <c r="AR82" s="234">
        <v>34.058095965024307</v>
      </c>
    </row>
    <row r="83" spans="1:44" hidden="1" x14ac:dyDescent="0.25">
      <c r="A83" s="11">
        <v>41395</v>
      </c>
      <c r="B83" s="188"/>
      <c r="C83" s="252">
        <v>90.241415015904266</v>
      </c>
      <c r="D83" s="235">
        <v>70.655489561015287</v>
      </c>
      <c r="E83" s="190">
        <v>40.873979470096231</v>
      </c>
      <c r="F83" s="190">
        <v>77.638599457394889</v>
      </c>
      <c r="G83" s="190">
        <v>0</v>
      </c>
      <c r="H83" s="190">
        <v>60.83955542716469</v>
      </c>
      <c r="I83" s="190">
        <v>60.045377310582865</v>
      </c>
      <c r="J83" s="190">
        <v>0</v>
      </c>
      <c r="K83" s="355">
        <v>65.796151522599331</v>
      </c>
      <c r="L83" s="298">
        <v>0</v>
      </c>
      <c r="M83" s="298">
        <v>0</v>
      </c>
      <c r="N83" s="300">
        <v>0</v>
      </c>
      <c r="O83" s="190">
        <v>0</v>
      </c>
      <c r="P83" s="190">
        <v>0</v>
      </c>
      <c r="Q83" s="190">
        <v>0</v>
      </c>
      <c r="R83" s="190">
        <v>132.90284152160876</v>
      </c>
      <c r="S83" s="190">
        <v>0</v>
      </c>
      <c r="T83" s="190">
        <v>0</v>
      </c>
      <c r="U83" s="189">
        <v>59.902688957438137</v>
      </c>
      <c r="V83" s="298">
        <v>0</v>
      </c>
      <c r="W83" s="298">
        <v>0</v>
      </c>
      <c r="X83" s="298">
        <v>0</v>
      </c>
      <c r="Y83" s="269">
        <v>121.07500579024286</v>
      </c>
      <c r="Z83" s="189">
        <v>0</v>
      </c>
      <c r="AA83" s="190">
        <v>0</v>
      </c>
      <c r="AB83" s="190">
        <v>0</v>
      </c>
      <c r="AC83" s="190">
        <v>0</v>
      </c>
      <c r="AD83" s="235">
        <v>0</v>
      </c>
      <c r="AE83" s="190">
        <v>0</v>
      </c>
      <c r="AF83" s="190">
        <v>0</v>
      </c>
      <c r="AG83" s="268">
        <v>0</v>
      </c>
      <c r="AH83" s="268">
        <v>0</v>
      </c>
      <c r="AI83" s="271">
        <v>0</v>
      </c>
      <c r="AJ83" s="271">
        <v>0</v>
      </c>
      <c r="AK83" s="271">
        <v>100.02328174045037</v>
      </c>
      <c r="AL83" s="268">
        <v>100.02328174045037</v>
      </c>
      <c r="AM83" s="270">
        <v>0</v>
      </c>
      <c r="AN83" s="270">
        <v>0</v>
      </c>
      <c r="AO83" s="237">
        <v>51.047468216831561</v>
      </c>
      <c r="AP83" s="234">
        <v>68.708347713669497</v>
      </c>
      <c r="AQ83" s="234">
        <v>39.846726394271862</v>
      </c>
      <c r="AR83" s="234">
        <v>37.914522926962071</v>
      </c>
    </row>
    <row r="84" spans="1:44" hidden="1" x14ac:dyDescent="0.25">
      <c r="A84" s="11">
        <v>41426</v>
      </c>
      <c r="B84" s="188"/>
      <c r="C84" s="252">
        <v>83.953121542528251</v>
      </c>
      <c r="D84" s="235">
        <v>73.270511395182638</v>
      </c>
      <c r="E84" s="190">
        <v>32.266228277507977</v>
      </c>
      <c r="F84" s="190">
        <v>86.55820382391633</v>
      </c>
      <c r="G84" s="190">
        <v>0</v>
      </c>
      <c r="H84" s="190">
        <v>60.583853140333403</v>
      </c>
      <c r="I84" s="190">
        <v>64.014504790497853</v>
      </c>
      <c r="J84" s="190">
        <v>0</v>
      </c>
      <c r="K84" s="355">
        <v>51.735064782584182</v>
      </c>
      <c r="L84" s="298">
        <v>0</v>
      </c>
      <c r="M84" s="298">
        <v>0</v>
      </c>
      <c r="N84" s="300">
        <v>0</v>
      </c>
      <c r="O84" s="190">
        <v>0</v>
      </c>
      <c r="P84" s="190">
        <v>0</v>
      </c>
      <c r="Q84" s="190">
        <v>0</v>
      </c>
      <c r="R84" s="190">
        <v>121.61961268537014</v>
      </c>
      <c r="S84" s="190">
        <v>0</v>
      </c>
      <c r="T84" s="190">
        <v>0</v>
      </c>
      <c r="U84" s="189">
        <v>53.635163534633321</v>
      </c>
      <c r="V84" s="298">
        <v>0</v>
      </c>
      <c r="W84" s="298">
        <v>0</v>
      </c>
      <c r="X84" s="298">
        <v>0</v>
      </c>
      <c r="Y84" s="269">
        <v>130.61945474328473</v>
      </c>
      <c r="Z84" s="189">
        <v>0</v>
      </c>
      <c r="AA84" s="190">
        <v>0</v>
      </c>
      <c r="AB84" s="190">
        <v>0</v>
      </c>
      <c r="AC84" s="190">
        <v>0</v>
      </c>
      <c r="AD84" s="235">
        <v>0</v>
      </c>
      <c r="AE84" s="190">
        <v>0</v>
      </c>
      <c r="AF84" s="190">
        <v>0</v>
      </c>
      <c r="AG84" s="268">
        <v>0</v>
      </c>
      <c r="AH84" s="268">
        <v>0</v>
      </c>
      <c r="AI84" s="271">
        <v>0</v>
      </c>
      <c r="AJ84" s="271">
        <v>0</v>
      </c>
      <c r="AK84" s="271">
        <v>92.80594283729485</v>
      </c>
      <c r="AL84" s="268">
        <v>92.80594283729485</v>
      </c>
      <c r="AM84" s="270">
        <v>0</v>
      </c>
      <c r="AN84" s="270">
        <v>0</v>
      </c>
      <c r="AO84" s="237">
        <v>51.864713541639333</v>
      </c>
      <c r="AP84" s="234">
        <v>66.494609056590164</v>
      </c>
      <c r="AQ84" s="234">
        <v>41.231742527623084</v>
      </c>
      <c r="AR84" s="234">
        <v>39.313409948553776</v>
      </c>
    </row>
    <row r="85" spans="1:44" hidden="1" x14ac:dyDescent="0.25">
      <c r="A85" s="11">
        <v>41456</v>
      </c>
      <c r="B85" s="188"/>
      <c r="C85" s="252">
        <v>75.739547739099848</v>
      </c>
      <c r="D85" s="235">
        <v>65.158842508868517</v>
      </c>
      <c r="E85" s="190">
        <v>25.284099365446639</v>
      </c>
      <c r="F85" s="190">
        <v>58.494294475530793</v>
      </c>
      <c r="G85" s="190">
        <v>0</v>
      </c>
      <c r="H85" s="190">
        <v>66.752619662962132</v>
      </c>
      <c r="I85" s="190">
        <v>58.894746997232801</v>
      </c>
      <c r="J85" s="190">
        <v>0</v>
      </c>
      <c r="K85" s="355">
        <v>54.816447823408645</v>
      </c>
      <c r="L85" s="298">
        <v>0</v>
      </c>
      <c r="M85" s="298">
        <v>0</v>
      </c>
      <c r="N85" s="300">
        <v>0</v>
      </c>
      <c r="O85" s="190">
        <v>0</v>
      </c>
      <c r="P85" s="190">
        <v>0</v>
      </c>
      <c r="Q85" s="190">
        <v>0</v>
      </c>
      <c r="R85" s="190">
        <v>115.20174761192196</v>
      </c>
      <c r="S85" s="190">
        <v>0</v>
      </c>
      <c r="T85" s="190">
        <v>0</v>
      </c>
      <c r="U85" s="189">
        <v>40.33530947830252</v>
      </c>
      <c r="V85" s="298">
        <v>0</v>
      </c>
      <c r="W85" s="298">
        <v>0</v>
      </c>
      <c r="X85" s="298">
        <v>0</v>
      </c>
      <c r="Y85" s="269">
        <v>128.95282770056642</v>
      </c>
      <c r="Z85" s="189">
        <v>0</v>
      </c>
      <c r="AA85" s="190">
        <v>0</v>
      </c>
      <c r="AB85" s="190">
        <v>0</v>
      </c>
      <c r="AC85" s="190">
        <v>0</v>
      </c>
      <c r="AD85" s="235">
        <v>0</v>
      </c>
      <c r="AE85" s="190">
        <v>0</v>
      </c>
      <c r="AF85" s="190">
        <v>0</v>
      </c>
      <c r="AG85" s="268">
        <v>0</v>
      </c>
      <c r="AH85" s="268">
        <v>0</v>
      </c>
      <c r="AI85" s="271">
        <v>0</v>
      </c>
      <c r="AJ85" s="271">
        <v>0</v>
      </c>
      <c r="AK85" s="271">
        <v>73.74516188359226</v>
      </c>
      <c r="AL85" s="268">
        <v>73.74516188359226</v>
      </c>
      <c r="AM85" s="270">
        <v>0</v>
      </c>
      <c r="AN85" s="270">
        <v>0</v>
      </c>
      <c r="AO85" s="237">
        <v>53.580314260166247</v>
      </c>
      <c r="AP85" s="234">
        <v>70.620930838021323</v>
      </c>
      <c r="AQ85" s="234">
        <v>43.626645335455152</v>
      </c>
      <c r="AR85" s="234">
        <v>41.526035331805858</v>
      </c>
    </row>
    <row r="86" spans="1:44" hidden="1" x14ac:dyDescent="0.25">
      <c r="A86" s="11">
        <v>41487</v>
      </c>
      <c r="B86" s="188"/>
      <c r="C86" s="252">
        <v>79.027886873726771</v>
      </c>
      <c r="D86" s="235">
        <v>72.642268483702168</v>
      </c>
      <c r="E86" s="190">
        <v>32.499109532115078</v>
      </c>
      <c r="F86" s="190">
        <v>65.492929152906882</v>
      </c>
      <c r="G86" s="190">
        <v>0</v>
      </c>
      <c r="H86" s="190">
        <v>55.418620715847375</v>
      </c>
      <c r="I86" s="190">
        <v>67.809774012381681</v>
      </c>
      <c r="J86" s="190">
        <v>0</v>
      </c>
      <c r="K86" s="355">
        <v>55.711815335646882</v>
      </c>
      <c r="L86" s="298">
        <v>0</v>
      </c>
      <c r="M86" s="298">
        <v>0</v>
      </c>
      <c r="N86" s="300">
        <v>0</v>
      </c>
      <c r="O86" s="190">
        <v>0</v>
      </c>
      <c r="P86" s="190">
        <v>0</v>
      </c>
      <c r="Q86" s="190">
        <v>0</v>
      </c>
      <c r="R86" s="190">
        <v>108.21107078642314</v>
      </c>
      <c r="S86" s="190">
        <v>0</v>
      </c>
      <c r="T86" s="190">
        <v>0</v>
      </c>
      <c r="U86" s="189">
        <v>53.472184157397109</v>
      </c>
      <c r="V86" s="298">
        <v>0</v>
      </c>
      <c r="W86" s="298">
        <v>0</v>
      </c>
      <c r="X86" s="298">
        <v>0</v>
      </c>
      <c r="Y86" s="269">
        <v>129.64961614824057</v>
      </c>
      <c r="Z86" s="189">
        <v>0</v>
      </c>
      <c r="AA86" s="190">
        <v>0</v>
      </c>
      <c r="AB86" s="190">
        <v>0</v>
      </c>
      <c r="AC86" s="190">
        <v>0</v>
      </c>
      <c r="AD86" s="235">
        <v>0</v>
      </c>
      <c r="AE86" s="190">
        <v>0</v>
      </c>
      <c r="AF86" s="190">
        <v>0</v>
      </c>
      <c r="AG86" s="268">
        <v>0</v>
      </c>
      <c r="AH86" s="268">
        <v>0</v>
      </c>
      <c r="AI86" s="271">
        <v>0</v>
      </c>
      <c r="AJ86" s="271">
        <v>0</v>
      </c>
      <c r="AK86" s="271">
        <v>116.00739997932963</v>
      </c>
      <c r="AL86" s="268">
        <v>116.00739997932963</v>
      </c>
      <c r="AM86" s="270">
        <v>0</v>
      </c>
      <c r="AN86" s="270">
        <v>0</v>
      </c>
      <c r="AO86" s="237">
        <v>48.087475690820625</v>
      </c>
      <c r="AP86" s="234">
        <v>46.340340994225009</v>
      </c>
      <c r="AQ86" s="234">
        <v>37.845606479419324</v>
      </c>
      <c r="AR86" s="234">
        <v>38.769126083090448</v>
      </c>
    </row>
    <row r="87" spans="1:44" hidden="1" x14ac:dyDescent="0.25">
      <c r="A87" s="11">
        <v>41518</v>
      </c>
      <c r="B87" s="188"/>
      <c r="C87" s="252">
        <v>80.394858708110888</v>
      </c>
      <c r="D87" s="235">
        <v>74.081739594588228</v>
      </c>
      <c r="E87" s="190">
        <v>32.32524325613673</v>
      </c>
      <c r="F87" s="190">
        <v>59.431873300940808</v>
      </c>
      <c r="G87" s="190">
        <v>0</v>
      </c>
      <c r="H87" s="190">
        <v>54.431139943555834</v>
      </c>
      <c r="I87" s="190">
        <v>71.034159103406267</v>
      </c>
      <c r="J87" s="190">
        <v>0</v>
      </c>
      <c r="K87" s="355">
        <v>60.1836059847667</v>
      </c>
      <c r="L87" s="298">
        <v>0</v>
      </c>
      <c r="M87" s="298">
        <v>0</v>
      </c>
      <c r="N87" s="300">
        <v>0</v>
      </c>
      <c r="O87" s="190">
        <v>0</v>
      </c>
      <c r="P87" s="190">
        <v>0</v>
      </c>
      <c r="Q87" s="190">
        <v>0</v>
      </c>
      <c r="R87" s="190">
        <v>116.2085623165642</v>
      </c>
      <c r="S87" s="190">
        <v>0</v>
      </c>
      <c r="T87" s="190">
        <v>0</v>
      </c>
      <c r="U87" s="189">
        <v>47.521777584825308</v>
      </c>
      <c r="V87" s="298">
        <v>0</v>
      </c>
      <c r="W87" s="298">
        <v>0</v>
      </c>
      <c r="X87" s="298">
        <v>0</v>
      </c>
      <c r="Y87" s="269">
        <v>129.47264201877039</v>
      </c>
      <c r="Z87" s="189">
        <v>0</v>
      </c>
      <c r="AA87" s="190">
        <v>0</v>
      </c>
      <c r="AB87" s="190">
        <v>0</v>
      </c>
      <c r="AC87" s="190">
        <v>0</v>
      </c>
      <c r="AD87" s="235">
        <v>0</v>
      </c>
      <c r="AE87" s="190">
        <v>0</v>
      </c>
      <c r="AF87" s="190">
        <v>0</v>
      </c>
      <c r="AG87" s="268">
        <v>0</v>
      </c>
      <c r="AH87" s="268">
        <v>0</v>
      </c>
      <c r="AI87" s="271">
        <v>0</v>
      </c>
      <c r="AJ87" s="271">
        <v>0</v>
      </c>
      <c r="AK87" s="271">
        <v>90.92306267824334</v>
      </c>
      <c r="AL87" s="268">
        <v>90.92306267824334</v>
      </c>
      <c r="AM87" s="270">
        <v>0</v>
      </c>
      <c r="AN87" s="270">
        <v>0</v>
      </c>
      <c r="AO87" s="237">
        <v>50.258626350467424</v>
      </c>
      <c r="AP87" s="234">
        <v>67.298135540446268</v>
      </c>
      <c r="AQ87" s="234">
        <v>39.099127098488196</v>
      </c>
      <c r="AR87" s="234">
        <v>37.406752882712247</v>
      </c>
    </row>
    <row r="88" spans="1:44" hidden="1" x14ac:dyDescent="0.25">
      <c r="A88" s="11">
        <v>41548</v>
      </c>
      <c r="B88" s="188"/>
      <c r="C88" s="252">
        <v>82.542703391789644</v>
      </c>
      <c r="D88" s="235">
        <v>67.08691204873854</v>
      </c>
      <c r="E88" s="190">
        <v>29.58558255341817</v>
      </c>
      <c r="F88" s="190">
        <v>62.702758521665089</v>
      </c>
      <c r="G88" s="190">
        <v>0</v>
      </c>
      <c r="H88" s="190">
        <v>41.589052944496224</v>
      </c>
      <c r="I88" s="190">
        <v>63.955428622912628</v>
      </c>
      <c r="J88" s="190">
        <v>0</v>
      </c>
      <c r="K88" s="355">
        <v>73.883143282738061</v>
      </c>
      <c r="L88" s="298">
        <v>0</v>
      </c>
      <c r="M88" s="298">
        <v>0</v>
      </c>
      <c r="N88" s="300">
        <v>0</v>
      </c>
      <c r="O88" s="190">
        <v>0</v>
      </c>
      <c r="P88" s="190">
        <v>0</v>
      </c>
      <c r="Q88" s="190">
        <v>0</v>
      </c>
      <c r="R88" s="190">
        <v>125.34257338084154</v>
      </c>
      <c r="S88" s="190">
        <v>0</v>
      </c>
      <c r="T88" s="190">
        <v>0</v>
      </c>
      <c r="U88" s="189">
        <v>46.942910749454605</v>
      </c>
      <c r="V88" s="298">
        <v>0</v>
      </c>
      <c r="W88" s="298">
        <v>0</v>
      </c>
      <c r="X88" s="298">
        <v>0</v>
      </c>
      <c r="Y88" s="269">
        <v>79.809437529414794</v>
      </c>
      <c r="Z88" s="189">
        <v>0</v>
      </c>
      <c r="AA88" s="190">
        <v>0</v>
      </c>
      <c r="AB88" s="190">
        <v>0</v>
      </c>
      <c r="AC88" s="190">
        <v>0</v>
      </c>
      <c r="AD88" s="235">
        <v>0</v>
      </c>
      <c r="AE88" s="190">
        <v>0</v>
      </c>
      <c r="AF88" s="190">
        <v>0</v>
      </c>
      <c r="AG88" s="268">
        <v>0</v>
      </c>
      <c r="AH88" s="268">
        <v>0</v>
      </c>
      <c r="AI88" s="271">
        <v>0</v>
      </c>
      <c r="AJ88" s="271">
        <v>0</v>
      </c>
      <c r="AK88" s="271">
        <v>97.615795414834594</v>
      </c>
      <c r="AL88" s="268">
        <v>97.615795414834594</v>
      </c>
      <c r="AM88" s="270">
        <v>0</v>
      </c>
      <c r="AN88" s="270">
        <v>0</v>
      </c>
      <c r="AO88" s="237">
        <v>55.619787803581964</v>
      </c>
      <c r="AP88" s="234">
        <v>62.78151107766169</v>
      </c>
      <c r="AQ88" s="234">
        <v>39.619929339524013</v>
      </c>
      <c r="AR88" s="234">
        <v>46.390393041904161</v>
      </c>
    </row>
    <row r="89" spans="1:44" hidden="1" x14ac:dyDescent="0.25">
      <c r="A89" s="11">
        <v>41579</v>
      </c>
      <c r="B89" s="188"/>
      <c r="C89" s="252">
        <v>99.083768715667247</v>
      </c>
      <c r="D89" s="235">
        <v>72.942507320918097</v>
      </c>
      <c r="E89" s="190">
        <v>32.118907988537607</v>
      </c>
      <c r="F89" s="190">
        <v>74.017797721739797</v>
      </c>
      <c r="G89" s="190">
        <v>0</v>
      </c>
      <c r="H89" s="190">
        <v>40.85675037346202</v>
      </c>
      <c r="I89" s="190">
        <v>69.234324439254678</v>
      </c>
      <c r="J89" s="190">
        <v>0</v>
      </c>
      <c r="K89" s="355">
        <v>76.565305694746044</v>
      </c>
      <c r="L89" s="298">
        <v>0</v>
      </c>
      <c r="M89" s="298">
        <v>0</v>
      </c>
      <c r="N89" s="300">
        <v>0</v>
      </c>
      <c r="O89" s="190">
        <v>0</v>
      </c>
      <c r="P89" s="190">
        <v>0</v>
      </c>
      <c r="Q89" s="190">
        <v>0</v>
      </c>
      <c r="R89" s="190">
        <v>134.63341393613862</v>
      </c>
      <c r="S89" s="190">
        <v>0</v>
      </c>
      <c r="T89" s="190">
        <v>0</v>
      </c>
      <c r="U89" s="189">
        <v>78.495880488383108</v>
      </c>
      <c r="V89" s="298">
        <v>0</v>
      </c>
      <c r="W89" s="298">
        <v>0</v>
      </c>
      <c r="X89" s="298">
        <v>0</v>
      </c>
      <c r="Y89" s="269">
        <v>73.142754278531925</v>
      </c>
      <c r="Z89" s="189">
        <v>0</v>
      </c>
      <c r="AA89" s="190">
        <v>0</v>
      </c>
      <c r="AB89" s="190">
        <v>0</v>
      </c>
      <c r="AC89" s="190">
        <v>0</v>
      </c>
      <c r="AD89" s="235">
        <v>0</v>
      </c>
      <c r="AE89" s="190">
        <v>0</v>
      </c>
      <c r="AF89" s="190">
        <v>0</v>
      </c>
      <c r="AG89" s="268">
        <v>0</v>
      </c>
      <c r="AH89" s="268">
        <v>0</v>
      </c>
      <c r="AI89" s="271">
        <v>0</v>
      </c>
      <c r="AJ89" s="271">
        <v>0</v>
      </c>
      <c r="AK89" s="271">
        <v>103.89047656485269</v>
      </c>
      <c r="AL89" s="268">
        <v>103.89047656485269</v>
      </c>
      <c r="AM89" s="270">
        <v>0</v>
      </c>
      <c r="AN89" s="270">
        <v>0</v>
      </c>
      <c r="AO89" s="237">
        <v>50.171809181813963</v>
      </c>
      <c r="AP89" s="234">
        <v>72.669549990654417</v>
      </c>
      <c r="AQ89" s="234">
        <v>36.299026134682983</v>
      </c>
      <c r="AR89" s="234">
        <v>47.113767698001169</v>
      </c>
    </row>
    <row r="90" spans="1:44" hidden="1" x14ac:dyDescent="0.25">
      <c r="A90" s="11">
        <v>41609</v>
      </c>
      <c r="B90" s="188"/>
      <c r="C90" s="252">
        <v>82.576990222783522</v>
      </c>
      <c r="D90" s="235">
        <v>67.601192622786513</v>
      </c>
      <c r="E90" s="190">
        <v>23.811386132025881</v>
      </c>
      <c r="F90" s="190">
        <v>67.151510514297712</v>
      </c>
      <c r="G90" s="190">
        <v>0</v>
      </c>
      <c r="H90" s="190">
        <v>36.215532961937001</v>
      </c>
      <c r="I90" s="190">
        <v>66.127152630004289</v>
      </c>
      <c r="J90" s="190">
        <v>0</v>
      </c>
      <c r="K90" s="355">
        <v>78.217260435786827</v>
      </c>
      <c r="L90" s="298">
        <v>0</v>
      </c>
      <c r="M90" s="298">
        <v>0</v>
      </c>
      <c r="N90" s="300">
        <v>0</v>
      </c>
      <c r="O90" s="190">
        <v>0</v>
      </c>
      <c r="P90" s="190">
        <v>0</v>
      </c>
      <c r="Q90" s="190">
        <v>0</v>
      </c>
      <c r="R90" s="190">
        <v>117.9331196723551</v>
      </c>
      <c r="S90" s="190">
        <v>0</v>
      </c>
      <c r="T90" s="190">
        <v>0</v>
      </c>
      <c r="U90" s="189">
        <v>58.292796621645124</v>
      </c>
      <c r="V90" s="298">
        <v>0</v>
      </c>
      <c r="W90" s="298">
        <v>0</v>
      </c>
      <c r="X90" s="298">
        <v>0</v>
      </c>
      <c r="Y90" s="269">
        <v>81.061092481026478</v>
      </c>
      <c r="Z90" s="189">
        <v>0</v>
      </c>
      <c r="AA90" s="190">
        <v>0</v>
      </c>
      <c r="AB90" s="190">
        <v>0</v>
      </c>
      <c r="AC90" s="190">
        <v>0</v>
      </c>
      <c r="AD90" s="235">
        <v>0</v>
      </c>
      <c r="AE90" s="190">
        <v>0</v>
      </c>
      <c r="AF90" s="190">
        <v>0</v>
      </c>
      <c r="AG90" s="268">
        <v>0</v>
      </c>
      <c r="AH90" s="268">
        <v>0</v>
      </c>
      <c r="AI90" s="271">
        <v>0</v>
      </c>
      <c r="AJ90" s="271">
        <v>0</v>
      </c>
      <c r="AK90" s="271">
        <v>95.203571368989202</v>
      </c>
      <c r="AL90" s="268">
        <v>95.203571368989202</v>
      </c>
      <c r="AM90" s="270">
        <v>0</v>
      </c>
      <c r="AN90" s="270">
        <v>0</v>
      </c>
      <c r="AO90" s="237">
        <v>54.6509633692297</v>
      </c>
      <c r="AP90" s="234">
        <v>78.412851096841692</v>
      </c>
      <c r="AQ90" s="234">
        <v>36.675431823134467</v>
      </c>
      <c r="AR90" s="234">
        <v>50.54644851130471</v>
      </c>
    </row>
    <row r="91" spans="1:44" hidden="1" x14ac:dyDescent="0.25">
      <c r="A91" s="11">
        <v>41640</v>
      </c>
      <c r="B91" s="188"/>
      <c r="C91" s="252">
        <v>81.593102782828097</v>
      </c>
      <c r="D91" s="235">
        <v>65.452578496276146</v>
      </c>
      <c r="E91" s="190">
        <v>28.085845007042959</v>
      </c>
      <c r="F91" s="190">
        <v>65.723043080553666</v>
      </c>
      <c r="G91" s="190">
        <v>0</v>
      </c>
      <c r="H91" s="190">
        <v>42.087011799582164</v>
      </c>
      <c r="I91" s="190">
        <v>61.503726466514927</v>
      </c>
      <c r="J91" s="190">
        <v>0</v>
      </c>
      <c r="K91" s="355">
        <v>75.249666954374391</v>
      </c>
      <c r="L91" s="298">
        <v>0</v>
      </c>
      <c r="M91" s="298">
        <v>0</v>
      </c>
      <c r="N91" s="300">
        <v>0</v>
      </c>
      <c r="O91" s="190">
        <v>0</v>
      </c>
      <c r="P91" s="190">
        <v>0</v>
      </c>
      <c r="Q91" s="190">
        <v>0</v>
      </c>
      <c r="R91" s="190">
        <v>119.61512795640651</v>
      </c>
      <c r="S91" s="190">
        <v>0</v>
      </c>
      <c r="T91" s="190">
        <v>0</v>
      </c>
      <c r="U91" s="189">
        <v>49.829999538896338</v>
      </c>
      <c r="V91" s="298">
        <v>0</v>
      </c>
      <c r="W91" s="298">
        <v>0</v>
      </c>
      <c r="X91" s="298">
        <v>0</v>
      </c>
      <c r="Y91" s="269">
        <v>82.161762289510563</v>
      </c>
      <c r="Z91" s="189">
        <v>0</v>
      </c>
      <c r="AA91" s="190">
        <v>0</v>
      </c>
      <c r="AB91" s="190">
        <v>0</v>
      </c>
      <c r="AC91" s="190">
        <v>0</v>
      </c>
      <c r="AD91" s="235">
        <v>0</v>
      </c>
      <c r="AE91" s="190">
        <v>0</v>
      </c>
      <c r="AF91" s="190">
        <v>0</v>
      </c>
      <c r="AG91" s="268">
        <v>0</v>
      </c>
      <c r="AH91" s="268">
        <v>0</v>
      </c>
      <c r="AI91" s="271">
        <v>0</v>
      </c>
      <c r="AJ91" s="271">
        <v>0</v>
      </c>
      <c r="AK91" s="271">
        <v>169.48443158531506</v>
      </c>
      <c r="AL91" s="268">
        <v>169.48443158531506</v>
      </c>
      <c r="AM91" s="270">
        <v>0</v>
      </c>
      <c r="AN91" s="270">
        <v>0</v>
      </c>
      <c r="AO91" s="237">
        <v>52.581723006769771</v>
      </c>
      <c r="AP91" s="234">
        <v>64.33035515454273</v>
      </c>
      <c r="AQ91" s="234">
        <v>35.751771939786479</v>
      </c>
      <c r="AR91" s="234">
        <v>40.835117067381795</v>
      </c>
    </row>
    <row r="92" spans="1:44" hidden="1" x14ac:dyDescent="0.25">
      <c r="A92" s="11">
        <v>41671</v>
      </c>
      <c r="B92" s="188"/>
      <c r="C92" s="252">
        <v>81.459435191613935</v>
      </c>
      <c r="D92" s="235">
        <v>71.864812203390031</v>
      </c>
      <c r="E92" s="190">
        <v>34.46753271215421</v>
      </c>
      <c r="F92" s="190">
        <v>73.354268702616963</v>
      </c>
      <c r="G92" s="190">
        <v>0</v>
      </c>
      <c r="H92" s="190">
        <v>44.579247555367132</v>
      </c>
      <c r="I92" s="190">
        <v>66.724747298243045</v>
      </c>
      <c r="J92" s="190">
        <v>0</v>
      </c>
      <c r="K92" s="355">
        <v>88.153053957605678</v>
      </c>
      <c r="L92" s="298">
        <v>0</v>
      </c>
      <c r="M92" s="298">
        <v>0</v>
      </c>
      <c r="N92" s="300">
        <v>0</v>
      </c>
      <c r="O92" s="190">
        <v>0</v>
      </c>
      <c r="P92" s="190">
        <v>0</v>
      </c>
      <c r="Q92" s="190">
        <v>0</v>
      </c>
      <c r="R92" s="190">
        <v>110.85568080975735</v>
      </c>
      <c r="S92" s="190">
        <v>0</v>
      </c>
      <c r="T92" s="190">
        <v>0</v>
      </c>
      <c r="U92" s="189">
        <v>56.277571588989161</v>
      </c>
      <c r="V92" s="298">
        <v>0</v>
      </c>
      <c r="W92" s="298">
        <v>0</v>
      </c>
      <c r="X92" s="298">
        <v>0</v>
      </c>
      <c r="Y92" s="269">
        <v>77.569865180260763</v>
      </c>
      <c r="Z92" s="189">
        <v>0</v>
      </c>
      <c r="AA92" s="190">
        <v>0</v>
      </c>
      <c r="AB92" s="190">
        <v>0</v>
      </c>
      <c r="AC92" s="190">
        <v>0</v>
      </c>
      <c r="AD92" s="235">
        <v>0</v>
      </c>
      <c r="AE92" s="190">
        <v>0</v>
      </c>
      <c r="AF92" s="190">
        <v>0</v>
      </c>
      <c r="AG92" s="268">
        <v>0</v>
      </c>
      <c r="AH92" s="268">
        <v>0</v>
      </c>
      <c r="AI92" s="271">
        <v>0</v>
      </c>
      <c r="AJ92" s="271">
        <v>0</v>
      </c>
      <c r="AK92" s="271">
        <v>130.91561285624908</v>
      </c>
      <c r="AL92" s="268">
        <v>130.91561285624908</v>
      </c>
      <c r="AM92" s="270">
        <v>0</v>
      </c>
      <c r="AN92" s="270">
        <v>0</v>
      </c>
      <c r="AO92" s="237">
        <v>47.92627173190354</v>
      </c>
      <c r="AP92" s="234">
        <v>73.721057522991316</v>
      </c>
      <c r="AQ92" s="234">
        <v>32.530668880971255</v>
      </c>
      <c r="AR92" s="234">
        <v>41.797172846425568</v>
      </c>
    </row>
    <row r="93" spans="1:44" hidden="1" x14ac:dyDescent="0.25">
      <c r="A93" s="11">
        <v>41699</v>
      </c>
      <c r="B93" s="188"/>
      <c r="C93" s="252">
        <v>81.7613294933726</v>
      </c>
      <c r="D93" s="235">
        <v>73.11925588353327</v>
      </c>
      <c r="E93" s="190">
        <v>25.441429300750151</v>
      </c>
      <c r="F93" s="190">
        <v>75.823421944340936</v>
      </c>
      <c r="G93" s="190">
        <v>0</v>
      </c>
      <c r="H93" s="190">
        <v>46.168737511412552</v>
      </c>
      <c r="I93" s="190">
        <v>69.833092605592213</v>
      </c>
      <c r="J93" s="190">
        <v>0</v>
      </c>
      <c r="K93" s="355">
        <v>67.24242329695214</v>
      </c>
      <c r="L93" s="298">
        <v>0</v>
      </c>
      <c r="M93" s="298">
        <v>0</v>
      </c>
      <c r="N93" s="300">
        <v>0</v>
      </c>
      <c r="O93" s="190">
        <v>0</v>
      </c>
      <c r="P93" s="190">
        <v>0</v>
      </c>
      <c r="Q93" s="190">
        <v>0</v>
      </c>
      <c r="R93" s="190">
        <v>117.05976707235278</v>
      </c>
      <c r="S93" s="190">
        <v>0</v>
      </c>
      <c r="T93" s="190">
        <v>0</v>
      </c>
      <c r="U93" s="189">
        <v>51.461499978384943</v>
      </c>
      <c r="V93" s="298">
        <v>0</v>
      </c>
      <c r="W93" s="298">
        <v>0</v>
      </c>
      <c r="X93" s="298">
        <v>0</v>
      </c>
      <c r="Y93" s="269">
        <v>70.729885630207633</v>
      </c>
      <c r="Z93" s="189">
        <v>0</v>
      </c>
      <c r="AA93" s="190">
        <v>0</v>
      </c>
      <c r="AB93" s="190">
        <v>0</v>
      </c>
      <c r="AC93" s="190">
        <v>0</v>
      </c>
      <c r="AD93" s="235">
        <v>0</v>
      </c>
      <c r="AE93" s="190">
        <v>0</v>
      </c>
      <c r="AF93" s="190">
        <v>0</v>
      </c>
      <c r="AG93" s="268">
        <v>0</v>
      </c>
      <c r="AH93" s="268">
        <v>0</v>
      </c>
      <c r="AI93" s="271">
        <v>0</v>
      </c>
      <c r="AJ93" s="271">
        <v>0</v>
      </c>
      <c r="AK93" s="271">
        <v>115.62607215642345</v>
      </c>
      <c r="AL93" s="268">
        <v>115.62607215642345</v>
      </c>
      <c r="AM93" s="270">
        <v>0</v>
      </c>
      <c r="AN93" s="270">
        <v>0</v>
      </c>
      <c r="AO93" s="237">
        <v>54.054796595688479</v>
      </c>
      <c r="AP93" s="234">
        <v>74.90807288390981</v>
      </c>
      <c r="AQ93" s="234">
        <v>37.453217740568213</v>
      </c>
      <c r="AR93" s="234">
        <v>39.693382085024005</v>
      </c>
    </row>
    <row r="94" spans="1:44" hidden="1" x14ac:dyDescent="0.25">
      <c r="A94" s="11">
        <v>41730</v>
      </c>
      <c r="B94" s="188"/>
      <c r="C94" s="252">
        <v>37.866079919500351</v>
      </c>
      <c r="D94" s="235">
        <v>72.534046572078026</v>
      </c>
      <c r="E94" s="190">
        <v>22.148897431697236</v>
      </c>
      <c r="F94" s="190">
        <v>78.919056971456143</v>
      </c>
      <c r="G94" s="190">
        <v>0</v>
      </c>
      <c r="H94" s="190">
        <v>50.233445521399986</v>
      </c>
      <c r="I94" s="190">
        <v>68.587486555422444</v>
      </c>
      <c r="J94" s="190">
        <v>0</v>
      </c>
      <c r="K94" s="355">
        <v>65.955175711723186</v>
      </c>
      <c r="L94" s="298">
        <v>0</v>
      </c>
      <c r="M94" s="298">
        <v>0</v>
      </c>
      <c r="N94" s="300">
        <v>0</v>
      </c>
      <c r="O94" s="190">
        <v>0</v>
      </c>
      <c r="P94" s="190">
        <v>0</v>
      </c>
      <c r="Q94" s="190">
        <v>0</v>
      </c>
      <c r="R94" s="190">
        <v>16.198354919743824</v>
      </c>
      <c r="S94" s="190">
        <v>0</v>
      </c>
      <c r="T94" s="190">
        <v>0</v>
      </c>
      <c r="U94" s="189">
        <v>44.781865445527941</v>
      </c>
      <c r="V94" s="298">
        <v>0</v>
      </c>
      <c r="W94" s="298">
        <v>0</v>
      </c>
      <c r="X94" s="298">
        <v>0</v>
      </c>
      <c r="Y94" s="269">
        <v>86.23277075812193</v>
      </c>
      <c r="Z94" s="189">
        <v>0</v>
      </c>
      <c r="AA94" s="190">
        <v>0</v>
      </c>
      <c r="AB94" s="190">
        <v>0</v>
      </c>
      <c r="AC94" s="190">
        <v>0</v>
      </c>
      <c r="AD94" s="235">
        <v>0</v>
      </c>
      <c r="AE94" s="190">
        <v>0</v>
      </c>
      <c r="AF94" s="190">
        <v>0</v>
      </c>
      <c r="AG94" s="268">
        <v>0</v>
      </c>
      <c r="AH94" s="268">
        <v>0</v>
      </c>
      <c r="AI94" s="271">
        <v>0</v>
      </c>
      <c r="AJ94" s="271">
        <v>0</v>
      </c>
      <c r="AK94" s="271">
        <v>96.174220955346641</v>
      </c>
      <c r="AL94" s="268">
        <v>96.174220955346641</v>
      </c>
      <c r="AM94" s="270">
        <v>0</v>
      </c>
      <c r="AN94" s="270">
        <v>0</v>
      </c>
      <c r="AO94" s="237">
        <v>51.244694450518843</v>
      </c>
      <c r="AP94" s="234">
        <v>71.495428416861643</v>
      </c>
      <c r="AQ94" s="234">
        <v>34.999467129903991</v>
      </c>
      <c r="AR94" s="234">
        <v>41.434646143571996</v>
      </c>
    </row>
    <row r="95" spans="1:44" hidden="1" x14ac:dyDescent="0.25">
      <c r="A95" s="11">
        <v>41760</v>
      </c>
      <c r="B95" s="188"/>
      <c r="C95" s="252">
        <v>75.861631706246897</v>
      </c>
      <c r="D95" s="235">
        <v>72.760230425829306</v>
      </c>
      <c r="E95" s="190">
        <v>32.270715585664696</v>
      </c>
      <c r="F95" s="190">
        <v>86.150051140862317</v>
      </c>
      <c r="G95" s="190">
        <v>0</v>
      </c>
      <c r="H95" s="190">
        <v>56.897749079126271</v>
      </c>
      <c r="I95" s="190">
        <v>64.033724883411509</v>
      </c>
      <c r="J95" s="190">
        <v>0</v>
      </c>
      <c r="K95" s="355">
        <v>63.58602193676596</v>
      </c>
      <c r="L95" s="298">
        <v>0</v>
      </c>
      <c r="M95" s="298">
        <v>0</v>
      </c>
      <c r="N95" s="300">
        <v>0</v>
      </c>
      <c r="O95" s="190">
        <v>0</v>
      </c>
      <c r="P95" s="190">
        <v>0</v>
      </c>
      <c r="Q95" s="190">
        <v>0</v>
      </c>
      <c r="R95" s="190">
        <v>90.416899881428179</v>
      </c>
      <c r="S95" s="190">
        <v>0</v>
      </c>
      <c r="T95" s="190">
        <v>0</v>
      </c>
      <c r="U95" s="189">
        <v>69.05561235013127</v>
      </c>
      <c r="V95" s="298">
        <v>0</v>
      </c>
      <c r="W95" s="298">
        <v>0</v>
      </c>
      <c r="X95" s="298">
        <v>0</v>
      </c>
      <c r="Y95" s="269">
        <v>70.018902696814536</v>
      </c>
      <c r="Z95" s="189">
        <v>0</v>
      </c>
      <c r="AA95" s="190">
        <v>0</v>
      </c>
      <c r="AB95" s="190">
        <v>0</v>
      </c>
      <c r="AC95" s="190">
        <v>0</v>
      </c>
      <c r="AD95" s="235">
        <v>0</v>
      </c>
      <c r="AE95" s="190">
        <v>0</v>
      </c>
      <c r="AF95" s="190">
        <v>0</v>
      </c>
      <c r="AG95" s="268">
        <v>0</v>
      </c>
      <c r="AH95" s="268">
        <v>0</v>
      </c>
      <c r="AI95" s="271">
        <v>0</v>
      </c>
      <c r="AJ95" s="271">
        <v>0</v>
      </c>
      <c r="AK95" s="271">
        <v>99.545094157963277</v>
      </c>
      <c r="AL95" s="268">
        <v>99.545094157963277</v>
      </c>
      <c r="AM95" s="270">
        <v>0</v>
      </c>
      <c r="AN95" s="270">
        <v>0</v>
      </c>
      <c r="AO95" s="237">
        <v>54.138552030162778</v>
      </c>
      <c r="AP95" s="234">
        <v>69.08489078061767</v>
      </c>
      <c r="AQ95" s="234">
        <v>35.086702721530862</v>
      </c>
      <c r="AR95" s="234">
        <v>41.006469737465039</v>
      </c>
    </row>
    <row r="96" spans="1:44" hidden="1" x14ac:dyDescent="0.25">
      <c r="A96" s="11">
        <v>41791</v>
      </c>
      <c r="B96" s="188"/>
      <c r="C96" s="252">
        <v>79.991997790525971</v>
      </c>
      <c r="D96" s="235">
        <v>68.196569164693756</v>
      </c>
      <c r="E96" s="190">
        <v>21.282363193723722</v>
      </c>
      <c r="F96" s="190">
        <v>79.53189393501286</v>
      </c>
      <c r="G96" s="190">
        <v>0</v>
      </c>
      <c r="H96" s="190">
        <v>55.769417397954946</v>
      </c>
      <c r="I96" s="190">
        <v>61.960523404648178</v>
      </c>
      <c r="J96" s="190">
        <v>0</v>
      </c>
      <c r="K96" s="355">
        <v>46.213650719240505</v>
      </c>
      <c r="L96" s="298">
        <v>0</v>
      </c>
      <c r="M96" s="298">
        <v>0</v>
      </c>
      <c r="N96" s="300">
        <v>0</v>
      </c>
      <c r="O96" s="190">
        <v>0</v>
      </c>
      <c r="P96" s="190">
        <v>0</v>
      </c>
      <c r="Q96" s="190">
        <v>0</v>
      </c>
      <c r="R96" s="190">
        <v>112.53484988250173</v>
      </c>
      <c r="S96" s="190">
        <v>0</v>
      </c>
      <c r="T96" s="190">
        <v>0</v>
      </c>
      <c r="U96" s="189">
        <v>59.152376181448972</v>
      </c>
      <c r="V96" s="298">
        <v>0</v>
      </c>
      <c r="W96" s="298">
        <v>0</v>
      </c>
      <c r="X96" s="298">
        <v>0</v>
      </c>
      <c r="Y96" s="269">
        <v>94.040674479838628</v>
      </c>
      <c r="Z96" s="189">
        <v>0</v>
      </c>
      <c r="AA96" s="190">
        <v>0</v>
      </c>
      <c r="AB96" s="190">
        <v>0</v>
      </c>
      <c r="AC96" s="190">
        <v>0</v>
      </c>
      <c r="AD96" s="235">
        <v>0</v>
      </c>
      <c r="AE96" s="190">
        <v>0</v>
      </c>
      <c r="AF96" s="190">
        <v>0</v>
      </c>
      <c r="AG96" s="268">
        <v>0</v>
      </c>
      <c r="AH96" s="268">
        <v>0</v>
      </c>
      <c r="AI96" s="271">
        <v>0</v>
      </c>
      <c r="AJ96" s="271">
        <v>0</v>
      </c>
      <c r="AK96" s="271">
        <v>106.48419048236653</v>
      </c>
      <c r="AL96" s="268">
        <v>106.48419048236653</v>
      </c>
      <c r="AM96" s="270">
        <v>0</v>
      </c>
      <c r="AN96" s="270">
        <v>0</v>
      </c>
      <c r="AO96" s="237">
        <v>56.179871165215104</v>
      </c>
      <c r="AP96" s="234">
        <v>67.645976106270837</v>
      </c>
      <c r="AQ96" s="234">
        <v>40.007842435810502</v>
      </c>
      <c r="AR96" s="234">
        <v>45.700265084307539</v>
      </c>
    </row>
    <row r="97" spans="1:44" hidden="1" x14ac:dyDescent="0.25">
      <c r="A97" s="11">
        <v>41821</v>
      </c>
      <c r="B97" s="188"/>
      <c r="C97" s="252">
        <v>73.357268848526616</v>
      </c>
      <c r="D97" s="235">
        <v>69.752590696874393</v>
      </c>
      <c r="E97" s="190">
        <v>21.318962833859246</v>
      </c>
      <c r="F97" s="190">
        <v>71.001347811386054</v>
      </c>
      <c r="G97" s="190">
        <v>0</v>
      </c>
      <c r="H97" s="190">
        <v>53.237241447699681</v>
      </c>
      <c r="I97" s="190">
        <v>65.999329078131325</v>
      </c>
      <c r="J97" s="190">
        <v>0</v>
      </c>
      <c r="K97" s="355">
        <v>55.439736609556526</v>
      </c>
      <c r="L97" s="298">
        <v>0</v>
      </c>
      <c r="M97" s="298">
        <v>0</v>
      </c>
      <c r="N97" s="300">
        <v>0</v>
      </c>
      <c r="O97" s="190">
        <v>0</v>
      </c>
      <c r="P97" s="190">
        <v>0</v>
      </c>
      <c r="Q97" s="190">
        <v>0</v>
      </c>
      <c r="R97" s="190">
        <v>103.9550259986476</v>
      </c>
      <c r="S97" s="190">
        <v>0</v>
      </c>
      <c r="T97" s="190">
        <v>0</v>
      </c>
      <c r="U97" s="189">
        <v>45.284952414413624</v>
      </c>
      <c r="V97" s="298">
        <v>0</v>
      </c>
      <c r="W97" s="298">
        <v>0</v>
      </c>
      <c r="X97" s="298">
        <v>0</v>
      </c>
      <c r="Y97" s="269">
        <v>89.258523347183626</v>
      </c>
      <c r="Z97" s="189">
        <v>0</v>
      </c>
      <c r="AA97" s="190">
        <v>0</v>
      </c>
      <c r="AB97" s="190">
        <v>0</v>
      </c>
      <c r="AC97" s="190">
        <v>0</v>
      </c>
      <c r="AD97" s="235">
        <v>0</v>
      </c>
      <c r="AE97" s="190">
        <v>0</v>
      </c>
      <c r="AF97" s="190">
        <v>0</v>
      </c>
      <c r="AG97" s="268">
        <v>0</v>
      </c>
      <c r="AH97" s="268">
        <v>0</v>
      </c>
      <c r="AI97" s="271">
        <v>0</v>
      </c>
      <c r="AJ97" s="271">
        <v>0</v>
      </c>
      <c r="AK97" s="271">
        <v>89.901088571472798</v>
      </c>
      <c r="AL97" s="268">
        <v>89.901088571472798</v>
      </c>
      <c r="AM97" s="270">
        <v>0</v>
      </c>
      <c r="AN97" s="270">
        <v>0</v>
      </c>
      <c r="AO97" s="237">
        <v>53.092752808729905</v>
      </c>
      <c r="AP97" s="234">
        <v>67.700987461880615</v>
      </c>
      <c r="AQ97" s="234">
        <v>34.167078486812819</v>
      </c>
      <c r="AR97" s="234">
        <v>50.191515672482666</v>
      </c>
    </row>
    <row r="98" spans="1:44" hidden="1" x14ac:dyDescent="0.25">
      <c r="A98" s="11">
        <v>41852</v>
      </c>
      <c r="B98" s="188"/>
      <c r="C98" s="252">
        <v>86.292013553547363</v>
      </c>
      <c r="D98" s="235">
        <v>73.989367158136332</v>
      </c>
      <c r="E98" s="190">
        <v>30.034612298448067</v>
      </c>
      <c r="F98" s="190">
        <v>60.090591718343362</v>
      </c>
      <c r="G98" s="190">
        <v>0</v>
      </c>
      <c r="H98" s="190">
        <v>56.439472129644841</v>
      </c>
      <c r="I98" s="190">
        <v>70.996858914133711</v>
      </c>
      <c r="J98" s="190">
        <v>0</v>
      </c>
      <c r="K98" s="355">
        <v>56.746111818195295</v>
      </c>
      <c r="L98" s="298">
        <v>0</v>
      </c>
      <c r="M98" s="298">
        <v>0</v>
      </c>
      <c r="N98" s="300">
        <v>0</v>
      </c>
      <c r="O98" s="190">
        <v>0</v>
      </c>
      <c r="P98" s="190">
        <v>0</v>
      </c>
      <c r="Q98" s="190">
        <v>0</v>
      </c>
      <c r="R98" s="190">
        <v>116.34876346183668</v>
      </c>
      <c r="S98" s="190">
        <v>0</v>
      </c>
      <c r="T98" s="190">
        <v>0</v>
      </c>
      <c r="U98" s="189">
        <v>67.639493051236641</v>
      </c>
      <c r="V98" s="298">
        <v>0</v>
      </c>
      <c r="W98" s="298">
        <v>0</v>
      </c>
      <c r="X98" s="298">
        <v>0</v>
      </c>
      <c r="Y98" s="269">
        <v>57.664010861496529</v>
      </c>
      <c r="Z98" s="189">
        <v>0</v>
      </c>
      <c r="AA98" s="190">
        <v>0</v>
      </c>
      <c r="AB98" s="190">
        <v>0</v>
      </c>
      <c r="AC98" s="190">
        <v>0</v>
      </c>
      <c r="AD98" s="235">
        <v>0</v>
      </c>
      <c r="AE98" s="190">
        <v>0</v>
      </c>
      <c r="AF98" s="190">
        <v>0</v>
      </c>
      <c r="AG98" s="268">
        <v>0</v>
      </c>
      <c r="AH98" s="268">
        <v>0</v>
      </c>
      <c r="AI98" s="271">
        <v>0</v>
      </c>
      <c r="AJ98" s="271">
        <v>0</v>
      </c>
      <c r="AK98" s="271">
        <v>120.33888484917105</v>
      </c>
      <c r="AL98" s="268">
        <v>120.33888484917105</v>
      </c>
      <c r="AM98" s="270">
        <v>0</v>
      </c>
      <c r="AN98" s="270">
        <v>0</v>
      </c>
      <c r="AO98" s="237">
        <v>50.982438484355214</v>
      </c>
      <c r="AP98" s="234">
        <v>71.073521355122139</v>
      </c>
      <c r="AQ98" s="234">
        <v>34.863330608493513</v>
      </c>
      <c r="AR98" s="234">
        <v>47.142256782079563</v>
      </c>
    </row>
    <row r="99" spans="1:44" hidden="1" x14ac:dyDescent="0.25">
      <c r="A99" s="11">
        <v>41883</v>
      </c>
      <c r="B99" s="188"/>
      <c r="C99" s="252">
        <v>86.282932045439182</v>
      </c>
      <c r="D99" s="235">
        <v>85.451229908060199</v>
      </c>
      <c r="E99" s="190">
        <v>28.265399682159952</v>
      </c>
      <c r="F99" s="190">
        <v>103.58633043592137</v>
      </c>
      <c r="G99" s="190">
        <v>0</v>
      </c>
      <c r="H99" s="190">
        <v>43.08096799049224</v>
      </c>
      <c r="I99" s="190">
        <v>81.100876439878377</v>
      </c>
      <c r="J99" s="190">
        <v>0</v>
      </c>
      <c r="K99" s="355">
        <v>58.865963059814938</v>
      </c>
      <c r="L99" s="298">
        <v>0</v>
      </c>
      <c r="M99" s="298">
        <v>0</v>
      </c>
      <c r="N99" s="300">
        <v>0</v>
      </c>
      <c r="O99" s="190">
        <v>0</v>
      </c>
      <c r="P99" s="190">
        <v>0</v>
      </c>
      <c r="Q99" s="190">
        <v>0</v>
      </c>
      <c r="R99" s="190">
        <v>122.74042763234704</v>
      </c>
      <c r="S99" s="190">
        <v>0</v>
      </c>
      <c r="T99" s="190">
        <v>0</v>
      </c>
      <c r="U99" s="189">
        <v>51.721844026665082</v>
      </c>
      <c r="V99" s="298">
        <v>0</v>
      </c>
      <c r="W99" s="298">
        <v>0</v>
      </c>
      <c r="X99" s="298">
        <v>0</v>
      </c>
      <c r="Y99" s="269">
        <v>104.31129073083467</v>
      </c>
      <c r="Z99" s="189">
        <v>0</v>
      </c>
      <c r="AA99" s="190">
        <v>0</v>
      </c>
      <c r="AB99" s="190">
        <v>0</v>
      </c>
      <c r="AC99" s="190">
        <v>0</v>
      </c>
      <c r="AD99" s="235">
        <v>0</v>
      </c>
      <c r="AE99" s="190">
        <v>0</v>
      </c>
      <c r="AF99" s="190">
        <v>0</v>
      </c>
      <c r="AG99" s="268">
        <v>0</v>
      </c>
      <c r="AH99" s="268">
        <v>0</v>
      </c>
      <c r="AI99" s="271">
        <v>0</v>
      </c>
      <c r="AJ99" s="271">
        <v>0</v>
      </c>
      <c r="AK99" s="271">
        <v>95.777742809338378</v>
      </c>
      <c r="AL99" s="268">
        <v>95.777742809338378</v>
      </c>
      <c r="AM99" s="270">
        <v>0</v>
      </c>
      <c r="AN99" s="270">
        <v>0</v>
      </c>
      <c r="AO99" s="237">
        <v>55.056178677327516</v>
      </c>
      <c r="AP99" s="268">
        <v>108.69791750469524</v>
      </c>
      <c r="AQ99" s="268">
        <v>39.864957898250857</v>
      </c>
      <c r="AR99" s="268">
        <v>49.929766914302157</v>
      </c>
    </row>
    <row r="100" spans="1:44" hidden="1" x14ac:dyDescent="0.25">
      <c r="A100" s="11">
        <v>41913</v>
      </c>
      <c r="B100" s="188"/>
      <c r="C100" s="252">
        <v>76.72380492489394</v>
      </c>
      <c r="D100" s="235">
        <v>69.173011271510262</v>
      </c>
      <c r="E100" s="190">
        <v>24.436759281144379</v>
      </c>
      <c r="F100" s="190">
        <v>56.648596148175322</v>
      </c>
      <c r="G100" s="190">
        <v>0</v>
      </c>
      <c r="H100" s="190">
        <v>41.804262669622773</v>
      </c>
      <c r="I100" s="190">
        <v>69.02273710996792</v>
      </c>
      <c r="J100" s="190">
        <v>0</v>
      </c>
      <c r="K100" s="355">
        <v>71.820053401249297</v>
      </c>
      <c r="L100" s="298">
        <v>0</v>
      </c>
      <c r="M100" s="298">
        <v>0</v>
      </c>
      <c r="N100" s="300">
        <v>0</v>
      </c>
      <c r="O100" s="190">
        <v>0</v>
      </c>
      <c r="P100" s="190">
        <v>0</v>
      </c>
      <c r="Q100" s="190">
        <v>0</v>
      </c>
      <c r="R100" s="190">
        <v>111.98822058305294</v>
      </c>
      <c r="S100" s="190">
        <v>0</v>
      </c>
      <c r="T100" s="190">
        <v>0</v>
      </c>
      <c r="U100" s="189">
        <v>44.516009954455114</v>
      </c>
      <c r="V100" s="298">
        <v>0</v>
      </c>
      <c r="W100" s="298">
        <v>0</v>
      </c>
      <c r="X100" s="298">
        <v>0</v>
      </c>
      <c r="Y100" s="269">
        <v>94.361266413937926</v>
      </c>
      <c r="Z100" s="189">
        <v>0</v>
      </c>
      <c r="AA100" s="190">
        <v>0</v>
      </c>
      <c r="AB100" s="190">
        <v>0</v>
      </c>
      <c r="AC100" s="190">
        <v>0</v>
      </c>
      <c r="AD100" s="235">
        <v>0</v>
      </c>
      <c r="AE100" s="190">
        <v>0</v>
      </c>
      <c r="AF100" s="190">
        <v>0</v>
      </c>
      <c r="AG100" s="268">
        <v>0</v>
      </c>
      <c r="AH100" s="268">
        <v>0</v>
      </c>
      <c r="AI100" s="271">
        <v>0</v>
      </c>
      <c r="AJ100" s="271">
        <v>0</v>
      </c>
      <c r="AK100" s="271">
        <v>93.859486977874624</v>
      </c>
      <c r="AL100" s="268">
        <v>93.859486977874624</v>
      </c>
      <c r="AM100" s="270">
        <v>0</v>
      </c>
      <c r="AN100" s="270">
        <v>0</v>
      </c>
      <c r="AO100" s="237">
        <v>55.593566099163041</v>
      </c>
      <c r="AP100" s="268">
        <v>73.967460041607424</v>
      </c>
      <c r="AQ100" s="268">
        <v>35.328841436723351</v>
      </c>
      <c r="AR100" s="268">
        <v>51.160925350961222</v>
      </c>
    </row>
    <row r="101" spans="1:44" hidden="1" x14ac:dyDescent="0.25">
      <c r="A101" s="11">
        <v>41944</v>
      </c>
      <c r="B101" s="188"/>
      <c r="C101" s="252">
        <v>90.596071082352466</v>
      </c>
      <c r="D101" s="235">
        <v>75.084782426195218</v>
      </c>
      <c r="E101" s="190">
        <v>25.007228520084237</v>
      </c>
      <c r="F101" s="190">
        <v>68.363083822622883</v>
      </c>
      <c r="G101" s="190">
        <v>0</v>
      </c>
      <c r="H101" s="190">
        <v>36.944483376784902</v>
      </c>
      <c r="I101" s="190">
        <v>75.47415977139184</v>
      </c>
      <c r="J101" s="190">
        <v>0</v>
      </c>
      <c r="K101" s="355">
        <v>70.537847143186454</v>
      </c>
      <c r="L101" s="298">
        <v>0</v>
      </c>
      <c r="M101" s="298">
        <v>0</v>
      </c>
      <c r="N101" s="300">
        <v>0</v>
      </c>
      <c r="O101" s="190">
        <v>0</v>
      </c>
      <c r="P101" s="190">
        <v>0</v>
      </c>
      <c r="Q101" s="190">
        <v>0</v>
      </c>
      <c r="R101" s="190">
        <v>109.51619273757173</v>
      </c>
      <c r="S101" s="190">
        <v>0</v>
      </c>
      <c r="T101" s="190">
        <v>0</v>
      </c>
      <c r="U101" s="189">
        <v>85.243828584419887</v>
      </c>
      <c r="V101" s="298">
        <v>0</v>
      </c>
      <c r="W101" s="298">
        <v>0</v>
      </c>
      <c r="X101" s="298">
        <v>0</v>
      </c>
      <c r="Y101" s="269">
        <v>117.91223186104116</v>
      </c>
      <c r="Z101" s="189">
        <v>0</v>
      </c>
      <c r="AA101" s="190">
        <v>0</v>
      </c>
      <c r="AB101" s="190">
        <v>0</v>
      </c>
      <c r="AC101" s="190">
        <v>0</v>
      </c>
      <c r="AD101" s="235">
        <v>0</v>
      </c>
      <c r="AE101" s="190">
        <v>0</v>
      </c>
      <c r="AF101" s="190">
        <v>0</v>
      </c>
      <c r="AG101" s="268">
        <v>0</v>
      </c>
      <c r="AH101" s="268">
        <v>0</v>
      </c>
      <c r="AI101" s="271">
        <v>0</v>
      </c>
      <c r="AJ101" s="271">
        <v>0</v>
      </c>
      <c r="AK101" s="271">
        <v>115.94404836329119</v>
      </c>
      <c r="AL101" s="268">
        <v>115.94404836329119</v>
      </c>
      <c r="AM101" s="270">
        <v>0</v>
      </c>
      <c r="AN101" s="270">
        <v>0</v>
      </c>
      <c r="AO101" s="237">
        <v>52.355087916973773</v>
      </c>
      <c r="AP101" s="268">
        <v>72.642572836251233</v>
      </c>
      <c r="AQ101" s="268">
        <v>36.235041192076423</v>
      </c>
      <c r="AR101" s="268">
        <v>49.867371097027558</v>
      </c>
    </row>
    <row r="102" spans="1:44" hidden="1" x14ac:dyDescent="0.25">
      <c r="A102" s="11">
        <v>41974</v>
      </c>
      <c r="B102" s="188"/>
      <c r="C102" s="252">
        <v>85.107691924298877</v>
      </c>
      <c r="D102" s="235">
        <v>87.269129738798398</v>
      </c>
      <c r="E102" s="190">
        <v>23.311111591260534</v>
      </c>
      <c r="F102" s="190">
        <v>70.159852065807939</v>
      </c>
      <c r="G102" s="190">
        <v>0</v>
      </c>
      <c r="H102" s="190">
        <v>46.03877141515958</v>
      </c>
      <c r="I102" s="190">
        <v>90.248938170495052</v>
      </c>
      <c r="J102" s="190">
        <v>0</v>
      </c>
      <c r="K102" s="355">
        <v>62.174175248366183</v>
      </c>
      <c r="L102" s="298">
        <v>0</v>
      </c>
      <c r="M102" s="298">
        <v>0</v>
      </c>
      <c r="N102" s="300">
        <v>0</v>
      </c>
      <c r="O102" s="190">
        <v>0</v>
      </c>
      <c r="P102" s="190">
        <v>0</v>
      </c>
      <c r="Q102" s="190">
        <v>0</v>
      </c>
      <c r="R102" s="190">
        <v>120.66972533947423</v>
      </c>
      <c r="S102" s="190">
        <v>0</v>
      </c>
      <c r="T102" s="190">
        <v>0</v>
      </c>
      <c r="U102" s="189">
        <v>50.710253609004219</v>
      </c>
      <c r="V102" s="298">
        <v>0</v>
      </c>
      <c r="W102" s="298">
        <v>0</v>
      </c>
      <c r="X102" s="298">
        <v>0</v>
      </c>
      <c r="Y102" s="269">
        <v>74.87421960255837</v>
      </c>
      <c r="Z102" s="189">
        <v>0</v>
      </c>
      <c r="AA102" s="190">
        <v>0</v>
      </c>
      <c r="AB102" s="190">
        <v>0</v>
      </c>
      <c r="AC102" s="190">
        <v>0</v>
      </c>
      <c r="AD102" s="235">
        <v>0</v>
      </c>
      <c r="AE102" s="190">
        <v>0</v>
      </c>
      <c r="AF102" s="190">
        <v>0</v>
      </c>
      <c r="AG102" s="268">
        <v>0</v>
      </c>
      <c r="AH102" s="268">
        <v>0</v>
      </c>
      <c r="AI102" s="271">
        <v>0</v>
      </c>
      <c r="AJ102" s="271">
        <v>0</v>
      </c>
      <c r="AK102" s="271">
        <v>104.46196976725388</v>
      </c>
      <c r="AL102" s="268">
        <v>104.46196976725388</v>
      </c>
      <c r="AM102" s="270">
        <v>0</v>
      </c>
      <c r="AN102" s="270">
        <v>0</v>
      </c>
      <c r="AO102" s="237">
        <v>58.694998401289332</v>
      </c>
      <c r="AP102" s="268">
        <v>82.230733221138934</v>
      </c>
      <c r="AQ102" s="268">
        <v>42.573848416698894</v>
      </c>
      <c r="AR102" s="268">
        <v>62.203062375162389</v>
      </c>
    </row>
    <row r="103" spans="1:44" hidden="1" x14ac:dyDescent="0.25">
      <c r="A103" s="11">
        <v>42005</v>
      </c>
      <c r="B103" s="188"/>
      <c r="C103" s="252">
        <v>74.438025979388087</v>
      </c>
      <c r="D103" s="235">
        <v>65.714518801208456</v>
      </c>
      <c r="E103" s="190">
        <v>27.552981426852508</v>
      </c>
      <c r="F103" s="190">
        <v>70.661661752397009</v>
      </c>
      <c r="G103" s="190">
        <v>0</v>
      </c>
      <c r="H103" s="190">
        <v>38.424073822312288</v>
      </c>
      <c r="I103" s="190">
        <v>61.709439828697214</v>
      </c>
      <c r="J103" s="190">
        <v>0</v>
      </c>
      <c r="K103" s="355">
        <v>66.864635513241538</v>
      </c>
      <c r="L103" s="298">
        <v>0</v>
      </c>
      <c r="M103" s="298">
        <v>0</v>
      </c>
      <c r="N103" s="300">
        <v>0</v>
      </c>
      <c r="O103" s="190">
        <v>0</v>
      </c>
      <c r="P103" s="190">
        <v>0</v>
      </c>
      <c r="Q103" s="190">
        <v>0</v>
      </c>
      <c r="R103" s="190">
        <v>105.70917081559848</v>
      </c>
      <c r="S103" s="190">
        <v>0</v>
      </c>
      <c r="T103" s="190">
        <v>0</v>
      </c>
      <c r="U103" s="189">
        <v>46.170172009354033</v>
      </c>
      <c r="V103" s="298">
        <v>0</v>
      </c>
      <c r="W103" s="298">
        <v>0</v>
      </c>
      <c r="X103" s="298">
        <v>0</v>
      </c>
      <c r="Y103" s="269">
        <v>75.119204570319653</v>
      </c>
      <c r="Z103" s="189">
        <v>0</v>
      </c>
      <c r="AA103" s="190">
        <v>0</v>
      </c>
      <c r="AB103" s="190">
        <v>0</v>
      </c>
      <c r="AC103" s="190">
        <v>0</v>
      </c>
      <c r="AD103" s="235">
        <v>0</v>
      </c>
      <c r="AE103" s="190">
        <v>0</v>
      </c>
      <c r="AF103" s="190">
        <v>0</v>
      </c>
      <c r="AG103" s="268">
        <v>0</v>
      </c>
      <c r="AH103" s="268">
        <v>0</v>
      </c>
      <c r="AI103" s="271">
        <v>0</v>
      </c>
      <c r="AJ103" s="271">
        <v>0</v>
      </c>
      <c r="AK103" s="271">
        <v>161.77913678584602</v>
      </c>
      <c r="AL103" s="268">
        <v>161.77913678584602</v>
      </c>
      <c r="AM103" s="270">
        <v>0</v>
      </c>
      <c r="AN103" s="270">
        <v>0</v>
      </c>
      <c r="AO103" s="237">
        <v>48.782814361549974</v>
      </c>
      <c r="AP103" s="268">
        <v>67.418618979904636</v>
      </c>
      <c r="AQ103" s="268">
        <v>36.671096354263888</v>
      </c>
      <c r="AR103" s="268">
        <v>45.463331902305328</v>
      </c>
    </row>
    <row r="104" spans="1:44" hidden="1" x14ac:dyDescent="0.25">
      <c r="A104" s="11">
        <v>42036</v>
      </c>
      <c r="B104" s="188"/>
      <c r="C104" s="252">
        <v>89.718985419645733</v>
      </c>
      <c r="D104" s="235">
        <v>75.030689285238594</v>
      </c>
      <c r="E104" s="190">
        <v>22.429831712848237</v>
      </c>
      <c r="F104" s="190">
        <v>94.853203130813284</v>
      </c>
      <c r="G104" s="190">
        <v>0</v>
      </c>
      <c r="H104" s="190">
        <v>55.939239893522107</v>
      </c>
      <c r="I104" s="190">
        <v>67.996339485111008</v>
      </c>
      <c r="J104" s="190">
        <v>0</v>
      </c>
      <c r="K104" s="355">
        <v>73.410354267361981</v>
      </c>
      <c r="L104" s="298">
        <v>0</v>
      </c>
      <c r="M104" s="298">
        <v>0</v>
      </c>
      <c r="N104" s="300">
        <v>0</v>
      </c>
      <c r="O104" s="190">
        <v>0</v>
      </c>
      <c r="P104" s="190">
        <v>0</v>
      </c>
      <c r="Q104" s="190">
        <v>0</v>
      </c>
      <c r="R104" s="190">
        <v>119.79108065379187</v>
      </c>
      <c r="S104" s="190">
        <v>0</v>
      </c>
      <c r="T104" s="190">
        <v>0</v>
      </c>
      <c r="U104" s="189">
        <v>72.486235189080659</v>
      </c>
      <c r="V104" s="298">
        <v>0</v>
      </c>
      <c r="W104" s="298">
        <v>0</v>
      </c>
      <c r="X104" s="298">
        <v>0</v>
      </c>
      <c r="Y104" s="269">
        <v>105.59866333146086</v>
      </c>
      <c r="Z104" s="189">
        <v>0</v>
      </c>
      <c r="AA104" s="190">
        <v>0</v>
      </c>
      <c r="AB104" s="190">
        <v>0</v>
      </c>
      <c r="AC104" s="190">
        <v>0</v>
      </c>
      <c r="AD104" s="235">
        <v>0</v>
      </c>
      <c r="AE104" s="190">
        <v>0</v>
      </c>
      <c r="AF104" s="190">
        <v>0</v>
      </c>
      <c r="AG104" s="268">
        <v>0</v>
      </c>
      <c r="AH104" s="268">
        <v>0</v>
      </c>
      <c r="AI104" s="271">
        <v>0</v>
      </c>
      <c r="AJ104" s="271">
        <v>0</v>
      </c>
      <c r="AK104" s="271">
        <v>102.1336947977419</v>
      </c>
      <c r="AL104" s="268">
        <v>102.1336947977419</v>
      </c>
      <c r="AM104" s="270">
        <v>0</v>
      </c>
      <c r="AN104" s="270">
        <v>0</v>
      </c>
      <c r="AO104" s="237">
        <v>47.789648676154613</v>
      </c>
      <c r="AP104" s="268">
        <v>74.283826321349679</v>
      </c>
      <c r="AQ104" s="268">
        <v>36.46866194505786</v>
      </c>
      <c r="AR104" s="268">
        <v>43.207250393013801</v>
      </c>
    </row>
    <row r="105" spans="1:44" hidden="1" x14ac:dyDescent="0.25">
      <c r="A105" s="11">
        <v>42064</v>
      </c>
      <c r="B105" s="188"/>
      <c r="C105" s="252">
        <v>84.021549986642484</v>
      </c>
      <c r="D105" s="235">
        <v>76.744406288883283</v>
      </c>
      <c r="E105" s="190">
        <v>26.205069897340881</v>
      </c>
      <c r="F105" s="190">
        <v>85.396403241587436</v>
      </c>
      <c r="G105" s="190">
        <v>0</v>
      </c>
      <c r="H105" s="190">
        <v>57.764866381014151</v>
      </c>
      <c r="I105" s="190">
        <v>70.780241987350252</v>
      </c>
      <c r="J105" s="190">
        <v>0</v>
      </c>
      <c r="K105" s="355">
        <v>61.504056032827648</v>
      </c>
      <c r="L105" s="298">
        <v>0</v>
      </c>
      <c r="M105" s="298">
        <v>0</v>
      </c>
      <c r="N105" s="300">
        <v>0</v>
      </c>
      <c r="O105" s="190">
        <v>0</v>
      </c>
      <c r="P105" s="190">
        <v>0</v>
      </c>
      <c r="Q105" s="190">
        <v>0</v>
      </c>
      <c r="R105" s="190">
        <v>119.07038794584538</v>
      </c>
      <c r="S105" s="190">
        <v>0</v>
      </c>
      <c r="T105" s="190">
        <v>0</v>
      </c>
      <c r="U105" s="189">
        <v>55.249585937903376</v>
      </c>
      <c r="V105" s="298">
        <v>0</v>
      </c>
      <c r="W105" s="298">
        <v>0</v>
      </c>
      <c r="X105" s="298">
        <v>0</v>
      </c>
      <c r="Y105" s="269">
        <v>85.93038648151537</v>
      </c>
      <c r="Z105" s="189">
        <v>0</v>
      </c>
      <c r="AA105" s="190">
        <v>0</v>
      </c>
      <c r="AB105" s="190">
        <v>0</v>
      </c>
      <c r="AC105" s="190">
        <v>0</v>
      </c>
      <c r="AD105" s="235">
        <v>0</v>
      </c>
      <c r="AE105" s="190">
        <v>0</v>
      </c>
      <c r="AF105" s="190">
        <v>0</v>
      </c>
      <c r="AG105" s="268">
        <v>0</v>
      </c>
      <c r="AH105" s="268">
        <v>0</v>
      </c>
      <c r="AI105" s="271">
        <v>0</v>
      </c>
      <c r="AJ105" s="271">
        <v>0</v>
      </c>
      <c r="AK105" s="271">
        <v>115.28791962821798</v>
      </c>
      <c r="AL105" s="268">
        <v>115.28791962821798</v>
      </c>
      <c r="AM105" s="270">
        <v>0</v>
      </c>
      <c r="AN105" s="270">
        <v>0</v>
      </c>
      <c r="AO105" s="237">
        <v>54.956484628306633</v>
      </c>
      <c r="AP105" s="268">
        <v>72.414801094113727</v>
      </c>
      <c r="AQ105" s="268">
        <v>42.670261206776871</v>
      </c>
      <c r="AR105" s="268">
        <v>48.211991467974343</v>
      </c>
    </row>
    <row r="106" spans="1:44" hidden="1" x14ac:dyDescent="0.25">
      <c r="A106" s="11">
        <v>42095</v>
      </c>
      <c r="B106" s="188"/>
      <c r="C106" s="252">
        <v>85.404979221842055</v>
      </c>
      <c r="D106" s="235">
        <v>88.559794719304122</v>
      </c>
      <c r="E106" s="190">
        <v>24.713859540045988</v>
      </c>
      <c r="F106" s="190">
        <v>65.84172345668226</v>
      </c>
      <c r="G106" s="190">
        <v>0</v>
      </c>
      <c r="H106" s="190">
        <v>62.260394526550179</v>
      </c>
      <c r="I106" s="190">
        <v>89.658036319589826</v>
      </c>
      <c r="J106" s="190">
        <v>0</v>
      </c>
      <c r="K106" s="355">
        <v>68.385122170565921</v>
      </c>
      <c r="L106" s="298">
        <v>0</v>
      </c>
      <c r="M106" s="298">
        <v>0</v>
      </c>
      <c r="N106" s="300">
        <v>0</v>
      </c>
      <c r="O106" s="190">
        <v>0</v>
      </c>
      <c r="P106" s="190">
        <v>0</v>
      </c>
      <c r="Q106" s="190">
        <v>0</v>
      </c>
      <c r="R106" s="190">
        <v>116.89545264865127</v>
      </c>
      <c r="S106" s="190">
        <v>0</v>
      </c>
      <c r="T106" s="190">
        <v>0</v>
      </c>
      <c r="U106" s="189">
        <v>53.523652043470342</v>
      </c>
      <c r="V106" s="298">
        <v>0</v>
      </c>
      <c r="W106" s="298">
        <v>0</v>
      </c>
      <c r="X106" s="298">
        <v>0</v>
      </c>
      <c r="Y106" s="269">
        <v>89.633875778710646</v>
      </c>
      <c r="Z106" s="189">
        <v>0</v>
      </c>
      <c r="AA106" s="190">
        <v>0</v>
      </c>
      <c r="AB106" s="190">
        <v>0</v>
      </c>
      <c r="AC106" s="190">
        <v>0</v>
      </c>
      <c r="AD106" s="235">
        <v>0</v>
      </c>
      <c r="AE106" s="190">
        <v>0</v>
      </c>
      <c r="AF106" s="190">
        <v>0</v>
      </c>
      <c r="AG106" s="268">
        <v>0</v>
      </c>
      <c r="AH106" s="268">
        <v>0</v>
      </c>
      <c r="AI106" s="271">
        <v>0</v>
      </c>
      <c r="AJ106" s="271">
        <v>0</v>
      </c>
      <c r="AK106" s="271">
        <v>118.37676490426404</v>
      </c>
      <c r="AL106" s="268">
        <v>118.37676490426404</v>
      </c>
      <c r="AM106" s="270">
        <v>0</v>
      </c>
      <c r="AN106" s="270">
        <v>0</v>
      </c>
      <c r="AO106" s="237">
        <v>53.089787696156584</v>
      </c>
      <c r="AP106" s="268">
        <v>68.677677570645045</v>
      </c>
      <c r="AQ106" s="268">
        <v>39.6513410675201</v>
      </c>
      <c r="AR106" s="268">
        <v>50.653682532155109</v>
      </c>
    </row>
    <row r="107" spans="1:44" hidden="1" x14ac:dyDescent="0.25">
      <c r="A107" s="11">
        <v>42125</v>
      </c>
      <c r="B107" s="188"/>
      <c r="C107" s="252">
        <v>86.841511582020416</v>
      </c>
      <c r="D107" s="235">
        <v>76.393124784811704</v>
      </c>
      <c r="E107" s="190">
        <v>25.56452666586307</v>
      </c>
      <c r="F107" s="190">
        <v>82.429618171768908</v>
      </c>
      <c r="G107" s="190">
        <v>0</v>
      </c>
      <c r="H107" s="190">
        <v>76.686464907566787</v>
      </c>
      <c r="I107" s="190">
        <v>67.784662364806366</v>
      </c>
      <c r="J107" s="190">
        <v>0</v>
      </c>
      <c r="K107" s="355">
        <v>62.631800800761667</v>
      </c>
      <c r="L107" s="298">
        <v>0</v>
      </c>
      <c r="M107" s="298">
        <v>0</v>
      </c>
      <c r="N107" s="300">
        <v>0</v>
      </c>
      <c r="O107" s="190">
        <v>0</v>
      </c>
      <c r="P107" s="190">
        <v>0</v>
      </c>
      <c r="Q107" s="190">
        <v>0</v>
      </c>
      <c r="R107" s="190">
        <v>115.06876324238952</v>
      </c>
      <c r="S107" s="190">
        <v>0</v>
      </c>
      <c r="T107" s="190">
        <v>0</v>
      </c>
      <c r="U107" s="189">
        <v>71.064610062659369</v>
      </c>
      <c r="V107" s="298">
        <v>0</v>
      </c>
      <c r="W107" s="298">
        <v>0</v>
      </c>
      <c r="X107" s="298">
        <v>0</v>
      </c>
      <c r="Y107" s="269">
        <v>89.881599630992525</v>
      </c>
      <c r="Z107" s="189">
        <v>0</v>
      </c>
      <c r="AA107" s="190">
        <v>0</v>
      </c>
      <c r="AB107" s="190">
        <v>0</v>
      </c>
      <c r="AC107" s="190">
        <v>0</v>
      </c>
      <c r="AD107" s="235">
        <v>0</v>
      </c>
      <c r="AE107" s="190">
        <v>0</v>
      </c>
      <c r="AF107" s="190">
        <v>0</v>
      </c>
      <c r="AG107" s="268">
        <v>0</v>
      </c>
      <c r="AH107" s="268">
        <v>0</v>
      </c>
      <c r="AI107" s="271">
        <v>0</v>
      </c>
      <c r="AJ107" s="271">
        <v>0</v>
      </c>
      <c r="AK107" s="271">
        <v>119.35258310686028</v>
      </c>
      <c r="AL107" s="268">
        <v>119.35258310686028</v>
      </c>
      <c r="AM107" s="270">
        <v>0</v>
      </c>
      <c r="AN107" s="270">
        <v>0</v>
      </c>
      <c r="AO107" s="237">
        <v>50.406330842550233</v>
      </c>
      <c r="AP107" s="268">
        <v>61.617615336586788</v>
      </c>
      <c r="AQ107" s="268">
        <v>35.668441335491671</v>
      </c>
      <c r="AR107" s="268">
        <v>43.710359317995803</v>
      </c>
    </row>
    <row r="108" spans="1:44" hidden="1" x14ac:dyDescent="0.25">
      <c r="A108" s="11">
        <v>42156</v>
      </c>
      <c r="B108" s="188"/>
      <c r="C108" s="252">
        <v>86.558101849209066</v>
      </c>
      <c r="D108" s="235">
        <v>75.856825810944372</v>
      </c>
      <c r="E108" s="190">
        <v>25.443113651859832</v>
      </c>
      <c r="F108" s="190">
        <v>70.551150160635089</v>
      </c>
      <c r="G108" s="190">
        <v>0</v>
      </c>
      <c r="H108" s="190">
        <v>70.673983027562983</v>
      </c>
      <c r="I108" s="190">
        <v>70.269393155161112</v>
      </c>
      <c r="J108" s="190">
        <v>0</v>
      </c>
      <c r="K108" s="355">
        <v>48.44749164963946</v>
      </c>
      <c r="L108" s="298">
        <v>0</v>
      </c>
      <c r="M108" s="298">
        <v>0</v>
      </c>
      <c r="N108" s="300">
        <v>0</v>
      </c>
      <c r="O108" s="190">
        <v>0</v>
      </c>
      <c r="P108" s="190">
        <v>0</v>
      </c>
      <c r="Q108" s="190">
        <v>0</v>
      </c>
      <c r="R108" s="190">
        <v>122.6788688236916</v>
      </c>
      <c r="S108" s="190">
        <v>0</v>
      </c>
      <c r="T108" s="190">
        <v>0</v>
      </c>
      <c r="U108" s="189">
        <v>61.194959045537402</v>
      </c>
      <c r="V108" s="298">
        <v>0</v>
      </c>
      <c r="W108" s="298">
        <v>0</v>
      </c>
      <c r="X108" s="298">
        <v>0</v>
      </c>
      <c r="Y108" s="269">
        <v>100.73794170474697</v>
      </c>
      <c r="Z108" s="189">
        <v>0</v>
      </c>
      <c r="AA108" s="190">
        <v>0</v>
      </c>
      <c r="AB108" s="190">
        <v>0</v>
      </c>
      <c r="AC108" s="190">
        <v>0</v>
      </c>
      <c r="AD108" s="235">
        <v>0</v>
      </c>
      <c r="AE108" s="190">
        <v>0</v>
      </c>
      <c r="AF108" s="190">
        <v>0</v>
      </c>
      <c r="AG108" s="268">
        <v>0</v>
      </c>
      <c r="AH108" s="268">
        <v>0</v>
      </c>
      <c r="AI108" s="271">
        <v>0</v>
      </c>
      <c r="AJ108" s="271">
        <v>0</v>
      </c>
      <c r="AK108" s="271">
        <v>102.45910869366747</v>
      </c>
      <c r="AL108" s="268">
        <v>102.45910869366747</v>
      </c>
      <c r="AM108" s="270">
        <v>0</v>
      </c>
      <c r="AN108" s="270">
        <v>0</v>
      </c>
      <c r="AO108" s="237">
        <v>56.265171901756887</v>
      </c>
      <c r="AP108" s="268">
        <v>70.263054456984904</v>
      </c>
      <c r="AQ108" s="268">
        <v>41.807776241431469</v>
      </c>
      <c r="AR108" s="268">
        <v>47.135776752472076</v>
      </c>
    </row>
    <row r="109" spans="1:44" hidden="1" x14ac:dyDescent="0.25">
      <c r="A109" s="11">
        <v>42186</v>
      </c>
      <c r="B109" s="188"/>
      <c r="C109" s="252">
        <v>86.935883494750087</v>
      </c>
      <c r="D109" s="235">
        <v>80.642591814249201</v>
      </c>
      <c r="E109" s="190">
        <v>23.48887213020458</v>
      </c>
      <c r="F109" s="190">
        <v>70.339587312363022</v>
      </c>
      <c r="G109" s="190">
        <v>0</v>
      </c>
      <c r="H109" s="190">
        <v>63.999899476615838</v>
      </c>
      <c r="I109" s="190">
        <v>78.117584613851321</v>
      </c>
      <c r="J109" s="190">
        <v>0</v>
      </c>
      <c r="K109" s="355">
        <v>53.068396687964416</v>
      </c>
      <c r="L109" s="298">
        <v>0</v>
      </c>
      <c r="M109" s="298">
        <v>0</v>
      </c>
      <c r="N109" s="300">
        <v>0</v>
      </c>
      <c r="O109" s="190">
        <v>0</v>
      </c>
      <c r="P109" s="190">
        <v>0</v>
      </c>
      <c r="Q109" s="190">
        <v>0</v>
      </c>
      <c r="R109" s="190">
        <v>121.89755862834795</v>
      </c>
      <c r="S109" s="190">
        <v>0</v>
      </c>
      <c r="T109" s="190">
        <v>0</v>
      </c>
      <c r="U109" s="189">
        <v>58.305707975752703</v>
      </c>
      <c r="V109" s="298">
        <v>0</v>
      </c>
      <c r="W109" s="298">
        <v>0</v>
      </c>
      <c r="X109" s="298">
        <v>0</v>
      </c>
      <c r="Y109" s="269">
        <v>74.747765278075931</v>
      </c>
      <c r="Z109" s="189">
        <v>0</v>
      </c>
      <c r="AA109" s="190">
        <v>0</v>
      </c>
      <c r="AB109" s="190">
        <v>0</v>
      </c>
      <c r="AC109" s="190">
        <v>0</v>
      </c>
      <c r="AD109" s="235">
        <v>0</v>
      </c>
      <c r="AE109" s="190">
        <v>0</v>
      </c>
      <c r="AF109" s="190">
        <v>0</v>
      </c>
      <c r="AG109" s="268">
        <v>0</v>
      </c>
      <c r="AH109" s="268">
        <v>0</v>
      </c>
      <c r="AI109" s="271">
        <v>0</v>
      </c>
      <c r="AJ109" s="271">
        <v>0</v>
      </c>
      <c r="AK109" s="271">
        <v>106.64317140150344</v>
      </c>
      <c r="AL109" s="268">
        <v>106.64317140150344</v>
      </c>
      <c r="AM109" s="270">
        <v>0</v>
      </c>
      <c r="AN109" s="270">
        <v>0</v>
      </c>
      <c r="AO109" s="237">
        <v>53.850987622780103</v>
      </c>
      <c r="AP109" s="268">
        <v>73.531253571177359</v>
      </c>
      <c r="AQ109" s="268">
        <v>38.787328543697939</v>
      </c>
      <c r="AR109" s="268">
        <v>48.003834049568347</v>
      </c>
    </row>
    <row r="110" spans="1:44" hidden="1" x14ac:dyDescent="0.25">
      <c r="A110" s="11">
        <v>42217</v>
      </c>
      <c r="B110" s="188"/>
      <c r="C110" s="252">
        <v>85.472432560652152</v>
      </c>
      <c r="D110" s="235">
        <v>80.148084419508422</v>
      </c>
      <c r="E110" s="190">
        <v>15.130547495552108</v>
      </c>
      <c r="F110" s="190">
        <v>67.290167204197488</v>
      </c>
      <c r="G110" s="190">
        <v>0</v>
      </c>
      <c r="H110" s="190">
        <v>61.246067936791675</v>
      </c>
      <c r="I110" s="190">
        <v>80.417763843474404</v>
      </c>
      <c r="J110" s="190">
        <v>0</v>
      </c>
      <c r="K110" s="355">
        <v>54.183576501947464</v>
      </c>
      <c r="L110" s="298">
        <v>0</v>
      </c>
      <c r="M110" s="298">
        <v>0</v>
      </c>
      <c r="N110" s="300">
        <v>0</v>
      </c>
      <c r="O110" s="190">
        <v>0</v>
      </c>
      <c r="P110" s="190">
        <v>0</v>
      </c>
      <c r="Q110" s="190">
        <v>0</v>
      </c>
      <c r="R110" s="190">
        <v>114.70007943553402</v>
      </c>
      <c r="S110" s="190">
        <v>0</v>
      </c>
      <c r="T110" s="190">
        <v>0</v>
      </c>
      <c r="U110" s="189">
        <v>65.439754879610007</v>
      </c>
      <c r="V110" s="298">
        <v>0</v>
      </c>
      <c r="W110" s="298">
        <v>0</v>
      </c>
      <c r="X110" s="298">
        <v>0</v>
      </c>
      <c r="Y110" s="269">
        <v>76.390827913908907</v>
      </c>
      <c r="Z110" s="189">
        <v>0</v>
      </c>
      <c r="AA110" s="190">
        <v>0</v>
      </c>
      <c r="AB110" s="190">
        <v>0</v>
      </c>
      <c r="AC110" s="190">
        <v>0</v>
      </c>
      <c r="AD110" s="235">
        <v>0</v>
      </c>
      <c r="AE110" s="190">
        <v>0</v>
      </c>
      <c r="AF110" s="190">
        <v>0</v>
      </c>
      <c r="AG110" s="268">
        <v>0</v>
      </c>
      <c r="AH110" s="268">
        <v>0</v>
      </c>
      <c r="AI110" s="271">
        <v>0</v>
      </c>
      <c r="AJ110" s="271">
        <v>0</v>
      </c>
      <c r="AK110" s="271">
        <v>92.85266571841855</v>
      </c>
      <c r="AL110" s="268">
        <v>92.85266571841855</v>
      </c>
      <c r="AM110" s="270">
        <v>0</v>
      </c>
      <c r="AN110" s="270">
        <v>0</v>
      </c>
      <c r="AO110" s="237">
        <v>47.830018651676035</v>
      </c>
      <c r="AP110" s="268">
        <v>60.859142634709514</v>
      </c>
      <c r="AQ110" s="268">
        <v>36.243895193623381</v>
      </c>
      <c r="AR110" s="268">
        <v>46.176059303417112</v>
      </c>
    </row>
    <row r="111" spans="1:44" hidden="1" x14ac:dyDescent="0.25">
      <c r="A111" s="11">
        <v>42248</v>
      </c>
      <c r="B111" s="188"/>
      <c r="C111" s="252">
        <v>90.631305923139934</v>
      </c>
      <c r="D111" s="235">
        <v>86.658285585226309</v>
      </c>
      <c r="E111" s="190">
        <v>20.848952792843182</v>
      </c>
      <c r="F111" s="190">
        <v>51.027955799698724</v>
      </c>
      <c r="G111" s="190">
        <v>0</v>
      </c>
      <c r="H111" s="190">
        <v>55.84339611227125</v>
      </c>
      <c r="I111" s="190">
        <v>91.815637478729499</v>
      </c>
      <c r="J111" s="190">
        <v>0</v>
      </c>
      <c r="K111" s="355">
        <v>64.681009935975325</v>
      </c>
      <c r="L111" s="298">
        <v>0</v>
      </c>
      <c r="M111" s="298">
        <v>0</v>
      </c>
      <c r="N111" s="300">
        <v>0</v>
      </c>
      <c r="O111" s="190">
        <v>0</v>
      </c>
      <c r="P111" s="190">
        <v>0</v>
      </c>
      <c r="Q111" s="190">
        <v>0</v>
      </c>
      <c r="R111" s="190">
        <v>124.51136264208834</v>
      </c>
      <c r="S111" s="190">
        <v>0</v>
      </c>
      <c r="T111" s="190">
        <v>0</v>
      </c>
      <c r="U111" s="189">
        <v>62.600186736242485</v>
      </c>
      <c r="V111" s="298">
        <v>0</v>
      </c>
      <c r="W111" s="298">
        <v>0</v>
      </c>
      <c r="X111" s="298">
        <v>0</v>
      </c>
      <c r="Y111" s="269">
        <v>62.685900581958279</v>
      </c>
      <c r="Z111" s="189">
        <v>0</v>
      </c>
      <c r="AA111" s="190">
        <v>0</v>
      </c>
      <c r="AB111" s="190">
        <v>0</v>
      </c>
      <c r="AC111" s="190">
        <v>0</v>
      </c>
      <c r="AD111" s="235">
        <v>0</v>
      </c>
      <c r="AE111" s="190">
        <v>0</v>
      </c>
      <c r="AF111" s="190">
        <v>0</v>
      </c>
      <c r="AG111" s="268">
        <v>0</v>
      </c>
      <c r="AH111" s="268">
        <v>0</v>
      </c>
      <c r="AI111" s="271">
        <v>0</v>
      </c>
      <c r="AJ111" s="271">
        <v>0</v>
      </c>
      <c r="AK111" s="271">
        <v>96.693800573526374</v>
      </c>
      <c r="AL111" s="268">
        <v>96.693800573526374</v>
      </c>
      <c r="AM111" s="270">
        <v>0</v>
      </c>
      <c r="AN111" s="270">
        <v>0</v>
      </c>
      <c r="AO111" s="237">
        <v>47.494316890798096</v>
      </c>
      <c r="AP111" s="268">
        <v>52.215802833860046</v>
      </c>
      <c r="AQ111" s="268">
        <v>38.388357918073389</v>
      </c>
      <c r="AR111" s="268">
        <v>38.306863694517169</v>
      </c>
    </row>
    <row r="112" spans="1:44" hidden="1" x14ac:dyDescent="0.25">
      <c r="A112" s="11">
        <v>42278</v>
      </c>
      <c r="B112" s="188"/>
      <c r="C112" s="252">
        <v>83.321090747534001</v>
      </c>
      <c r="D112" s="235">
        <v>76.676353121695115</v>
      </c>
      <c r="E112" s="190">
        <v>20.577039360337693</v>
      </c>
      <c r="F112" s="190">
        <v>67.085063909153448</v>
      </c>
      <c r="G112" s="190">
        <v>0</v>
      </c>
      <c r="H112" s="190">
        <v>53.035835398301252</v>
      </c>
      <c r="I112" s="190">
        <v>76.147988030913609</v>
      </c>
      <c r="J112" s="190">
        <v>0</v>
      </c>
      <c r="K112" s="355">
        <v>82.378726018554786</v>
      </c>
      <c r="L112" s="298">
        <v>0</v>
      </c>
      <c r="M112" s="298">
        <v>0</v>
      </c>
      <c r="N112" s="300">
        <v>0</v>
      </c>
      <c r="O112" s="190">
        <v>0</v>
      </c>
      <c r="P112" s="190">
        <v>0</v>
      </c>
      <c r="Q112" s="190">
        <v>0</v>
      </c>
      <c r="R112" s="190">
        <v>117.2933862510241</v>
      </c>
      <c r="S112" s="190">
        <v>0</v>
      </c>
      <c r="T112" s="190">
        <v>0</v>
      </c>
      <c r="U112" s="189">
        <v>52.438122124446004</v>
      </c>
      <c r="V112" s="298">
        <v>0</v>
      </c>
      <c r="W112" s="298">
        <v>0</v>
      </c>
      <c r="X112" s="298">
        <v>0</v>
      </c>
      <c r="Y112" s="269">
        <v>62.388792194143534</v>
      </c>
      <c r="Z112" s="189">
        <v>0</v>
      </c>
      <c r="AA112" s="190">
        <v>0</v>
      </c>
      <c r="AB112" s="190">
        <v>0</v>
      </c>
      <c r="AC112" s="190">
        <v>0</v>
      </c>
      <c r="AD112" s="235">
        <v>0</v>
      </c>
      <c r="AE112" s="190">
        <v>0</v>
      </c>
      <c r="AF112" s="190">
        <v>0</v>
      </c>
      <c r="AG112" s="268">
        <v>0</v>
      </c>
      <c r="AH112" s="268">
        <v>0</v>
      </c>
      <c r="AI112" s="271">
        <v>0</v>
      </c>
      <c r="AJ112" s="271">
        <v>0</v>
      </c>
      <c r="AK112" s="271">
        <v>99.5961853828953</v>
      </c>
      <c r="AL112" s="268">
        <v>99.5961853828953</v>
      </c>
      <c r="AM112" s="270">
        <v>0</v>
      </c>
      <c r="AN112" s="270">
        <v>0</v>
      </c>
      <c r="AO112" s="237">
        <v>50.598964093721939</v>
      </c>
      <c r="AP112" s="268">
        <v>73.345327515613846</v>
      </c>
      <c r="AQ112" s="268">
        <v>42.887256841802262</v>
      </c>
      <c r="AR112" s="268">
        <v>39.026786583412495</v>
      </c>
    </row>
    <row r="113" spans="1:44" hidden="1" x14ac:dyDescent="0.25">
      <c r="A113" s="11">
        <v>42309</v>
      </c>
      <c r="B113" s="188"/>
      <c r="C113" s="252">
        <v>97.212914069107072</v>
      </c>
      <c r="D113" s="235">
        <v>94.617957558204097</v>
      </c>
      <c r="E113" s="190">
        <v>77.973632418138209</v>
      </c>
      <c r="F113" s="190">
        <v>79.381711583478776</v>
      </c>
      <c r="G113" s="190">
        <v>0</v>
      </c>
      <c r="H113" s="190">
        <v>47.592130234845271</v>
      </c>
      <c r="I113" s="190">
        <v>85.073629254720487</v>
      </c>
      <c r="J113" s="190">
        <v>0</v>
      </c>
      <c r="K113" s="355">
        <v>87.855249773871051</v>
      </c>
      <c r="L113" s="298">
        <v>0</v>
      </c>
      <c r="M113" s="298">
        <v>0</v>
      </c>
      <c r="N113" s="300">
        <v>0</v>
      </c>
      <c r="O113" s="190">
        <v>0</v>
      </c>
      <c r="P113" s="190">
        <v>0</v>
      </c>
      <c r="Q113" s="190">
        <v>0</v>
      </c>
      <c r="R113" s="190">
        <v>114.26068842831057</v>
      </c>
      <c r="S113" s="190">
        <v>0</v>
      </c>
      <c r="T113" s="190">
        <v>0</v>
      </c>
      <c r="U113" s="189">
        <v>88.555679355475249</v>
      </c>
      <c r="V113" s="298">
        <v>0</v>
      </c>
      <c r="W113" s="298">
        <v>0</v>
      </c>
      <c r="X113" s="298">
        <v>0</v>
      </c>
      <c r="Y113" s="269">
        <v>72.979006519294899</v>
      </c>
      <c r="Z113" s="189">
        <v>0</v>
      </c>
      <c r="AA113" s="190">
        <v>0</v>
      </c>
      <c r="AB113" s="190">
        <v>0</v>
      </c>
      <c r="AC113" s="190">
        <v>0</v>
      </c>
      <c r="AD113" s="235">
        <v>0</v>
      </c>
      <c r="AE113" s="190">
        <v>0</v>
      </c>
      <c r="AF113" s="190">
        <v>0</v>
      </c>
      <c r="AG113" s="268">
        <v>0</v>
      </c>
      <c r="AH113" s="268">
        <v>0</v>
      </c>
      <c r="AI113" s="271">
        <v>0</v>
      </c>
      <c r="AJ113" s="271">
        <v>0</v>
      </c>
      <c r="AK113" s="271">
        <v>103.69493194300722</v>
      </c>
      <c r="AL113" s="268">
        <v>103.69493194300722</v>
      </c>
      <c r="AM113" s="270">
        <v>0</v>
      </c>
      <c r="AN113" s="270">
        <v>0</v>
      </c>
      <c r="AO113" s="237">
        <v>53.17162749950753</v>
      </c>
      <c r="AP113" s="268">
        <v>66.364788485576966</v>
      </c>
      <c r="AQ113" s="268">
        <v>46.051499513065863</v>
      </c>
      <c r="AR113" s="268">
        <v>45.188813601735909</v>
      </c>
    </row>
    <row r="114" spans="1:44" hidden="1" x14ac:dyDescent="0.25">
      <c r="A114" s="11">
        <v>42339</v>
      </c>
      <c r="B114" s="188"/>
      <c r="C114" s="252">
        <v>89.173255994844794</v>
      </c>
      <c r="D114" s="235">
        <v>87.13797786248027</v>
      </c>
      <c r="E114" s="190">
        <v>40.653819106260585</v>
      </c>
      <c r="F114" s="190">
        <v>69.5780524256528</v>
      </c>
      <c r="G114" s="190">
        <v>0</v>
      </c>
      <c r="H114" s="190">
        <v>53.781845856687603</v>
      </c>
      <c r="I114" s="190">
        <v>84.726152300257979</v>
      </c>
      <c r="J114" s="190">
        <v>0</v>
      </c>
      <c r="K114" s="355">
        <v>88.417905570095385</v>
      </c>
      <c r="L114" s="298">
        <v>0</v>
      </c>
      <c r="M114" s="298">
        <v>0</v>
      </c>
      <c r="N114" s="300">
        <v>0</v>
      </c>
      <c r="O114" s="190">
        <v>0</v>
      </c>
      <c r="P114" s="190">
        <v>0</v>
      </c>
      <c r="Q114" s="190">
        <v>0</v>
      </c>
      <c r="R114" s="190">
        <v>125.65659131496457</v>
      </c>
      <c r="S114" s="190">
        <v>0</v>
      </c>
      <c r="T114" s="190">
        <v>0</v>
      </c>
      <c r="U114" s="189">
        <v>53.275702187117808</v>
      </c>
      <c r="V114" s="298">
        <v>0</v>
      </c>
      <c r="W114" s="298">
        <v>0</v>
      </c>
      <c r="X114" s="298">
        <v>0</v>
      </c>
      <c r="Y114" s="269">
        <v>90.774686682639526</v>
      </c>
      <c r="Z114" s="189">
        <v>0</v>
      </c>
      <c r="AA114" s="190">
        <v>0</v>
      </c>
      <c r="AB114" s="190">
        <v>0</v>
      </c>
      <c r="AC114" s="190">
        <v>0</v>
      </c>
      <c r="AD114" s="235">
        <v>0</v>
      </c>
      <c r="AE114" s="190">
        <v>0</v>
      </c>
      <c r="AF114" s="190">
        <v>0</v>
      </c>
      <c r="AG114" s="268">
        <v>0</v>
      </c>
      <c r="AH114" s="268">
        <v>0</v>
      </c>
      <c r="AI114" s="271">
        <v>0</v>
      </c>
      <c r="AJ114" s="271">
        <v>0</v>
      </c>
      <c r="AK114" s="271">
        <v>94.251708981993588</v>
      </c>
      <c r="AL114" s="268">
        <v>94.251708981993588</v>
      </c>
      <c r="AM114" s="270">
        <v>0</v>
      </c>
      <c r="AN114" s="270">
        <v>0</v>
      </c>
      <c r="AO114" s="237">
        <v>62.55719007659895</v>
      </c>
      <c r="AP114" s="268">
        <v>90.177957962803234</v>
      </c>
      <c r="AQ114" s="268">
        <v>58.802965856169926</v>
      </c>
      <c r="AR114" s="268">
        <v>53.193613281878868</v>
      </c>
    </row>
    <row r="115" spans="1:44" x14ac:dyDescent="0.25">
      <c r="A115" s="11">
        <v>42370</v>
      </c>
      <c r="B115" s="232">
        <f>(C115*41.5+AO115*58.5)/100</f>
        <v>61.43790339074075</v>
      </c>
      <c r="C115" s="252">
        <v>82.427166536939296</v>
      </c>
      <c r="D115" s="235">
        <v>76.290496644726147</v>
      </c>
      <c r="E115" s="234">
        <v>12.133411727730955</v>
      </c>
      <c r="F115" s="234">
        <v>53.51274622834417</v>
      </c>
      <c r="G115" s="234"/>
      <c r="H115" s="234">
        <v>53.41061714185993</v>
      </c>
      <c r="I115" s="234">
        <v>82.345636347115871</v>
      </c>
      <c r="J115" s="234"/>
      <c r="K115" s="355">
        <v>76.49839518801042</v>
      </c>
      <c r="L115" s="298"/>
      <c r="M115" s="298"/>
      <c r="N115" s="301"/>
      <c r="O115" s="190"/>
      <c r="P115" s="190"/>
      <c r="Q115" s="190"/>
      <c r="R115" s="190">
        <v>113.3959256464036</v>
      </c>
      <c r="S115" s="190"/>
      <c r="T115" s="190"/>
      <c r="U115" s="236">
        <v>53.436566178883346</v>
      </c>
      <c r="V115" s="298"/>
      <c r="W115" s="298"/>
      <c r="X115" s="298"/>
      <c r="Y115" s="269">
        <v>143.04993019858296</v>
      </c>
      <c r="Z115" s="189"/>
      <c r="AA115" s="190"/>
      <c r="AB115" s="190"/>
      <c r="AC115" s="190"/>
      <c r="AD115" s="235"/>
      <c r="AE115" s="190"/>
      <c r="AF115" s="190"/>
      <c r="AG115" s="268"/>
      <c r="AH115" s="268"/>
      <c r="AI115" s="271"/>
      <c r="AJ115" s="271"/>
      <c r="AK115" s="271">
        <v>188.28400862080892</v>
      </c>
      <c r="AL115" s="268">
        <v>188.28400862080892</v>
      </c>
      <c r="AM115" s="270"/>
      <c r="AN115" s="270"/>
      <c r="AO115" s="238">
        <v>46.548084235745193</v>
      </c>
      <c r="AP115" s="268">
        <v>70.057043098767295</v>
      </c>
      <c r="AQ115" s="268">
        <v>38.54285878641123</v>
      </c>
      <c r="AR115" s="268">
        <v>33.001526075819861</v>
      </c>
    </row>
    <row r="116" spans="1:44" x14ac:dyDescent="0.25">
      <c r="A116" s="11">
        <v>42401</v>
      </c>
      <c r="B116" s="232">
        <f t="shared" ref="B116:B179" si="0">(C116*41.5+AO116*58.5)/100</f>
        <v>63.93842537911658</v>
      </c>
      <c r="C116" s="252">
        <v>88.269933106697977</v>
      </c>
      <c r="D116" s="235">
        <v>72.945397350355321</v>
      </c>
      <c r="E116" s="234">
        <v>9.6051543089165605</v>
      </c>
      <c r="F116" s="234">
        <v>37.860487880328336</v>
      </c>
      <c r="G116" s="234"/>
      <c r="H116" s="234">
        <v>68.411991302608385</v>
      </c>
      <c r="I116" s="234">
        <v>79.792246241094816</v>
      </c>
      <c r="J116" s="234"/>
      <c r="K116" s="355">
        <v>77.978748810916343</v>
      </c>
      <c r="L116" s="298"/>
      <c r="M116" s="298"/>
      <c r="N116" s="301"/>
      <c r="O116" s="190"/>
      <c r="P116" s="190"/>
      <c r="Q116" s="190"/>
      <c r="R116" s="190">
        <v>116.12442897654284</v>
      </c>
      <c r="S116" s="190"/>
      <c r="T116" s="190"/>
      <c r="U116" s="236">
        <v>73.930795491573434</v>
      </c>
      <c r="V116" s="298"/>
      <c r="W116" s="298"/>
      <c r="X116" s="298"/>
      <c r="Y116" s="269">
        <v>103.31948804335472</v>
      </c>
      <c r="Z116" s="189"/>
      <c r="AA116" s="190"/>
      <c r="AB116" s="190"/>
      <c r="AC116" s="190"/>
      <c r="AD116" s="235"/>
      <c r="AE116" s="190"/>
      <c r="AF116" s="190"/>
      <c r="AG116" s="268"/>
      <c r="AH116" s="268"/>
      <c r="AI116" s="271"/>
      <c r="AJ116" s="271"/>
      <c r="AK116" s="271">
        <v>108.06812456926714</v>
      </c>
      <c r="AL116" s="268">
        <v>108.06812456926714</v>
      </c>
      <c r="AM116" s="270"/>
      <c r="AN116" s="270"/>
      <c r="AO116" s="238">
        <v>46.677612204849446</v>
      </c>
      <c r="AP116" s="268">
        <v>60.3047963992368</v>
      </c>
      <c r="AQ116" s="268">
        <v>40.733529159362426</v>
      </c>
      <c r="AR116" s="268">
        <v>36.819605259584883</v>
      </c>
    </row>
    <row r="117" spans="1:44" x14ac:dyDescent="0.25">
      <c r="A117" s="11">
        <v>42430</v>
      </c>
      <c r="B117" s="232">
        <f t="shared" si="0"/>
        <v>66.170680747256853</v>
      </c>
      <c r="C117" s="252">
        <v>85.365893727621682</v>
      </c>
      <c r="D117" s="235">
        <v>83.094222763918381</v>
      </c>
      <c r="E117" s="234">
        <v>11.001276988005134</v>
      </c>
      <c r="F117" s="234">
        <v>55.930619362330503</v>
      </c>
      <c r="G117" s="234"/>
      <c r="H117" s="234">
        <v>70.414584149259056</v>
      </c>
      <c r="I117" s="234">
        <v>88.761115007946785</v>
      </c>
      <c r="J117" s="234"/>
      <c r="K117" s="355">
        <v>62.437936927431892</v>
      </c>
      <c r="L117" s="298"/>
      <c r="M117" s="298"/>
      <c r="N117" s="301"/>
      <c r="O117" s="190"/>
      <c r="P117" s="190"/>
      <c r="Q117" s="190"/>
      <c r="R117" s="190">
        <v>118.2718579650703</v>
      </c>
      <c r="S117" s="190"/>
      <c r="T117" s="190"/>
      <c r="U117" s="236">
        <v>56.552431292223439</v>
      </c>
      <c r="V117" s="298"/>
      <c r="W117" s="298"/>
      <c r="X117" s="298"/>
      <c r="Y117" s="269">
        <v>69.822644287224918</v>
      </c>
      <c r="Z117" s="189"/>
      <c r="AA117" s="190"/>
      <c r="AB117" s="190"/>
      <c r="AC117" s="190"/>
      <c r="AD117" s="235"/>
      <c r="AE117" s="190"/>
      <c r="AF117" s="190"/>
      <c r="AG117" s="268"/>
      <c r="AH117" s="268"/>
      <c r="AI117" s="271"/>
      <c r="AJ117" s="271"/>
      <c r="AK117" s="271">
        <v>100.9857367623565</v>
      </c>
      <c r="AL117" s="268">
        <v>100.9857367623565</v>
      </c>
      <c r="AM117" s="270"/>
      <c r="AN117" s="270"/>
      <c r="AO117" s="238">
        <v>52.553563846656161</v>
      </c>
      <c r="AP117" s="268">
        <v>82.738116483825223</v>
      </c>
      <c r="AQ117" s="268">
        <v>46.450241867569986</v>
      </c>
      <c r="AR117" s="268">
        <v>41.636848893170352</v>
      </c>
    </row>
    <row r="118" spans="1:44" x14ac:dyDescent="0.25">
      <c r="A118" s="11">
        <v>42461</v>
      </c>
      <c r="B118" s="232">
        <f t="shared" si="0"/>
        <v>68.424254880395225</v>
      </c>
      <c r="C118" s="252">
        <v>94.825273665886542</v>
      </c>
      <c r="D118" s="235">
        <v>83.152624954777195</v>
      </c>
      <c r="E118" s="234">
        <v>11.183670280218807</v>
      </c>
      <c r="F118" s="234">
        <v>54.563452732748175</v>
      </c>
      <c r="G118" s="234"/>
      <c r="H118" s="234">
        <v>77.123384890957382</v>
      </c>
      <c r="I118" s="234">
        <v>88.022805585971184</v>
      </c>
      <c r="J118" s="234"/>
      <c r="K118" s="355">
        <v>70.692272338529065</v>
      </c>
      <c r="L118" s="298"/>
      <c r="M118" s="298"/>
      <c r="N118" s="301"/>
      <c r="O118" s="190"/>
      <c r="P118" s="190"/>
      <c r="Q118" s="190"/>
      <c r="R118" s="190">
        <v>129.35305596544981</v>
      </c>
      <c r="S118" s="190"/>
      <c r="T118" s="190"/>
      <c r="U118" s="236">
        <v>70.312821683761939</v>
      </c>
      <c r="V118" s="298"/>
      <c r="W118" s="298"/>
      <c r="X118" s="298"/>
      <c r="Y118" s="269">
        <v>67.725507434739924</v>
      </c>
      <c r="Z118" s="189"/>
      <c r="AA118" s="190"/>
      <c r="AB118" s="190"/>
      <c r="AC118" s="190"/>
      <c r="AD118" s="235"/>
      <c r="AE118" s="190"/>
      <c r="AF118" s="190"/>
      <c r="AG118" s="268"/>
      <c r="AH118" s="268"/>
      <c r="AI118" s="271"/>
      <c r="AJ118" s="271"/>
      <c r="AK118" s="271">
        <v>110.88156681139267</v>
      </c>
      <c r="AL118" s="268">
        <v>110.88156681139267</v>
      </c>
      <c r="AM118" s="270"/>
      <c r="AN118" s="270"/>
      <c r="AO118" s="238">
        <v>49.695327024021047</v>
      </c>
      <c r="AP118" s="268">
        <v>84.140351668767778</v>
      </c>
      <c r="AQ118" s="268">
        <v>39.848268628435576</v>
      </c>
      <c r="AR118" s="268">
        <v>49.133860960156078</v>
      </c>
    </row>
    <row r="119" spans="1:44" x14ac:dyDescent="0.25">
      <c r="A119" s="11">
        <v>42491</v>
      </c>
      <c r="B119" s="232">
        <f t="shared" si="0"/>
        <v>67.193819996453897</v>
      </c>
      <c r="C119" s="252">
        <v>89.621283331491469</v>
      </c>
      <c r="D119" s="235">
        <v>84.864351366430569</v>
      </c>
      <c r="E119" s="234">
        <v>12.932689007847662</v>
      </c>
      <c r="F119" s="234">
        <v>54.227216263920575</v>
      </c>
      <c r="G119" s="234"/>
      <c r="H119" s="234">
        <v>79.417617146653583</v>
      </c>
      <c r="I119" s="234">
        <v>89.73949577961686</v>
      </c>
      <c r="J119" s="234"/>
      <c r="K119" s="355">
        <v>54.466183114549374</v>
      </c>
      <c r="L119" s="298"/>
      <c r="M119" s="298"/>
      <c r="N119" s="301"/>
      <c r="O119" s="190"/>
      <c r="P119" s="190"/>
      <c r="Q119" s="190"/>
      <c r="R119" s="190">
        <v>114.28598642764202</v>
      </c>
      <c r="S119" s="190"/>
      <c r="T119" s="190"/>
      <c r="U119" s="236">
        <v>76.470830377422544</v>
      </c>
      <c r="V119" s="298"/>
      <c r="W119" s="298"/>
      <c r="X119" s="298"/>
      <c r="Y119" s="269">
        <v>87.307164188948789</v>
      </c>
      <c r="Z119" s="189"/>
      <c r="AA119" s="190"/>
      <c r="AB119" s="190"/>
      <c r="AC119" s="190"/>
      <c r="AD119" s="235"/>
      <c r="AE119" s="190"/>
      <c r="AF119" s="190"/>
      <c r="AG119" s="268"/>
      <c r="AH119" s="268"/>
      <c r="AI119" s="271"/>
      <c r="AJ119" s="271"/>
      <c r="AK119" s="271">
        <v>94.120572970055576</v>
      </c>
      <c r="AL119" s="268">
        <v>94.120572970055576</v>
      </c>
      <c r="AM119" s="270"/>
      <c r="AN119" s="270"/>
      <c r="AO119" s="238">
        <v>51.283739169034085</v>
      </c>
      <c r="AP119" s="268">
        <v>84.977734964077356</v>
      </c>
      <c r="AQ119" s="268">
        <v>44.910663651251468</v>
      </c>
      <c r="AR119" s="268">
        <v>48.051870594130556</v>
      </c>
    </row>
    <row r="120" spans="1:44" x14ac:dyDescent="0.25">
      <c r="A120" s="11">
        <v>42522</v>
      </c>
      <c r="B120" s="232">
        <f t="shared" si="0"/>
        <v>67.001431649288804</v>
      </c>
      <c r="C120" s="252">
        <v>89.235900237569652</v>
      </c>
      <c r="D120" s="235">
        <v>78.649643827231131</v>
      </c>
      <c r="E120" s="234">
        <v>13.106764197732197</v>
      </c>
      <c r="F120" s="234">
        <v>57.176250309098378</v>
      </c>
      <c r="G120" s="234"/>
      <c r="H120" s="234">
        <v>72.937596919399468</v>
      </c>
      <c r="I120" s="234">
        <v>81.177653983932444</v>
      </c>
      <c r="J120" s="234"/>
      <c r="K120" s="355">
        <v>55.09093805460769</v>
      </c>
      <c r="L120" s="298"/>
      <c r="M120" s="298"/>
      <c r="N120" s="301"/>
      <c r="O120" s="190"/>
      <c r="P120" s="190"/>
      <c r="Q120" s="190"/>
      <c r="R120" s="190">
        <v>116.93945356462268</v>
      </c>
      <c r="S120" s="190"/>
      <c r="T120" s="190"/>
      <c r="U120" s="236">
        <v>77.74493936667362</v>
      </c>
      <c r="V120" s="298"/>
      <c r="W120" s="298"/>
      <c r="X120" s="298"/>
      <c r="Y120" s="269">
        <v>66.90841564248872</v>
      </c>
      <c r="Z120" s="189"/>
      <c r="AA120" s="190"/>
      <c r="AB120" s="190"/>
      <c r="AC120" s="190"/>
      <c r="AD120" s="235"/>
      <c r="AE120" s="190"/>
      <c r="AF120" s="190"/>
      <c r="AG120" s="268"/>
      <c r="AH120" s="268"/>
      <c r="AI120" s="271"/>
      <c r="AJ120" s="271"/>
      <c r="AK120" s="271">
        <v>109.92537659352267</v>
      </c>
      <c r="AL120" s="268">
        <v>109.92537659352267</v>
      </c>
      <c r="AM120" s="270"/>
      <c r="AN120" s="270"/>
      <c r="AO120" s="238">
        <v>51.228261625123757</v>
      </c>
      <c r="AP120" s="268">
        <v>77.549779543124515</v>
      </c>
      <c r="AQ120" s="268">
        <v>42.706208110767179</v>
      </c>
      <c r="AR120" s="268">
        <v>45.957588261203753</v>
      </c>
    </row>
    <row r="121" spans="1:44" x14ac:dyDescent="0.25">
      <c r="A121" s="11">
        <v>42552</v>
      </c>
      <c r="B121" s="232">
        <f t="shared" si="0"/>
        <v>67.13011346399982</v>
      </c>
      <c r="C121" s="252">
        <v>94.623197055642748</v>
      </c>
      <c r="D121" s="235">
        <v>111.81210142721145</v>
      </c>
      <c r="E121" s="234">
        <v>14.74663929916383</v>
      </c>
      <c r="F121" s="234">
        <v>44.979789685059956</v>
      </c>
      <c r="G121" s="234"/>
      <c r="H121" s="234">
        <v>70.47716342957132</v>
      </c>
      <c r="I121" s="234">
        <v>131.60968232789892</v>
      </c>
      <c r="J121" s="234"/>
      <c r="K121" s="355">
        <v>64.584550304357421</v>
      </c>
      <c r="L121" s="298"/>
      <c r="M121" s="298"/>
      <c r="N121" s="301"/>
      <c r="O121" s="190"/>
      <c r="P121" s="190"/>
      <c r="Q121" s="190"/>
      <c r="R121" s="190">
        <v>123.11710261082268</v>
      </c>
      <c r="S121" s="190"/>
      <c r="T121" s="190"/>
      <c r="U121" s="236">
        <v>62.418106661432326</v>
      </c>
      <c r="V121" s="298"/>
      <c r="W121" s="298"/>
      <c r="X121" s="298"/>
      <c r="Y121" s="269">
        <v>63.300367825930017</v>
      </c>
      <c r="Z121" s="189"/>
      <c r="AA121" s="190"/>
      <c r="AB121" s="190"/>
      <c r="AC121" s="190"/>
      <c r="AD121" s="235"/>
      <c r="AE121" s="190"/>
      <c r="AF121" s="190"/>
      <c r="AG121" s="268"/>
      <c r="AH121" s="268"/>
      <c r="AI121" s="271"/>
      <c r="AJ121" s="271"/>
      <c r="AK121" s="271">
        <v>97.72549969417129</v>
      </c>
      <c r="AL121" s="268">
        <v>97.72549969417129</v>
      </c>
      <c r="AM121" s="270"/>
      <c r="AN121" s="270"/>
      <c r="AO121" s="238">
        <v>47.626472967364236</v>
      </c>
      <c r="AP121" s="268">
        <v>63.168682720707693</v>
      </c>
      <c r="AQ121" s="268">
        <v>39.185876987587783</v>
      </c>
      <c r="AR121" s="268">
        <v>42.46855724973053</v>
      </c>
    </row>
    <row r="122" spans="1:44" x14ac:dyDescent="0.25">
      <c r="A122" s="11">
        <v>42583</v>
      </c>
      <c r="B122" s="232">
        <f t="shared" si="0"/>
        <v>65.682648916191013</v>
      </c>
      <c r="C122" s="252">
        <v>90.753064204628387</v>
      </c>
      <c r="D122" s="235">
        <v>78.536434445399735</v>
      </c>
      <c r="E122" s="234">
        <v>13.11508489543453</v>
      </c>
      <c r="F122" s="234">
        <v>40.022986328720627</v>
      </c>
      <c r="G122" s="234"/>
      <c r="H122" s="234">
        <v>65.607966778017925</v>
      </c>
      <c r="I122" s="234">
        <v>86.810686754970519</v>
      </c>
      <c r="J122" s="234"/>
      <c r="K122" s="355">
        <v>56.68467809639273</v>
      </c>
      <c r="L122" s="298"/>
      <c r="M122" s="298"/>
      <c r="N122" s="301"/>
      <c r="O122" s="190"/>
      <c r="P122" s="190"/>
      <c r="Q122" s="190"/>
      <c r="R122" s="190">
        <v>119.27732129521434</v>
      </c>
      <c r="S122" s="190"/>
      <c r="T122" s="190"/>
      <c r="U122" s="236">
        <v>76.959881980159977</v>
      </c>
      <c r="V122" s="298"/>
      <c r="W122" s="298"/>
      <c r="X122" s="298"/>
      <c r="Y122" s="269">
        <v>108.64575840508506</v>
      </c>
      <c r="Z122" s="189"/>
      <c r="AA122" s="190"/>
      <c r="AB122" s="190"/>
      <c r="AC122" s="190"/>
      <c r="AD122" s="235"/>
      <c r="AE122" s="190"/>
      <c r="AF122" s="190"/>
      <c r="AG122" s="268"/>
      <c r="AH122" s="268"/>
      <c r="AI122" s="271"/>
      <c r="AJ122" s="271"/>
      <c r="AK122" s="271">
        <v>112.31652285057014</v>
      </c>
      <c r="AL122" s="268">
        <v>112.31652285057014</v>
      </c>
      <c r="AM122" s="270"/>
      <c r="AN122" s="270"/>
      <c r="AO122" s="238">
        <v>47.897653455162782</v>
      </c>
      <c r="AP122" s="268">
        <v>72.135511280216562</v>
      </c>
      <c r="AQ122" s="268">
        <v>42.043922380414308</v>
      </c>
      <c r="AR122" s="268">
        <v>26.608373576921018</v>
      </c>
    </row>
    <row r="123" spans="1:44" x14ac:dyDescent="0.25">
      <c r="A123" s="11">
        <v>42614</v>
      </c>
      <c r="B123" s="232">
        <f t="shared" si="0"/>
        <v>64.650988261813453</v>
      </c>
      <c r="C123" s="252">
        <v>91.592297678720826</v>
      </c>
      <c r="D123" s="235">
        <v>81.804446290161806</v>
      </c>
      <c r="E123" s="234">
        <v>14.060608866359654</v>
      </c>
      <c r="F123" s="234">
        <v>48.66511626273293</v>
      </c>
      <c r="G123" s="234"/>
      <c r="H123" s="234">
        <v>57.002900825667474</v>
      </c>
      <c r="I123" s="234">
        <v>90.404040435187383</v>
      </c>
      <c r="J123" s="234"/>
      <c r="K123" s="355">
        <v>63.431266719630742</v>
      </c>
      <c r="L123" s="298"/>
      <c r="M123" s="298"/>
      <c r="N123" s="301"/>
      <c r="O123" s="190"/>
      <c r="P123" s="190"/>
      <c r="Q123" s="190"/>
      <c r="R123" s="190">
        <v>122.580122311175</v>
      </c>
      <c r="S123" s="190"/>
      <c r="T123" s="190"/>
      <c r="U123" s="236">
        <v>76.625980916574647</v>
      </c>
      <c r="V123" s="298"/>
      <c r="W123" s="298"/>
      <c r="X123" s="298"/>
      <c r="Y123" s="269">
        <v>87.853210871598762</v>
      </c>
      <c r="Z123" s="189"/>
      <c r="AA123" s="190"/>
      <c r="AB123" s="190"/>
      <c r="AC123" s="190"/>
      <c r="AD123" s="235"/>
      <c r="AE123" s="190"/>
      <c r="AF123" s="190"/>
      <c r="AG123" s="268"/>
      <c r="AH123" s="268"/>
      <c r="AI123" s="271"/>
      <c r="AJ123" s="271"/>
      <c r="AK123" s="271">
        <v>91.070935218000187</v>
      </c>
      <c r="AL123" s="268">
        <v>91.070935218000187</v>
      </c>
      <c r="AM123" s="270"/>
      <c r="AN123" s="270"/>
      <c r="AO123" s="238">
        <v>45.538777307939007</v>
      </c>
      <c r="AP123" s="268">
        <v>71.207563378456854</v>
      </c>
      <c r="AQ123" s="268">
        <v>39.108986036935207</v>
      </c>
      <c r="AR123" s="268">
        <v>41.331497497269972</v>
      </c>
    </row>
    <row r="124" spans="1:44" x14ac:dyDescent="0.25">
      <c r="A124" s="11">
        <v>42644</v>
      </c>
      <c r="B124" s="232">
        <f t="shared" si="0"/>
        <v>64.280739106505493</v>
      </c>
      <c r="C124" s="252">
        <v>88.510845757546718</v>
      </c>
      <c r="D124" s="235">
        <v>79.84011255447605</v>
      </c>
      <c r="E124" s="234">
        <v>14.658423503958659</v>
      </c>
      <c r="F124" s="234">
        <v>62.332339193217834</v>
      </c>
      <c r="G124" s="234"/>
      <c r="H124" s="234">
        <v>54.61047497446576</v>
      </c>
      <c r="I124" s="234">
        <v>84.248831134676948</v>
      </c>
      <c r="J124" s="234"/>
      <c r="K124" s="355">
        <v>89.206743673259879</v>
      </c>
      <c r="L124" s="298"/>
      <c r="M124" s="298"/>
      <c r="N124" s="301"/>
      <c r="O124" s="190"/>
      <c r="P124" s="190"/>
      <c r="Q124" s="190"/>
      <c r="R124" s="190">
        <v>108.618147649226</v>
      </c>
      <c r="S124" s="190"/>
      <c r="T124" s="190"/>
      <c r="U124" s="236">
        <v>78.789092827582508</v>
      </c>
      <c r="V124" s="298"/>
      <c r="W124" s="298"/>
      <c r="X124" s="298"/>
      <c r="Y124" s="269">
        <v>118.98947996310254</v>
      </c>
      <c r="Z124" s="189"/>
      <c r="AA124" s="190"/>
      <c r="AB124" s="190"/>
      <c r="AC124" s="190"/>
      <c r="AD124" s="235"/>
      <c r="AE124" s="190"/>
      <c r="AF124" s="190"/>
      <c r="AG124" s="268"/>
      <c r="AH124" s="268"/>
      <c r="AI124" s="271"/>
      <c r="AJ124" s="271"/>
      <c r="AK124" s="271">
        <v>86.601318615209806</v>
      </c>
      <c r="AL124" s="268">
        <v>86.601318615209806</v>
      </c>
      <c r="AM124" s="270"/>
      <c r="AN124" s="270"/>
      <c r="AO124" s="238">
        <v>47.091860029271139</v>
      </c>
      <c r="AP124" s="268">
        <v>72.211582807562152</v>
      </c>
      <c r="AQ124" s="268">
        <v>40.440722571304647</v>
      </c>
      <c r="AR124" s="268">
        <v>47.574923977967828</v>
      </c>
    </row>
    <row r="125" spans="1:44" x14ac:dyDescent="0.25">
      <c r="A125" s="11">
        <v>42675</v>
      </c>
      <c r="B125" s="232">
        <f t="shared" si="0"/>
        <v>77.539311961585923</v>
      </c>
      <c r="C125" s="252">
        <v>110.68189130896988</v>
      </c>
      <c r="D125" s="235">
        <v>92.096302891251554</v>
      </c>
      <c r="E125" s="234">
        <v>24.418754037585316</v>
      </c>
      <c r="F125" s="234">
        <v>72.608361911197321</v>
      </c>
      <c r="G125" s="234"/>
      <c r="H125" s="234">
        <v>48.13176296973031</v>
      </c>
      <c r="I125" s="234">
        <v>97.729298010706202</v>
      </c>
      <c r="J125" s="234"/>
      <c r="K125" s="355">
        <v>96.974827302025091</v>
      </c>
      <c r="L125" s="298"/>
      <c r="M125" s="298"/>
      <c r="N125" s="301"/>
      <c r="O125" s="190"/>
      <c r="P125" s="190"/>
      <c r="Q125" s="190"/>
      <c r="R125" s="190">
        <v>123.0289430739752</v>
      </c>
      <c r="S125" s="190"/>
      <c r="T125" s="190"/>
      <c r="U125" s="236">
        <v>121.15104466276651</v>
      </c>
      <c r="V125" s="298"/>
      <c r="W125" s="298"/>
      <c r="X125" s="298"/>
      <c r="Y125" s="269">
        <v>118.80838853310287</v>
      </c>
      <c r="Z125" s="189"/>
      <c r="AA125" s="190"/>
      <c r="AB125" s="190"/>
      <c r="AC125" s="190"/>
      <c r="AD125" s="235"/>
      <c r="AE125" s="190"/>
      <c r="AF125" s="190"/>
      <c r="AG125" s="268"/>
      <c r="AH125" s="268"/>
      <c r="AI125" s="271"/>
      <c r="AJ125" s="271"/>
      <c r="AK125" s="271">
        <v>142.65913342495071</v>
      </c>
      <c r="AL125" s="268">
        <v>142.65913342495071</v>
      </c>
      <c r="AM125" s="270"/>
      <c r="AN125" s="270"/>
      <c r="AO125" s="238">
        <v>54.027909518569935</v>
      </c>
      <c r="AP125" s="268">
        <v>109.30090320685213</v>
      </c>
      <c r="AQ125" s="268">
        <v>47.389472837390876</v>
      </c>
      <c r="AR125" s="268">
        <v>46.507964593436263</v>
      </c>
    </row>
    <row r="126" spans="1:44" x14ac:dyDescent="0.25">
      <c r="A126" s="11">
        <v>42705</v>
      </c>
      <c r="B126" s="232">
        <f t="shared" si="0"/>
        <v>80.342537619967857</v>
      </c>
      <c r="C126" s="252">
        <v>110.68189130896988</v>
      </c>
      <c r="D126" s="235">
        <v>92.096302891251554</v>
      </c>
      <c r="E126" s="234">
        <v>24.418754037585316</v>
      </c>
      <c r="F126" s="234">
        <v>72.608361911197321</v>
      </c>
      <c r="G126" s="234"/>
      <c r="H126" s="234">
        <v>118.01256453706561</v>
      </c>
      <c r="I126" s="234">
        <v>97.729298010706202</v>
      </c>
      <c r="J126" s="234">
        <v>63.780217476199965</v>
      </c>
      <c r="K126" s="356">
        <v>96.974827302025091</v>
      </c>
      <c r="L126" s="299">
        <v>97.916429548354671</v>
      </c>
      <c r="M126" s="299">
        <v>112.96184001544511</v>
      </c>
      <c r="N126" s="302">
        <v>123.04537612565582</v>
      </c>
      <c r="O126" s="190"/>
      <c r="P126" s="190"/>
      <c r="Q126" s="190">
        <v>150.18489749639338</v>
      </c>
      <c r="R126" s="190">
        <v>123.0289430739752</v>
      </c>
      <c r="S126" s="190">
        <v>302.39561954905889</v>
      </c>
      <c r="T126" s="190"/>
      <c r="U126" s="236">
        <v>121.15104466276651</v>
      </c>
      <c r="V126" s="299">
        <v>123.21292678377277</v>
      </c>
      <c r="W126" s="299">
        <v>55.79118532150197</v>
      </c>
      <c r="X126" s="299">
        <v>209.93406123275611</v>
      </c>
      <c r="Y126" s="269">
        <v>118.80838853310287</v>
      </c>
      <c r="Z126" s="189">
        <v>105.61422777427383</v>
      </c>
      <c r="AA126" s="190"/>
      <c r="AB126" s="190">
        <v>50.043024014902677</v>
      </c>
      <c r="AC126" s="190">
        <v>111.12462055039775</v>
      </c>
      <c r="AD126" s="235">
        <v>100.76411003286472</v>
      </c>
      <c r="AE126" s="190">
        <v>64.395881925482527</v>
      </c>
      <c r="AF126" s="190"/>
      <c r="AG126" s="268">
        <v>108.13413339843797</v>
      </c>
      <c r="AH126" s="268">
        <v>96.139117002179717</v>
      </c>
      <c r="AI126" s="271"/>
      <c r="AJ126" s="271">
        <v>91.903807254337679</v>
      </c>
      <c r="AK126" s="271">
        <v>142.65913342495068</v>
      </c>
      <c r="AL126" s="268">
        <v>142.65913342495068</v>
      </c>
      <c r="AM126" s="270">
        <v>34.670083179570604</v>
      </c>
      <c r="AN126" s="270"/>
      <c r="AO126" s="238">
        <v>58.819748250846771</v>
      </c>
      <c r="AP126" s="268">
        <v>109.5400933319481</v>
      </c>
      <c r="AQ126" s="268">
        <v>54.366073811641662</v>
      </c>
      <c r="AR126" s="268">
        <v>57.400579280427642</v>
      </c>
    </row>
    <row r="127" spans="1:44" x14ac:dyDescent="0.25">
      <c r="A127" s="11">
        <v>42736</v>
      </c>
      <c r="B127" s="232">
        <f t="shared" si="0"/>
        <v>69.851959508676984</v>
      </c>
      <c r="C127" s="252">
        <v>89.646317060476733</v>
      </c>
      <c r="D127" s="235">
        <v>73.215632959726335</v>
      </c>
      <c r="E127" s="234">
        <v>13.709984679780355</v>
      </c>
      <c r="F127" s="234">
        <v>51.979242538710665</v>
      </c>
      <c r="G127" s="234"/>
      <c r="H127" s="234">
        <v>63.059098354286398</v>
      </c>
      <c r="I127" s="234">
        <v>80.475476828715486</v>
      </c>
      <c r="J127" s="234">
        <v>103.10693453756275</v>
      </c>
      <c r="K127" s="356">
        <v>85.038011217511823</v>
      </c>
      <c r="L127" s="299">
        <v>85.604519345212935</v>
      </c>
      <c r="M127" s="299">
        <v>108.48202510511959</v>
      </c>
      <c r="N127" s="302">
        <v>112.38545333672238</v>
      </c>
      <c r="O127" s="190"/>
      <c r="P127" s="190"/>
      <c r="Q127" s="190">
        <v>150.18489749639338</v>
      </c>
      <c r="R127" s="190">
        <v>114.7832563394402</v>
      </c>
      <c r="S127" s="190">
        <v>63.070158745149001</v>
      </c>
      <c r="T127" s="190"/>
      <c r="U127" s="236">
        <v>81.044011100844671</v>
      </c>
      <c r="V127" s="299">
        <v>82.215215433200854</v>
      </c>
      <c r="W127" s="299">
        <v>96.839626807361029</v>
      </c>
      <c r="X127" s="299">
        <v>193.40310825768131</v>
      </c>
      <c r="Y127" s="269">
        <v>96.017498218637698</v>
      </c>
      <c r="Z127" s="189">
        <v>64.194981037965547</v>
      </c>
      <c r="AA127" s="190"/>
      <c r="AB127" s="190">
        <v>57.988654935823135</v>
      </c>
      <c r="AC127" s="190">
        <v>64.548418688226263</v>
      </c>
      <c r="AD127" s="235">
        <v>82.73645832203276</v>
      </c>
      <c r="AE127" s="190">
        <v>68.496502723136587</v>
      </c>
      <c r="AF127" s="190"/>
      <c r="AG127" s="268">
        <v>57.004073591854095</v>
      </c>
      <c r="AH127" s="268">
        <v>88.972817618161898</v>
      </c>
      <c r="AI127" s="271"/>
      <c r="AJ127" s="271">
        <v>103.65652326275344</v>
      </c>
      <c r="AK127" s="271">
        <v>142.66186256011969</v>
      </c>
      <c r="AL127" s="268">
        <v>142.66186256011969</v>
      </c>
      <c r="AM127" s="270">
        <v>39.096190637745877</v>
      </c>
      <c r="AN127" s="270"/>
      <c r="AO127" s="238">
        <v>55.809808424921606</v>
      </c>
      <c r="AP127" s="268">
        <v>65.028933697523001</v>
      </c>
      <c r="AQ127" s="268">
        <v>46.84604660775841</v>
      </c>
      <c r="AR127" s="268">
        <v>60.086925514675251</v>
      </c>
    </row>
    <row r="128" spans="1:44" x14ac:dyDescent="0.25">
      <c r="A128" s="11">
        <v>42767</v>
      </c>
      <c r="B128" s="232">
        <f t="shared" si="0"/>
        <v>67.446469548311825</v>
      </c>
      <c r="C128" s="252">
        <v>85.229786204296957</v>
      </c>
      <c r="D128" s="235">
        <v>71.962936945494974</v>
      </c>
      <c r="E128" s="234">
        <v>13.600982102150658</v>
      </c>
      <c r="F128" s="234">
        <v>67.809046564902616</v>
      </c>
      <c r="G128" s="234"/>
      <c r="H128" s="234">
        <v>93.326828016161031</v>
      </c>
      <c r="I128" s="234">
        <v>73.321687479952956</v>
      </c>
      <c r="J128" s="234">
        <v>107.11147702362638</v>
      </c>
      <c r="K128" s="356">
        <v>85.089779569183221</v>
      </c>
      <c r="L128" s="299">
        <v>85.77480674073928</v>
      </c>
      <c r="M128" s="299">
        <v>104.25093051261993</v>
      </c>
      <c r="N128" s="302">
        <v>106.8377188413928</v>
      </c>
      <c r="O128" s="190"/>
      <c r="P128" s="190"/>
      <c r="Q128" s="190">
        <v>150.18489749639338</v>
      </c>
      <c r="R128" s="190">
        <v>108.96555912476992</v>
      </c>
      <c r="S128" s="190">
        <v>71.617758479191735</v>
      </c>
      <c r="T128" s="190"/>
      <c r="U128" s="236">
        <v>75.301057438872334</v>
      </c>
      <c r="V128" s="299">
        <v>76.274775164077454</v>
      </c>
      <c r="W128" s="299">
        <v>122.72430655803073</v>
      </c>
      <c r="X128" s="299">
        <v>156.34047105568058</v>
      </c>
      <c r="Y128" s="269">
        <v>44.767665734707933</v>
      </c>
      <c r="Z128" s="189">
        <v>57.75539754418449</v>
      </c>
      <c r="AA128" s="190"/>
      <c r="AB128" s="190">
        <v>49.723484755855743</v>
      </c>
      <c r="AC128" s="190">
        <v>58.339400320819657</v>
      </c>
      <c r="AD128" s="235">
        <v>77.406503048025016</v>
      </c>
      <c r="AE128" s="190">
        <v>68.653174061781684</v>
      </c>
      <c r="AF128" s="190"/>
      <c r="AG128" s="268">
        <v>57.524665565346247</v>
      </c>
      <c r="AH128" s="268">
        <v>81.917464089311338</v>
      </c>
      <c r="AI128" s="271"/>
      <c r="AJ128" s="271">
        <v>108.17374189331413</v>
      </c>
      <c r="AK128" s="271">
        <v>145.84442593439991</v>
      </c>
      <c r="AL128" s="268">
        <v>145.84442593439991</v>
      </c>
      <c r="AM128" s="270">
        <v>38.370168921752281</v>
      </c>
      <c r="AN128" s="270"/>
      <c r="AO128" s="238">
        <v>54.830954313724085</v>
      </c>
      <c r="AP128" s="268">
        <v>83.79669963896464</v>
      </c>
      <c r="AQ128" s="268">
        <v>46.332997555359178</v>
      </c>
      <c r="AR128" s="268">
        <v>57.230374176440741</v>
      </c>
    </row>
    <row r="129" spans="1:44" x14ac:dyDescent="0.25">
      <c r="A129" s="11">
        <v>42795</v>
      </c>
      <c r="B129" s="232">
        <f t="shared" si="0"/>
        <v>72.316583002369441</v>
      </c>
      <c r="C129" s="252">
        <v>90.618833836731881</v>
      </c>
      <c r="D129" s="235">
        <v>78.786410300235957</v>
      </c>
      <c r="E129" s="234">
        <v>13.789936379068063</v>
      </c>
      <c r="F129" s="234">
        <v>61.627195925828367</v>
      </c>
      <c r="G129" s="234"/>
      <c r="H129" s="234">
        <v>78.020257532363175</v>
      </c>
      <c r="I129" s="234">
        <v>85.468339038429164</v>
      </c>
      <c r="J129" s="234">
        <v>97.315569058085345</v>
      </c>
      <c r="K129" s="356">
        <v>101.28592443248073</v>
      </c>
      <c r="L129" s="299">
        <v>102.18479982059931</v>
      </c>
      <c r="M129" s="299">
        <v>121.05945149350875</v>
      </c>
      <c r="N129" s="302">
        <v>110.29213908693363</v>
      </c>
      <c r="O129" s="190"/>
      <c r="P129" s="190"/>
      <c r="Q129" s="190">
        <v>150.18489749639338</v>
      </c>
      <c r="R129" s="190">
        <v>112.55211628484224</v>
      </c>
      <c r="S129" s="190">
        <v>69.431174531473886</v>
      </c>
      <c r="T129" s="190"/>
      <c r="U129" s="236">
        <v>82.061574344371749</v>
      </c>
      <c r="V129" s="299">
        <v>83.230119267390378</v>
      </c>
      <c r="W129" s="299">
        <v>103.0221298960432</v>
      </c>
      <c r="X129" s="299">
        <v>145.85767069709274</v>
      </c>
      <c r="Y129" s="269">
        <v>41.701912091286857</v>
      </c>
      <c r="Z129" s="189">
        <v>56.850315120671326</v>
      </c>
      <c r="AA129" s="190"/>
      <c r="AB129" s="190">
        <v>48.645446174967844</v>
      </c>
      <c r="AC129" s="190">
        <v>57.457636501161176</v>
      </c>
      <c r="AD129" s="235">
        <v>81.75802523978227</v>
      </c>
      <c r="AE129" s="190">
        <v>68.595131115666504</v>
      </c>
      <c r="AF129" s="190"/>
      <c r="AG129" s="268">
        <v>71.209734251956633</v>
      </c>
      <c r="AH129" s="268">
        <v>83.223208148944636</v>
      </c>
      <c r="AI129" s="271"/>
      <c r="AJ129" s="271">
        <v>114.25439965375423</v>
      </c>
      <c r="AK129" s="271">
        <v>144.25314424725983</v>
      </c>
      <c r="AL129" s="268">
        <v>144.25314424725983</v>
      </c>
      <c r="AM129" s="270">
        <v>43.467794453966505</v>
      </c>
      <c r="AN129" s="270"/>
      <c r="AO129" s="238">
        <v>59.332934974573867</v>
      </c>
      <c r="AP129" s="268">
        <v>77.419460723399411</v>
      </c>
      <c r="AQ129" s="268">
        <v>48.989633679546557</v>
      </c>
      <c r="AR129" s="268">
        <v>63.608462845419282</v>
      </c>
    </row>
    <row r="130" spans="1:44" x14ac:dyDescent="0.25">
      <c r="A130" s="11">
        <v>42826</v>
      </c>
      <c r="B130" s="232">
        <f t="shared" si="0"/>
        <v>70.57972588802221</v>
      </c>
      <c r="C130" s="252">
        <v>90.146117045757421</v>
      </c>
      <c r="D130" s="235">
        <v>77.110230854727007</v>
      </c>
      <c r="E130" s="234">
        <v>13.539732203378364</v>
      </c>
      <c r="F130" s="234">
        <v>70.429788560710463</v>
      </c>
      <c r="G130" s="234"/>
      <c r="H130" s="234">
        <v>70.54832940512955</v>
      </c>
      <c r="I130" s="234">
        <v>82.953713014079995</v>
      </c>
      <c r="J130" s="234">
        <v>96.086955455247804</v>
      </c>
      <c r="K130" s="356">
        <v>86.179875502058323</v>
      </c>
      <c r="L130" s="299">
        <v>86.678191676635862</v>
      </c>
      <c r="M130" s="299">
        <v>112.6949411245198</v>
      </c>
      <c r="N130" s="302">
        <v>117.90246822970869</v>
      </c>
      <c r="O130" s="190"/>
      <c r="P130" s="190"/>
      <c r="Q130" s="190">
        <v>81.995496479829399</v>
      </c>
      <c r="R130" s="190">
        <v>120.68668509308671</v>
      </c>
      <c r="S130" s="190">
        <v>58.61721457990626</v>
      </c>
      <c r="T130" s="190"/>
      <c r="U130" s="236">
        <v>73.153169185792947</v>
      </c>
      <c r="V130" s="299">
        <v>74.202833263222558</v>
      </c>
      <c r="W130" s="299">
        <v>89.557716956099597</v>
      </c>
      <c r="X130" s="299">
        <v>147.34463239163878</v>
      </c>
      <c r="Y130" s="269">
        <v>75.660732969141876</v>
      </c>
      <c r="Z130" s="189">
        <v>44.736693113007973</v>
      </c>
      <c r="AA130" s="190"/>
      <c r="AB130" s="190">
        <v>48.896999272775219</v>
      </c>
      <c r="AC130" s="190">
        <v>44.060965966112967</v>
      </c>
      <c r="AD130" s="235">
        <v>83.116957842315685</v>
      </c>
      <c r="AE130" s="190">
        <v>74.667111165197298</v>
      </c>
      <c r="AF130" s="190"/>
      <c r="AG130" s="268">
        <v>68.973646576657515</v>
      </c>
      <c r="AH130" s="268">
        <v>85.686063084451476</v>
      </c>
      <c r="AI130" s="271"/>
      <c r="AJ130" s="271">
        <v>70.575403077966172</v>
      </c>
      <c r="AK130" s="271">
        <v>145.04878509082982</v>
      </c>
      <c r="AL130" s="268">
        <v>145.04878509082982</v>
      </c>
      <c r="AM130" s="270">
        <v>43.894780443987678</v>
      </c>
      <c r="AN130" s="270"/>
      <c r="AO130" s="238">
        <v>56.699294553902355</v>
      </c>
      <c r="AP130" s="268">
        <v>102.65498025417649</v>
      </c>
      <c r="AQ130" s="268">
        <v>39.7995101901029</v>
      </c>
      <c r="AR130" s="268">
        <v>61.978940530978413</v>
      </c>
    </row>
    <row r="131" spans="1:44" x14ac:dyDescent="0.25">
      <c r="A131" s="11">
        <v>42856</v>
      </c>
      <c r="B131" s="232">
        <f t="shared" si="0"/>
        <v>70.667094816058025</v>
      </c>
      <c r="C131" s="252">
        <v>88.671367392140752</v>
      </c>
      <c r="D131" s="235">
        <v>75.160186056190724</v>
      </c>
      <c r="E131" s="234">
        <v>13.733529427001343</v>
      </c>
      <c r="F131" s="234">
        <v>68.963770904494211</v>
      </c>
      <c r="G131" s="234"/>
      <c r="H131" s="234">
        <v>95.022586526825563</v>
      </c>
      <c r="I131" s="234">
        <v>78.220746367906003</v>
      </c>
      <c r="J131" s="234">
        <v>85.497068074127384</v>
      </c>
      <c r="K131" s="356">
        <v>79.933200922713382</v>
      </c>
      <c r="L131" s="299">
        <v>80.411299438330516</v>
      </c>
      <c r="M131" s="299">
        <v>103.94809144686086</v>
      </c>
      <c r="N131" s="302">
        <v>108.43346084392051</v>
      </c>
      <c r="O131" s="190"/>
      <c r="P131" s="190"/>
      <c r="Q131" s="190">
        <v>74.349547719411788</v>
      </c>
      <c r="R131" s="190">
        <v>111.03233153066195</v>
      </c>
      <c r="S131" s="190">
        <v>50.796234047548779</v>
      </c>
      <c r="T131" s="190"/>
      <c r="U131" s="236">
        <v>84.293602027701922</v>
      </c>
      <c r="V131" s="299">
        <v>85.547794695142471</v>
      </c>
      <c r="W131" s="299">
        <v>90.418192441653062</v>
      </c>
      <c r="X131" s="299">
        <v>141.25609246494278</v>
      </c>
      <c r="Y131" s="269">
        <v>61.344277477945262</v>
      </c>
      <c r="Z131" s="189">
        <v>50.20862766464446</v>
      </c>
      <c r="AA131" s="190"/>
      <c r="AB131" s="190">
        <v>45.238222745128624</v>
      </c>
      <c r="AC131" s="190">
        <v>50.497694769711138</v>
      </c>
      <c r="AD131" s="235">
        <v>81.466730380221449</v>
      </c>
      <c r="AE131" s="190">
        <v>79.325439409141325</v>
      </c>
      <c r="AF131" s="190"/>
      <c r="AG131" s="268">
        <v>61.254861350697098</v>
      </c>
      <c r="AH131" s="268">
        <v>85.989269592983916</v>
      </c>
      <c r="AI131" s="271"/>
      <c r="AJ131" s="271">
        <v>63.929428109292274</v>
      </c>
      <c r="AK131" s="271">
        <v>144.65096466904481</v>
      </c>
      <c r="AL131" s="268">
        <v>144.65096466904481</v>
      </c>
      <c r="AM131" s="270">
        <v>43.698198982759855</v>
      </c>
      <c r="AN131" s="270"/>
      <c r="AO131" s="238">
        <v>57.894833074050617</v>
      </c>
      <c r="AP131" s="268">
        <v>82.175104523214713</v>
      </c>
      <c r="AQ131" s="268">
        <v>43.33938192317288</v>
      </c>
      <c r="AR131" s="268">
        <v>63.785810084280406</v>
      </c>
    </row>
    <row r="132" spans="1:44" x14ac:dyDescent="0.25">
      <c r="A132" s="11">
        <v>42887</v>
      </c>
      <c r="B132" s="232">
        <f t="shared" si="0"/>
        <v>72.993118446105058</v>
      </c>
      <c r="C132" s="252">
        <v>92.117849385836507</v>
      </c>
      <c r="D132" s="235">
        <v>76.99201937045143</v>
      </c>
      <c r="E132" s="234">
        <v>16.124887782679274</v>
      </c>
      <c r="F132" s="234">
        <v>74.163260614792279</v>
      </c>
      <c r="G132" s="234"/>
      <c r="H132" s="234">
        <v>83.93454715221354</v>
      </c>
      <c r="I132" s="234">
        <v>80.664849576426349</v>
      </c>
      <c r="J132" s="234">
        <v>91.635087659613447</v>
      </c>
      <c r="K132" s="356">
        <v>60.278088660324187</v>
      </c>
      <c r="L132" s="299">
        <v>59.724077579411073</v>
      </c>
      <c r="M132" s="299">
        <v>111.64331108424327</v>
      </c>
      <c r="N132" s="302">
        <v>115.22160751213391</v>
      </c>
      <c r="O132" s="190"/>
      <c r="P132" s="190"/>
      <c r="Q132" s="190">
        <v>76.876900735101387</v>
      </c>
      <c r="R132" s="190">
        <v>117.92542695013644</v>
      </c>
      <c r="S132" s="190">
        <v>59.458563326029335</v>
      </c>
      <c r="T132" s="190"/>
      <c r="U132" s="236">
        <v>89.741613357128017</v>
      </c>
      <c r="V132" s="299">
        <v>91.09863538391248</v>
      </c>
      <c r="W132" s="299">
        <v>90.035668356330319</v>
      </c>
      <c r="X132" s="299">
        <v>147.89938800072503</v>
      </c>
      <c r="Y132" s="269">
        <v>64.199202073977133</v>
      </c>
      <c r="Z132" s="189">
        <v>62.683699645735771</v>
      </c>
      <c r="AA132" s="190"/>
      <c r="AB132" s="190">
        <v>76.731770069682781</v>
      </c>
      <c r="AC132" s="190">
        <v>60.843831418744152</v>
      </c>
      <c r="AD132" s="235">
        <v>74.784264394800701</v>
      </c>
      <c r="AE132" s="190">
        <v>76.385295790363188</v>
      </c>
      <c r="AF132" s="190"/>
      <c r="AG132" s="268">
        <v>72.023611202198154</v>
      </c>
      <c r="AH132" s="268">
        <v>73.950019192524209</v>
      </c>
      <c r="AI132" s="271"/>
      <c r="AJ132" s="271">
        <v>99.229226156325751</v>
      </c>
      <c r="AK132" s="271">
        <v>144.84987487993732</v>
      </c>
      <c r="AL132" s="268">
        <v>144.84987487993732</v>
      </c>
      <c r="AM132" s="270">
        <v>37.435736146634888</v>
      </c>
      <c r="AN132" s="270"/>
      <c r="AO132" s="238">
        <v>59.426001625611818</v>
      </c>
      <c r="AP132" s="268">
        <v>85.084094078117758</v>
      </c>
      <c r="AQ132" s="268">
        <v>44.206608702017746</v>
      </c>
      <c r="AR132" s="268">
        <v>65.553700659277268</v>
      </c>
    </row>
    <row r="133" spans="1:44" x14ac:dyDescent="0.25">
      <c r="A133" s="11">
        <v>42917</v>
      </c>
      <c r="B133" s="232">
        <f t="shared" si="0"/>
        <v>73.135529343924887</v>
      </c>
      <c r="C133" s="252">
        <v>91.878546260245898</v>
      </c>
      <c r="D133" s="235">
        <v>75.384383388437897</v>
      </c>
      <c r="E133" s="234">
        <v>18.39566314431589</v>
      </c>
      <c r="F133" s="234">
        <v>69.945446753806664</v>
      </c>
      <c r="G133" s="234"/>
      <c r="H133" s="234">
        <v>66.576382536480949</v>
      </c>
      <c r="I133" s="234">
        <v>79.907607671473727</v>
      </c>
      <c r="J133" s="234">
        <v>107.45012882559533</v>
      </c>
      <c r="K133" s="356">
        <v>82.390692982697772</v>
      </c>
      <c r="L133" s="299">
        <v>82.174461088529199</v>
      </c>
      <c r="M133" s="299">
        <v>132.92613950739428</v>
      </c>
      <c r="N133" s="302">
        <v>114.60798317603809</v>
      </c>
      <c r="O133" s="190"/>
      <c r="P133" s="190"/>
      <c r="Q133" s="190">
        <v>113.92437380940923</v>
      </c>
      <c r="R133" s="190">
        <v>117.15662143042437</v>
      </c>
      <c r="S133" s="190">
        <v>63.545162259972479</v>
      </c>
      <c r="T133" s="190"/>
      <c r="U133" s="236">
        <v>86.896660913314349</v>
      </c>
      <c r="V133" s="299">
        <v>88.167028421196207</v>
      </c>
      <c r="W133" s="299">
        <v>99.661725733012801</v>
      </c>
      <c r="X133" s="299">
        <v>150.75483946532523</v>
      </c>
      <c r="Y133" s="269">
        <v>66.600926861435397</v>
      </c>
      <c r="Z133" s="189">
        <v>60.900482029430101</v>
      </c>
      <c r="AA133" s="190"/>
      <c r="AB133" s="190">
        <v>69.811199402131436</v>
      </c>
      <c r="AC133" s="190">
        <v>59.627758710129925</v>
      </c>
      <c r="AD133" s="235">
        <v>80.220938513820855</v>
      </c>
      <c r="AE133" s="190">
        <v>77.108531277051625</v>
      </c>
      <c r="AF133" s="190"/>
      <c r="AG133" s="268">
        <v>71.788766257194467</v>
      </c>
      <c r="AH133" s="268">
        <v>81.05313968151593</v>
      </c>
      <c r="AI133" s="271"/>
      <c r="AJ133" s="271">
        <v>73.63956815467391</v>
      </c>
      <c r="AK133" s="271">
        <v>144.75041977449104</v>
      </c>
      <c r="AL133" s="268">
        <v>144.75041977449104</v>
      </c>
      <c r="AM133" s="270">
        <v>34.908687965835668</v>
      </c>
      <c r="AN133" s="270"/>
      <c r="AO133" s="238">
        <v>59.839201104141587</v>
      </c>
      <c r="AP133" s="268">
        <v>82.388880560958739</v>
      </c>
      <c r="AQ133" s="268">
        <v>47.429482738683355</v>
      </c>
      <c r="AR133" s="268">
        <v>64.8000017672274</v>
      </c>
    </row>
    <row r="134" spans="1:44" x14ac:dyDescent="0.25">
      <c r="A134" s="11">
        <v>42948</v>
      </c>
      <c r="B134" s="232">
        <f t="shared" si="0"/>
        <v>73.69246187858316</v>
      </c>
      <c r="C134" s="252">
        <v>97.625146459847073</v>
      </c>
      <c r="D134" s="235">
        <v>84.165246610848726</v>
      </c>
      <c r="E134" s="234">
        <v>18.39566314431589</v>
      </c>
      <c r="F134" s="234">
        <v>68.210966102012904</v>
      </c>
      <c r="G134" s="234"/>
      <c r="H134" s="234">
        <v>61.92493237644107</v>
      </c>
      <c r="I134" s="234">
        <v>93.2858577535482</v>
      </c>
      <c r="J134" s="234">
        <v>91.553513193401628</v>
      </c>
      <c r="K134" s="356">
        <v>73.530215437219709</v>
      </c>
      <c r="L134" s="299">
        <v>73.526635687077203</v>
      </c>
      <c r="M134" s="299">
        <v>111.74393764658157</v>
      </c>
      <c r="N134" s="302">
        <v>115.77291514776716</v>
      </c>
      <c r="O134" s="190"/>
      <c r="P134" s="190"/>
      <c r="Q134" s="190">
        <v>100.58294920398991</v>
      </c>
      <c r="R134" s="190">
        <v>118.39442266205316</v>
      </c>
      <c r="S134" s="190">
        <v>63.143396375682777</v>
      </c>
      <c r="T134" s="190"/>
      <c r="U134" s="236">
        <v>100.36334441562531</v>
      </c>
      <c r="V134" s="299">
        <v>101.86604641039587</v>
      </c>
      <c r="W134" s="299">
        <v>104.96412895348359</v>
      </c>
      <c r="X134" s="299">
        <v>162.73465871087328</v>
      </c>
      <c r="Y134" s="269">
        <v>66.933152403998278</v>
      </c>
      <c r="Z134" s="189">
        <v>64.200388147551593</v>
      </c>
      <c r="AA134" s="190"/>
      <c r="AB134" s="190">
        <v>66.099624682943755</v>
      </c>
      <c r="AC134" s="190">
        <v>63.673040759445669</v>
      </c>
      <c r="AD134" s="235">
        <v>82.38112900841854</v>
      </c>
      <c r="AE134" s="190">
        <v>77.329140994816257</v>
      </c>
      <c r="AF134" s="190"/>
      <c r="AG134" s="268">
        <v>60.80609393520232</v>
      </c>
      <c r="AH134" s="268">
        <v>87.313151936323763</v>
      </c>
      <c r="AI134" s="271"/>
      <c r="AJ134" s="271">
        <v>74.684005601007541</v>
      </c>
      <c r="AK134" s="271">
        <v>144.80014732721418</v>
      </c>
      <c r="AL134" s="268">
        <v>144.80014732721418</v>
      </c>
      <c r="AM134" s="270">
        <v>29.466402164498156</v>
      </c>
      <c r="AN134" s="270"/>
      <c r="AO134" s="238">
        <v>56.714574526062599</v>
      </c>
      <c r="AP134" s="268">
        <v>79.113251127222568</v>
      </c>
      <c r="AQ134" s="268">
        <v>46.539179836357114</v>
      </c>
      <c r="AR134" s="268">
        <v>60.525530256838955</v>
      </c>
    </row>
    <row r="135" spans="1:44" x14ac:dyDescent="0.25">
      <c r="A135" s="11">
        <v>42979</v>
      </c>
      <c r="B135" s="232">
        <f t="shared" si="0"/>
        <v>71.783061215339046</v>
      </c>
      <c r="C135" s="252">
        <v>90.888213392463683</v>
      </c>
      <c r="D135" s="235">
        <v>74.51639731528212</v>
      </c>
      <c r="E135" s="234">
        <v>16.103951319023327</v>
      </c>
      <c r="F135" s="234">
        <v>75.940547338269582</v>
      </c>
      <c r="G135" s="234"/>
      <c r="H135" s="234">
        <v>75.165617751625561</v>
      </c>
      <c r="I135" s="234">
        <v>78.482051772985173</v>
      </c>
      <c r="J135" s="234">
        <v>79.926094307116244</v>
      </c>
      <c r="K135" s="356">
        <v>87.934755238590981</v>
      </c>
      <c r="L135" s="299">
        <v>88.179727466156393</v>
      </c>
      <c r="M135" s="299">
        <v>124.57100306821752</v>
      </c>
      <c r="N135" s="302">
        <v>116.67450993400149</v>
      </c>
      <c r="O135" s="190"/>
      <c r="P135" s="190"/>
      <c r="Q135" s="190">
        <v>108.05407086806899</v>
      </c>
      <c r="R135" s="190">
        <v>118.98363030404127</v>
      </c>
      <c r="S135" s="190">
        <v>91.249280740972992</v>
      </c>
      <c r="T135" s="190"/>
      <c r="U135" s="236">
        <v>79.502145720129832</v>
      </c>
      <c r="V135" s="299">
        <v>80.642075258448742</v>
      </c>
      <c r="W135" s="299">
        <v>97.569292470058556</v>
      </c>
      <c r="X135" s="299">
        <v>141.90126558917132</v>
      </c>
      <c r="Y135" s="269">
        <v>70.271253663366608</v>
      </c>
      <c r="Z135" s="189">
        <v>65.295890344031932</v>
      </c>
      <c r="AA135" s="190"/>
      <c r="AB135" s="190">
        <v>58.307024019490505</v>
      </c>
      <c r="AC135" s="190">
        <v>65.728855468367911</v>
      </c>
      <c r="AD135" s="235">
        <v>79.129314941639535</v>
      </c>
      <c r="AE135" s="190">
        <v>72.762273481540873</v>
      </c>
      <c r="AF135" s="190"/>
      <c r="AG135" s="268">
        <v>61.158201879115971</v>
      </c>
      <c r="AH135" s="268">
        <v>82.997780228781224</v>
      </c>
      <c r="AI135" s="271"/>
      <c r="AJ135" s="271">
        <v>82.363190043597143</v>
      </c>
      <c r="AK135" s="271">
        <v>144.77528355085261</v>
      </c>
      <c r="AL135" s="268">
        <v>144.77528355085261</v>
      </c>
      <c r="AM135" s="270">
        <v>35.958826603023759</v>
      </c>
      <c r="AN135" s="270"/>
      <c r="AO135" s="238">
        <v>58.229833602507036</v>
      </c>
      <c r="AP135" s="268">
        <v>79.853352037375942</v>
      </c>
      <c r="AQ135" s="268">
        <v>47.01944837838748</v>
      </c>
      <c r="AR135" s="268">
        <v>62.643882414010811</v>
      </c>
    </row>
    <row r="136" spans="1:44" x14ac:dyDescent="0.25">
      <c r="A136" s="11">
        <v>43009</v>
      </c>
      <c r="B136" s="232">
        <f t="shared" si="0"/>
        <v>73.288478252972652</v>
      </c>
      <c r="C136" s="252">
        <v>87.866075115597837</v>
      </c>
      <c r="D136" s="235">
        <v>71.632523856168561</v>
      </c>
      <c r="E136" s="234">
        <v>16.135192040634234</v>
      </c>
      <c r="F136" s="234">
        <v>67.748928365354061</v>
      </c>
      <c r="G136" s="234"/>
      <c r="H136" s="234">
        <v>72.123681439332984</v>
      </c>
      <c r="I136" s="234">
        <v>75.631917438063823</v>
      </c>
      <c r="J136" s="234">
        <v>86.653677991844134</v>
      </c>
      <c r="K136" s="356">
        <v>98.025410239479513</v>
      </c>
      <c r="L136" s="299">
        <v>99.253691144828238</v>
      </c>
      <c r="M136" s="299">
        <v>104.13213491488794</v>
      </c>
      <c r="N136" s="302">
        <v>106.04862734710927</v>
      </c>
      <c r="O136" s="190"/>
      <c r="P136" s="190"/>
      <c r="Q136" s="190">
        <v>173.30866694001188</v>
      </c>
      <c r="R136" s="190">
        <v>108.11861010449691</v>
      </c>
      <c r="S136" s="190">
        <v>69.670183355354411</v>
      </c>
      <c r="T136" s="190"/>
      <c r="U136" s="236">
        <v>81.181034622101265</v>
      </c>
      <c r="V136" s="299">
        <v>82.410905001043957</v>
      </c>
      <c r="W136" s="299">
        <v>80.79017224041705</v>
      </c>
      <c r="X136" s="299">
        <v>140.99222649261117</v>
      </c>
      <c r="Y136" s="269">
        <v>86.338390172569973</v>
      </c>
      <c r="Z136" s="189">
        <v>56.138666426690733</v>
      </c>
      <c r="AA136" s="190"/>
      <c r="AB136" s="190">
        <v>68.184755138664045</v>
      </c>
      <c r="AC136" s="190">
        <v>54.54905777796634</v>
      </c>
      <c r="AD136" s="235">
        <v>91.581677976776177</v>
      </c>
      <c r="AE136" s="190">
        <v>73.786124496833978</v>
      </c>
      <c r="AF136" s="190"/>
      <c r="AG136" s="268">
        <v>69.160222838311313</v>
      </c>
      <c r="AH136" s="268">
        <v>96.571052647477842</v>
      </c>
      <c r="AI136" s="271"/>
      <c r="AJ136" s="271">
        <v>103.12613526380591</v>
      </c>
      <c r="AK136" s="271">
        <v>144.07909781272883</v>
      </c>
      <c r="AL136" s="268">
        <v>144.07909781272883</v>
      </c>
      <c r="AM136" s="270">
        <v>44.363763459477809</v>
      </c>
      <c r="AN136" s="270"/>
      <c r="AO136" s="238">
        <v>62.947106119657363</v>
      </c>
      <c r="AP136" s="268">
        <v>87.1515494032775</v>
      </c>
      <c r="AQ136" s="268">
        <v>47.037250265619754</v>
      </c>
      <c r="AR136" s="268">
        <v>69.576390302493408</v>
      </c>
    </row>
    <row r="137" spans="1:44" x14ac:dyDescent="0.25">
      <c r="A137" s="11">
        <v>43040</v>
      </c>
      <c r="B137" s="232">
        <f t="shared" si="0"/>
        <v>78.37897132919835</v>
      </c>
      <c r="C137" s="252">
        <v>95.741008373352599</v>
      </c>
      <c r="D137" s="235">
        <v>78.094687600020279</v>
      </c>
      <c r="E137" s="234">
        <v>16.695367242243574</v>
      </c>
      <c r="F137" s="234">
        <v>56.093884482763173</v>
      </c>
      <c r="G137" s="234"/>
      <c r="H137" s="234">
        <v>79.956547688745573</v>
      </c>
      <c r="I137" s="234">
        <v>85.855696529574217</v>
      </c>
      <c r="J137" s="234">
        <v>66.037182523002826</v>
      </c>
      <c r="K137" s="356">
        <v>105.20818368084377</v>
      </c>
      <c r="L137" s="299">
        <v>106.01482511232025</v>
      </c>
      <c r="M137" s="299">
        <v>130.36704701975276</v>
      </c>
      <c r="N137" s="302">
        <v>116.52422097854495</v>
      </c>
      <c r="O137" s="190"/>
      <c r="P137" s="190"/>
      <c r="Q137" s="190">
        <v>175.2126558962471</v>
      </c>
      <c r="R137" s="190">
        <v>119.15457345332744</v>
      </c>
      <c r="S137" s="190">
        <v>48.716894392327831</v>
      </c>
      <c r="T137" s="190"/>
      <c r="U137" s="236">
        <v>95.925708824509613</v>
      </c>
      <c r="V137" s="299">
        <v>97.674184749434104</v>
      </c>
      <c r="W137" s="299">
        <v>11.023349443255793</v>
      </c>
      <c r="X137" s="299">
        <v>139.6910636646131</v>
      </c>
      <c r="Y137" s="269">
        <v>96.164754080071376</v>
      </c>
      <c r="Z137" s="189">
        <v>75.843211833673678</v>
      </c>
      <c r="AA137" s="190"/>
      <c r="AB137" s="190">
        <v>47.325741112675018</v>
      </c>
      <c r="AC137" s="190">
        <v>78.562763103802183</v>
      </c>
      <c r="AD137" s="235">
        <v>67.942369289376373</v>
      </c>
      <c r="AE137" s="190">
        <v>73.030338382463611</v>
      </c>
      <c r="AF137" s="190"/>
      <c r="AG137" s="268">
        <v>63.936617224126721</v>
      </c>
      <c r="AH137" s="268">
        <v>67.657248937811076</v>
      </c>
      <c r="AI137" s="271"/>
      <c r="AJ137" s="271">
        <v>103.71178952877993</v>
      </c>
      <c r="AK137" s="271">
        <v>144.89960243266043</v>
      </c>
      <c r="AL137" s="268">
        <v>144.89960243266043</v>
      </c>
      <c r="AM137" s="270">
        <v>36.949550088780782</v>
      </c>
      <c r="AN137" s="270"/>
      <c r="AO137" s="238">
        <v>66.062312571379536</v>
      </c>
      <c r="AP137" s="268">
        <v>108.22666055834051</v>
      </c>
      <c r="AQ137" s="268">
        <v>43.857598845360229</v>
      </c>
      <c r="AR137" s="268">
        <v>74.432010740270243</v>
      </c>
    </row>
    <row r="138" spans="1:44" x14ac:dyDescent="0.25">
      <c r="A138" s="11">
        <v>43070</v>
      </c>
      <c r="B138" s="232">
        <f t="shared" si="0"/>
        <v>78.176418847098645</v>
      </c>
      <c r="C138" s="252">
        <v>94.866296261650618</v>
      </c>
      <c r="D138" s="235">
        <v>93.200369919604469</v>
      </c>
      <c r="E138" s="234">
        <v>16.432670087943734</v>
      </c>
      <c r="F138" s="234">
        <v>80.68965700513094</v>
      </c>
      <c r="G138" s="234"/>
      <c r="H138" s="234">
        <v>66.542902539966818</v>
      </c>
      <c r="I138" s="234">
        <v>104.4717406778033</v>
      </c>
      <c r="J138" s="234">
        <v>76.097573440131782</v>
      </c>
      <c r="K138" s="356">
        <v>97.306400108539691</v>
      </c>
      <c r="L138" s="299">
        <v>97.230215284900297</v>
      </c>
      <c r="M138" s="299">
        <v>150.47465554705795</v>
      </c>
      <c r="N138" s="302">
        <v>109.25819571953468</v>
      </c>
      <c r="O138" s="190"/>
      <c r="P138" s="190"/>
      <c r="Q138" s="190">
        <v>155.77433136150867</v>
      </c>
      <c r="R138" s="190">
        <v>111.52297610936472</v>
      </c>
      <c r="S138" s="190">
        <v>65.043342482973344</v>
      </c>
      <c r="T138" s="190"/>
      <c r="U138" s="236">
        <v>79.420151692949361</v>
      </c>
      <c r="V138" s="299">
        <v>80.581643082108258</v>
      </c>
      <c r="W138" s="299">
        <v>90.96532435377668</v>
      </c>
      <c r="X138" s="299">
        <v>148.27237218116639</v>
      </c>
      <c r="Y138" s="269">
        <v>98.466269541480102</v>
      </c>
      <c r="Z138" s="189">
        <v>67.823601815919432</v>
      </c>
      <c r="AA138" s="190"/>
      <c r="AB138" s="190">
        <v>55.019615595287007</v>
      </c>
      <c r="AC138" s="190">
        <v>68.87580581847304</v>
      </c>
      <c r="AD138" s="235">
        <v>100.42535919539044</v>
      </c>
      <c r="AE138" s="190">
        <v>72.157285479803363</v>
      </c>
      <c r="AF138" s="190"/>
      <c r="AG138" s="268">
        <v>91.593545697812942</v>
      </c>
      <c r="AH138" s="268">
        <v>100.92287944834074</v>
      </c>
      <c r="AI138" s="271"/>
      <c r="AJ138" s="271">
        <v>103.41896239629295</v>
      </c>
      <c r="AK138" s="271">
        <v>144.41061483088302</v>
      </c>
      <c r="AL138" s="268">
        <v>144.41061483088302</v>
      </c>
      <c r="AM138" s="270">
        <v>41.228342207716331</v>
      </c>
      <c r="AN138" s="270"/>
      <c r="AO138" s="238">
        <v>66.3365912795105</v>
      </c>
      <c r="AP138" s="268">
        <v>109.40886961157511</v>
      </c>
      <c r="AQ138" s="268">
        <v>45.861642573553858</v>
      </c>
      <c r="AR138" s="268">
        <v>73.754792097657131</v>
      </c>
    </row>
    <row r="139" spans="1:44" x14ac:dyDescent="0.25">
      <c r="A139" s="11">
        <v>43101</v>
      </c>
      <c r="B139" s="232">
        <f t="shared" si="0"/>
        <v>75.747653463577748</v>
      </c>
      <c r="C139" s="252">
        <v>96.229926658457856</v>
      </c>
      <c r="D139" s="235">
        <v>81.890544378107862</v>
      </c>
      <c r="E139" s="234">
        <v>15.036357748642848</v>
      </c>
      <c r="F139" s="234">
        <v>75.591463408228165</v>
      </c>
      <c r="G139" s="234"/>
      <c r="H139" s="234">
        <v>67.705326421514783</v>
      </c>
      <c r="I139" s="234">
        <v>89.132016268192189</v>
      </c>
      <c r="J139" s="234">
        <v>90.912769873969808</v>
      </c>
      <c r="K139" s="356">
        <v>98.673112992035087</v>
      </c>
      <c r="L139" s="299">
        <v>99.670970035871846</v>
      </c>
      <c r="M139" s="299">
        <v>113.49414221405237</v>
      </c>
      <c r="N139" s="302">
        <v>115.09747163246945</v>
      </c>
      <c r="O139" s="190"/>
      <c r="P139" s="190"/>
      <c r="Q139" s="190">
        <v>118.8016712482663</v>
      </c>
      <c r="R139" s="190">
        <v>117.45945320270059</v>
      </c>
      <c r="S139" s="190">
        <v>80.119027061816809</v>
      </c>
      <c r="T139" s="190"/>
      <c r="U139" s="236">
        <v>92.969103415239331</v>
      </c>
      <c r="V139" s="299">
        <v>94.490982302288046</v>
      </c>
      <c r="W139" s="299">
        <v>60.080589671514467</v>
      </c>
      <c r="X139" s="299">
        <v>118.61742544027459</v>
      </c>
      <c r="Y139" s="269">
        <v>99.642837467628894</v>
      </c>
      <c r="Z139" s="189">
        <v>63.660076074458836</v>
      </c>
      <c r="AA139" s="190"/>
      <c r="AB139" s="190">
        <v>62.176515913016793</v>
      </c>
      <c r="AC139" s="190">
        <v>63.503007864302766</v>
      </c>
      <c r="AD139" s="235">
        <v>85.39973951053291</v>
      </c>
      <c r="AE139" s="190">
        <v>75.640122524626193</v>
      </c>
      <c r="AF139" s="190"/>
      <c r="AG139" s="268">
        <v>81.81379206604916</v>
      </c>
      <c r="AH139" s="268">
        <v>84.583903633305752</v>
      </c>
      <c r="AI139" s="271"/>
      <c r="AJ139" s="271">
        <v>93.675439866343993</v>
      </c>
      <c r="AK139" s="271">
        <v>144.41337747270097</v>
      </c>
      <c r="AL139" s="268">
        <v>144.41337747270097</v>
      </c>
      <c r="AM139" s="270">
        <v>36.193125290666643</v>
      </c>
      <c r="AN139" s="270"/>
      <c r="AO139" s="238">
        <v>61.217493846696989</v>
      </c>
      <c r="AP139" s="268">
        <v>77.4773926237973</v>
      </c>
      <c r="AQ139" s="268">
        <v>45.933820756457052</v>
      </c>
      <c r="AR139" s="268">
        <v>68.170411711124004</v>
      </c>
    </row>
    <row r="140" spans="1:44" x14ac:dyDescent="0.25">
      <c r="A140" s="11">
        <v>43132</v>
      </c>
      <c r="B140" s="232">
        <f t="shared" si="0"/>
        <v>75.640200334317043</v>
      </c>
      <c r="C140" s="305">
        <v>92.538420036269329</v>
      </c>
      <c r="D140" s="235">
        <v>82.63657766307827</v>
      </c>
      <c r="E140" s="234">
        <v>14.935030109434468</v>
      </c>
      <c r="F140" s="234">
        <v>66.142668336935117</v>
      </c>
      <c r="G140" s="234"/>
      <c r="H140" s="234">
        <v>74.014078986274299</v>
      </c>
      <c r="I140" s="234">
        <v>90.447680963772385</v>
      </c>
      <c r="J140" s="234">
        <v>96.753563478898528</v>
      </c>
      <c r="K140" s="356">
        <v>94.716022053221877</v>
      </c>
      <c r="L140" s="299">
        <v>95.344240863652971</v>
      </c>
      <c r="M140" s="299">
        <v>120.92860587914898</v>
      </c>
      <c r="N140" s="302">
        <v>109.6699985074423</v>
      </c>
      <c r="O140" s="190"/>
      <c r="P140" s="190"/>
      <c r="Q140" s="190">
        <v>94.400218306637043</v>
      </c>
      <c r="R140" s="190">
        <v>111.90178800825703</v>
      </c>
      <c r="S140" s="190">
        <v>81.932559153907746</v>
      </c>
      <c r="T140" s="190"/>
      <c r="U140" s="236">
        <v>84.302891546014564</v>
      </c>
      <c r="V140" s="299">
        <v>85.568459056571896</v>
      </c>
      <c r="W140" s="299">
        <v>87.214277952432823</v>
      </c>
      <c r="X140" s="299">
        <v>142.06275717944706</v>
      </c>
      <c r="Y140" s="269">
        <v>97.005895243614546</v>
      </c>
      <c r="Z140" s="189">
        <v>55.123049144835122</v>
      </c>
      <c r="AA140" s="190"/>
      <c r="AB140" s="190">
        <v>64.144408351739273</v>
      </c>
      <c r="AC140" s="190">
        <v>53.867188082067592</v>
      </c>
      <c r="AD140" s="235">
        <v>92.406736185062869</v>
      </c>
      <c r="AE140" s="190">
        <v>74.835203402858198</v>
      </c>
      <c r="AF140" s="190"/>
      <c r="AG140" s="268">
        <v>82.914280877534821</v>
      </c>
      <c r="AH140" s="268">
        <v>93.295713087388449</v>
      </c>
      <c r="AI140" s="271"/>
      <c r="AJ140" s="271">
        <v>97.215262245112086</v>
      </c>
      <c r="AK140" s="271">
        <v>147.63501440953149</v>
      </c>
      <c r="AL140" s="268">
        <v>147.63501440953149</v>
      </c>
      <c r="AM140" s="270">
        <v>34.868374373129143</v>
      </c>
      <c r="AN140" s="270"/>
      <c r="AO140" s="238">
        <v>63.652574391906448</v>
      </c>
      <c r="AP140" s="268">
        <v>94.475508768542298</v>
      </c>
      <c r="AQ140" s="268">
        <v>51.146189015185982</v>
      </c>
      <c r="AR140" s="268">
        <v>68.011656898831376</v>
      </c>
    </row>
    <row r="141" spans="1:44" x14ac:dyDescent="0.25">
      <c r="A141" s="11">
        <v>43160</v>
      </c>
      <c r="B141" s="232">
        <f t="shared" si="0"/>
        <v>74.824112827608246</v>
      </c>
      <c r="C141" s="252">
        <v>92.693022146334499</v>
      </c>
      <c r="D141" s="235">
        <v>85.843821542211103</v>
      </c>
      <c r="E141" s="234">
        <v>15.379842805587748</v>
      </c>
      <c r="F141" s="234">
        <v>80.945257916463106</v>
      </c>
      <c r="G141" s="234"/>
      <c r="H141" s="234">
        <v>74.577432691071706</v>
      </c>
      <c r="I141" s="234">
        <v>92.44663487010861</v>
      </c>
      <c r="J141" s="234">
        <v>106.08123000070671</v>
      </c>
      <c r="K141" s="356">
        <v>106.26990939874563</v>
      </c>
      <c r="L141" s="299">
        <v>107.27755458457553</v>
      </c>
      <c r="M141" s="299">
        <v>124.66962885721236</v>
      </c>
      <c r="N141" s="302">
        <v>112.03266138841272</v>
      </c>
      <c r="O141" s="190"/>
      <c r="P141" s="190"/>
      <c r="Q141" s="190">
        <v>118.8016712482663</v>
      </c>
      <c r="R141" s="190">
        <v>114.29960728706158</v>
      </c>
      <c r="S141" s="190">
        <v>80.123363242904134</v>
      </c>
      <c r="T141" s="190"/>
      <c r="U141" s="236">
        <v>76.604203267250185</v>
      </c>
      <c r="V141" s="299">
        <v>77.667111478525413</v>
      </c>
      <c r="W141" s="299">
        <v>104.15773636632264</v>
      </c>
      <c r="X141" s="299">
        <v>131.33864132541603</v>
      </c>
      <c r="Y141" s="269">
        <v>101.67693627952985</v>
      </c>
      <c r="Z141" s="189">
        <v>58.67648327936962</v>
      </c>
      <c r="AA141" s="190"/>
      <c r="AB141" s="190">
        <v>59.437808396590107</v>
      </c>
      <c r="AC141" s="190">
        <v>58.300399578086143</v>
      </c>
      <c r="AD141" s="235">
        <v>90.791403358959087</v>
      </c>
      <c r="AE141" s="190">
        <v>81.142979574978995</v>
      </c>
      <c r="AF141" s="190"/>
      <c r="AG141" s="268">
        <v>85.109318549963604</v>
      </c>
      <c r="AH141" s="268">
        <v>90.514321888986515</v>
      </c>
      <c r="AI141" s="271"/>
      <c r="AJ141" s="271">
        <v>96.165702735789353</v>
      </c>
      <c r="AK141" s="271">
        <v>146.02419594111623</v>
      </c>
      <c r="AL141" s="268">
        <v>146.02419594111623</v>
      </c>
      <c r="AM141" s="270">
        <v>35.238617612406166</v>
      </c>
      <c r="AN141" s="270"/>
      <c r="AO141" s="238">
        <v>62.147878011759708</v>
      </c>
      <c r="AP141" s="268">
        <v>86.561609116259035</v>
      </c>
      <c r="AQ141" s="268">
        <v>47.030210773512039</v>
      </c>
      <c r="AR141" s="268">
        <v>68.350434112994677</v>
      </c>
    </row>
    <row r="142" spans="1:44" x14ac:dyDescent="0.25">
      <c r="A142" s="11">
        <v>43191</v>
      </c>
      <c r="B142" s="232">
        <f t="shared" si="0"/>
        <v>74.269428220060689</v>
      </c>
      <c r="C142" s="252">
        <v>92.079511570425112</v>
      </c>
      <c r="D142" s="235">
        <v>79.40740569638686</v>
      </c>
      <c r="E142" s="234">
        <v>15.21427456509104</v>
      </c>
      <c r="F142" s="234">
        <v>79.88523799470515</v>
      </c>
      <c r="G142" s="234"/>
      <c r="H142" s="234">
        <v>71.90140678496229</v>
      </c>
      <c r="I142" s="234">
        <v>85.009003956010943</v>
      </c>
      <c r="J142" s="234">
        <v>83.516672886260778</v>
      </c>
      <c r="K142" s="356">
        <v>91.444108457729669</v>
      </c>
      <c r="L142" s="299">
        <v>92.096346986071566</v>
      </c>
      <c r="M142" s="299">
        <v>115.0886455385519</v>
      </c>
      <c r="N142" s="302">
        <v>110.19344294017876</v>
      </c>
      <c r="O142" s="190"/>
      <c r="P142" s="190"/>
      <c r="Q142" s="190">
        <v>86.639892075908406</v>
      </c>
      <c r="R142" s="190">
        <v>112.4350108922761</v>
      </c>
      <c r="S142" s="190">
        <v>84.125557900824305</v>
      </c>
      <c r="T142" s="190"/>
      <c r="U142" s="236">
        <v>84.803940576718915</v>
      </c>
      <c r="V142" s="299">
        <v>86.044846819467793</v>
      </c>
      <c r="W142" s="299">
        <v>96.937578754047109</v>
      </c>
      <c r="X142" s="299">
        <v>134.70007431096593</v>
      </c>
      <c r="Y142" s="269">
        <v>102.16529127143079</v>
      </c>
      <c r="Z142" s="189">
        <v>59.321568659238629</v>
      </c>
      <c r="AA142" s="190"/>
      <c r="AB142" s="190">
        <v>76.195659245003142</v>
      </c>
      <c r="AC142" s="190">
        <v>57.191431664227487</v>
      </c>
      <c r="AD142" s="235">
        <v>92.345965338427192</v>
      </c>
      <c r="AE142" s="190">
        <v>73.815110005032338</v>
      </c>
      <c r="AF142" s="190"/>
      <c r="AG142" s="268">
        <v>94.260543103660027</v>
      </c>
      <c r="AH142" s="268">
        <v>89.635221815450251</v>
      </c>
      <c r="AI142" s="271"/>
      <c r="AJ142" s="271">
        <v>92.541329674757378</v>
      </c>
      <c r="AK142" s="271">
        <v>146.82960517532385</v>
      </c>
      <c r="AL142" s="268">
        <v>146.82960517532385</v>
      </c>
      <c r="AM142" s="270">
        <v>38.16536272622681</v>
      </c>
      <c r="AN142" s="270"/>
      <c r="AO142" s="238">
        <v>61.634924646725246</v>
      </c>
      <c r="AP142" s="268">
        <v>86.615260526485557</v>
      </c>
      <c r="AQ142" s="268">
        <v>44.628411893843158</v>
      </c>
      <c r="AR142" s="268">
        <v>68.745819434435262</v>
      </c>
    </row>
    <row r="143" spans="1:44" x14ac:dyDescent="0.25">
      <c r="A143" s="11">
        <v>43221</v>
      </c>
      <c r="B143" s="232">
        <f t="shared" si="0"/>
        <v>78.426694459247969</v>
      </c>
      <c r="C143" s="252">
        <v>96.138390825419819</v>
      </c>
      <c r="D143" s="235">
        <v>88.52192823247583</v>
      </c>
      <c r="E143" s="234">
        <v>15.139255370746197</v>
      </c>
      <c r="F143" s="234">
        <v>80.732985991788382</v>
      </c>
      <c r="G143" s="234"/>
      <c r="H143" s="234">
        <v>80.211624908455718</v>
      </c>
      <c r="I143" s="234">
        <v>96.160581781156338</v>
      </c>
      <c r="J143" s="234">
        <v>91.296537714811066</v>
      </c>
      <c r="K143" s="356">
        <v>94.452968641453936</v>
      </c>
      <c r="L143" s="299">
        <v>95.002810917194452</v>
      </c>
      <c r="M143" s="299">
        <v>123.37929339316923</v>
      </c>
      <c r="N143" s="302">
        <v>115.10091834785229</v>
      </c>
      <c r="O143" s="190"/>
      <c r="P143" s="190"/>
      <c r="Q143" s="190">
        <v>113.58024061579866</v>
      </c>
      <c r="R143" s="190">
        <v>117.55146279891038</v>
      </c>
      <c r="S143" s="190">
        <v>73.503250794105099</v>
      </c>
      <c r="T143" s="190"/>
      <c r="U143" s="236">
        <v>85.521895798005687</v>
      </c>
      <c r="V143" s="299">
        <v>86.75978870977579</v>
      </c>
      <c r="W143" s="299">
        <v>101.62491387986772</v>
      </c>
      <c r="X143" s="299">
        <v>142.97476446013729</v>
      </c>
      <c r="Y143" s="269">
        <v>102.20512623779938</v>
      </c>
      <c r="Z143" s="189">
        <v>60.902139004416867</v>
      </c>
      <c r="AA143" s="190"/>
      <c r="AB143" s="190">
        <v>68.365057017234818</v>
      </c>
      <c r="AC143" s="190">
        <v>59.786726631340024</v>
      </c>
      <c r="AD143" s="235">
        <v>89.014451856857221</v>
      </c>
      <c r="AE143" s="190">
        <v>81.601099092275845</v>
      </c>
      <c r="AF143" s="190"/>
      <c r="AG143" s="268">
        <v>93.46064853296042</v>
      </c>
      <c r="AH143" s="268">
        <v>85.580485836090276</v>
      </c>
      <c r="AI143" s="271"/>
      <c r="AJ143" s="271">
        <v>94.967599688564277</v>
      </c>
      <c r="AK143" s="271">
        <v>146.42690055822001</v>
      </c>
      <c r="AL143" s="268">
        <v>146.42690055822001</v>
      </c>
      <c r="AM143" s="270">
        <v>37.134405327643428</v>
      </c>
      <c r="AN143" s="270"/>
      <c r="AO143" s="238">
        <v>65.861986780681619</v>
      </c>
      <c r="AP143" s="268">
        <v>89.19547377012988</v>
      </c>
      <c r="AQ143" s="268">
        <v>53.09697619300389</v>
      </c>
      <c r="AR143" s="268">
        <v>70.990856148818366</v>
      </c>
    </row>
    <row r="144" spans="1:44" x14ac:dyDescent="0.25">
      <c r="A144" s="11">
        <v>43252</v>
      </c>
      <c r="B144" s="232">
        <f t="shared" si="0"/>
        <v>76.842961302093485</v>
      </c>
      <c r="C144" s="252">
        <v>97.981844729445996</v>
      </c>
      <c r="D144" s="235">
        <v>84.335266726699047</v>
      </c>
      <c r="E144" s="234">
        <v>15.149560236278415</v>
      </c>
      <c r="F144" s="234">
        <v>90.004233236403905</v>
      </c>
      <c r="G144" s="234"/>
      <c r="H144" s="234">
        <v>75.850648341459888</v>
      </c>
      <c r="I144" s="234">
        <v>89.405381434074783</v>
      </c>
      <c r="J144" s="234">
        <v>99.236691055808606</v>
      </c>
      <c r="K144" s="356">
        <v>93.334662555804883</v>
      </c>
      <c r="L144" s="299">
        <v>93.926008359145811</v>
      </c>
      <c r="M144" s="299">
        <v>120.17260095541131</v>
      </c>
      <c r="N144" s="302">
        <v>123.6086649633544</v>
      </c>
      <c r="O144" s="190"/>
      <c r="P144" s="190"/>
      <c r="Q144" s="190">
        <v>109.45396852123386</v>
      </c>
      <c r="R144" s="190">
        <v>126.33283104428573</v>
      </c>
      <c r="S144" s="190">
        <v>73.503250794105099</v>
      </c>
      <c r="T144" s="190"/>
      <c r="U144" s="236">
        <v>86.814407728986282</v>
      </c>
      <c r="V144" s="299">
        <v>88.076197568065723</v>
      </c>
      <c r="W144" s="299">
        <v>101.67682660571619</v>
      </c>
      <c r="X144" s="299">
        <v>138.27908783505765</v>
      </c>
      <c r="Y144" s="269">
        <v>102.08265483434029</v>
      </c>
      <c r="Z144" s="189">
        <v>55.390854703782935</v>
      </c>
      <c r="AA144" s="190"/>
      <c r="AB144" s="190">
        <v>67.656710264432078</v>
      </c>
      <c r="AC144" s="190">
        <v>53.7811047238933</v>
      </c>
      <c r="AD144" s="235">
        <v>84.388258805056992</v>
      </c>
      <c r="AE144" s="190">
        <v>79.696856959771068</v>
      </c>
      <c r="AF144" s="190"/>
      <c r="AG144" s="268">
        <v>91.842455368720977</v>
      </c>
      <c r="AH144" s="268">
        <v>80.110211186594654</v>
      </c>
      <c r="AI144" s="271"/>
      <c r="AJ144" s="271">
        <v>99.298204589185559</v>
      </c>
      <c r="AK144" s="271">
        <v>146.62825286677193</v>
      </c>
      <c r="AL144" s="268">
        <v>146.62825286677193</v>
      </c>
      <c r="AM144" s="270">
        <v>37.887647877994269</v>
      </c>
      <c r="AN144" s="270"/>
      <c r="AO144" s="238">
        <v>61.847001263886142</v>
      </c>
      <c r="AP144" s="268">
        <v>92.416828260904595</v>
      </c>
      <c r="AQ144" s="268">
        <v>45.471493623901573</v>
      </c>
      <c r="AR144" s="268">
        <v>68.177047583792486</v>
      </c>
    </row>
    <row r="145" spans="1:44" x14ac:dyDescent="0.25">
      <c r="A145" s="11">
        <v>43282</v>
      </c>
      <c r="B145" s="232">
        <f t="shared" si="0"/>
        <v>79.553223332798666</v>
      </c>
      <c r="C145" s="252">
        <v>99.590283227548184</v>
      </c>
      <c r="D145" s="235">
        <v>82.321489193260135</v>
      </c>
      <c r="E145" s="234">
        <v>15.288073953570901</v>
      </c>
      <c r="F145" s="234">
        <v>75.888333072706942</v>
      </c>
      <c r="G145" s="234"/>
      <c r="H145" s="234">
        <v>75.953019300367259</v>
      </c>
      <c r="I145" s="234">
        <v>88.230757834662583</v>
      </c>
      <c r="J145" s="234">
        <v>103.76812886106377</v>
      </c>
      <c r="K145" s="356">
        <v>102.42602127185077</v>
      </c>
      <c r="L145" s="299">
        <v>103.30258363067176</v>
      </c>
      <c r="M145" s="299">
        <v>123.60140197818818</v>
      </c>
      <c r="N145" s="302">
        <v>126.32889288205823</v>
      </c>
      <c r="O145" s="190"/>
      <c r="P145" s="190"/>
      <c r="Q145" s="190">
        <v>97.776325052408069</v>
      </c>
      <c r="R145" s="190">
        <v>129.16556069370043</v>
      </c>
      <c r="S145" s="190">
        <v>73.499076401001574</v>
      </c>
      <c r="T145" s="190"/>
      <c r="U145" s="236">
        <v>87.237837981390101</v>
      </c>
      <c r="V145" s="299">
        <v>88.487681606948371</v>
      </c>
      <c r="W145" s="299">
        <v>107.34981629263385</v>
      </c>
      <c r="X145" s="299">
        <v>152.2137242907045</v>
      </c>
      <c r="Y145" s="269">
        <v>112.29675715086643</v>
      </c>
      <c r="Z145" s="189">
        <v>64.799979431074888</v>
      </c>
      <c r="AA145" s="190"/>
      <c r="AB145" s="190">
        <v>71.510065613071163</v>
      </c>
      <c r="AC145" s="190">
        <v>63.746882927207295</v>
      </c>
      <c r="AD145" s="235">
        <v>89.632669574032732</v>
      </c>
      <c r="AE145" s="190">
        <v>78.564977788297071</v>
      </c>
      <c r="AF145" s="190"/>
      <c r="AG145" s="268">
        <v>93.072204478588787</v>
      </c>
      <c r="AH145" s="268">
        <v>86.502397416728058</v>
      </c>
      <c r="AI145" s="271"/>
      <c r="AJ145" s="271">
        <v>112.16676314672088</v>
      </c>
      <c r="AK145" s="271">
        <v>146.52757671249594</v>
      </c>
      <c r="AL145" s="268">
        <v>146.52757671249594</v>
      </c>
      <c r="AM145" s="270">
        <v>38.49845691392057</v>
      </c>
      <c r="AN145" s="270"/>
      <c r="AO145" s="238">
        <v>65.338898792078908</v>
      </c>
      <c r="AP145" s="268">
        <v>88.835586400413661</v>
      </c>
      <c r="AQ145" s="268">
        <v>48.764341982771938</v>
      </c>
      <c r="AR145" s="268">
        <v>72.385195660412052</v>
      </c>
    </row>
    <row r="146" spans="1:44" x14ac:dyDescent="0.25">
      <c r="A146" s="11">
        <v>43313</v>
      </c>
      <c r="B146" s="232">
        <f t="shared" si="0"/>
        <v>76.797334369676406</v>
      </c>
      <c r="C146" s="252">
        <v>94.106022558454157</v>
      </c>
      <c r="D146" s="235">
        <v>84.154843211193338</v>
      </c>
      <c r="E146" s="234">
        <v>14.389674425021372</v>
      </c>
      <c r="F146" s="234">
        <v>83.699537681463781</v>
      </c>
      <c r="G146" s="234"/>
      <c r="H146" s="234">
        <v>74.370954687577111</v>
      </c>
      <c r="I146" s="234">
        <v>90.113029864712885</v>
      </c>
      <c r="J146" s="234">
        <v>102.19148788764515</v>
      </c>
      <c r="K146" s="356">
        <v>81.811461166232064</v>
      </c>
      <c r="L146" s="299">
        <v>82.135977484259371</v>
      </c>
      <c r="M146" s="299">
        <v>112.38382741709285</v>
      </c>
      <c r="N146" s="302">
        <v>115.6754524964241</v>
      </c>
      <c r="O146" s="190"/>
      <c r="P146" s="190"/>
      <c r="Q146" s="190">
        <v>94.381620355402404</v>
      </c>
      <c r="R146" s="190">
        <v>118.2537019625552</v>
      </c>
      <c r="S146" s="190">
        <v>67.955422946827071</v>
      </c>
      <c r="T146" s="190"/>
      <c r="U146" s="236">
        <v>84.188038421375495</v>
      </c>
      <c r="V146" s="299">
        <v>85.407639644527706</v>
      </c>
      <c r="W146" s="299">
        <v>99.749500929320007</v>
      </c>
      <c r="X146" s="299">
        <v>147.89467976476305</v>
      </c>
      <c r="Y146" s="269">
        <v>115.61414131091136</v>
      </c>
      <c r="Z146" s="189">
        <v>64.789182495066328</v>
      </c>
      <c r="AA146" s="190"/>
      <c r="AB146" s="190">
        <v>71.0819211861957</v>
      </c>
      <c r="AC146" s="190">
        <v>63.781489339350493</v>
      </c>
      <c r="AD146" s="235">
        <v>81.633612749964769</v>
      </c>
      <c r="AE146" s="190">
        <v>77.119176688462957</v>
      </c>
      <c r="AF146" s="190"/>
      <c r="AG146" s="268">
        <v>67.414556106598056</v>
      </c>
      <c r="AH146" s="268">
        <v>84.260463930828877</v>
      </c>
      <c r="AI146" s="271"/>
      <c r="AJ146" s="271">
        <v>93.436824661209627</v>
      </c>
      <c r="AK146" s="271">
        <v>147.72768340336393</v>
      </c>
      <c r="AL146" s="268">
        <v>147.72768340336393</v>
      </c>
      <c r="AM146" s="270">
        <v>29.776419131995322</v>
      </c>
      <c r="AN146" s="270"/>
      <c r="AO146" s="238">
        <v>64.518521381056289</v>
      </c>
      <c r="AP146" s="268">
        <v>85.981031233250008</v>
      </c>
      <c r="AQ146" s="268">
        <v>52.566043921541969</v>
      </c>
      <c r="AR146" s="268">
        <v>69.37757883232247</v>
      </c>
    </row>
    <row r="147" spans="1:44" x14ac:dyDescent="0.25">
      <c r="A147" s="11">
        <v>43344</v>
      </c>
      <c r="B147" s="232">
        <f t="shared" si="0"/>
        <v>75.928408173107556</v>
      </c>
      <c r="C147" s="252">
        <v>95.573003799125246</v>
      </c>
      <c r="D147" s="235">
        <v>78.699412304285886</v>
      </c>
      <c r="E147" s="234">
        <v>14.687215605696622</v>
      </c>
      <c r="F147" s="234">
        <v>85.385134091662806</v>
      </c>
      <c r="G147" s="234"/>
      <c r="H147" s="234">
        <v>75.141116750339421</v>
      </c>
      <c r="I147" s="234">
        <v>82.29470360777313</v>
      </c>
      <c r="J147" s="234">
        <v>102.58136435204409</v>
      </c>
      <c r="K147" s="356">
        <v>93.442075024215498</v>
      </c>
      <c r="L147" s="299">
        <v>94.245449446586804</v>
      </c>
      <c r="M147" s="299">
        <v>112.62570733690492</v>
      </c>
      <c r="N147" s="302">
        <v>120.04296679335745</v>
      </c>
      <c r="O147" s="190"/>
      <c r="P147" s="190"/>
      <c r="Q147" s="190">
        <v>87.337491494498423</v>
      </c>
      <c r="R147" s="190">
        <v>122.71897049661072</v>
      </c>
      <c r="S147" s="190">
        <v>72.715103826101142</v>
      </c>
      <c r="T147" s="190"/>
      <c r="U147" s="236">
        <v>85.684491479011413</v>
      </c>
      <c r="V147" s="299">
        <v>86.91549612448145</v>
      </c>
      <c r="W147" s="299">
        <v>104.46143872098347</v>
      </c>
      <c r="X147" s="299">
        <v>146.54407920900829</v>
      </c>
      <c r="Y147" s="269">
        <v>73.886731857496812</v>
      </c>
      <c r="Z147" s="189">
        <v>72.322313105322479</v>
      </c>
      <c r="AA147" s="190"/>
      <c r="AB147" s="190">
        <v>78.090734996944477</v>
      </c>
      <c r="AC147" s="190">
        <v>71.333930260901624</v>
      </c>
      <c r="AD147" s="235">
        <v>86.205495946243616</v>
      </c>
      <c r="AE147" s="190">
        <v>59.182704955547521</v>
      </c>
      <c r="AF147" s="190"/>
      <c r="AG147" s="268">
        <v>71.35402857502055</v>
      </c>
      <c r="AH147" s="268">
        <v>88.927713517275592</v>
      </c>
      <c r="AI147" s="271"/>
      <c r="AJ147" s="271">
        <v>101.91217000866958</v>
      </c>
      <c r="AK147" s="271">
        <v>146.96117099421059</v>
      </c>
      <c r="AL147" s="268">
        <v>146.96117099421059</v>
      </c>
      <c r="AM147" s="270">
        <v>36.012326434723285</v>
      </c>
      <c r="AN147" s="270"/>
      <c r="AO147" s="238">
        <v>61.992498455505256</v>
      </c>
      <c r="AP147" s="268">
        <v>82.748875138709749</v>
      </c>
      <c r="AQ147" s="268">
        <v>48.19492635619541</v>
      </c>
      <c r="AR147" s="268">
        <v>67.825387896237473</v>
      </c>
    </row>
    <row r="148" spans="1:44" x14ac:dyDescent="0.25">
      <c r="A148" s="11">
        <v>43374</v>
      </c>
      <c r="B148" s="232">
        <f t="shared" si="0"/>
        <v>78.815706650027693</v>
      </c>
      <c r="C148" s="252">
        <v>95.214105480801251</v>
      </c>
      <c r="D148" s="235">
        <v>81.845770036380529</v>
      </c>
      <c r="E148" s="234">
        <v>14.687215605696622</v>
      </c>
      <c r="F148" s="234">
        <v>84.281662038624177</v>
      </c>
      <c r="G148" s="234"/>
      <c r="H148" s="234">
        <v>74.932485043209027</v>
      </c>
      <c r="I148" s="234">
        <v>87.30110798562221</v>
      </c>
      <c r="J148" s="234">
        <v>89.255295663963324</v>
      </c>
      <c r="K148" s="356">
        <v>95.870024349316793</v>
      </c>
      <c r="L148" s="299">
        <v>96.312646147798844</v>
      </c>
      <c r="M148" s="299">
        <v>129.42911438799402</v>
      </c>
      <c r="N148" s="302">
        <v>113.14650557413201</v>
      </c>
      <c r="O148" s="190"/>
      <c r="P148" s="190"/>
      <c r="Q148" s="190">
        <v>97.929354045248374</v>
      </c>
      <c r="R148" s="190">
        <v>115.51646140698195</v>
      </c>
      <c r="S148" s="190">
        <v>78.538158065384181</v>
      </c>
      <c r="T148" s="190"/>
      <c r="U148" s="236">
        <v>91.205056044653645</v>
      </c>
      <c r="V148" s="299">
        <v>92.574250357041947</v>
      </c>
      <c r="W148" s="299">
        <v>94.351808733236382</v>
      </c>
      <c r="X148" s="299">
        <v>143.54562618258157</v>
      </c>
      <c r="Y148" s="269">
        <v>98.698830836551011</v>
      </c>
      <c r="Z148" s="189">
        <v>65.9714148742367</v>
      </c>
      <c r="AA148" s="190"/>
      <c r="AB148" s="190">
        <v>55.390765636818777</v>
      </c>
      <c r="AC148" s="190">
        <v>66.791289149191883</v>
      </c>
      <c r="AD148" s="235">
        <v>86.492288937348789</v>
      </c>
      <c r="AE148" s="190">
        <v>74.232382938137079</v>
      </c>
      <c r="AF148" s="190"/>
      <c r="AG148" s="268">
        <v>69.177451330062837</v>
      </c>
      <c r="AH148" s="268">
        <v>89.98563075215074</v>
      </c>
      <c r="AI148" s="271"/>
      <c r="AJ148" s="271">
        <v>115.43005603837301</v>
      </c>
      <c r="AK148" s="271">
        <v>147.07214370335686</v>
      </c>
      <c r="AL148" s="268">
        <v>147.07214370335686</v>
      </c>
      <c r="AM148" s="270">
        <v>52.629923743458704</v>
      </c>
      <c r="AN148" s="270"/>
      <c r="AO148" s="238">
        <v>67.182654488025946</v>
      </c>
      <c r="AP148" s="268">
        <v>87.744146370566597</v>
      </c>
      <c r="AQ148" s="268">
        <v>54.722312922838604</v>
      </c>
      <c r="AR148" s="268">
        <v>72.397387943269763</v>
      </c>
    </row>
    <row r="149" spans="1:44" x14ac:dyDescent="0.25">
      <c r="A149" s="11">
        <v>43405</v>
      </c>
      <c r="B149" s="232">
        <f t="shared" si="0"/>
        <v>81.463178242383123</v>
      </c>
      <c r="C149" s="252">
        <v>98.475700461430705</v>
      </c>
      <c r="D149" s="235">
        <v>86.999124835082753</v>
      </c>
      <c r="E149" s="234">
        <v>15.2439062077997</v>
      </c>
      <c r="F149" s="234">
        <v>82.395904205026724</v>
      </c>
      <c r="G149" s="234"/>
      <c r="H149" s="234">
        <v>66.909024396749203</v>
      </c>
      <c r="I149" s="234">
        <v>95.359665410982402</v>
      </c>
      <c r="J149" s="234">
        <v>89.662815374426202</v>
      </c>
      <c r="K149" s="356">
        <v>112.68498046787872</v>
      </c>
      <c r="L149" s="299">
        <v>113.79966062560584</v>
      </c>
      <c r="M149" s="299">
        <v>130.515178681728</v>
      </c>
      <c r="N149" s="302">
        <v>122.16801166392179</v>
      </c>
      <c r="O149" s="190"/>
      <c r="P149" s="190"/>
      <c r="Q149" s="190">
        <v>123.57350557309155</v>
      </c>
      <c r="R149" s="190">
        <v>124.69895219578298</v>
      </c>
      <c r="S149" s="190">
        <v>83.491198291153296</v>
      </c>
      <c r="T149" s="190"/>
      <c r="U149" s="236">
        <v>81.828874579418368</v>
      </c>
      <c r="V149" s="299">
        <v>83.050861081066088</v>
      </c>
      <c r="W149" s="299">
        <v>86.496978159232128</v>
      </c>
      <c r="X149" s="299">
        <v>141.0380941046763</v>
      </c>
      <c r="Y149" s="269">
        <v>100.81617481909471</v>
      </c>
      <c r="Z149" s="189">
        <v>64.715350589435147</v>
      </c>
      <c r="AA149" s="190"/>
      <c r="AB149" s="190">
        <v>75.685101653864606</v>
      </c>
      <c r="AC149" s="190">
        <v>63.199818029922696</v>
      </c>
      <c r="AD149" s="235">
        <v>92.813461957613768</v>
      </c>
      <c r="AE149" s="190">
        <v>75.675779813300011</v>
      </c>
      <c r="AF149" s="190"/>
      <c r="AG149" s="268">
        <v>86.544088411898059</v>
      </c>
      <c r="AH149" s="268">
        <v>92.675661404701941</v>
      </c>
      <c r="AI149" s="271"/>
      <c r="AJ149" s="271">
        <v>105.53939983797625</v>
      </c>
      <c r="AK149" s="271">
        <v>147.39991355336039</v>
      </c>
      <c r="AL149" s="268">
        <v>147.39991355336039</v>
      </c>
      <c r="AM149" s="270">
        <v>45.607131013915918</v>
      </c>
      <c r="AN149" s="270"/>
      <c r="AO149" s="238">
        <v>69.394465898956213</v>
      </c>
      <c r="AP149" s="268">
        <v>109.00196635349508</v>
      </c>
      <c r="AQ149" s="268">
        <v>58.614272926695733</v>
      </c>
      <c r="AR149" s="268">
        <v>72.200207199763767</v>
      </c>
    </row>
    <row r="150" spans="1:44" x14ac:dyDescent="0.25">
      <c r="A150" s="11">
        <v>43435</v>
      </c>
      <c r="B150" s="232">
        <f t="shared" si="0"/>
        <v>83.921212349434796</v>
      </c>
      <c r="C150" s="252">
        <v>102.67835129662693</v>
      </c>
      <c r="D150" s="235">
        <v>87.378283863918981</v>
      </c>
      <c r="E150" s="234">
        <v>14.856150026690617</v>
      </c>
      <c r="F150" s="234">
        <v>87.751204659506215</v>
      </c>
      <c r="G150" s="234"/>
      <c r="H150" s="234">
        <v>75.094789876716163</v>
      </c>
      <c r="I150" s="234">
        <v>93.95632190130938</v>
      </c>
      <c r="J150" s="234">
        <v>99.788369362713283</v>
      </c>
      <c r="K150" s="356">
        <v>108.32608112168136</v>
      </c>
      <c r="L150" s="299">
        <v>109.05357969641118</v>
      </c>
      <c r="M150" s="299">
        <v>137.97764903838012</v>
      </c>
      <c r="N150" s="302">
        <v>121.34341030547201</v>
      </c>
      <c r="O150" s="190"/>
      <c r="P150" s="190"/>
      <c r="Q150" s="190">
        <v>105.85999976006553</v>
      </c>
      <c r="R150" s="190">
        <v>123.88945868321173</v>
      </c>
      <c r="S150" s="190">
        <v>83.668361435599365</v>
      </c>
      <c r="T150" s="190"/>
      <c r="U150" s="236">
        <v>97.435750817336114</v>
      </c>
      <c r="V150" s="299">
        <v>98.88377784869067</v>
      </c>
      <c r="W150" s="299">
        <v>105.00311745743794</v>
      </c>
      <c r="X150" s="299">
        <v>135.99115696630702</v>
      </c>
      <c r="Y150" s="269">
        <v>96.970854268312777</v>
      </c>
      <c r="Z150" s="189">
        <v>68.802072598335727</v>
      </c>
      <c r="AA150" s="190"/>
      <c r="AB150" s="190">
        <v>70.98739295286083</v>
      </c>
      <c r="AC150" s="190">
        <v>68.220632614703263</v>
      </c>
      <c r="AD150" s="235">
        <v>102.02692884132101</v>
      </c>
      <c r="AE150" s="190">
        <v>69.078541730127611</v>
      </c>
      <c r="AF150" s="190"/>
      <c r="AG150" s="268">
        <v>89.421091563128428</v>
      </c>
      <c r="AH150" s="268">
        <v>103.67934703212465</v>
      </c>
      <c r="AI150" s="271"/>
      <c r="AJ150" s="271">
        <v>112.56600335367325</v>
      </c>
      <c r="AK150" s="271">
        <v>147.14440941697592</v>
      </c>
      <c r="AL150" s="268">
        <v>147.14440941697592</v>
      </c>
      <c r="AM150" s="270">
        <v>40.268859484388713</v>
      </c>
      <c r="AN150" s="270"/>
      <c r="AO150" s="238">
        <v>70.614865916811326</v>
      </c>
      <c r="AP150" s="268">
        <v>96.626480479299516</v>
      </c>
      <c r="AQ150" s="268">
        <v>49.73232501006278</v>
      </c>
      <c r="AR150" s="268">
        <v>79.687814033736032</v>
      </c>
    </row>
    <row r="151" spans="1:44" x14ac:dyDescent="0.25">
      <c r="A151" s="11">
        <v>43466</v>
      </c>
      <c r="B151" s="232">
        <f t="shared" si="0"/>
        <v>78.69564052800763</v>
      </c>
      <c r="C151" s="252">
        <v>98.791511477648513</v>
      </c>
      <c r="D151" s="235">
        <v>86.308687553765125</v>
      </c>
      <c r="E151" s="234">
        <v>15.098531932753136</v>
      </c>
      <c r="F151" s="234">
        <v>74.845582084733849</v>
      </c>
      <c r="G151" s="234"/>
      <c r="H151" s="234">
        <v>77.431978365642877</v>
      </c>
      <c r="I151" s="234">
        <v>93.807730174543053</v>
      </c>
      <c r="J151" s="234">
        <v>100.71324044189261</v>
      </c>
      <c r="K151" s="356">
        <v>104.19805936984424</v>
      </c>
      <c r="L151" s="299">
        <v>104.94459848680602</v>
      </c>
      <c r="M151" s="299">
        <v>131.01923227646716</v>
      </c>
      <c r="N151" s="302">
        <v>120.22787387475908</v>
      </c>
      <c r="O151" s="190"/>
      <c r="P151" s="190"/>
      <c r="Q151" s="190">
        <v>122.32611291061079</v>
      </c>
      <c r="R151" s="190">
        <v>122.67257958862398</v>
      </c>
      <c r="S151" s="190">
        <v>86.029703832353107</v>
      </c>
      <c r="T151" s="190"/>
      <c r="U151" s="236">
        <v>87.221482019573429</v>
      </c>
      <c r="V151" s="299">
        <v>88.483655687268268</v>
      </c>
      <c r="W151" s="299">
        <v>103.73605119495116</v>
      </c>
      <c r="X151" s="299">
        <v>135.32499755345864</v>
      </c>
      <c r="Y151" s="269">
        <v>94.82742626739757</v>
      </c>
      <c r="Z151" s="189">
        <v>60.430215170791215</v>
      </c>
      <c r="AA151" s="190"/>
      <c r="AB151" s="190">
        <v>66.434909838704783</v>
      </c>
      <c r="AC151" s="190">
        <v>59.475614126043624</v>
      </c>
      <c r="AD151" s="235">
        <v>96.948177151367929</v>
      </c>
      <c r="AE151" s="190">
        <v>76.748330110089938</v>
      </c>
      <c r="AF151" s="190"/>
      <c r="AG151" s="268">
        <v>85.767904926619337</v>
      </c>
      <c r="AH151" s="268">
        <v>98.266397859765107</v>
      </c>
      <c r="AI151" s="271"/>
      <c r="AJ151" s="271">
        <v>115.38604537858203</v>
      </c>
      <c r="AK151" s="271">
        <v>147.205488891231</v>
      </c>
      <c r="AL151" s="268">
        <v>147.205488891231</v>
      </c>
      <c r="AM151" s="270">
        <v>34.03381538036259</v>
      </c>
      <c r="AN151" s="270"/>
      <c r="AO151" s="238">
        <v>64.439595324416246</v>
      </c>
      <c r="AP151" s="268">
        <v>84.885003221577762</v>
      </c>
      <c r="AQ151" s="268">
        <v>45.662307388855943</v>
      </c>
      <c r="AR151" s="268">
        <v>72.849448833429108</v>
      </c>
    </row>
    <row r="152" spans="1:44" x14ac:dyDescent="0.25">
      <c r="A152" s="11">
        <v>43497</v>
      </c>
      <c r="B152" s="232">
        <f t="shared" si="0"/>
        <v>76.865733936129217</v>
      </c>
      <c r="C152" s="252">
        <v>96.96627428591809</v>
      </c>
      <c r="D152" s="235">
        <v>84.950836153109265</v>
      </c>
      <c r="E152" s="234">
        <v>15.162260133668891</v>
      </c>
      <c r="F152" s="234">
        <v>74.842455420011959</v>
      </c>
      <c r="G152" s="234"/>
      <c r="H152" s="234">
        <v>74.172275310676284</v>
      </c>
      <c r="I152" s="234">
        <v>92.525732476266739</v>
      </c>
      <c r="J152" s="234">
        <v>95.029188012627472</v>
      </c>
      <c r="K152" s="356">
        <v>98.763331570332369</v>
      </c>
      <c r="L152" s="299">
        <v>99.284095124574577</v>
      </c>
      <c r="M152" s="299">
        <v>130.97950696653092</v>
      </c>
      <c r="N152" s="302">
        <v>116.01090002981039</v>
      </c>
      <c r="O152" s="190"/>
      <c r="P152" s="190"/>
      <c r="Q152" s="190">
        <v>108.78505106723198</v>
      </c>
      <c r="R152" s="190">
        <v>118.35755031618673</v>
      </c>
      <c r="S152" s="190">
        <v>86.029703832353107</v>
      </c>
      <c r="T152" s="190"/>
      <c r="U152" s="236">
        <v>87.177878684035974</v>
      </c>
      <c r="V152" s="299">
        <v>88.429944716133022</v>
      </c>
      <c r="W152" s="299">
        <v>106.39468763693637</v>
      </c>
      <c r="X152" s="299">
        <v>130.30825229441893</v>
      </c>
      <c r="Y152" s="269">
        <v>97.729014974571314</v>
      </c>
      <c r="Z152" s="189">
        <v>61.80284413848026</v>
      </c>
      <c r="AA152" s="190"/>
      <c r="AB152" s="190">
        <v>66.599296093715807</v>
      </c>
      <c r="AC152" s="190">
        <v>60.972669315443859</v>
      </c>
      <c r="AD152" s="235">
        <v>99.296945394225261</v>
      </c>
      <c r="AE152" s="190">
        <v>79.102028096134802</v>
      </c>
      <c r="AF152" s="190"/>
      <c r="AG152" s="268">
        <v>86.090200968787784</v>
      </c>
      <c r="AH152" s="268">
        <v>101.20133345796465</v>
      </c>
      <c r="AI152" s="271"/>
      <c r="AJ152" s="271">
        <v>111.85724585494457</v>
      </c>
      <c r="AK152" s="271">
        <v>147.52272890137547</v>
      </c>
      <c r="AL152" s="268">
        <v>147.52272890137547</v>
      </c>
      <c r="AM152" s="270">
        <v>35.432580053258953</v>
      </c>
      <c r="AN152" s="270"/>
      <c r="AO152" s="238">
        <v>62.606376252090946</v>
      </c>
      <c r="AP152" s="268">
        <v>91.798274982947802</v>
      </c>
      <c r="AQ152" s="268">
        <v>46.308924747007964</v>
      </c>
      <c r="AR152" s="268">
        <v>69.017286197913904</v>
      </c>
    </row>
    <row r="153" spans="1:44" x14ac:dyDescent="0.25">
      <c r="A153" s="11">
        <v>43525</v>
      </c>
      <c r="B153" s="232">
        <f t="shared" si="0"/>
        <v>79.671545342070317</v>
      </c>
      <c r="C153" s="252">
        <v>98.067962383374081</v>
      </c>
      <c r="D153" s="235">
        <v>86.673104156760644</v>
      </c>
      <c r="E153" s="190">
        <v>15.189838115997949</v>
      </c>
      <c r="F153" s="190">
        <v>76.897215604254725</v>
      </c>
      <c r="G153" s="190"/>
      <c r="H153" s="190">
        <v>76.407048641143149</v>
      </c>
      <c r="I153" s="190">
        <v>94.42640563619382</v>
      </c>
      <c r="J153" s="190">
        <v>93.724011906101637</v>
      </c>
      <c r="K153" s="356">
        <v>104.58032390671244</v>
      </c>
      <c r="L153" s="299">
        <v>105.45013829431011</v>
      </c>
      <c r="M153" s="299">
        <v>127.11685861034239</v>
      </c>
      <c r="N153" s="303">
        <v>117.36734116684762</v>
      </c>
      <c r="O153" s="190"/>
      <c r="P153" s="190"/>
      <c r="Q153" s="190">
        <v>114.12604126168593</v>
      </c>
      <c r="R153" s="190">
        <v>119.7571224799875</v>
      </c>
      <c r="S153" s="190">
        <v>84.811951146064899</v>
      </c>
      <c r="T153" s="190"/>
      <c r="U153" s="236">
        <v>88.059778072935359</v>
      </c>
      <c r="V153" s="299">
        <v>89.325987297119156</v>
      </c>
      <c r="W153" s="299">
        <v>107.0484863884777</v>
      </c>
      <c r="X153" s="299">
        <v>141.81467099987597</v>
      </c>
      <c r="Y153" s="269">
        <v>98.264377271617505</v>
      </c>
      <c r="Z153" s="189">
        <v>64.248701064798738</v>
      </c>
      <c r="AA153" s="190"/>
      <c r="AB153" s="190">
        <v>71.721549906754703</v>
      </c>
      <c r="AC153" s="190">
        <v>63.115478214862641</v>
      </c>
      <c r="AD153" s="235">
        <v>95.524826714022822</v>
      </c>
      <c r="AE153" s="190">
        <v>80.81301232496503</v>
      </c>
      <c r="AF153" s="190"/>
      <c r="AG153" s="268">
        <v>100.10668411632373</v>
      </c>
      <c r="AH153" s="268">
        <v>91.899538017459292</v>
      </c>
      <c r="AI153" s="271"/>
      <c r="AJ153" s="271">
        <v>116.21075842060969</v>
      </c>
      <c r="AK153" s="271">
        <v>147.29087573652748</v>
      </c>
      <c r="AL153" s="268">
        <v>147.29087573652748</v>
      </c>
      <c r="AM153" s="270">
        <v>37.212718151046808</v>
      </c>
      <c r="AN153" s="270"/>
      <c r="AO153" s="238">
        <v>66.621095646102688</v>
      </c>
      <c r="AP153" s="268">
        <v>99.16006601618146</v>
      </c>
      <c r="AQ153" s="268">
        <v>52.287225198394189</v>
      </c>
      <c r="AR153" s="268">
        <v>71.792581130553742</v>
      </c>
    </row>
    <row r="154" spans="1:44" x14ac:dyDescent="0.25">
      <c r="A154" s="11">
        <v>43556</v>
      </c>
      <c r="B154" s="232">
        <f t="shared" si="0"/>
        <v>79.042483542273914</v>
      </c>
      <c r="C154" s="252">
        <v>96.000939887136155</v>
      </c>
      <c r="D154" s="235">
        <v>86.775390985103613</v>
      </c>
      <c r="E154" s="190">
        <v>15.235133044748183</v>
      </c>
      <c r="F154" s="190">
        <v>86.854326406431611</v>
      </c>
      <c r="G154" s="190"/>
      <c r="H154" s="190">
        <v>78.681322391493538</v>
      </c>
      <c r="I154" s="190">
        <v>92.828579429341261</v>
      </c>
      <c r="J154" s="190">
        <v>99.109271537357188</v>
      </c>
      <c r="K154" s="356">
        <v>99.354517912534504</v>
      </c>
      <c r="L154" s="299">
        <v>99.963546651043231</v>
      </c>
      <c r="M154" s="299">
        <v>128.66732424501927</v>
      </c>
      <c r="N154" s="303">
        <v>115.16452843135903</v>
      </c>
      <c r="O154" s="190"/>
      <c r="P154" s="190"/>
      <c r="Q154" s="190">
        <v>106.52795101377677</v>
      </c>
      <c r="R154" s="190">
        <v>117.50304183383473</v>
      </c>
      <c r="S154" s="190">
        <v>84.926314131393553</v>
      </c>
      <c r="T154" s="190"/>
      <c r="U154" s="189">
        <v>83.826126096970256</v>
      </c>
      <c r="V154" s="299">
        <v>85.047308861622383</v>
      </c>
      <c r="W154" s="299">
        <v>97.368780485914186</v>
      </c>
      <c r="X154" s="299">
        <v>140.76894311644716</v>
      </c>
      <c r="Y154" s="269">
        <v>98.758630120005733</v>
      </c>
      <c r="Z154" s="189">
        <v>63.95083947501417</v>
      </c>
      <c r="AA154" s="190"/>
      <c r="AB154" s="190">
        <v>71.876525443958528</v>
      </c>
      <c r="AC154" s="190">
        <v>62.769900100975846</v>
      </c>
      <c r="AD154" s="235">
        <v>94.12446571599213</v>
      </c>
      <c r="AE154" s="190">
        <v>81.78049287225474</v>
      </c>
      <c r="AF154" s="190"/>
      <c r="AG154" s="268">
        <v>101.39878481035382</v>
      </c>
      <c r="AH154" s="268">
        <v>89.681129955007549</v>
      </c>
      <c r="AI154" s="271"/>
      <c r="AJ154" s="271">
        <v>114.05424969282375</v>
      </c>
      <c r="AK154" s="271">
        <v>147.29087573652748</v>
      </c>
      <c r="AL154" s="268">
        <v>147.29087573652748</v>
      </c>
      <c r="AM154" s="270">
        <v>42.621899566090931</v>
      </c>
      <c r="AN154" s="270"/>
      <c r="AO154" s="238">
        <v>67.012125622414374</v>
      </c>
      <c r="AP154" s="268">
        <v>95.262919431119016</v>
      </c>
      <c r="AQ154" s="268">
        <v>50.366995381809261</v>
      </c>
      <c r="AR154" s="268">
        <v>73.715783507324261</v>
      </c>
    </row>
    <row r="155" spans="1:44" x14ac:dyDescent="0.25">
      <c r="A155" s="11">
        <v>43586</v>
      </c>
      <c r="B155" s="232">
        <f t="shared" si="0"/>
        <v>78.638535724782713</v>
      </c>
      <c r="C155" s="252">
        <v>95.859622128691825</v>
      </c>
      <c r="D155" s="235">
        <v>87.226007484423178</v>
      </c>
      <c r="E155" s="190">
        <v>15.250114061719403</v>
      </c>
      <c r="F155" s="190">
        <v>96.009923466695682</v>
      </c>
      <c r="G155" s="190"/>
      <c r="H155" s="190">
        <v>76.738469544756114</v>
      </c>
      <c r="I155" s="190">
        <v>92.40319632212595</v>
      </c>
      <c r="J155" s="190">
        <v>101.22892140260245</v>
      </c>
      <c r="K155" s="356">
        <v>99.187103205070017</v>
      </c>
      <c r="L155" s="299">
        <v>99.781983176295597</v>
      </c>
      <c r="M155" s="299">
        <v>128.92768805745928</v>
      </c>
      <c r="N155" s="303">
        <v>114.05353050427368</v>
      </c>
      <c r="O155" s="190"/>
      <c r="P155" s="190"/>
      <c r="Q155" s="190">
        <v>106.810321644366</v>
      </c>
      <c r="R155" s="190">
        <v>116.35279946620643</v>
      </c>
      <c r="S155" s="190">
        <v>85.286555362005814</v>
      </c>
      <c r="T155" s="190"/>
      <c r="U155" s="189">
        <v>87.344123668164087</v>
      </c>
      <c r="V155" s="299">
        <v>88.614605720405351</v>
      </c>
      <c r="W155" s="299">
        <v>102.01317162867613</v>
      </c>
      <c r="X155" s="299">
        <v>136.8472312573634</v>
      </c>
      <c r="Y155" s="269">
        <v>98.958904316070445</v>
      </c>
      <c r="Z155" s="189">
        <v>58.48992951326732</v>
      </c>
      <c r="AA155" s="190"/>
      <c r="AB155" s="190">
        <v>71.082275898717455</v>
      </c>
      <c r="AC155" s="190">
        <v>56.82920868254056</v>
      </c>
      <c r="AD155" s="235">
        <v>87.301965022273293</v>
      </c>
      <c r="AE155" s="190">
        <v>81.846193566863178</v>
      </c>
      <c r="AF155" s="190"/>
      <c r="AG155" s="268">
        <v>98.835617460972216</v>
      </c>
      <c r="AH155" s="268">
        <v>81.669607749578859</v>
      </c>
      <c r="AI155" s="271"/>
      <c r="AJ155" s="271">
        <v>114.79974858484189</v>
      </c>
      <c r="AK155" s="271">
        <v>147.36816012481012</v>
      </c>
      <c r="AL155" s="268">
        <v>147.36816012481012</v>
      </c>
      <c r="AM155" s="270">
        <v>37.63497568700253</v>
      </c>
      <c r="AN155" s="270"/>
      <c r="AO155" s="238">
        <v>66.421867592095055</v>
      </c>
      <c r="AP155" s="268">
        <v>91.180038739633531</v>
      </c>
      <c r="AQ155" s="268">
        <v>51.885119734426333</v>
      </c>
      <c r="AR155" s="268">
        <v>72.337964035626214</v>
      </c>
    </row>
    <row r="156" spans="1:44" x14ac:dyDescent="0.25">
      <c r="A156" s="11">
        <v>43617</v>
      </c>
      <c r="B156" s="232">
        <f t="shared" si="0"/>
        <v>78.958059593107251</v>
      </c>
      <c r="C156" s="252">
        <v>96.517205315239039</v>
      </c>
      <c r="D156" s="235">
        <v>86.616806973036489</v>
      </c>
      <c r="E156" s="190">
        <v>15.235706117440428</v>
      </c>
      <c r="F156" s="190">
        <v>87.009031028641076</v>
      </c>
      <c r="G156" s="190"/>
      <c r="H156" s="190">
        <v>77.041663458090085</v>
      </c>
      <c r="I156" s="190">
        <v>92.630966407211957</v>
      </c>
      <c r="J156" s="190">
        <v>102.52971888909933</v>
      </c>
      <c r="K156" s="356">
        <v>99.120041031009549</v>
      </c>
      <c r="L156" s="299">
        <v>100.02383689613309</v>
      </c>
      <c r="M156" s="299">
        <v>117.59286872980312</v>
      </c>
      <c r="N156" s="303">
        <v>115.66311107993749</v>
      </c>
      <c r="O156" s="190"/>
      <c r="P156" s="190"/>
      <c r="Q156" s="190">
        <v>108.07844267354793</v>
      </c>
      <c r="R156" s="190">
        <v>118.0796173507385</v>
      </c>
      <c r="S156" s="190">
        <v>79.147003735543734</v>
      </c>
      <c r="T156" s="190"/>
      <c r="U156" s="189">
        <v>88.022420441675123</v>
      </c>
      <c r="V156" s="299">
        <v>89.295519063020947</v>
      </c>
      <c r="W156" s="299">
        <v>104.87894172404773</v>
      </c>
      <c r="X156" s="299">
        <v>138.7502979377438</v>
      </c>
      <c r="Y156" s="269">
        <v>99.803655441052783</v>
      </c>
      <c r="Z156" s="189">
        <v>57.057255404109142</v>
      </c>
      <c r="AA156" s="190"/>
      <c r="AB156" s="190">
        <v>68.918553841756676</v>
      </c>
      <c r="AC156" s="190">
        <v>55.483133685848458</v>
      </c>
      <c r="AD156" s="235">
        <v>88.559361475801566</v>
      </c>
      <c r="AE156" s="190">
        <v>89.276326133252653</v>
      </c>
      <c r="AF156" s="190"/>
      <c r="AG156" s="268">
        <v>100.32124140687405</v>
      </c>
      <c r="AH156" s="268">
        <v>82.826274596414564</v>
      </c>
      <c r="AI156" s="271"/>
      <c r="AJ156" s="271">
        <v>116.05293550698305</v>
      </c>
      <c r="AK156" s="271">
        <v>147.59124733293265</v>
      </c>
      <c r="AL156" s="268">
        <v>147.59124733293265</v>
      </c>
      <c r="AM156" s="270">
        <v>37.079543126228025</v>
      </c>
      <c r="AN156" s="270"/>
      <c r="AO156" s="238">
        <v>66.501571602193252</v>
      </c>
      <c r="AP156" s="268">
        <v>88.26059243892557</v>
      </c>
      <c r="AQ156" s="268">
        <v>51.701962797247511</v>
      </c>
      <c r="AR156" s="268">
        <v>72.799861075623397</v>
      </c>
    </row>
    <row r="157" spans="1:44" x14ac:dyDescent="0.25">
      <c r="A157" s="11">
        <v>43647</v>
      </c>
      <c r="B157" s="232">
        <f t="shared" si="0"/>
        <v>83.022709383636752</v>
      </c>
      <c r="C157" s="252">
        <v>101.38800800986473</v>
      </c>
      <c r="D157" s="235">
        <v>94.583113352074463</v>
      </c>
      <c r="E157" s="190">
        <v>15.174405204482317</v>
      </c>
      <c r="F157" s="190">
        <v>85.856919418075876</v>
      </c>
      <c r="G157" s="190"/>
      <c r="H157" s="190">
        <v>76.233142458524242</v>
      </c>
      <c r="I157" s="190">
        <v>103.6326822538924</v>
      </c>
      <c r="J157" s="190">
        <v>105.88396139374588</v>
      </c>
      <c r="K157" s="356">
        <v>102.94715183437972</v>
      </c>
      <c r="L157" s="299">
        <v>104.02703554880048</v>
      </c>
      <c r="M157" s="299">
        <v>116.99912356062356</v>
      </c>
      <c r="N157" s="303">
        <v>119.61982415440148</v>
      </c>
      <c r="O157" s="190"/>
      <c r="P157" s="190"/>
      <c r="Q157" s="190">
        <v>107.65595053103642</v>
      </c>
      <c r="R157" s="190">
        <v>122.14927251094608</v>
      </c>
      <c r="S157" s="190">
        <v>80.080414048871731</v>
      </c>
      <c r="T157" s="190"/>
      <c r="U157" s="189">
        <v>92.006136132284766</v>
      </c>
      <c r="V157" s="299">
        <v>93.319639682230289</v>
      </c>
      <c r="W157" s="299">
        <v>114.54875841916517</v>
      </c>
      <c r="X157" s="299">
        <v>146.71676824563735</v>
      </c>
      <c r="Y157" s="269">
        <v>96.658620039705454</v>
      </c>
      <c r="Z157" s="189">
        <v>61.978875045851403</v>
      </c>
      <c r="AA157" s="190"/>
      <c r="AB157" s="190">
        <v>69.612358708022782</v>
      </c>
      <c r="AC157" s="190">
        <v>60.83954562883855</v>
      </c>
      <c r="AD157" s="235">
        <v>92.264048216049972</v>
      </c>
      <c r="AE157" s="190">
        <v>92.467397883531149</v>
      </c>
      <c r="AF157" s="190"/>
      <c r="AG157" s="268">
        <v>99.7103388075966</v>
      </c>
      <c r="AH157" s="268">
        <v>87.808856890079582</v>
      </c>
      <c r="AI157" s="271"/>
      <c r="AJ157" s="271">
        <v>114.62519461458579</v>
      </c>
      <c r="AK157" s="271">
        <v>147.41676106475674</v>
      </c>
      <c r="AL157" s="268">
        <v>147.41676106475674</v>
      </c>
      <c r="AM157" s="270">
        <v>39.05123009359643</v>
      </c>
      <c r="AN157" s="270"/>
      <c r="AO157" s="238">
        <v>69.994335144517777</v>
      </c>
      <c r="AP157" s="268">
        <v>84.843354167373818</v>
      </c>
      <c r="AQ157" s="268">
        <v>53.871974974428632</v>
      </c>
      <c r="AR157" s="268">
        <v>77.56630049454894</v>
      </c>
    </row>
    <row r="158" spans="1:44" x14ac:dyDescent="0.25">
      <c r="A158" s="11">
        <v>43678</v>
      </c>
      <c r="B158" s="232">
        <f t="shared" si="0"/>
        <v>79.054457335913867</v>
      </c>
      <c r="C158" s="252">
        <v>96.369516287564068</v>
      </c>
      <c r="D158" s="235">
        <v>86.544189963707481</v>
      </c>
      <c r="E158" s="190">
        <v>14.574183495955991</v>
      </c>
      <c r="F158" s="190">
        <v>81.419426903331811</v>
      </c>
      <c r="G158" s="190"/>
      <c r="H158" s="190">
        <v>75.949765708012904</v>
      </c>
      <c r="I158" s="190">
        <v>93.820490433604945</v>
      </c>
      <c r="J158" s="190">
        <v>93.604174748488745</v>
      </c>
      <c r="K158" s="356">
        <v>90.761517488959782</v>
      </c>
      <c r="L158" s="299">
        <v>91.25158259079403</v>
      </c>
      <c r="M158" s="299">
        <v>119.94958743914881</v>
      </c>
      <c r="N158" s="303">
        <v>117.58483790373541</v>
      </c>
      <c r="O158" s="190"/>
      <c r="P158" s="190"/>
      <c r="Q158" s="190">
        <v>124.6546584198623</v>
      </c>
      <c r="R158" s="190">
        <v>119.9990813015682</v>
      </c>
      <c r="S158" s="190">
        <v>81.053783145821498</v>
      </c>
      <c r="T158" s="190"/>
      <c r="U158" s="189">
        <v>84.509937477989183</v>
      </c>
      <c r="V158" s="299">
        <v>85.708692987646714</v>
      </c>
      <c r="W158" s="299">
        <v>107.42692236924046</v>
      </c>
      <c r="X158" s="299">
        <v>141.65027892780748</v>
      </c>
      <c r="Y158" s="269">
        <v>96.802183846407544</v>
      </c>
      <c r="Z158" s="189">
        <v>63.318624409518627</v>
      </c>
      <c r="AA158" s="190"/>
      <c r="AB158" s="190">
        <v>69.932297682084084</v>
      </c>
      <c r="AC158" s="190">
        <v>62.283410366038687</v>
      </c>
      <c r="AD158" s="235">
        <v>90.182522247375928</v>
      </c>
      <c r="AE158" s="190">
        <v>83.201529963055989</v>
      </c>
      <c r="AF158" s="190"/>
      <c r="AG158" s="268">
        <v>100.22264059080625</v>
      </c>
      <c r="AH158" s="268">
        <v>84.955958531320732</v>
      </c>
      <c r="AI158" s="271"/>
      <c r="AJ158" s="271">
        <v>114.81550958850647</v>
      </c>
      <c r="AK158" s="271">
        <v>147.45872284083319</v>
      </c>
      <c r="AL158" s="268">
        <v>147.45872284083319</v>
      </c>
      <c r="AM158" s="270">
        <v>37.921916302275669</v>
      </c>
      <c r="AN158" s="270"/>
      <c r="AO158" s="238">
        <v>66.771124917221854</v>
      </c>
      <c r="AP158" s="268">
        <v>80.466641656948624</v>
      </c>
      <c r="AQ158" s="268">
        <v>51.610889086508784</v>
      </c>
      <c r="AR158" s="268">
        <v>73.921618975144298</v>
      </c>
    </row>
    <row r="159" spans="1:44" x14ac:dyDescent="0.25">
      <c r="A159" s="11">
        <v>43709</v>
      </c>
      <c r="B159" s="232">
        <f t="shared" si="0"/>
        <v>80.517129644989723</v>
      </c>
      <c r="C159" s="252">
        <v>97.990951700288718</v>
      </c>
      <c r="D159" s="235">
        <v>82.613202753002483</v>
      </c>
      <c r="E159" s="190">
        <v>14.524121574954583</v>
      </c>
      <c r="F159" s="190">
        <v>77.268476391330793</v>
      </c>
      <c r="G159" s="190"/>
      <c r="H159" s="190">
        <v>76.932453322943601</v>
      </c>
      <c r="I159" s="190">
        <v>88.834904508169572</v>
      </c>
      <c r="J159" s="190">
        <v>94.547243977928588</v>
      </c>
      <c r="K159" s="356">
        <v>94.06242270741636</v>
      </c>
      <c r="L159" s="299">
        <v>94.958167910577927</v>
      </c>
      <c r="M159" s="299">
        <v>110.20849883285126</v>
      </c>
      <c r="N159" s="303">
        <v>109.67804234892341</v>
      </c>
      <c r="O159" s="190"/>
      <c r="P159" s="190"/>
      <c r="Q159" s="190">
        <v>127.04423955983071</v>
      </c>
      <c r="R159" s="190">
        <v>111.64235792069415</v>
      </c>
      <c r="S159" s="190">
        <v>98.416454117661701</v>
      </c>
      <c r="T159" s="190"/>
      <c r="U159" s="189">
        <v>110.04468120801816</v>
      </c>
      <c r="V159" s="299">
        <v>111.786210565906</v>
      </c>
      <c r="W159" s="299">
        <v>88.240057623239139</v>
      </c>
      <c r="X159" s="299">
        <v>141.00613649948144</v>
      </c>
      <c r="Y159" s="269">
        <v>117.22283568221307</v>
      </c>
      <c r="Z159" s="189">
        <v>73.95901781978398</v>
      </c>
      <c r="AA159" s="190"/>
      <c r="AB159" s="190">
        <v>69.932297682084084</v>
      </c>
      <c r="AC159" s="190">
        <v>74.026801429058892</v>
      </c>
      <c r="AD159" s="235">
        <v>75.454728061523184</v>
      </c>
      <c r="AE159" s="190">
        <v>85.660516797528004</v>
      </c>
      <c r="AF159" s="190"/>
      <c r="AG159" s="268">
        <v>89.351896707740423</v>
      </c>
      <c r="AH159" s="268">
        <v>69.346452801442368</v>
      </c>
      <c r="AI159" s="271"/>
      <c r="AJ159" s="271">
        <v>115.17506928476102</v>
      </c>
      <c r="AK159" s="271">
        <v>148.71372280031335</v>
      </c>
      <c r="AL159" s="268">
        <v>148.71372280031335</v>
      </c>
      <c r="AM159" s="270">
        <v>40.292214021815319</v>
      </c>
      <c r="AN159" s="270"/>
      <c r="AO159" s="238">
        <v>68.121170409179342</v>
      </c>
      <c r="AP159" s="268">
        <v>77.006109208024043</v>
      </c>
      <c r="AQ159" s="268">
        <v>55.85773570267569</v>
      </c>
      <c r="AR159" s="268">
        <v>74.209370244990097</v>
      </c>
    </row>
    <row r="160" spans="1:44" x14ac:dyDescent="0.25">
      <c r="A160" s="11">
        <v>43739</v>
      </c>
      <c r="B160" s="232">
        <f t="shared" si="0"/>
        <v>86.883091571733019</v>
      </c>
      <c r="C160" s="252">
        <v>103.87731791031038</v>
      </c>
      <c r="D160" s="235">
        <v>93.835242123129078</v>
      </c>
      <c r="E160" s="190">
        <v>14.494557153808849</v>
      </c>
      <c r="F160" s="190">
        <v>83.996564912250236</v>
      </c>
      <c r="G160" s="190"/>
      <c r="H160" s="190">
        <v>80.723377171168835</v>
      </c>
      <c r="I160" s="190">
        <v>103.55974023797222</v>
      </c>
      <c r="J160" s="190">
        <v>78.774061815214253</v>
      </c>
      <c r="K160" s="356">
        <v>103.30052562627012</v>
      </c>
      <c r="L160" s="299">
        <v>104.40981025832608</v>
      </c>
      <c r="M160" s="299">
        <v>116.46642299929066</v>
      </c>
      <c r="N160" s="303">
        <v>110.93363186643893</v>
      </c>
      <c r="O160" s="190"/>
      <c r="P160" s="190"/>
      <c r="Q160" s="190">
        <v>125.50059767028887</v>
      </c>
      <c r="R160" s="190">
        <v>113.34549111864312</v>
      </c>
      <c r="S160" s="190">
        <v>63.109083039425137</v>
      </c>
      <c r="T160" s="190"/>
      <c r="U160" s="189">
        <v>116.1207222959323</v>
      </c>
      <c r="V160" s="299">
        <v>117.9769759935827</v>
      </c>
      <c r="W160" s="299">
        <v>87.801672709986278</v>
      </c>
      <c r="X160" s="299">
        <v>138.91942483229224</v>
      </c>
      <c r="Y160" s="269">
        <v>88.725340316324377</v>
      </c>
      <c r="Z160" s="189">
        <v>69.586477294358332</v>
      </c>
      <c r="AA160" s="190"/>
      <c r="AB160" s="190">
        <v>75.909568779671901</v>
      </c>
      <c r="AC160" s="190">
        <v>68.551501546731529</v>
      </c>
      <c r="AD160" s="235">
        <v>90.640167021860506</v>
      </c>
      <c r="AE160" s="190">
        <v>83.539586313253423</v>
      </c>
      <c r="AF160" s="190"/>
      <c r="AG160" s="268">
        <v>78.669310152457925</v>
      </c>
      <c r="AH160" s="268">
        <v>92.351848747870847</v>
      </c>
      <c r="AI160" s="271"/>
      <c r="AJ160" s="271">
        <v>103.62068221843393</v>
      </c>
      <c r="AK160" s="271">
        <v>148.08622282057325</v>
      </c>
      <c r="AL160" s="268">
        <v>148.08622282057325</v>
      </c>
      <c r="AM160" s="270">
        <v>33.339833308734242</v>
      </c>
      <c r="AN160" s="270"/>
      <c r="AO160" s="238">
        <v>74.827358357186696</v>
      </c>
      <c r="AP160" s="268">
        <v>88.90933730541218</v>
      </c>
      <c r="AQ160" s="268">
        <v>56.402760449063976</v>
      </c>
      <c r="AR160" s="268">
        <v>83.67442345657571</v>
      </c>
    </row>
    <row r="161" spans="1:44" x14ac:dyDescent="0.25">
      <c r="A161" s="11">
        <v>43770</v>
      </c>
      <c r="B161" s="232">
        <f t="shared" si="0"/>
        <v>83.945459314327437</v>
      </c>
      <c r="C161" s="252">
        <v>97.728852767800433</v>
      </c>
      <c r="D161" s="235">
        <v>89.130769778421907</v>
      </c>
      <c r="E161" s="190">
        <v>14.576300017842533</v>
      </c>
      <c r="F161" s="190">
        <v>88.635553844449532</v>
      </c>
      <c r="G161" s="190"/>
      <c r="H161" s="190">
        <v>83.28535386127723</v>
      </c>
      <c r="I161" s="190">
        <v>95.883862455196649</v>
      </c>
      <c r="J161" s="190">
        <v>87.709235447610254</v>
      </c>
      <c r="K161" s="356">
        <v>118.55745314510803</v>
      </c>
      <c r="L161" s="299">
        <v>120.4905914170232</v>
      </c>
      <c r="M161" s="299">
        <v>109.66781792203705</v>
      </c>
      <c r="N161" s="303">
        <v>111.62418229088313</v>
      </c>
      <c r="O161" s="190"/>
      <c r="P161" s="190"/>
      <c r="Q161" s="190">
        <v>105.45924923063558</v>
      </c>
      <c r="R161" s="190">
        <v>114.16726850890397</v>
      </c>
      <c r="S161" s="190">
        <v>57.744803806651667</v>
      </c>
      <c r="T161" s="190"/>
      <c r="U161" s="189">
        <v>92.653250640354202</v>
      </c>
      <c r="V161" s="299">
        <v>94.033058267294464</v>
      </c>
      <c r="W161" s="299">
        <v>99.032597006238063</v>
      </c>
      <c r="X161" s="299">
        <v>139.33896122460584</v>
      </c>
      <c r="Y161" s="269">
        <v>92.017894577721094</v>
      </c>
      <c r="Z161" s="189">
        <v>73.044747340295459</v>
      </c>
      <c r="AA161" s="190"/>
      <c r="AB161" s="190">
        <v>77.784171161748546</v>
      </c>
      <c r="AC161" s="190">
        <v>72.164564523844362</v>
      </c>
      <c r="AD161" s="235">
        <v>87.432521509214538</v>
      </c>
      <c r="AE161" s="190">
        <v>84.080256659886842</v>
      </c>
      <c r="AF161" s="190"/>
      <c r="AG161" s="268">
        <v>94.403909110712249</v>
      </c>
      <c r="AH161" s="268">
        <v>83.237455860675738</v>
      </c>
      <c r="AI161" s="271"/>
      <c r="AJ161" s="271">
        <v>107.66272017427177</v>
      </c>
      <c r="AK161" s="271">
        <v>148.4162526808804</v>
      </c>
      <c r="AL161" s="268">
        <v>148.4162526808804</v>
      </c>
      <c r="AM161" s="270">
        <v>37.89208833876733</v>
      </c>
      <c r="AN161" s="270"/>
      <c r="AO161" s="238">
        <v>74.167496437077361</v>
      </c>
      <c r="AP161" s="268">
        <v>100.38020099583608</v>
      </c>
      <c r="AQ161" s="268">
        <v>53.045024443514038</v>
      </c>
      <c r="AR161" s="268">
        <v>83.37660394206037</v>
      </c>
    </row>
    <row r="162" spans="1:44" x14ac:dyDescent="0.25">
      <c r="A162" s="11">
        <v>43800</v>
      </c>
      <c r="B162" s="232">
        <f t="shared" si="0"/>
        <v>88.980480873843277</v>
      </c>
      <c r="C162" s="252">
        <v>104.53942655242584</v>
      </c>
      <c r="D162" s="235">
        <v>97.428194016618193</v>
      </c>
      <c r="E162" s="190">
        <v>14.54229056064049</v>
      </c>
      <c r="F162" s="190">
        <v>92.906733416672637</v>
      </c>
      <c r="G162" s="190"/>
      <c r="H162" s="190">
        <v>85.665563956309569</v>
      </c>
      <c r="I162" s="190">
        <v>106.36833600701242</v>
      </c>
      <c r="J162" s="190">
        <v>89.357144638226146</v>
      </c>
      <c r="K162" s="356">
        <v>109.07678095722559</v>
      </c>
      <c r="L162" s="299">
        <v>110.57468803163697</v>
      </c>
      <c r="M162" s="299">
        <v>111.10300717067977</v>
      </c>
      <c r="N162" s="303">
        <v>117.38909023176465</v>
      </c>
      <c r="O162" s="190"/>
      <c r="P162" s="190"/>
      <c r="Q162" s="190">
        <v>116.39731272085801</v>
      </c>
      <c r="R162" s="190">
        <v>120.02192341852789</v>
      </c>
      <c r="S162" s="190">
        <v>63.199654614603084</v>
      </c>
      <c r="T162" s="190"/>
      <c r="U162" s="189">
        <v>104.09373034081354</v>
      </c>
      <c r="V162" s="299">
        <v>105.65945489400596</v>
      </c>
      <c r="W162" s="299">
        <v>106.8150804746416</v>
      </c>
      <c r="X162" s="299">
        <v>129.29626470444725</v>
      </c>
      <c r="Y162" s="269">
        <v>100.6521895021139</v>
      </c>
      <c r="Z162" s="189">
        <v>56.165554090516764</v>
      </c>
      <c r="AA162" s="190"/>
      <c r="AB162" s="190">
        <v>79.115062273597061</v>
      </c>
      <c r="AC162" s="190">
        <v>53.391035273652399</v>
      </c>
      <c r="AD162" s="235">
        <v>96.537892497642929</v>
      </c>
      <c r="AE162" s="190">
        <v>88.800552431094658</v>
      </c>
      <c r="AF162" s="190"/>
      <c r="AG162" s="268">
        <v>93.708141729771199</v>
      </c>
      <c r="AH162" s="268">
        <v>95.229280457800641</v>
      </c>
      <c r="AI162" s="271"/>
      <c r="AJ162" s="271">
        <v>106.70909772463837</v>
      </c>
      <c r="AK162" s="271">
        <v>148.15898681448684</v>
      </c>
      <c r="AL162" s="268">
        <v>148.15898681448684</v>
      </c>
      <c r="AM162" s="270">
        <v>38.694234285377242</v>
      </c>
      <c r="AN162" s="270"/>
      <c r="AO162" s="238">
        <v>77.942938212968471</v>
      </c>
      <c r="AP162" s="268">
        <v>94.198856414020227</v>
      </c>
      <c r="AQ162" s="268">
        <v>56.177156291599282</v>
      </c>
      <c r="AR162" s="268">
        <v>88.334873791731312</v>
      </c>
    </row>
    <row r="163" spans="1:44" x14ac:dyDescent="0.25">
      <c r="A163" s="11">
        <v>43831</v>
      </c>
      <c r="B163" s="232">
        <f t="shared" si="0"/>
        <v>85.069282381628284</v>
      </c>
      <c r="C163" s="252">
        <v>99.232614181863298</v>
      </c>
      <c r="D163" s="235">
        <v>93.142552428652394</v>
      </c>
      <c r="E163" s="190">
        <v>14.530158253607949</v>
      </c>
      <c r="F163" s="190">
        <v>75.812417771005684</v>
      </c>
      <c r="G163" s="190"/>
      <c r="H163" s="190">
        <v>77.706234820045836</v>
      </c>
      <c r="I163" s="190">
        <v>103.5843882358801</v>
      </c>
      <c r="J163" s="190">
        <v>88.399707233814013</v>
      </c>
      <c r="K163" s="356">
        <v>108.52686417124799</v>
      </c>
      <c r="L163" s="299">
        <v>110.09046028078416</v>
      </c>
      <c r="M163" s="299">
        <v>107.87963932436334</v>
      </c>
      <c r="N163" s="303">
        <v>108.68261036993947</v>
      </c>
      <c r="O163" s="190"/>
      <c r="P163" s="190"/>
      <c r="Q163" s="190">
        <v>111.38736760317744</v>
      </c>
      <c r="R163" s="190">
        <v>111.09580792110467</v>
      </c>
      <c r="S163" s="190">
        <v>59.875341488922196</v>
      </c>
      <c r="T163" s="190"/>
      <c r="U163" s="189">
        <v>99.822893399487299</v>
      </c>
      <c r="V163" s="299">
        <v>101.33656232537028</v>
      </c>
      <c r="W163" s="299">
        <v>98.947712207908069</v>
      </c>
      <c r="X163" s="299">
        <v>129.74855943324044</v>
      </c>
      <c r="Y163" s="269">
        <v>103.9239535836157</v>
      </c>
      <c r="Z163" s="189">
        <v>58.037868785287401</v>
      </c>
      <c r="AA163" s="190"/>
      <c r="AB163" s="190">
        <v>79.896112709378812</v>
      </c>
      <c r="AC163" s="190">
        <v>55.372566986498775</v>
      </c>
      <c r="AD163" s="235">
        <v>95.308012335947964</v>
      </c>
      <c r="AE163" s="190">
        <v>87.300094166344266</v>
      </c>
      <c r="AF163" s="190"/>
      <c r="AG163" s="268">
        <v>103.73329555067298</v>
      </c>
      <c r="AH163" s="268">
        <v>90.47433104873295</v>
      </c>
      <c r="AI163" s="271"/>
      <c r="AJ163" s="271">
        <v>100.07726900075622</v>
      </c>
      <c r="AK163" s="271">
        <v>148.22048743864684</v>
      </c>
      <c r="AL163" s="268">
        <v>148.22048743864684</v>
      </c>
      <c r="AM163" s="270">
        <v>31.946401198798743</v>
      </c>
      <c r="AN163" s="270"/>
      <c r="AO163" s="238">
        <v>75.021790591717988</v>
      </c>
      <c r="AP163" s="268">
        <v>91.674094795352559</v>
      </c>
      <c r="AQ163" s="268">
        <v>58.920668958163887</v>
      </c>
      <c r="AR163" s="268">
        <v>82.477588071208331</v>
      </c>
    </row>
    <row r="164" spans="1:44" x14ac:dyDescent="0.25">
      <c r="A164" s="11">
        <v>43862</v>
      </c>
      <c r="B164" s="232">
        <f t="shared" si="0"/>
        <v>77.567087708410696</v>
      </c>
      <c r="C164" s="252">
        <v>91.294189112948956</v>
      </c>
      <c r="D164" s="235">
        <v>81.346852086267617</v>
      </c>
      <c r="E164" s="190">
        <v>14.53824645829631</v>
      </c>
      <c r="F164" s="190">
        <v>82.921868234515543</v>
      </c>
      <c r="G164" s="190"/>
      <c r="H164" s="190">
        <v>86.377541804262847</v>
      </c>
      <c r="I164" s="190">
        <v>84.888138177521128</v>
      </c>
      <c r="J164" s="190">
        <v>106.13379224235028</v>
      </c>
      <c r="K164" s="356">
        <v>109.27998660084656</v>
      </c>
      <c r="L164" s="299">
        <v>110.99144022672827</v>
      </c>
      <c r="M164" s="299">
        <v>103.64632479010021</v>
      </c>
      <c r="N164" s="303">
        <v>110.94018763279429</v>
      </c>
      <c r="O164" s="190"/>
      <c r="P164" s="190"/>
      <c r="Q164" s="190">
        <v>102.44607568213247</v>
      </c>
      <c r="R164" s="190">
        <v>113.0974050447127</v>
      </c>
      <c r="S164" s="190">
        <v>90.176710001915396</v>
      </c>
      <c r="T164" s="190"/>
      <c r="U164" s="189">
        <v>79.734222368107879</v>
      </c>
      <c r="V164" s="299">
        <v>80.892661135151826</v>
      </c>
      <c r="W164" s="299">
        <v>93.511886773058379</v>
      </c>
      <c r="X164" s="299">
        <v>133.61889411940166</v>
      </c>
      <c r="Y164" s="269">
        <v>85.76972900705357</v>
      </c>
      <c r="Z164" s="189">
        <v>52.733494956316022</v>
      </c>
      <c r="AA164" s="190"/>
      <c r="AB164" s="190">
        <v>62.400798827146659</v>
      </c>
      <c r="AC164" s="190">
        <v>51.419391695483256</v>
      </c>
      <c r="AD164" s="235">
        <v>83.6700266399898</v>
      </c>
      <c r="AE164" s="190">
        <v>87.724536705356698</v>
      </c>
      <c r="AF164" s="190"/>
      <c r="AG164" s="268">
        <v>94.829921935343961</v>
      </c>
      <c r="AH164" s="268">
        <v>78.238502619295204</v>
      </c>
      <c r="AI164" s="271"/>
      <c r="AJ164" s="271">
        <v>103.69838580125496</v>
      </c>
      <c r="AK164" s="271">
        <v>148.53991485465437</v>
      </c>
      <c r="AL164" s="268">
        <v>148.53991485465437</v>
      </c>
      <c r="AM164" s="270">
        <v>29.191555531559999</v>
      </c>
      <c r="AN164" s="270"/>
      <c r="AO164" s="238">
        <v>67.829058506900651</v>
      </c>
      <c r="AP164" s="268">
        <v>83.178353353803686</v>
      </c>
      <c r="AQ164" s="268">
        <v>53.8310844684122</v>
      </c>
      <c r="AR164" s="268">
        <v>74.261530007043362</v>
      </c>
    </row>
    <row r="165" spans="1:44" x14ac:dyDescent="0.25">
      <c r="A165" s="11">
        <v>43891</v>
      </c>
      <c r="B165" s="232">
        <f t="shared" si="0"/>
        <v>81.426686194871564</v>
      </c>
      <c r="C165" s="252">
        <v>93.053039982730908</v>
      </c>
      <c r="D165" s="235">
        <v>75.763433696792006</v>
      </c>
      <c r="E165" s="190">
        <v>14.53824645829631</v>
      </c>
      <c r="F165" s="190">
        <v>61.608571846357627</v>
      </c>
      <c r="G165" s="190"/>
      <c r="H165" s="190">
        <v>62.421557461702683</v>
      </c>
      <c r="I165" s="190">
        <v>82.644804758993914</v>
      </c>
      <c r="J165" s="190">
        <v>104.03106347915312</v>
      </c>
      <c r="K165" s="356">
        <v>66.945309366216378</v>
      </c>
      <c r="L165" s="299">
        <v>66.973596364315299</v>
      </c>
      <c r="M165" s="299">
        <v>100.58974505982407</v>
      </c>
      <c r="N165" s="303">
        <v>110.53885677825663</v>
      </c>
      <c r="O165" s="190"/>
      <c r="P165" s="190"/>
      <c r="Q165" s="190">
        <v>90.718659556908435</v>
      </c>
      <c r="R165" s="190">
        <v>112.97560932824359</v>
      </c>
      <c r="S165" s="190">
        <v>67.182005288940445</v>
      </c>
      <c r="T165" s="190"/>
      <c r="U165" s="189">
        <v>98.011471275798868</v>
      </c>
      <c r="V165" s="299">
        <v>99.658636904791237</v>
      </c>
      <c r="W165" s="299">
        <v>51.113463690256602</v>
      </c>
      <c r="X165" s="299">
        <v>133.94346853464253</v>
      </c>
      <c r="Y165" s="269">
        <v>92.204567270352129</v>
      </c>
      <c r="Z165" s="189">
        <v>45.582182533915933</v>
      </c>
      <c r="AA165" s="190"/>
      <c r="AB165" s="190">
        <v>77.431471036481739</v>
      </c>
      <c r="AC165" s="190">
        <v>41.893517623155283</v>
      </c>
      <c r="AD165" s="235">
        <v>89.949585836435588</v>
      </c>
      <c r="AE165" s="190">
        <v>81.770880556756367</v>
      </c>
      <c r="AF165" s="190"/>
      <c r="AG165" s="268">
        <v>80.219150689171585</v>
      </c>
      <c r="AH165" s="268">
        <v>90.969736371090889</v>
      </c>
      <c r="AI165" s="271"/>
      <c r="AJ165" s="271">
        <v>102.29358432889309</v>
      </c>
      <c r="AK165" s="271">
        <v>148.30646303592937</v>
      </c>
      <c r="AL165" s="268">
        <v>148.30646303592937</v>
      </c>
      <c r="AM165" s="270">
        <v>13.516660259231481</v>
      </c>
      <c r="AN165" s="270"/>
      <c r="AO165" s="238">
        <v>73.178930943655104</v>
      </c>
      <c r="AP165" s="268">
        <v>93.846147423746757</v>
      </c>
      <c r="AQ165" s="268">
        <v>63.45404756410661</v>
      </c>
      <c r="AR165" s="268">
        <v>77.047284345802296</v>
      </c>
    </row>
    <row r="166" spans="1:44" x14ac:dyDescent="0.25">
      <c r="A166" s="11">
        <v>43922</v>
      </c>
      <c r="B166" s="232">
        <f t="shared" si="0"/>
        <v>74.486842867070123</v>
      </c>
      <c r="C166" s="252">
        <v>88.690726147442803</v>
      </c>
      <c r="D166" s="235">
        <v>80.388911778986952</v>
      </c>
      <c r="E166" s="190">
        <v>14.535550390066856</v>
      </c>
      <c r="F166" s="190">
        <v>58.818174194961209</v>
      </c>
      <c r="G166" s="190"/>
      <c r="H166" s="190">
        <v>73.188634223247718</v>
      </c>
      <c r="I166" s="190">
        <v>89.127376871342747</v>
      </c>
      <c r="J166" s="190">
        <v>80.143227746902753</v>
      </c>
      <c r="K166" s="356">
        <v>71.715368202742624</v>
      </c>
      <c r="L166" s="299">
        <v>71.847932146787528</v>
      </c>
      <c r="M166" s="299">
        <v>104.03856972476254</v>
      </c>
      <c r="N166" s="303">
        <v>109.83548498013883</v>
      </c>
      <c r="O166" s="190"/>
      <c r="P166" s="190"/>
      <c r="Q166" s="190">
        <v>78.489919597288193</v>
      </c>
      <c r="R166" s="190">
        <v>112.24238808162792</v>
      </c>
      <c r="S166" s="190">
        <v>70.454202087488653</v>
      </c>
      <c r="T166" s="190"/>
      <c r="U166" s="189">
        <v>78.756801690718646</v>
      </c>
      <c r="V166" s="299">
        <v>79.968654314366447</v>
      </c>
      <c r="W166" s="299">
        <v>73.026581139413565</v>
      </c>
      <c r="X166" s="299">
        <v>125.28928314170062</v>
      </c>
      <c r="Y166" s="269">
        <v>98.999411675802961</v>
      </c>
      <c r="Z166" s="189">
        <v>59.009288196841794</v>
      </c>
      <c r="AA166" s="190"/>
      <c r="AB166" s="190">
        <v>67.978716257159661</v>
      </c>
      <c r="AC166" s="190">
        <v>57.73964048236504</v>
      </c>
      <c r="AD166" s="235">
        <v>75.33022554640678</v>
      </c>
      <c r="AE166" s="190">
        <v>79.49179209908803</v>
      </c>
      <c r="AF166" s="190"/>
      <c r="AG166" s="268">
        <v>93.054529510612994</v>
      </c>
      <c r="AH166" s="268">
        <v>68.016594921607677</v>
      </c>
      <c r="AI166" s="271"/>
      <c r="AJ166" s="271">
        <v>100.67935219048942</v>
      </c>
      <c r="AK166" s="271">
        <v>148.30646303592937</v>
      </c>
      <c r="AL166" s="268">
        <v>148.30646303592937</v>
      </c>
      <c r="AM166" s="270">
        <v>1.1217198126758383</v>
      </c>
      <c r="AN166" s="270"/>
      <c r="AO166" s="238">
        <v>64.410583787831371</v>
      </c>
      <c r="AP166" s="268">
        <v>70.870474063455404</v>
      </c>
      <c r="AQ166" s="268">
        <v>63.189590062305001</v>
      </c>
      <c r="AR166" s="268">
        <v>65.056821193148835</v>
      </c>
    </row>
    <row r="167" spans="1:44" x14ac:dyDescent="0.25">
      <c r="A167" s="11">
        <v>43952</v>
      </c>
      <c r="B167" s="232">
        <f t="shared" si="0"/>
        <v>72.816213330370715</v>
      </c>
      <c r="C167" s="252">
        <v>88.969825815676757</v>
      </c>
      <c r="D167" s="235">
        <v>77.739110679168007</v>
      </c>
      <c r="E167" s="190">
        <v>14.537347768886491</v>
      </c>
      <c r="F167" s="190">
        <v>61.093767233627354</v>
      </c>
      <c r="G167" s="190"/>
      <c r="H167" s="190">
        <v>74.405375655640356</v>
      </c>
      <c r="I167" s="190">
        <v>85.435543008461238</v>
      </c>
      <c r="J167" s="190">
        <v>71.428881111998123</v>
      </c>
      <c r="K167" s="356">
        <v>75.91326410292686</v>
      </c>
      <c r="L167" s="299">
        <v>76.25627628704062</v>
      </c>
      <c r="M167" s="299">
        <v>102.75821319156226</v>
      </c>
      <c r="N167" s="303">
        <v>112.05416202735177</v>
      </c>
      <c r="O167" s="190"/>
      <c r="P167" s="190"/>
      <c r="Q167" s="190">
        <v>99.644792104352078</v>
      </c>
      <c r="R167" s="190">
        <v>114.48148325407473</v>
      </c>
      <c r="S167" s="190">
        <v>70.223402505645495</v>
      </c>
      <c r="T167" s="190"/>
      <c r="U167" s="189">
        <v>80.503485055459976</v>
      </c>
      <c r="V167" s="299">
        <v>81.642092336657399</v>
      </c>
      <c r="W167" s="299">
        <v>103.28290019159769</v>
      </c>
      <c r="X167" s="299">
        <v>121.94631494983246</v>
      </c>
      <c r="Y167" s="269">
        <v>99.82053348379209</v>
      </c>
      <c r="Z167" s="189">
        <v>61.356654039090188</v>
      </c>
      <c r="AA167" s="190"/>
      <c r="AB167" s="190">
        <v>64.718134625981492</v>
      </c>
      <c r="AC167" s="190">
        <v>60.684635305196352</v>
      </c>
      <c r="AD167" s="235">
        <v>68.745729533005303</v>
      </c>
      <c r="AE167" s="190">
        <v>87.106641132469292</v>
      </c>
      <c r="AF167" s="190"/>
      <c r="AG167" s="268">
        <v>69.370283209895391</v>
      </c>
      <c r="AH167" s="268">
        <v>66.980535816011951</v>
      </c>
      <c r="AI167" s="271"/>
      <c r="AJ167" s="271">
        <v>102.4573837144566</v>
      </c>
      <c r="AK167" s="271">
        <v>148.3842803088377</v>
      </c>
      <c r="AL167" s="268">
        <v>148.3842803088377</v>
      </c>
      <c r="AM167" s="270">
        <v>1.5903902712504054</v>
      </c>
      <c r="AN167" s="270"/>
      <c r="AO167" s="238">
        <v>61.35681302028182</v>
      </c>
      <c r="AP167" s="268">
        <v>73.315133043078632</v>
      </c>
      <c r="AQ167" s="268">
        <v>49.086551904433755</v>
      </c>
      <c r="AR167" s="268">
        <v>67.135584971436302</v>
      </c>
    </row>
    <row r="168" spans="1:44" x14ac:dyDescent="0.25">
      <c r="A168" s="11">
        <v>43983</v>
      </c>
      <c r="B168" s="232">
        <f t="shared" si="0"/>
        <v>76.957407054072974</v>
      </c>
      <c r="C168" s="252">
        <v>94.018479733550961</v>
      </c>
      <c r="D168" s="235">
        <v>79.950700714338822</v>
      </c>
      <c r="E168" s="190">
        <v>14.41511538632836</v>
      </c>
      <c r="F168" s="190">
        <v>70.840829074169193</v>
      </c>
      <c r="G168" s="190"/>
      <c r="H168" s="190">
        <v>75.391401925380151</v>
      </c>
      <c r="I168" s="190">
        <v>86.926919202713947</v>
      </c>
      <c r="J168" s="190">
        <v>76.482894336371146</v>
      </c>
      <c r="K168" s="356">
        <v>79.075012216032746</v>
      </c>
      <c r="L168" s="299">
        <v>79.49305797604346</v>
      </c>
      <c r="M168" s="299">
        <v>104.82910231822066</v>
      </c>
      <c r="N168" s="303">
        <v>114.92318300411868</v>
      </c>
      <c r="O168" s="190"/>
      <c r="P168" s="190"/>
      <c r="Q168" s="190">
        <v>91.322977814441117</v>
      </c>
      <c r="R168" s="190">
        <v>117.41829511894711</v>
      </c>
      <c r="S168" s="190">
        <v>73.814720323286522</v>
      </c>
      <c r="T168" s="190"/>
      <c r="U168" s="189">
        <v>90.243344725099618</v>
      </c>
      <c r="V168" s="299">
        <v>91.503817140432432</v>
      </c>
      <c r="W168" s="299">
        <v>120.32397637871034</v>
      </c>
      <c r="X168" s="299">
        <v>138.53041929759016</v>
      </c>
      <c r="Y168" s="269">
        <v>102.17724894272797</v>
      </c>
      <c r="Z168" s="189">
        <v>64.922725407485459</v>
      </c>
      <c r="AA168" s="190"/>
      <c r="AB168" s="190">
        <v>82.568539183580228</v>
      </c>
      <c r="AC168" s="190">
        <v>62.680728853965121</v>
      </c>
      <c r="AD168" s="235">
        <v>80.696948261036354</v>
      </c>
      <c r="AE168" s="190">
        <v>100.73012978008603</v>
      </c>
      <c r="AF168" s="190"/>
      <c r="AG168" s="268">
        <v>85.59246361858763</v>
      </c>
      <c r="AH168" s="268">
        <v>77.310850681548544</v>
      </c>
      <c r="AI168" s="271"/>
      <c r="AJ168" s="271">
        <v>101.41416587491636</v>
      </c>
      <c r="AK168" s="271">
        <v>148.60890572857107</v>
      </c>
      <c r="AL168" s="268">
        <v>148.60890572857107</v>
      </c>
      <c r="AM168" s="270">
        <v>3.5161715591586988</v>
      </c>
      <c r="AN168" s="270"/>
      <c r="AO168" s="238">
        <v>64.85425293102449</v>
      </c>
      <c r="AP168" s="268">
        <v>85.898076099731924</v>
      </c>
      <c r="AQ168" s="268">
        <v>50.174316351298245</v>
      </c>
      <c r="AR168" s="268">
        <v>71.136548976869989</v>
      </c>
    </row>
    <row r="169" spans="1:44" x14ac:dyDescent="0.25">
      <c r="A169" s="11">
        <v>44013</v>
      </c>
      <c r="B169" s="232">
        <f t="shared" si="0"/>
        <v>77.107735117868927</v>
      </c>
      <c r="C169" s="252">
        <v>91.722192518087553</v>
      </c>
      <c r="D169" s="235">
        <v>84.650741163448458</v>
      </c>
      <c r="E169" s="190">
        <v>14.392407915481972</v>
      </c>
      <c r="F169" s="190">
        <v>64.079316406432113</v>
      </c>
      <c r="G169" s="190"/>
      <c r="H169" s="190">
        <v>85.718039591508941</v>
      </c>
      <c r="I169" s="190">
        <v>92.555060867734994</v>
      </c>
      <c r="J169" s="190">
        <v>89.868434917404954</v>
      </c>
      <c r="K169" s="356">
        <v>85.539749486980853</v>
      </c>
      <c r="L169" s="299">
        <v>86.04018814891748</v>
      </c>
      <c r="M169" s="299">
        <v>111.64609479886064</v>
      </c>
      <c r="N169" s="303">
        <v>110.37306493474296</v>
      </c>
      <c r="O169" s="190"/>
      <c r="P169" s="190"/>
      <c r="Q169" s="190">
        <v>111.94713532027245</v>
      </c>
      <c r="R169" s="190">
        <v>112.64502425512273</v>
      </c>
      <c r="S169" s="190">
        <v>76.641847248337342</v>
      </c>
      <c r="T169" s="190"/>
      <c r="U169" s="189">
        <v>82.325405317947443</v>
      </c>
      <c r="V169" s="299">
        <v>83.527703710068664</v>
      </c>
      <c r="W169" s="299">
        <v>94.77379066211148</v>
      </c>
      <c r="X169" s="299">
        <v>143.51887500022255</v>
      </c>
      <c r="Y169" s="269">
        <v>104.58657690669662</v>
      </c>
      <c r="Z169" s="189">
        <v>73.975022707396192</v>
      </c>
      <c r="AA169" s="190"/>
      <c r="AB169" s="190">
        <v>88.60657094391685</v>
      </c>
      <c r="AC169" s="190">
        <v>72.015301434525966</v>
      </c>
      <c r="AD169" s="235">
        <v>75.848519139837592</v>
      </c>
      <c r="AE169" s="190">
        <v>85.56687469720481</v>
      </c>
      <c r="AF169" s="190"/>
      <c r="AG169" s="268">
        <v>76.593616597488563</v>
      </c>
      <c r="AH169" s="268">
        <v>73.883262603464985</v>
      </c>
      <c r="AI169" s="271"/>
      <c r="AJ169" s="271">
        <v>101.23603549971314</v>
      </c>
      <c r="AK169" s="271">
        <v>148.43321635777934</v>
      </c>
      <c r="AL169" s="268">
        <v>148.43321635777934</v>
      </c>
      <c r="AM169" s="270">
        <v>11.554035446077826</v>
      </c>
      <c r="AN169" s="270"/>
      <c r="AO169" s="238">
        <v>66.740214056175375</v>
      </c>
      <c r="AP169" s="268">
        <v>69.13414964691853</v>
      </c>
      <c r="AQ169" s="268">
        <v>53.217623793545052</v>
      </c>
      <c r="AR169" s="268">
        <v>73.992768419760779</v>
      </c>
    </row>
    <row r="170" spans="1:44" x14ac:dyDescent="0.25">
      <c r="A170" s="11">
        <v>44044</v>
      </c>
      <c r="B170" s="232">
        <f t="shared" si="0"/>
        <v>76.387432932385948</v>
      </c>
      <c r="C170" s="252">
        <v>89.172360330871456</v>
      </c>
      <c r="D170" s="235">
        <v>78.702626261112911</v>
      </c>
      <c r="E170" s="190">
        <v>14.357834618545787</v>
      </c>
      <c r="F170" s="190">
        <v>60.248743733534546</v>
      </c>
      <c r="G170" s="190"/>
      <c r="H170" s="190">
        <v>81.44303488882079</v>
      </c>
      <c r="I170" s="190">
        <v>85.55190091704111</v>
      </c>
      <c r="J170" s="190">
        <v>85.536021094083168</v>
      </c>
      <c r="K170" s="356">
        <v>87.307974381336265</v>
      </c>
      <c r="L170" s="299">
        <v>87.811542837533665</v>
      </c>
      <c r="M170" s="299">
        <v>114.21632972626936</v>
      </c>
      <c r="N170" s="303">
        <v>112.27513865904152</v>
      </c>
      <c r="O170" s="190"/>
      <c r="P170" s="190"/>
      <c r="Q170" s="190">
        <v>85.908222160004513</v>
      </c>
      <c r="R170" s="190">
        <v>114.63688140092958</v>
      </c>
      <c r="S170" s="190">
        <v>79.426062826267042</v>
      </c>
      <c r="T170" s="190"/>
      <c r="U170" s="189">
        <v>75.713893114423072</v>
      </c>
      <c r="V170" s="299">
        <v>76.788710168287025</v>
      </c>
      <c r="W170" s="299">
        <v>96.007767758647034</v>
      </c>
      <c r="X170" s="299">
        <v>141.39720771160751</v>
      </c>
      <c r="Y170" s="269">
        <v>105.33012144470935</v>
      </c>
      <c r="Z170" s="189">
        <v>60.694614332198043</v>
      </c>
      <c r="AA170" s="190"/>
      <c r="AB170" s="190">
        <v>96.776910588792973</v>
      </c>
      <c r="AC170" s="190">
        <v>56.470431129431645</v>
      </c>
      <c r="AD170" s="235">
        <v>76.961368601081077</v>
      </c>
      <c r="AE170" s="190">
        <v>89.939357679273471</v>
      </c>
      <c r="AF170" s="190"/>
      <c r="AG170" s="268">
        <v>78.436135364575037</v>
      </c>
      <c r="AH170" s="268">
        <v>74.740378385120366</v>
      </c>
      <c r="AI170" s="271"/>
      <c r="AJ170" s="271">
        <v>101.89650581719073</v>
      </c>
      <c r="AK170" s="271">
        <v>148.47546746506268</v>
      </c>
      <c r="AL170" s="268">
        <v>148.47546746506268</v>
      </c>
      <c r="AM170" s="270">
        <v>15.736071713659824</v>
      </c>
      <c r="AN170" s="270"/>
      <c r="AO170" s="238">
        <v>67.317783581323567</v>
      </c>
      <c r="AP170" s="268">
        <v>75.158190102593082</v>
      </c>
      <c r="AQ170" s="268">
        <v>54.469787638312667</v>
      </c>
      <c r="AR170" s="268">
        <v>73.782345206446706</v>
      </c>
    </row>
    <row r="171" spans="1:44" x14ac:dyDescent="0.25">
      <c r="A171" s="11">
        <v>44075</v>
      </c>
      <c r="B171" s="232">
        <f t="shared" si="0"/>
        <v>80.022299379210565</v>
      </c>
      <c r="C171" s="252">
        <v>93.337222850400963</v>
      </c>
      <c r="D171" s="235">
        <v>80.602295181984942</v>
      </c>
      <c r="E171" s="190">
        <v>14.304106108339433</v>
      </c>
      <c r="F171" s="190">
        <v>61.890341704714899</v>
      </c>
      <c r="G171" s="190"/>
      <c r="H171" s="190">
        <v>85.66539316795739</v>
      </c>
      <c r="I171" s="190">
        <v>87.761521023387374</v>
      </c>
      <c r="J171" s="190">
        <v>78.87432374719296</v>
      </c>
      <c r="K171" s="356">
        <v>87.299646912775316</v>
      </c>
      <c r="L171" s="299">
        <v>87.869970943277011</v>
      </c>
      <c r="M171" s="299">
        <v>111.77627463745404</v>
      </c>
      <c r="N171" s="303">
        <v>108.64064407972849</v>
      </c>
      <c r="O171" s="190"/>
      <c r="P171" s="190"/>
      <c r="Q171" s="190">
        <v>75.868975618529447</v>
      </c>
      <c r="R171" s="190">
        <v>110.9584139425076</v>
      </c>
      <c r="S171" s="190">
        <v>75.548291874332705</v>
      </c>
      <c r="T171" s="190"/>
      <c r="U171" s="189">
        <v>90.853658949329329</v>
      </c>
      <c r="V171" s="299">
        <v>92.235050109934249</v>
      </c>
      <c r="W171" s="299">
        <v>88.990945934098178</v>
      </c>
      <c r="X171" s="299">
        <v>145.42549451944242</v>
      </c>
      <c r="Y171" s="269">
        <v>105.68729992901103</v>
      </c>
      <c r="Z171" s="189">
        <v>57.597152220900952</v>
      </c>
      <c r="AA171" s="190"/>
      <c r="AB171" s="190">
        <v>97.758567541305666</v>
      </c>
      <c r="AC171" s="190">
        <v>52.945214121737806</v>
      </c>
      <c r="AD171" s="235">
        <v>95.815453958103177</v>
      </c>
      <c r="AE171" s="190">
        <v>81.440785881698034</v>
      </c>
      <c r="AF171" s="190"/>
      <c r="AG171" s="268">
        <v>92.397499958594892</v>
      </c>
      <c r="AH171" s="268">
        <v>94.709011005068092</v>
      </c>
      <c r="AI171" s="271"/>
      <c r="AJ171" s="271">
        <v>101.33235480171338</v>
      </c>
      <c r="AK171" s="271">
        <v>149.73912079165217</v>
      </c>
      <c r="AL171" s="268">
        <v>149.73912079165217</v>
      </c>
      <c r="AM171" s="270">
        <v>24.755828941184085</v>
      </c>
      <c r="AN171" s="270"/>
      <c r="AO171" s="238">
        <v>70.576669908195157</v>
      </c>
      <c r="AP171" s="268">
        <v>76.889037653429938</v>
      </c>
      <c r="AQ171" s="268">
        <v>63.233677846621163</v>
      </c>
      <c r="AR171" s="268">
        <v>74.399035369176076</v>
      </c>
    </row>
    <row r="172" spans="1:44" x14ac:dyDescent="0.25">
      <c r="A172" s="11">
        <v>44105</v>
      </c>
      <c r="B172" s="232">
        <f t="shared" si="0"/>
        <v>79.704814644388321</v>
      </c>
      <c r="C172" s="252">
        <v>94.033795203660077</v>
      </c>
      <c r="D172" s="235">
        <v>85.204441338123829</v>
      </c>
      <c r="E172" s="190">
        <v>14.330506788310007</v>
      </c>
      <c r="F172" s="190">
        <v>62.18451952753766</v>
      </c>
      <c r="G172" s="190"/>
      <c r="H172" s="190">
        <v>83.712973143679321</v>
      </c>
      <c r="I172" s="190">
        <v>93.908453017618484</v>
      </c>
      <c r="J172" s="190">
        <v>86.695323605473845</v>
      </c>
      <c r="K172" s="356">
        <v>88.531972104203319</v>
      </c>
      <c r="L172" s="299">
        <v>89.2218265789882</v>
      </c>
      <c r="M172" s="299">
        <v>109.30040618823662</v>
      </c>
      <c r="N172" s="303">
        <v>107.28748120672749</v>
      </c>
      <c r="O172" s="190"/>
      <c r="P172" s="190"/>
      <c r="Q172" s="190">
        <v>91.241444366268809</v>
      </c>
      <c r="R172" s="190">
        <v>109.364970871807</v>
      </c>
      <c r="S172" s="190">
        <v>89.612423674363342</v>
      </c>
      <c r="T172" s="190"/>
      <c r="U172" s="189">
        <v>91.459562762658919</v>
      </c>
      <c r="V172" s="299">
        <v>92.740395680180157</v>
      </c>
      <c r="W172" s="299">
        <v>120.9808555335086</v>
      </c>
      <c r="X172" s="299">
        <v>149.16553585231443</v>
      </c>
      <c r="Y172" s="269">
        <v>104.9261610452287</v>
      </c>
      <c r="Z172" s="189">
        <v>56.608693855162905</v>
      </c>
      <c r="AA172" s="190"/>
      <c r="AB172" s="190">
        <v>88.636085723663996</v>
      </c>
      <c r="AC172" s="190">
        <v>52.845548210246911</v>
      </c>
      <c r="AD172" s="235">
        <v>94.708846753123098</v>
      </c>
      <c r="AE172" s="190">
        <v>84.087704825218964</v>
      </c>
      <c r="AF172" s="190"/>
      <c r="AG172" s="268">
        <v>94.022475949645454</v>
      </c>
      <c r="AH172" s="268">
        <v>92.765306142994419</v>
      </c>
      <c r="AI172" s="271"/>
      <c r="AJ172" s="271">
        <v>101.46228688587149</v>
      </c>
      <c r="AK172" s="271">
        <v>149.10729412835741</v>
      </c>
      <c r="AL172" s="268">
        <v>149.10729412835741</v>
      </c>
      <c r="AM172" s="270">
        <v>23.365132507134454</v>
      </c>
      <c r="AN172" s="270"/>
      <c r="AO172" s="238">
        <v>69.539811341657057</v>
      </c>
      <c r="AP172" s="268">
        <v>77.782406199023484</v>
      </c>
      <c r="AQ172" s="268">
        <v>56.746034580510475</v>
      </c>
      <c r="AR172" s="268">
        <v>75.962893694265134</v>
      </c>
    </row>
    <row r="173" spans="1:44" x14ac:dyDescent="0.25">
      <c r="A173" s="11">
        <v>44136</v>
      </c>
      <c r="B173" s="232">
        <f t="shared" si="0"/>
        <v>81.624793132351485</v>
      </c>
      <c r="C173" s="252">
        <v>94.873721982090345</v>
      </c>
      <c r="D173" s="235">
        <v>92.340264510084339</v>
      </c>
      <c r="E173" s="190">
        <v>14.217140836953201</v>
      </c>
      <c r="F173" s="190">
        <v>71.419909901929202</v>
      </c>
      <c r="G173" s="190"/>
      <c r="H173" s="190">
        <v>68.406080085800014</v>
      </c>
      <c r="I173" s="190">
        <v>104.46120707804155</v>
      </c>
      <c r="J173" s="190">
        <v>79.500789917120215</v>
      </c>
      <c r="K173" s="356">
        <v>74.296603079731256</v>
      </c>
      <c r="L173" s="299">
        <v>75.135287372437844</v>
      </c>
      <c r="M173" s="299">
        <v>82.28024544937918</v>
      </c>
      <c r="N173" s="303">
        <v>108.84876302658489</v>
      </c>
      <c r="O173" s="190"/>
      <c r="P173" s="190"/>
      <c r="Q173" s="190">
        <v>84.501119959941065</v>
      </c>
      <c r="R173" s="190">
        <v>110.16885380699969</v>
      </c>
      <c r="S173" s="190">
        <v>161.29230308862637</v>
      </c>
      <c r="T173" s="190"/>
      <c r="U173" s="189">
        <v>86.213888730512622</v>
      </c>
      <c r="V173" s="299">
        <v>87.478825113382584</v>
      </c>
      <c r="W173" s="299">
        <v>97.577123488166563</v>
      </c>
      <c r="X173" s="299">
        <v>143.45222014665521</v>
      </c>
      <c r="Y173" s="269">
        <v>105.71235188680015</v>
      </c>
      <c r="Z173" s="189">
        <v>59.024503828690868</v>
      </c>
      <c r="AA173" s="190"/>
      <c r="AB173" s="190">
        <v>93.166673964158733</v>
      </c>
      <c r="AC173" s="190">
        <v>55.019486382489134</v>
      </c>
      <c r="AD173" s="235">
        <v>97.30457496142327</v>
      </c>
      <c r="AE173" s="190">
        <v>82.96789892988545</v>
      </c>
      <c r="AF173" s="190"/>
      <c r="AG173" s="268">
        <v>94.753311467100872</v>
      </c>
      <c r="AH173" s="268">
        <v>95.890559452793653</v>
      </c>
      <c r="AI173" s="271"/>
      <c r="AJ173" s="271">
        <v>101.64055861763974</v>
      </c>
      <c r="AK173" s="271">
        <v>149.43959958199565</v>
      </c>
      <c r="AL173" s="268">
        <v>149.43959958199565</v>
      </c>
      <c r="AM173" s="270">
        <v>19.286755857778481</v>
      </c>
      <c r="AN173" s="270"/>
      <c r="AO173" s="238">
        <v>72.225980358605099</v>
      </c>
      <c r="AP173" s="268">
        <v>87.112434805921922</v>
      </c>
      <c r="AQ173" s="268">
        <v>57.439327594341073</v>
      </c>
      <c r="AR173" s="268">
        <v>79.135636257616099</v>
      </c>
    </row>
    <row r="174" spans="1:44" x14ac:dyDescent="0.25">
      <c r="A174" s="11">
        <v>44166</v>
      </c>
      <c r="B174" s="232">
        <f t="shared" si="0"/>
        <v>90.095842117199624</v>
      </c>
      <c r="C174" s="252">
        <v>112.15160806569777</v>
      </c>
      <c r="D174" s="235">
        <v>94.177089139915381</v>
      </c>
      <c r="E174" s="190">
        <v>14.239130889246189</v>
      </c>
      <c r="F174" s="190">
        <v>63.48583764709349</v>
      </c>
      <c r="G174" s="190"/>
      <c r="H174" s="190">
        <v>81.438464863597474</v>
      </c>
      <c r="I174" s="190">
        <v>106.51587500615776</v>
      </c>
      <c r="J174" s="190">
        <v>80.731103565017648</v>
      </c>
      <c r="K174" s="356">
        <v>81.491955867890127</v>
      </c>
      <c r="L174" s="299">
        <v>82.137157240409607</v>
      </c>
      <c r="M174" s="299">
        <v>100.23785818576151</v>
      </c>
      <c r="N174" s="303">
        <v>127.76943137638393</v>
      </c>
      <c r="O174" s="190"/>
      <c r="P174" s="190"/>
      <c r="Q174" s="190">
        <v>153.18239398876301</v>
      </c>
      <c r="R174" s="190">
        <v>129.97013899265878</v>
      </c>
      <c r="S174" s="190">
        <v>121.20151239175769</v>
      </c>
      <c r="T174" s="190"/>
      <c r="U174" s="189">
        <v>117.7552819763154</v>
      </c>
      <c r="V174" s="299">
        <v>119.71106028040357</v>
      </c>
      <c r="W174" s="299">
        <v>68.045222862659529</v>
      </c>
      <c r="X174" s="299">
        <v>102.24988912648136</v>
      </c>
      <c r="Y174" s="269">
        <v>99.723951642153125</v>
      </c>
      <c r="Z174" s="189">
        <v>134.94841075352545</v>
      </c>
      <c r="AA174" s="190"/>
      <c r="AB174" s="190">
        <v>107.59075436880029</v>
      </c>
      <c r="AC174" s="190">
        <v>137.24643471627647</v>
      </c>
      <c r="AD174" s="235">
        <v>98.622397158514502</v>
      </c>
      <c r="AE174" s="190">
        <v>84.319603097299009</v>
      </c>
      <c r="AF174" s="190"/>
      <c r="AG174" s="268">
        <v>105.08736070462376</v>
      </c>
      <c r="AH174" s="268">
        <v>94.331974584571967</v>
      </c>
      <c r="AI174" s="271"/>
      <c r="AJ174" s="271">
        <v>101.39392784270144</v>
      </c>
      <c r="AK174" s="271">
        <v>149.18055983826463</v>
      </c>
      <c r="AL174" s="268">
        <v>149.18055983826463</v>
      </c>
      <c r="AM174" s="270">
        <v>18.832105586223818</v>
      </c>
      <c r="AN174" s="270"/>
      <c r="AO174" s="238">
        <v>74.449444051171028</v>
      </c>
      <c r="AP174" s="268">
        <v>98.250222824412162</v>
      </c>
      <c r="AQ174" s="268">
        <v>55.054576132757305</v>
      </c>
      <c r="AR174" s="268">
        <v>82.9826844867641</v>
      </c>
    </row>
    <row r="175" spans="1:44" x14ac:dyDescent="0.25">
      <c r="A175" s="11">
        <v>44197</v>
      </c>
      <c r="B175" s="232">
        <f t="shared" si="0"/>
        <v>69.957826295583999</v>
      </c>
      <c r="C175" s="252">
        <v>79.446567761300841</v>
      </c>
      <c r="D175" s="235">
        <v>76.944193056651969</v>
      </c>
      <c r="E175" s="190">
        <v>11.626898970504856</v>
      </c>
      <c r="F175" s="190">
        <v>57.192074214567455</v>
      </c>
      <c r="G175" s="190">
        <v>80.148219513671322</v>
      </c>
      <c r="H175" s="190">
        <v>78.453835898543048</v>
      </c>
      <c r="I175" s="190">
        <v>85.849732180415785</v>
      </c>
      <c r="J175" s="190">
        <v>85.048040445191191</v>
      </c>
      <c r="K175" s="356">
        <v>56.290952547213479</v>
      </c>
      <c r="L175" s="299">
        <v>56.781540665476577</v>
      </c>
      <c r="M175" s="299">
        <v>54.477511686944787</v>
      </c>
      <c r="N175" s="303">
        <v>88.468721192281535</v>
      </c>
      <c r="O175" s="190">
        <v>89.172136537587178</v>
      </c>
      <c r="P175" s="190">
        <v>65.601576108426201</v>
      </c>
      <c r="Q175" s="190">
        <v>99.876725621371449</v>
      </c>
      <c r="R175" s="190">
        <v>91.56183172438098</v>
      </c>
      <c r="S175" s="190">
        <v>52.574253575647298</v>
      </c>
      <c r="T175" s="190">
        <v>94.672159031626009</v>
      </c>
      <c r="U175" s="189">
        <v>78.42979445364368</v>
      </c>
      <c r="V175" s="299">
        <v>79.196299567761628</v>
      </c>
      <c r="W175" s="299">
        <v>83.775051070886022</v>
      </c>
      <c r="X175" s="299">
        <v>73.298767047937829</v>
      </c>
      <c r="Y175" s="269">
        <v>109.61135568498933</v>
      </c>
      <c r="Z175" s="189">
        <v>70.127487565958518</v>
      </c>
      <c r="AA175" s="190">
        <v>83.049353337257372</v>
      </c>
      <c r="AB175" s="190">
        <v>54.537931565945598</v>
      </c>
      <c r="AC175" s="190">
        <v>70.197523215785793</v>
      </c>
      <c r="AD175" s="235">
        <v>81.689791041796511</v>
      </c>
      <c r="AE175" s="190">
        <v>99.212171088509052</v>
      </c>
      <c r="AF175" s="190">
        <v>61.89461774197342</v>
      </c>
      <c r="AG175" s="268">
        <v>75.660943862204121</v>
      </c>
      <c r="AH175" s="268">
        <v>80.695632237411175</v>
      </c>
      <c r="AI175" s="271">
        <v>139.10144787374446</v>
      </c>
      <c r="AJ175" s="271">
        <v>88.71158113941469</v>
      </c>
      <c r="AK175" s="271">
        <v>152.5412430132601</v>
      </c>
      <c r="AL175" s="268">
        <v>152.5412430132601</v>
      </c>
      <c r="AM175" s="270">
        <v>28.265621717382174</v>
      </c>
      <c r="AN175" s="270">
        <v>44.426068521771477</v>
      </c>
      <c r="AO175" s="238">
        <v>63.226496879733588</v>
      </c>
      <c r="AP175" s="268">
        <v>68.515923595210893</v>
      </c>
      <c r="AQ175" s="268">
        <v>51.109868202654937</v>
      </c>
      <c r="AR175" s="268">
        <v>69.554769179188511</v>
      </c>
    </row>
    <row r="176" spans="1:44" x14ac:dyDescent="0.25">
      <c r="A176" s="11">
        <v>44228</v>
      </c>
      <c r="B176" s="232">
        <f t="shared" si="0"/>
        <v>68.525729046972913</v>
      </c>
      <c r="C176" s="252">
        <v>78.6351130160498</v>
      </c>
      <c r="D176" s="235">
        <v>75.761506032541874</v>
      </c>
      <c r="E176" s="190">
        <v>6.707008975046608</v>
      </c>
      <c r="F176" s="190">
        <v>60.470816774637804</v>
      </c>
      <c r="G176" s="190">
        <v>80.044239650197866</v>
      </c>
      <c r="H176" s="190">
        <v>83.334225549237814</v>
      </c>
      <c r="I176" s="190">
        <v>83.655478105729159</v>
      </c>
      <c r="J176" s="190">
        <v>70.137773497049679</v>
      </c>
      <c r="K176" s="356">
        <v>56.828812613498201</v>
      </c>
      <c r="L176" s="299">
        <v>57.57953833421994</v>
      </c>
      <c r="M176" s="299">
        <v>54.053782713403173</v>
      </c>
      <c r="N176" s="303">
        <v>83.714429654968328</v>
      </c>
      <c r="O176" s="190">
        <v>95.328299041405714</v>
      </c>
      <c r="P176" s="190">
        <v>85.639328249442272</v>
      </c>
      <c r="Q176" s="190">
        <v>94.82787690191023</v>
      </c>
      <c r="R176" s="190">
        <v>83.935903660192452</v>
      </c>
      <c r="S176" s="190">
        <v>83.143737982308437</v>
      </c>
      <c r="T176" s="190">
        <v>65.943763928086199</v>
      </c>
      <c r="U176" s="189">
        <v>80.172742032391852</v>
      </c>
      <c r="V176" s="299">
        <v>78.633251457942833</v>
      </c>
      <c r="W176" s="299">
        <v>79.293025748470598</v>
      </c>
      <c r="X176" s="299">
        <v>89.195059442455303</v>
      </c>
      <c r="Y176" s="269">
        <v>88.305982233979066</v>
      </c>
      <c r="Z176" s="189">
        <v>77.509600516686405</v>
      </c>
      <c r="AA176" s="190">
        <v>87.69074448728783</v>
      </c>
      <c r="AB176" s="190">
        <v>52.230391152766728</v>
      </c>
      <c r="AC176" s="190">
        <v>77.711715119660255</v>
      </c>
      <c r="AD176" s="235">
        <v>81.168729370496138</v>
      </c>
      <c r="AE176" s="190">
        <v>96.842744371484542</v>
      </c>
      <c r="AF176" s="190">
        <v>61.125242042306176</v>
      </c>
      <c r="AG176" s="268">
        <v>88.383844061656973</v>
      </c>
      <c r="AH176" s="268">
        <v>77.828980971776019</v>
      </c>
      <c r="AI176" s="271">
        <v>163.44915691407377</v>
      </c>
      <c r="AJ176" s="271">
        <v>103.65638919088767</v>
      </c>
      <c r="AK176" s="271">
        <v>139.17541147905061</v>
      </c>
      <c r="AL176" s="268">
        <v>139.17541147905061</v>
      </c>
      <c r="AM176" s="270">
        <v>25.623154017991883</v>
      </c>
      <c r="AN176" s="270">
        <v>41.81902393402293</v>
      </c>
      <c r="AO176" s="238">
        <v>61.354114778311548</v>
      </c>
      <c r="AP176" s="268">
        <v>69.976476617943732</v>
      </c>
      <c r="AQ176" s="268">
        <v>50.11415021518637</v>
      </c>
      <c r="AR176" s="268">
        <v>66.919413467963523</v>
      </c>
    </row>
    <row r="177" spans="1:44" x14ac:dyDescent="0.25">
      <c r="A177" s="11">
        <v>44256</v>
      </c>
      <c r="B177" s="232">
        <f t="shared" si="0"/>
        <v>83.359984152785216</v>
      </c>
      <c r="C177" s="252">
        <v>97.682523216345842</v>
      </c>
      <c r="D177" s="235">
        <v>82.812528928080539</v>
      </c>
      <c r="E177" s="190">
        <v>12.831074463027665</v>
      </c>
      <c r="F177" s="190">
        <v>65.585918314407223</v>
      </c>
      <c r="G177" s="190">
        <v>70.387112003725832</v>
      </c>
      <c r="H177" s="190">
        <v>79.264335786540229</v>
      </c>
      <c r="I177" s="190">
        <v>91.985648230607964</v>
      </c>
      <c r="J177" s="190">
        <v>89.035848719748458</v>
      </c>
      <c r="K177" s="356">
        <v>66.902159247128097</v>
      </c>
      <c r="L177" s="299">
        <v>66.305874214204309</v>
      </c>
      <c r="M177" s="299">
        <v>69.106304848735874</v>
      </c>
      <c r="N177" s="303">
        <v>93.057997412780821</v>
      </c>
      <c r="O177" s="190">
        <v>99.788377382048395</v>
      </c>
      <c r="P177" s="190">
        <v>91.772906739999016</v>
      </c>
      <c r="Q177" s="190">
        <v>120.67929594001875</v>
      </c>
      <c r="R177" s="190">
        <v>95.19159894217006</v>
      </c>
      <c r="S177" s="190">
        <v>66.845418474302619</v>
      </c>
      <c r="T177" s="190">
        <v>88.566127969615536</v>
      </c>
      <c r="U177" s="189">
        <v>130.42868566988653</v>
      </c>
      <c r="V177" s="299">
        <v>139.69360336426203</v>
      </c>
      <c r="W177" s="299">
        <v>76.033472664593859</v>
      </c>
      <c r="X177" s="299">
        <v>83.901606078820279</v>
      </c>
      <c r="Y177" s="269">
        <v>97.559362464591388</v>
      </c>
      <c r="Z177" s="189">
        <v>81.194441091078474</v>
      </c>
      <c r="AA177" s="190">
        <v>78.919718517844146</v>
      </c>
      <c r="AB177" s="190">
        <v>102.15515279397948</v>
      </c>
      <c r="AC177" s="190">
        <v>80.976159917102336</v>
      </c>
      <c r="AD177" s="235">
        <v>92.833098054107211</v>
      </c>
      <c r="AE177" s="190">
        <v>93.754845469346009</v>
      </c>
      <c r="AF177" s="190">
        <v>66.615904552205237</v>
      </c>
      <c r="AG177" s="268">
        <v>86.581747759025731</v>
      </c>
      <c r="AH177" s="268">
        <v>95.064616167679958</v>
      </c>
      <c r="AI177" s="271">
        <v>181.81735078796601</v>
      </c>
      <c r="AJ177" s="271">
        <v>103.36732410054383</v>
      </c>
      <c r="AK177" s="271">
        <v>136.75563734600595</v>
      </c>
      <c r="AL177" s="268">
        <v>136.75563734600595</v>
      </c>
      <c r="AM177" s="270">
        <v>26.436930335708173</v>
      </c>
      <c r="AN177" s="270">
        <v>98.44391077609643</v>
      </c>
      <c r="AO177" s="238">
        <v>73.199550458122545</v>
      </c>
      <c r="AP177" s="268">
        <v>91.402626596992931</v>
      </c>
      <c r="AQ177" s="268">
        <v>61.416562989731652</v>
      </c>
      <c r="AR177" s="268">
        <v>78.281204300732597</v>
      </c>
    </row>
    <row r="178" spans="1:44" x14ac:dyDescent="0.25">
      <c r="A178" s="11">
        <v>44287</v>
      </c>
      <c r="B178" s="232">
        <f t="shared" si="0"/>
        <v>76.696579946272635</v>
      </c>
      <c r="C178" s="252">
        <v>84.108286153281014</v>
      </c>
      <c r="D178" s="235">
        <v>86.597449933182673</v>
      </c>
      <c r="E178" s="190">
        <v>7.9419641297412555</v>
      </c>
      <c r="F178" s="190">
        <v>58.593529216581153</v>
      </c>
      <c r="G178" s="190">
        <v>75.247122249295018</v>
      </c>
      <c r="H178" s="190">
        <v>72.984592856268165</v>
      </c>
      <c r="I178" s="190">
        <v>99.876579362540298</v>
      </c>
      <c r="J178" s="190">
        <v>85.856911805524945</v>
      </c>
      <c r="K178" s="356">
        <v>60.780177047048547</v>
      </c>
      <c r="L178" s="299">
        <v>61.700823604922022</v>
      </c>
      <c r="M178" s="299">
        <v>57.377041048108374</v>
      </c>
      <c r="N178" s="303">
        <v>90.634350774338131</v>
      </c>
      <c r="O178" s="190">
        <v>115.06612205561629</v>
      </c>
      <c r="P178" s="190">
        <v>94.713597326160055</v>
      </c>
      <c r="Q178" s="190">
        <v>107.28738263693455</v>
      </c>
      <c r="R178" s="190">
        <v>92.414546821647079</v>
      </c>
      <c r="S178" s="190">
        <v>72.328219978181934</v>
      </c>
      <c r="T178" s="190">
        <v>69.640011687669386</v>
      </c>
      <c r="U178" s="189">
        <v>79.549662895921159</v>
      </c>
      <c r="V178" s="299">
        <v>80.802358574301977</v>
      </c>
      <c r="W178" s="299">
        <v>40.898994773714811</v>
      </c>
      <c r="X178" s="299">
        <v>77.333121104563389</v>
      </c>
      <c r="Y178" s="269">
        <v>114.06876019515634</v>
      </c>
      <c r="Z178" s="189">
        <v>80.102790026830618</v>
      </c>
      <c r="AA178" s="190">
        <v>73.011838202174658</v>
      </c>
      <c r="AB178" s="190">
        <v>102.1183497350826</v>
      </c>
      <c r="AC178" s="190">
        <v>79.912172409120942</v>
      </c>
      <c r="AD178" s="235">
        <v>85.393155196444482</v>
      </c>
      <c r="AE178" s="190">
        <v>112.69217821502367</v>
      </c>
      <c r="AF178" s="190">
        <v>62.988968883999419</v>
      </c>
      <c r="AG178" s="268">
        <v>87.226379787287698</v>
      </c>
      <c r="AH178" s="268">
        <v>81.210037877024803</v>
      </c>
      <c r="AI178" s="271">
        <v>194.65216642561867</v>
      </c>
      <c r="AJ178" s="271">
        <v>97.059597496775098</v>
      </c>
      <c r="AK178" s="271">
        <v>167.38661862876017</v>
      </c>
      <c r="AL178" s="268">
        <v>167.38661862876017</v>
      </c>
      <c r="AM178" s="270">
        <v>27.310437342524502</v>
      </c>
      <c r="AN178" s="270">
        <v>72.859090176612852</v>
      </c>
      <c r="AO178" s="238">
        <v>71.438702893437622</v>
      </c>
      <c r="AP178" s="268">
        <v>98.285716564510068</v>
      </c>
      <c r="AQ178" s="268">
        <v>57.930777682413435</v>
      </c>
      <c r="AR178" s="268">
        <v>76.773293510403093</v>
      </c>
    </row>
    <row r="179" spans="1:44" x14ac:dyDescent="0.25">
      <c r="A179" s="11">
        <v>44317</v>
      </c>
      <c r="B179" s="232">
        <f t="shared" si="0"/>
        <v>73.404400460476793</v>
      </c>
      <c r="C179" s="252">
        <v>83.082243562524354</v>
      </c>
      <c r="D179" s="235">
        <v>84.211611312661077</v>
      </c>
      <c r="E179" s="190">
        <v>14.035249975715878</v>
      </c>
      <c r="F179" s="190">
        <v>74.800557162081432</v>
      </c>
      <c r="G179" s="190">
        <v>58.178980679743439</v>
      </c>
      <c r="H179" s="190">
        <v>87.432217876287453</v>
      </c>
      <c r="I179" s="190">
        <v>91.200370153838037</v>
      </c>
      <c r="J179" s="190">
        <v>94.370758027908593</v>
      </c>
      <c r="K179" s="356">
        <v>75.566904316546356</v>
      </c>
      <c r="L179" s="299">
        <v>76.175354085555995</v>
      </c>
      <c r="M179" s="299">
        <v>73.317792217277443</v>
      </c>
      <c r="N179" s="303">
        <v>87.524212908879477</v>
      </c>
      <c r="O179" s="190">
        <v>104.31538027335465</v>
      </c>
      <c r="P179" s="190">
        <v>95.866665973146183</v>
      </c>
      <c r="Q179" s="190">
        <v>124.64936765796868</v>
      </c>
      <c r="R179" s="190">
        <v>88.760683965180775</v>
      </c>
      <c r="S179" s="190">
        <v>71.648080448435309</v>
      </c>
      <c r="T179" s="190">
        <v>71.668911761174201</v>
      </c>
      <c r="U179" s="189">
        <v>80.958653502200406</v>
      </c>
      <c r="V179" s="299">
        <v>80.433890461585946</v>
      </c>
      <c r="W179" s="299">
        <v>109.35102955359132</v>
      </c>
      <c r="X179" s="299">
        <v>80.298728073321286</v>
      </c>
      <c r="Y179" s="269">
        <v>91.025779546832212</v>
      </c>
      <c r="Z179" s="189">
        <v>79.795884918608834</v>
      </c>
      <c r="AA179" s="190">
        <v>62.512656946029509</v>
      </c>
      <c r="AB179" s="190">
        <v>90.966963296542673</v>
      </c>
      <c r="AC179" s="190">
        <v>79.811654611553124</v>
      </c>
      <c r="AD179" s="235">
        <v>85.234352584813834</v>
      </c>
      <c r="AE179" s="190">
        <v>104.19935114981438</v>
      </c>
      <c r="AF179" s="190">
        <v>66.380454871641447</v>
      </c>
      <c r="AG179" s="268">
        <v>78.066737409840357</v>
      </c>
      <c r="AH179" s="268">
        <v>84.177711103128232</v>
      </c>
      <c r="AI179" s="271">
        <v>202.39974117313588</v>
      </c>
      <c r="AJ179" s="271">
        <v>70.497178204841347</v>
      </c>
      <c r="AK179" s="271">
        <v>140.24485193543609</v>
      </c>
      <c r="AL179" s="268">
        <v>140.24485193543609</v>
      </c>
      <c r="AM179" s="270">
        <v>26.604727922155792</v>
      </c>
      <c r="AN179" s="270">
        <v>92.987610797925697</v>
      </c>
      <c r="AO179" s="238">
        <v>66.538922020562723</v>
      </c>
      <c r="AP179" s="268">
        <v>89.465989597080366</v>
      </c>
      <c r="AQ179" s="268">
        <v>49.457371227082284</v>
      </c>
      <c r="AR179" s="268">
        <v>74.189934778225435</v>
      </c>
    </row>
    <row r="180" spans="1:44" x14ac:dyDescent="0.25">
      <c r="A180" s="11">
        <v>44348</v>
      </c>
      <c r="B180" s="232">
        <f t="shared" ref="B180:B227" si="1">(C180*41.5+AO180*58.5)/100</f>
        <v>84.616023362467416</v>
      </c>
      <c r="C180" s="252">
        <v>93.242363693206187</v>
      </c>
      <c r="D180" s="235">
        <v>86.879299333454668</v>
      </c>
      <c r="E180" s="190">
        <v>35.644039835682186</v>
      </c>
      <c r="F180" s="190">
        <v>66.679158206028006</v>
      </c>
      <c r="G180" s="190">
        <v>76.758149026456195</v>
      </c>
      <c r="H180" s="190">
        <v>71.268642134875464</v>
      </c>
      <c r="I180" s="190">
        <v>96.454620552129967</v>
      </c>
      <c r="J180" s="190">
        <v>86.235152158755625</v>
      </c>
      <c r="K180" s="356">
        <v>82.721654433038069</v>
      </c>
      <c r="L180" s="299">
        <v>84.219690621605153</v>
      </c>
      <c r="M180" s="299">
        <v>77.184218988970073</v>
      </c>
      <c r="N180" s="303">
        <v>97.442151030211235</v>
      </c>
      <c r="O180" s="190">
        <v>112.60556058638879</v>
      </c>
      <c r="P180" s="190">
        <v>85.61401846258471</v>
      </c>
      <c r="Q180" s="190">
        <v>116.72296221345647</v>
      </c>
      <c r="R180" s="190">
        <v>97.966885128729501</v>
      </c>
      <c r="S180" s="190">
        <v>92.938090534143981</v>
      </c>
      <c r="T180" s="190">
        <v>79.761480181389487</v>
      </c>
      <c r="U180" s="189">
        <v>102.22875684654524</v>
      </c>
      <c r="V180" s="299">
        <v>102.14135316390485</v>
      </c>
      <c r="W180" s="299">
        <v>93.133393199116838</v>
      </c>
      <c r="X180" s="299">
        <v>103.91858559116476</v>
      </c>
      <c r="Y180" s="269">
        <v>114.94906264392856</v>
      </c>
      <c r="Z180" s="189">
        <v>89.193445939156547</v>
      </c>
      <c r="AA180" s="190">
        <v>69.235887760888801</v>
      </c>
      <c r="AB180" s="190">
        <v>88.247060639073837</v>
      </c>
      <c r="AC180" s="190">
        <v>89.368197396209084</v>
      </c>
      <c r="AD180" s="235">
        <v>88.137804191209995</v>
      </c>
      <c r="AE180" s="190">
        <v>100.36382329268115</v>
      </c>
      <c r="AF180" s="190">
        <v>66.249676938646289</v>
      </c>
      <c r="AG180" s="268">
        <v>97.990695154048581</v>
      </c>
      <c r="AH180" s="268">
        <v>84.946960036148965</v>
      </c>
      <c r="AI180" s="271">
        <v>205.50621237662165</v>
      </c>
      <c r="AJ180" s="271">
        <v>83.160824961662527</v>
      </c>
      <c r="AK180" s="271">
        <v>136.45350970272159</v>
      </c>
      <c r="AL180" s="268">
        <v>136.45350970272159</v>
      </c>
      <c r="AM180" s="270">
        <v>23.082726986388334</v>
      </c>
      <c r="AN180" s="270">
        <v>85.375973916197239</v>
      </c>
      <c r="AO180" s="238">
        <v>78.496482785960453</v>
      </c>
      <c r="AP180" s="268">
        <v>92.702577791080316</v>
      </c>
      <c r="AQ180" s="268">
        <v>64.25936395248452</v>
      </c>
      <c r="AR180" s="268">
        <v>85.276064923187036</v>
      </c>
    </row>
    <row r="181" spans="1:44" x14ac:dyDescent="0.25">
      <c r="A181" s="11">
        <v>44378</v>
      </c>
      <c r="B181" s="232">
        <f t="shared" si="1"/>
        <v>80.63786026367751</v>
      </c>
      <c r="C181" s="252">
        <v>85.873295616471481</v>
      </c>
      <c r="D181" s="235">
        <v>82.744988322053288</v>
      </c>
      <c r="E181" s="190">
        <v>15.239425488404091</v>
      </c>
      <c r="F181" s="190">
        <v>69.908086340676022</v>
      </c>
      <c r="G181" s="190">
        <v>85.571248376243688</v>
      </c>
      <c r="H181" s="190">
        <v>75.304496279087488</v>
      </c>
      <c r="I181" s="190">
        <v>89.907351500162136</v>
      </c>
      <c r="J181" s="190">
        <v>102.88498978299346</v>
      </c>
      <c r="K181" s="356">
        <v>81.905857066315406</v>
      </c>
      <c r="L181" s="299">
        <v>85.06803770985745</v>
      </c>
      <c r="M181" s="299">
        <v>70.216973106279255</v>
      </c>
      <c r="N181" s="303">
        <v>97.286745405703002</v>
      </c>
      <c r="O181" s="190">
        <v>102.88298000008125</v>
      </c>
      <c r="P181" s="190">
        <v>97.472789479216331</v>
      </c>
      <c r="Q181" s="190">
        <v>97.926873327662307</v>
      </c>
      <c r="R181" s="190">
        <v>99.813505219394528</v>
      </c>
      <c r="S181" s="190">
        <v>73.736787078177926</v>
      </c>
      <c r="T181" s="190">
        <v>75.600722495579959</v>
      </c>
      <c r="U181" s="189">
        <v>80.832126626800985</v>
      </c>
      <c r="V181" s="299">
        <v>78.461661996834437</v>
      </c>
      <c r="W181" s="299">
        <v>128.72919368208798</v>
      </c>
      <c r="X181" s="299">
        <v>88.312538826670263</v>
      </c>
      <c r="Y181" s="269">
        <v>98.494618571305239</v>
      </c>
      <c r="Z181" s="189">
        <v>80.543384671811538</v>
      </c>
      <c r="AA181" s="190">
        <v>80.614831255560716</v>
      </c>
      <c r="AB181" s="190">
        <v>84.681190104123544</v>
      </c>
      <c r="AC181" s="190">
        <v>80.496015813304652</v>
      </c>
      <c r="AD181" s="235">
        <v>88.042159467055527</v>
      </c>
      <c r="AE181" s="190">
        <v>104.9715870280782</v>
      </c>
      <c r="AF181" s="190">
        <v>66.155933733129643</v>
      </c>
      <c r="AG181" s="268">
        <v>86.099442336858601</v>
      </c>
      <c r="AH181" s="268">
        <v>86.414956722340435</v>
      </c>
      <c r="AI181" s="271">
        <v>204.41771738218111</v>
      </c>
      <c r="AJ181" s="271">
        <v>75.232652962860683</v>
      </c>
      <c r="AK181" s="271">
        <v>145.0915440087517</v>
      </c>
      <c r="AL181" s="268">
        <v>145.0915440087517</v>
      </c>
      <c r="AM181" s="270">
        <v>29.163594633264864</v>
      </c>
      <c r="AN181" s="270">
        <v>132.15669764838492</v>
      </c>
      <c r="AO181" s="238">
        <v>76.923833474943322</v>
      </c>
      <c r="AP181" s="268">
        <v>79.778485542590033</v>
      </c>
      <c r="AQ181" s="268">
        <v>64.452540252011843</v>
      </c>
      <c r="AR181" s="268">
        <v>83.649985050973569</v>
      </c>
    </row>
    <row r="182" spans="1:44" x14ac:dyDescent="0.25">
      <c r="A182" s="11">
        <v>44409</v>
      </c>
      <c r="B182" s="232">
        <f t="shared" si="1"/>
        <v>87.506302736065336</v>
      </c>
      <c r="C182" s="252">
        <v>98.911942962599269</v>
      </c>
      <c r="D182" s="235">
        <v>135.73254157578293</v>
      </c>
      <c r="E182" s="190">
        <v>15.841513244748212</v>
      </c>
      <c r="F182" s="190">
        <v>71.865429321712796</v>
      </c>
      <c r="G182" s="190">
        <v>125.24657305972177</v>
      </c>
      <c r="H182" s="190">
        <v>68.232819625525792</v>
      </c>
      <c r="I182" s="190">
        <v>164.52178158810449</v>
      </c>
      <c r="J182" s="190">
        <v>103.05805078885876</v>
      </c>
      <c r="K182" s="356">
        <v>79.381924383732468</v>
      </c>
      <c r="L182" s="299">
        <v>82.093102663597762</v>
      </c>
      <c r="M182" s="299">
        <v>69.360154004157252</v>
      </c>
      <c r="N182" s="303">
        <v>90.012941243942493</v>
      </c>
      <c r="O182" s="190">
        <v>84.361027747973125</v>
      </c>
      <c r="P182" s="190">
        <v>80.206857854066044</v>
      </c>
      <c r="Q182" s="190">
        <v>96.608750852650346</v>
      </c>
      <c r="R182" s="190">
        <v>92.416171953996781</v>
      </c>
      <c r="S182" s="190">
        <v>65.109548531437937</v>
      </c>
      <c r="T182" s="190">
        <v>81.507145497210075</v>
      </c>
      <c r="U182" s="189">
        <v>81.149585290046431</v>
      </c>
      <c r="V182" s="299">
        <v>83.75136715218261</v>
      </c>
      <c r="W182" s="299">
        <v>71.54975513344057</v>
      </c>
      <c r="X182" s="299">
        <v>67.34494119902979</v>
      </c>
      <c r="Y182" s="269">
        <v>117.44716473662963</v>
      </c>
      <c r="Z182" s="189">
        <v>95.433056986417085</v>
      </c>
      <c r="AA182" s="190">
        <v>73.861931134630908</v>
      </c>
      <c r="AB182" s="190">
        <v>95.534116141580583</v>
      </c>
      <c r="AC182" s="190">
        <v>95.609229728594428</v>
      </c>
      <c r="AD182" s="235">
        <v>89.081789942107022</v>
      </c>
      <c r="AE182" s="190">
        <v>103.60709013253035</v>
      </c>
      <c r="AF182" s="190">
        <v>62.093271377955219</v>
      </c>
      <c r="AG182" s="268">
        <v>91.706259294800617</v>
      </c>
      <c r="AH182" s="268">
        <v>87.170637938453581</v>
      </c>
      <c r="AI182" s="271">
        <v>199.5803935359173</v>
      </c>
      <c r="AJ182" s="271">
        <v>55.73271390586541</v>
      </c>
      <c r="AK182" s="271">
        <v>151.19040040288522</v>
      </c>
      <c r="AL182" s="268">
        <v>151.19040040288522</v>
      </c>
      <c r="AM182" s="270">
        <v>19.143393610356341</v>
      </c>
      <c r="AN182" s="270">
        <v>209.30140348340672</v>
      </c>
      <c r="AO182" s="238">
        <v>79.415122062541244</v>
      </c>
      <c r="AP182" s="268">
        <v>86.226827441427446</v>
      </c>
      <c r="AQ182" s="268">
        <v>73.34264047852254</v>
      </c>
      <c r="AR182" s="268">
        <v>82.244992754843125</v>
      </c>
    </row>
    <row r="183" spans="1:44" x14ac:dyDescent="0.25">
      <c r="A183" s="11">
        <v>44440</v>
      </c>
      <c r="B183" s="232">
        <f t="shared" si="1"/>
        <v>82.297759594527946</v>
      </c>
      <c r="C183" s="252">
        <v>92.188050542500747</v>
      </c>
      <c r="D183" s="235">
        <v>87.534955883887392</v>
      </c>
      <c r="E183" s="190">
        <v>16.443601001092336</v>
      </c>
      <c r="F183" s="190">
        <v>78.662162293592431</v>
      </c>
      <c r="G183" s="190">
        <v>106.96860476648693</v>
      </c>
      <c r="H183" s="190">
        <v>74.282515265675102</v>
      </c>
      <c r="I183" s="190">
        <v>93.770149863139693</v>
      </c>
      <c r="J183" s="190">
        <v>97.593153805395247</v>
      </c>
      <c r="K183" s="356">
        <v>80.369115667318198</v>
      </c>
      <c r="L183" s="299">
        <v>79.331006071586629</v>
      </c>
      <c r="M183" s="299">
        <v>84.206449447438445</v>
      </c>
      <c r="N183" s="303">
        <v>96.998894687857444</v>
      </c>
      <c r="O183" s="190">
        <v>104.50863469448043</v>
      </c>
      <c r="P183" s="190">
        <v>109.10088451880158</v>
      </c>
      <c r="Q183" s="190">
        <v>88.601691725356332</v>
      </c>
      <c r="R183" s="190">
        <v>99.317740336347882</v>
      </c>
      <c r="S183" s="190">
        <v>73.807571315909129</v>
      </c>
      <c r="T183" s="190">
        <v>87.133737702647295</v>
      </c>
      <c r="U183" s="189">
        <v>92.458743573936161</v>
      </c>
      <c r="V183" s="299">
        <v>93.886556792960079</v>
      </c>
      <c r="W183" s="299">
        <v>72.365535056331765</v>
      </c>
      <c r="X183" s="299">
        <v>86.813005939673957</v>
      </c>
      <c r="Y183" s="269">
        <v>105.03705142103581</v>
      </c>
      <c r="Z183" s="189">
        <v>105.94661031839034</v>
      </c>
      <c r="AA183" s="190">
        <v>82.676348564407519</v>
      </c>
      <c r="AB183" s="190">
        <v>81.646514288091566</v>
      </c>
      <c r="AC183" s="190">
        <v>106.41262674039629</v>
      </c>
      <c r="AD183" s="235">
        <v>95.003125197404827</v>
      </c>
      <c r="AE183" s="190">
        <v>105.55965348692165</v>
      </c>
      <c r="AF183" s="190">
        <v>60.29913745523784</v>
      </c>
      <c r="AG183" s="268">
        <v>84.000049216138166</v>
      </c>
      <c r="AH183" s="268">
        <v>96.875536870214148</v>
      </c>
      <c r="AI183" s="271">
        <v>191.44037818393528</v>
      </c>
      <c r="AJ183" s="271">
        <v>91.137424560462833</v>
      </c>
      <c r="AK183" s="271">
        <v>120.62023159554192</v>
      </c>
      <c r="AL183" s="268">
        <v>120.62023159554192</v>
      </c>
      <c r="AM183" s="270">
        <v>19.329780696868614</v>
      </c>
      <c r="AN183" s="270">
        <v>110.46362341067699</v>
      </c>
      <c r="AO183" s="238">
        <v>75.281570289555788</v>
      </c>
      <c r="AP183" s="268">
        <v>80.667521608728919</v>
      </c>
      <c r="AQ183" s="268">
        <v>59.685683599370634</v>
      </c>
      <c r="AR183" s="268">
        <v>83.543783156921648</v>
      </c>
    </row>
    <row r="184" spans="1:44" x14ac:dyDescent="0.25">
      <c r="A184" s="11">
        <v>44470</v>
      </c>
      <c r="B184" s="232">
        <f t="shared" si="1"/>
        <v>84.110745948262263</v>
      </c>
      <c r="C184" s="252">
        <v>89.386483965525457</v>
      </c>
      <c r="D184" s="235">
        <v>94.368862842720887</v>
      </c>
      <c r="E184" s="190">
        <v>6.7513426356098583</v>
      </c>
      <c r="F184" s="190">
        <v>84.655343667738194</v>
      </c>
      <c r="G184" s="190">
        <v>101.13126370590068</v>
      </c>
      <c r="H184" s="190">
        <v>70.775641340055358</v>
      </c>
      <c r="I184" s="190">
        <v>102.26655704808944</v>
      </c>
      <c r="J184" s="190">
        <v>117.35065815200568</v>
      </c>
      <c r="K184" s="356">
        <v>87.629363111553076</v>
      </c>
      <c r="L184" s="299">
        <v>91.418670983680627</v>
      </c>
      <c r="M184" s="299">
        <v>73.622326512740401</v>
      </c>
      <c r="N184" s="303">
        <v>90.966581545320409</v>
      </c>
      <c r="O184" s="190">
        <v>110.37918103921903</v>
      </c>
      <c r="P184" s="190">
        <v>99.767613393576951</v>
      </c>
      <c r="Q184" s="190">
        <v>84.708480772642474</v>
      </c>
      <c r="R184" s="190">
        <v>93.480667377889972</v>
      </c>
      <c r="S184" s="190">
        <v>67.419363710608337</v>
      </c>
      <c r="T184" s="190">
        <v>69.998418312653328</v>
      </c>
      <c r="U184" s="189">
        <v>76.966279798625663</v>
      </c>
      <c r="V184" s="299">
        <v>76.655062145932845</v>
      </c>
      <c r="W184" s="299">
        <v>105.77592027312836</v>
      </c>
      <c r="X184" s="299">
        <v>75.016417238617791</v>
      </c>
      <c r="Y184" s="269">
        <v>98.269013584245513</v>
      </c>
      <c r="Z184" s="189">
        <v>112.76705742252277</v>
      </c>
      <c r="AA184" s="190">
        <v>79.358903738804429</v>
      </c>
      <c r="AB184" s="190">
        <v>93.910816698616941</v>
      </c>
      <c r="AC184" s="190">
        <v>113.25486000299504</v>
      </c>
      <c r="AD184" s="235">
        <v>95.263916975252386</v>
      </c>
      <c r="AE184" s="190">
        <v>107.46912162760486</v>
      </c>
      <c r="AF184" s="190">
        <v>74.52434095469529</v>
      </c>
      <c r="AG184" s="268">
        <v>88.051482279959401</v>
      </c>
      <c r="AH184" s="268">
        <v>95.480130852580132</v>
      </c>
      <c r="AI184" s="271">
        <v>180.44380867234017</v>
      </c>
      <c r="AJ184" s="271">
        <v>118.77556080505865</v>
      </c>
      <c r="AK184" s="271">
        <v>151.21122330879518</v>
      </c>
      <c r="AL184" s="268">
        <v>151.21122330879518</v>
      </c>
      <c r="AM184" s="270">
        <v>26.436091492497738</v>
      </c>
      <c r="AN184" s="270">
        <v>33.95031488515486</v>
      </c>
      <c r="AO184" s="238">
        <v>80.368128380460163</v>
      </c>
      <c r="AP184" s="268">
        <v>86.736456381092879</v>
      </c>
      <c r="AQ184" s="268">
        <v>64.638330822483226</v>
      </c>
      <c r="AR184" s="268">
        <v>88.624412607318334</v>
      </c>
    </row>
    <row r="185" spans="1:44" x14ac:dyDescent="0.25">
      <c r="A185" s="11">
        <v>44501</v>
      </c>
      <c r="B185" s="232">
        <f t="shared" si="1"/>
        <v>86.603350521472791</v>
      </c>
      <c r="C185" s="252">
        <v>94.938093131366884</v>
      </c>
      <c r="D185" s="235">
        <v>91.878671604224664</v>
      </c>
      <c r="E185" s="190">
        <v>17.647776513780546</v>
      </c>
      <c r="F185" s="190">
        <v>81.866996338982815</v>
      </c>
      <c r="G185" s="190">
        <v>89.72922938564551</v>
      </c>
      <c r="H185" s="190">
        <v>74.470591277330627</v>
      </c>
      <c r="I185" s="190">
        <v>99.030004018934193</v>
      </c>
      <c r="J185" s="190">
        <v>118.36943608770326</v>
      </c>
      <c r="K185" s="356">
        <v>98.745730352257581</v>
      </c>
      <c r="L185" s="299">
        <v>102.26638267312278</v>
      </c>
      <c r="M185" s="299">
        <v>85.731769076430751</v>
      </c>
      <c r="N185" s="303">
        <v>103.3170889111456</v>
      </c>
      <c r="O185" s="190">
        <v>101.47985058041826</v>
      </c>
      <c r="P185" s="190">
        <v>105.21524098473667</v>
      </c>
      <c r="Q185" s="190">
        <v>88.921318643261571</v>
      </c>
      <c r="R185" s="190">
        <v>106.68739720826311</v>
      </c>
      <c r="S185" s="190">
        <v>73.361041341523588</v>
      </c>
      <c r="T185" s="190">
        <v>77.779856007968093</v>
      </c>
      <c r="U185" s="189">
        <v>83.841458293430904</v>
      </c>
      <c r="V185" s="299">
        <v>83.424527122903015</v>
      </c>
      <c r="W185" s="299">
        <v>79.083475883629575</v>
      </c>
      <c r="X185" s="299">
        <v>86.873328050170329</v>
      </c>
      <c r="Y185" s="269">
        <v>103.38979033639316</v>
      </c>
      <c r="Z185" s="189">
        <v>119.56041602196103</v>
      </c>
      <c r="AA185" s="190">
        <v>75.311034123036308</v>
      </c>
      <c r="AB185" s="190">
        <v>121.98313982662745</v>
      </c>
      <c r="AC185" s="190">
        <v>119.89675623258411</v>
      </c>
      <c r="AD185" s="235">
        <v>97.681645819956699</v>
      </c>
      <c r="AE185" s="190">
        <v>102.56324173167732</v>
      </c>
      <c r="AF185" s="190">
        <v>70.876488726664917</v>
      </c>
      <c r="AG185" s="268">
        <v>92.83857795762934</v>
      </c>
      <c r="AH185" s="268">
        <v>98.960726892130069</v>
      </c>
      <c r="AI185" s="271">
        <v>167.03682234723496</v>
      </c>
      <c r="AJ185" s="271">
        <v>119.35487509499721</v>
      </c>
      <c r="AK185" s="271">
        <v>137.47944766758394</v>
      </c>
      <c r="AL185" s="268">
        <v>137.47944766758394</v>
      </c>
      <c r="AM185" s="270">
        <v>39.779953265039708</v>
      </c>
      <c r="AN185" s="270">
        <v>68.661484913326888</v>
      </c>
      <c r="AO185" s="238">
        <v>80.690669866590639</v>
      </c>
      <c r="AP185" s="268">
        <v>93.638360262029735</v>
      </c>
      <c r="AQ185" s="268">
        <v>68.917136435813418</v>
      </c>
      <c r="AR185" s="268">
        <v>86.198593190705822</v>
      </c>
    </row>
    <row r="186" spans="1:44" x14ac:dyDescent="0.25">
      <c r="A186" s="11">
        <v>44531</v>
      </c>
      <c r="B186" s="232">
        <f t="shared" si="1"/>
        <v>103.3424614554676</v>
      </c>
      <c r="C186" s="252">
        <v>110.56380366699712</v>
      </c>
      <c r="D186" s="235">
        <v>94.556059906223823</v>
      </c>
      <c r="E186" s="190">
        <v>11.024811173829926</v>
      </c>
      <c r="F186" s="190">
        <v>99.769212711054408</v>
      </c>
      <c r="G186" s="190">
        <v>102.79910820298433</v>
      </c>
      <c r="H186" s="190">
        <v>58.542274093168849</v>
      </c>
      <c r="I186" s="190">
        <v>98.879018308209552</v>
      </c>
      <c r="J186" s="190">
        <v>100.67132145664564</v>
      </c>
      <c r="K186" s="356">
        <v>114.04324431928276</v>
      </c>
      <c r="L186" s="299">
        <v>113.14826268690567</v>
      </c>
      <c r="M186" s="299">
        <v>117.35151086900822</v>
      </c>
      <c r="N186" s="303">
        <v>109.77438732246998</v>
      </c>
      <c r="O186" s="190">
        <v>128.08952038279989</v>
      </c>
      <c r="P186" s="190">
        <v>140.50420546841264</v>
      </c>
      <c r="Q186" s="190">
        <v>114.00811315971792</v>
      </c>
      <c r="R186" s="190">
        <v>109.32585356459582</v>
      </c>
      <c r="S186" s="190">
        <v>109.2383675196612</v>
      </c>
      <c r="T186" s="190">
        <v>124.01852069089001</v>
      </c>
      <c r="U186" s="189">
        <v>123.99668006983981</v>
      </c>
      <c r="V186" s="299">
        <v>130.41341940720605</v>
      </c>
      <c r="W186" s="299">
        <v>159.60546643530753</v>
      </c>
      <c r="X186" s="299">
        <v>82.232399876565054</v>
      </c>
      <c r="Y186" s="269">
        <v>159.29259350538314</v>
      </c>
      <c r="Z186" s="189">
        <v>121.89783535156025</v>
      </c>
      <c r="AA186" s="190">
        <v>88.729743759888919</v>
      </c>
      <c r="AB186" s="190">
        <v>73.726337270852923</v>
      </c>
      <c r="AC186" s="190">
        <v>122.71509963534814</v>
      </c>
      <c r="AD186" s="235">
        <v>113.59673096462448</v>
      </c>
      <c r="AE186" s="190">
        <v>149.67330742567577</v>
      </c>
      <c r="AF186" s="190">
        <v>87.434818585971442</v>
      </c>
      <c r="AG186" s="268">
        <v>97.659831210837481</v>
      </c>
      <c r="AH186" s="268">
        <v>111.63503926782204</v>
      </c>
      <c r="AI186" s="271">
        <v>300.07627579195753</v>
      </c>
      <c r="AJ186" s="271">
        <v>122.1045374132561</v>
      </c>
      <c r="AK186" s="271">
        <v>218.89765049038917</v>
      </c>
      <c r="AL186" s="268">
        <v>218.89765049038917</v>
      </c>
      <c r="AM186" s="270">
        <v>30.658933255755237</v>
      </c>
      <c r="AN186" s="270">
        <v>75.393738375715813</v>
      </c>
      <c r="AO186" s="238">
        <v>98.219628946433858</v>
      </c>
      <c r="AP186" s="268">
        <v>97.440669979627444</v>
      </c>
      <c r="AQ186" s="268">
        <v>84.111875887391491</v>
      </c>
      <c r="AR186" s="268">
        <v>106.15750639217543</v>
      </c>
    </row>
    <row r="187" spans="1:44" x14ac:dyDescent="0.25">
      <c r="A187" s="11">
        <v>44562</v>
      </c>
      <c r="B187" s="232">
        <f t="shared" si="1"/>
        <v>86.419559652823693</v>
      </c>
      <c r="C187" s="252">
        <v>95.072037797734055</v>
      </c>
      <c r="D187" s="235">
        <v>114.29158348887589</v>
      </c>
      <c r="E187" s="190">
        <v>19.66737824318184</v>
      </c>
      <c r="F187" s="190">
        <v>108.13205266666485</v>
      </c>
      <c r="G187" s="190">
        <v>89.499199658527587</v>
      </c>
      <c r="H187" s="190">
        <v>66.908691108400689</v>
      </c>
      <c r="I187" s="190">
        <v>124.26558826141714</v>
      </c>
      <c r="J187" s="190">
        <v>106.32398071552792</v>
      </c>
      <c r="K187" s="356">
        <v>80.58535270053838</v>
      </c>
      <c r="L187" s="299">
        <v>82.958640090045421</v>
      </c>
      <c r="M187" s="299">
        <v>71.812583517848211</v>
      </c>
      <c r="N187" s="303">
        <v>94.584660706651803</v>
      </c>
      <c r="O187" s="190">
        <v>80.097298872549644</v>
      </c>
      <c r="P187" s="190">
        <v>104.93689693639521</v>
      </c>
      <c r="Q187" s="190">
        <v>93.763619167682933</v>
      </c>
      <c r="R187" s="190">
        <v>95.060277745071204</v>
      </c>
      <c r="S187" s="190">
        <v>84.550325497790894</v>
      </c>
      <c r="T187" s="190">
        <v>118.1182689868007</v>
      </c>
      <c r="U187" s="189">
        <v>82.785081362021742</v>
      </c>
      <c r="V187" s="299">
        <v>80.439601126867174</v>
      </c>
      <c r="W187" s="299">
        <v>86.413577891205648</v>
      </c>
      <c r="X187" s="299">
        <v>95.884102078672711</v>
      </c>
      <c r="Y187" s="269">
        <v>111.79629664748981</v>
      </c>
      <c r="Z187" s="189">
        <v>98.008992537869617</v>
      </c>
      <c r="AA187" s="190">
        <v>83.721553445825194</v>
      </c>
      <c r="AB187" s="190">
        <v>103.86464177523327</v>
      </c>
      <c r="AC187" s="190">
        <v>98.060232403147964</v>
      </c>
      <c r="AD187" s="235">
        <v>85.591527481747988</v>
      </c>
      <c r="AE187" s="190">
        <v>95.070619126693728</v>
      </c>
      <c r="AF187" s="190">
        <v>73.382847792741259</v>
      </c>
      <c r="AG187" s="268">
        <v>78.52499463033854</v>
      </c>
      <c r="AH187" s="268">
        <v>85.888142147854353</v>
      </c>
      <c r="AI187" s="271">
        <v>134.77614905682128</v>
      </c>
      <c r="AJ187" s="271">
        <v>98.995571158805348</v>
      </c>
      <c r="AK187" s="271">
        <v>136.74327448935901</v>
      </c>
      <c r="AL187" s="268">
        <v>136.74327448935901</v>
      </c>
      <c r="AM187" s="270">
        <v>31.500604590272523</v>
      </c>
      <c r="AN187" s="270">
        <v>78.855796968846249</v>
      </c>
      <c r="AO187" s="238">
        <v>80.281476866263361</v>
      </c>
      <c r="AP187" s="268">
        <v>78.51965419326325</v>
      </c>
      <c r="AQ187" s="268">
        <v>79.114043951538903</v>
      </c>
      <c r="AR187" s="268">
        <v>81.077724389957581</v>
      </c>
    </row>
    <row r="188" spans="1:44" x14ac:dyDescent="0.25">
      <c r="A188" s="11">
        <v>44593</v>
      </c>
      <c r="B188" s="232">
        <f t="shared" si="1"/>
        <v>83.270222192984363</v>
      </c>
      <c r="C188" s="252">
        <v>89.172917703323705</v>
      </c>
      <c r="D188" s="235">
        <v>96.741428767202322</v>
      </c>
      <c r="E188" s="190">
        <v>26.239927182724252</v>
      </c>
      <c r="F188" s="190">
        <v>113.11176369910486</v>
      </c>
      <c r="G188" s="190">
        <v>89.583401554086493</v>
      </c>
      <c r="H188" s="190">
        <v>53.11298440914333</v>
      </c>
      <c r="I188" s="190">
        <v>98.662197423841121</v>
      </c>
      <c r="J188" s="190">
        <v>73.427800314346527</v>
      </c>
      <c r="K188" s="356">
        <v>83.75491442067478</v>
      </c>
      <c r="L188" s="299">
        <v>85.317133420594843</v>
      </c>
      <c r="M188" s="299">
        <v>77.980229584904237</v>
      </c>
      <c r="N188" s="303">
        <v>92.255816105879333</v>
      </c>
      <c r="O188" s="190">
        <v>44.857652256386132</v>
      </c>
      <c r="P188" s="190">
        <v>92.220662188897606</v>
      </c>
      <c r="Q188" s="190">
        <v>87.979843439725244</v>
      </c>
      <c r="R188" s="190">
        <v>88.959135350050161</v>
      </c>
      <c r="S188" s="190">
        <v>128.94887834351667</v>
      </c>
      <c r="T188" s="190">
        <v>101.02187454297631</v>
      </c>
      <c r="U188" s="189">
        <v>78.682326672324081</v>
      </c>
      <c r="V188" s="299">
        <v>75.758469090199398</v>
      </c>
      <c r="W188" s="299">
        <v>108.98703521048085</v>
      </c>
      <c r="X188" s="299">
        <v>91.65506620325381</v>
      </c>
      <c r="Y188" s="269">
        <v>108.2543284915004</v>
      </c>
      <c r="Z188" s="189">
        <v>98.828243524711198</v>
      </c>
      <c r="AA188" s="190">
        <v>96.569587457005724</v>
      </c>
      <c r="AB188" s="190">
        <v>80.57956520741773</v>
      </c>
      <c r="AC188" s="190">
        <v>99.053127261833041</v>
      </c>
      <c r="AD188" s="235">
        <v>86.735896002091295</v>
      </c>
      <c r="AE188" s="190">
        <v>101.17178745530047</v>
      </c>
      <c r="AF188" s="190">
        <v>75.767075425232179</v>
      </c>
      <c r="AG188" s="268">
        <v>79.390380264375295</v>
      </c>
      <c r="AH188" s="268">
        <v>86.168398172844491</v>
      </c>
      <c r="AI188" s="271">
        <v>116.81473595190583</v>
      </c>
      <c r="AJ188" s="271">
        <v>109.16111710482708</v>
      </c>
      <c r="AK188" s="271">
        <v>153.55323872304882</v>
      </c>
      <c r="AL188" s="268">
        <v>153.55323872304882</v>
      </c>
      <c r="AM188" s="270">
        <v>37.264144697382733</v>
      </c>
      <c r="AN188" s="270">
        <v>36.297144103196914</v>
      </c>
      <c r="AO188" s="238">
        <v>79.082839907871843</v>
      </c>
      <c r="AP188" s="268">
        <v>79.642199496570953</v>
      </c>
      <c r="AQ188" s="268">
        <v>82.318120470552898</v>
      </c>
      <c r="AR188" s="268">
        <v>77.231211727323924</v>
      </c>
    </row>
    <row r="189" spans="1:44" x14ac:dyDescent="0.25">
      <c r="A189" s="11">
        <v>44621</v>
      </c>
      <c r="B189" s="232">
        <f t="shared" si="1"/>
        <v>93.20586050196566</v>
      </c>
      <c r="C189" s="252">
        <v>100.17191120555047</v>
      </c>
      <c r="D189" s="235">
        <v>98.185263915874827</v>
      </c>
      <c r="E189" s="190">
        <v>36.290516955423961</v>
      </c>
      <c r="F189" s="190">
        <v>126.89060121182789</v>
      </c>
      <c r="G189" s="190">
        <v>60.176609289258629</v>
      </c>
      <c r="H189" s="190">
        <v>61.814275661669036</v>
      </c>
      <c r="I189" s="190">
        <v>95.704880104180063</v>
      </c>
      <c r="J189" s="190">
        <v>117.22758139439587</v>
      </c>
      <c r="K189" s="356">
        <v>106.8085262577695</v>
      </c>
      <c r="L189" s="299">
        <v>112.03531186381365</v>
      </c>
      <c r="M189" s="299">
        <v>87.487906305898989</v>
      </c>
      <c r="N189" s="303">
        <v>105.76056106192193</v>
      </c>
      <c r="O189" s="190">
        <v>93.10496595717396</v>
      </c>
      <c r="P189" s="190">
        <v>105.34278339055179</v>
      </c>
      <c r="Q189" s="190">
        <v>91.34888068940667</v>
      </c>
      <c r="R189" s="190">
        <v>108.57357753302412</v>
      </c>
      <c r="S189" s="190">
        <v>82.356470324586681</v>
      </c>
      <c r="T189" s="190">
        <v>80.56211283191773</v>
      </c>
      <c r="U189" s="189">
        <v>98.246503414207183</v>
      </c>
      <c r="V189" s="299">
        <v>102.6705338481792</v>
      </c>
      <c r="W189" s="299">
        <v>81.757426674049825</v>
      </c>
      <c r="X189" s="299">
        <v>74.794864036218371</v>
      </c>
      <c r="Y189" s="269">
        <v>103.45946671375744</v>
      </c>
      <c r="Z189" s="189">
        <v>104.31546724587825</v>
      </c>
      <c r="AA189" s="190">
        <v>95.422616282157961</v>
      </c>
      <c r="AB189" s="190">
        <v>131.93054428925495</v>
      </c>
      <c r="AC189" s="190">
        <v>104.07635377676466</v>
      </c>
      <c r="AD189" s="235">
        <v>95.911324210525081</v>
      </c>
      <c r="AE189" s="190">
        <v>106.34444073118573</v>
      </c>
      <c r="AF189" s="190">
        <v>83.866466087151707</v>
      </c>
      <c r="AG189" s="268">
        <v>87.219016018846105</v>
      </c>
      <c r="AH189" s="268">
        <v>96.362922853331526</v>
      </c>
      <c r="AI189" s="271">
        <v>98.227455833806161</v>
      </c>
      <c r="AJ189" s="271">
        <v>134.59121213761759</v>
      </c>
      <c r="AK189" s="271">
        <v>153.39105760006237</v>
      </c>
      <c r="AL189" s="268">
        <v>153.39105760006237</v>
      </c>
      <c r="AM189" s="270">
        <v>27.403734893873672</v>
      </c>
      <c r="AN189" s="270">
        <v>190.64092035944211</v>
      </c>
      <c r="AO189" s="238">
        <v>88.264132225063591</v>
      </c>
      <c r="AP189" s="268">
        <v>95.119140758586667</v>
      </c>
      <c r="AQ189" s="268">
        <v>88.017504212346111</v>
      </c>
      <c r="AR189" s="268">
        <v>87.838882829257074</v>
      </c>
    </row>
    <row r="190" spans="1:44" x14ac:dyDescent="0.25">
      <c r="A190" s="11">
        <v>44652</v>
      </c>
      <c r="B190" s="232">
        <f t="shared" si="1"/>
        <v>96.171145060538947</v>
      </c>
      <c r="C190" s="252">
        <v>91.825384612491035</v>
      </c>
      <c r="D190" s="235">
        <v>96.975536508007551</v>
      </c>
      <c r="E190" s="190">
        <v>51.324539271211698</v>
      </c>
      <c r="F190" s="190">
        <v>111.33215786060249</v>
      </c>
      <c r="G190" s="190">
        <v>123.49980780755514</v>
      </c>
      <c r="H190" s="190">
        <v>58.604643504568472</v>
      </c>
      <c r="I190" s="190">
        <v>96.646470591831743</v>
      </c>
      <c r="J190" s="190">
        <v>82.245108281401585</v>
      </c>
      <c r="K190" s="356">
        <v>75.912314339583503</v>
      </c>
      <c r="L190" s="299">
        <v>72.352202810785386</v>
      </c>
      <c r="M190" s="299">
        <v>89.072135120187383</v>
      </c>
      <c r="N190" s="303">
        <v>98.35353431619906</v>
      </c>
      <c r="O190" s="190">
        <v>95.566461788234591</v>
      </c>
      <c r="P190" s="190">
        <v>106.19132934922806</v>
      </c>
      <c r="Q190" s="190">
        <v>85.571708250382088</v>
      </c>
      <c r="R190" s="190">
        <v>100.45516764313582</v>
      </c>
      <c r="S190" s="190">
        <v>78.712672879429803</v>
      </c>
      <c r="T190" s="190">
        <v>88.18749571721618</v>
      </c>
      <c r="U190" s="189">
        <v>80.742840885852274</v>
      </c>
      <c r="V190" s="299">
        <v>83.271804881593113</v>
      </c>
      <c r="W190" s="299">
        <v>71.639013811087452</v>
      </c>
      <c r="X190" s="299">
        <v>67.29496211473213</v>
      </c>
      <c r="Y190" s="269">
        <v>117.84130633169585</v>
      </c>
      <c r="Z190" s="189">
        <v>101.54510582862852</v>
      </c>
      <c r="AA190" s="190">
        <v>98.004319374165178</v>
      </c>
      <c r="AB190" s="190">
        <v>133.55106216558605</v>
      </c>
      <c r="AC190" s="190">
        <v>101.21235543748017</v>
      </c>
      <c r="AD190" s="235">
        <v>93.351781263771514</v>
      </c>
      <c r="AE190" s="190">
        <v>106.2863044097913</v>
      </c>
      <c r="AF190" s="190">
        <v>90.505943875387771</v>
      </c>
      <c r="AG190" s="268">
        <v>87.5120611904035</v>
      </c>
      <c r="AH190" s="268">
        <v>92.392811214266189</v>
      </c>
      <c r="AI190" s="271">
        <v>79.460445632718802</v>
      </c>
      <c r="AJ190" s="271">
        <v>112.70696064990405</v>
      </c>
      <c r="AK190" s="271">
        <v>180.45484427440206</v>
      </c>
      <c r="AL190" s="268">
        <v>180.45484427440206</v>
      </c>
      <c r="AM190" s="270">
        <v>29.662721467627904</v>
      </c>
      <c r="AN190" s="270">
        <v>39.393617463973406</v>
      </c>
      <c r="AO190" s="238">
        <v>99.254034951034456</v>
      </c>
      <c r="AP190" s="268">
        <v>93.969495629174077</v>
      </c>
      <c r="AQ190" s="268">
        <v>87.736502851405973</v>
      </c>
      <c r="AR190" s="268">
        <v>106.11621675810889</v>
      </c>
    </row>
    <row r="191" spans="1:44" x14ac:dyDescent="0.25">
      <c r="A191" s="11">
        <v>44682</v>
      </c>
      <c r="B191" s="232">
        <f t="shared" si="1"/>
        <v>98.993518523933503</v>
      </c>
      <c r="C191" s="252">
        <v>95.829241772986748</v>
      </c>
      <c r="D191" s="235">
        <v>105.9672972109655</v>
      </c>
      <c r="E191" s="190">
        <v>52.293901974234799</v>
      </c>
      <c r="F191" s="190">
        <v>142.26783778793381</v>
      </c>
      <c r="G191" s="190">
        <v>89.880905283451256</v>
      </c>
      <c r="H191" s="190">
        <v>88.778909018287322</v>
      </c>
      <c r="I191" s="190">
        <v>100.06230293419161</v>
      </c>
      <c r="J191" s="190">
        <v>98.173529767505514</v>
      </c>
      <c r="K191" s="356">
        <v>101.11460450618239</v>
      </c>
      <c r="L191" s="299">
        <v>102.9941525635623</v>
      </c>
      <c r="M191" s="299">
        <v>94.1669245294256</v>
      </c>
      <c r="N191" s="303">
        <v>93.941545978604807</v>
      </c>
      <c r="O191" s="190">
        <v>95.827518050791099</v>
      </c>
      <c r="P191" s="190">
        <v>115.08944796282277</v>
      </c>
      <c r="Q191" s="190">
        <v>96.269632530803477</v>
      </c>
      <c r="R191" s="190">
        <v>95.475447908087361</v>
      </c>
      <c r="S191" s="190">
        <v>78.970142084332224</v>
      </c>
      <c r="T191" s="190">
        <v>78.893077377020475</v>
      </c>
      <c r="U191" s="189">
        <v>87.154133654975865</v>
      </c>
      <c r="V191" s="299">
        <v>84.300931406542219</v>
      </c>
      <c r="W191" s="299">
        <v>96.187311086041419</v>
      </c>
      <c r="X191" s="299">
        <v>102.48731529167317</v>
      </c>
      <c r="Y191" s="269">
        <v>103.1791936441046</v>
      </c>
      <c r="Z191" s="189">
        <v>108.24428333383034</v>
      </c>
      <c r="AA191" s="190">
        <v>115.84292444562742</v>
      </c>
      <c r="AB191" s="190">
        <v>90.834908567530633</v>
      </c>
      <c r="AC191" s="190">
        <v>108.37865071849123</v>
      </c>
      <c r="AD191" s="235">
        <v>91.354443565162015</v>
      </c>
      <c r="AE191" s="190">
        <v>104.8274404442743</v>
      </c>
      <c r="AF191" s="190">
        <v>95.376625388826625</v>
      </c>
      <c r="AG191" s="268">
        <v>76.933253075045599</v>
      </c>
      <c r="AH191" s="268">
        <v>91.742071873992529</v>
      </c>
      <c r="AI191" s="271">
        <v>60.959842694747813</v>
      </c>
      <c r="AJ191" s="271">
        <v>106.99864535587467</v>
      </c>
      <c r="AK191" s="271">
        <v>172.11133553966422</v>
      </c>
      <c r="AL191" s="268">
        <v>172.11133553966422</v>
      </c>
      <c r="AM191" s="270">
        <v>34.734855818888612</v>
      </c>
      <c r="AN191" s="270">
        <v>229.92758945220677</v>
      </c>
      <c r="AO191" s="238">
        <v>101.23826186007521</v>
      </c>
      <c r="AP191" s="268">
        <v>97.582835697275854</v>
      </c>
      <c r="AQ191" s="268">
        <v>101.00432062310992</v>
      </c>
      <c r="AR191" s="268">
        <v>101.66899604487627</v>
      </c>
    </row>
    <row r="192" spans="1:44" x14ac:dyDescent="0.25">
      <c r="A192" s="11">
        <v>44713</v>
      </c>
      <c r="B192" s="232">
        <f t="shared" si="1"/>
        <v>109.02137907699336</v>
      </c>
      <c r="C192" s="252">
        <v>106.15160633976605</v>
      </c>
      <c r="D192" s="235">
        <v>102.53704943376775</v>
      </c>
      <c r="E192" s="190">
        <v>50.346995942506808</v>
      </c>
      <c r="F192" s="190">
        <v>129.63210434572773</v>
      </c>
      <c r="G192" s="190">
        <v>100.75586330012898</v>
      </c>
      <c r="H192" s="190">
        <v>116.02562374276162</v>
      </c>
      <c r="I192" s="190">
        <v>97.634051082757566</v>
      </c>
      <c r="J192" s="190">
        <v>86.818815877370099</v>
      </c>
      <c r="K192" s="356">
        <v>93.268156584283432</v>
      </c>
      <c r="L192" s="299">
        <v>90.444427142995536</v>
      </c>
      <c r="M192" s="299">
        <v>103.7059681752053</v>
      </c>
      <c r="N192" s="303">
        <v>105.33800199083937</v>
      </c>
      <c r="O192" s="190">
        <v>119.40302688591154</v>
      </c>
      <c r="P192" s="190">
        <v>106.05697954286914</v>
      </c>
      <c r="Q192" s="190">
        <v>88.77013676735055</v>
      </c>
      <c r="R192" s="190">
        <v>106.74875353965329</v>
      </c>
      <c r="S192" s="190">
        <v>88.752442429108385</v>
      </c>
      <c r="T192" s="190">
        <v>117.58602186535944</v>
      </c>
      <c r="U192" s="189">
        <v>112.2325401508584</v>
      </c>
      <c r="V192" s="299">
        <v>115.42044203557458</v>
      </c>
      <c r="W192" s="299">
        <v>93.221705566682971</v>
      </c>
      <c r="X192" s="299">
        <v>96.26167858843867</v>
      </c>
      <c r="Y192" s="269">
        <v>95.508454824202857</v>
      </c>
      <c r="Z192" s="189">
        <v>158.62953484341281</v>
      </c>
      <c r="AA192" s="190">
        <v>108.51454813434935</v>
      </c>
      <c r="AB192" s="190">
        <v>100.92518580276578</v>
      </c>
      <c r="AC192" s="190">
        <v>159.69388046341928</v>
      </c>
      <c r="AD192" s="235">
        <v>86.195709519964069</v>
      </c>
      <c r="AE192" s="190">
        <v>98.750209177682976</v>
      </c>
      <c r="AF192" s="190">
        <v>116.28158242829717</v>
      </c>
      <c r="AG192" s="268">
        <v>87.189224217823195</v>
      </c>
      <c r="AH192" s="268">
        <v>82.503831832133358</v>
      </c>
      <c r="AI192" s="271">
        <v>43.171784365997475</v>
      </c>
      <c r="AJ192" s="271">
        <v>94.590429930097287</v>
      </c>
      <c r="AK192" s="271">
        <v>143.25797331521809</v>
      </c>
      <c r="AL192" s="268">
        <v>143.25797331521809</v>
      </c>
      <c r="AM192" s="270">
        <v>24.170582370372468</v>
      </c>
      <c r="AN192" s="270">
        <v>46.517203762021133</v>
      </c>
      <c r="AO192" s="238">
        <v>111.05720076237687</v>
      </c>
      <c r="AP192" s="268">
        <v>100.64465806999074</v>
      </c>
      <c r="AQ192" s="268">
        <v>110.22153418002256</v>
      </c>
      <c r="AR192" s="268">
        <v>112.37863457459987</v>
      </c>
    </row>
    <row r="193" spans="1:44" x14ac:dyDescent="0.25">
      <c r="A193" s="11">
        <v>44743</v>
      </c>
      <c r="B193" s="232">
        <f t="shared" si="1"/>
        <v>106.93442713281109</v>
      </c>
      <c r="C193" s="252">
        <v>94.031387583654876</v>
      </c>
      <c r="D193" s="235">
        <v>99.343303483530676</v>
      </c>
      <c r="E193" s="190">
        <v>44.3837348667006</v>
      </c>
      <c r="F193" s="190">
        <v>123.3493175089081</v>
      </c>
      <c r="G193" s="190">
        <v>69.899424116551131</v>
      </c>
      <c r="H193" s="190">
        <v>80.599422367731265</v>
      </c>
      <c r="I193" s="190">
        <v>97.77276571874215</v>
      </c>
      <c r="J193" s="190">
        <v>78.733851887732953</v>
      </c>
      <c r="K193" s="356">
        <v>88.862216445448126</v>
      </c>
      <c r="L193" s="299">
        <v>89.861913830347405</v>
      </c>
      <c r="M193" s="299">
        <v>85.166871983991271</v>
      </c>
      <c r="N193" s="303">
        <v>99.420985365518632</v>
      </c>
      <c r="O193" s="190">
        <v>89.396005576514469</v>
      </c>
      <c r="P193" s="190">
        <v>151.36704539908393</v>
      </c>
      <c r="Q193" s="190">
        <v>83.030046164133083</v>
      </c>
      <c r="R193" s="190">
        <v>101.68273558502685</v>
      </c>
      <c r="S193" s="190">
        <v>71.926249088375371</v>
      </c>
      <c r="T193" s="190">
        <v>112.65740729640467</v>
      </c>
      <c r="U193" s="189">
        <v>85.418210395205861</v>
      </c>
      <c r="V193" s="299">
        <v>85.079680858894747</v>
      </c>
      <c r="W193" s="299">
        <v>127.91863345201185</v>
      </c>
      <c r="X193" s="299">
        <v>81.844023742834807</v>
      </c>
      <c r="Y193" s="269">
        <v>118.44638048877381</v>
      </c>
      <c r="Z193" s="189">
        <v>96.945991043231302</v>
      </c>
      <c r="AA193" s="190">
        <v>137.34429016791339</v>
      </c>
      <c r="AB193" s="190">
        <v>70.926350405618066</v>
      </c>
      <c r="AC193" s="190">
        <v>96.908090951822416</v>
      </c>
      <c r="AD193" s="235">
        <v>96.098140808403159</v>
      </c>
      <c r="AE193" s="190">
        <v>101.13418283064136</v>
      </c>
      <c r="AF193" s="190">
        <v>96.010095611175672</v>
      </c>
      <c r="AG193" s="268">
        <v>86.963624635347429</v>
      </c>
      <c r="AH193" s="268">
        <v>97.069036874357309</v>
      </c>
      <c r="AI193" s="271">
        <v>0.81854594766556499</v>
      </c>
      <c r="AJ193" s="271">
        <v>82.232472045668814</v>
      </c>
      <c r="AK193" s="271">
        <v>146.98849300134214</v>
      </c>
      <c r="AL193" s="268">
        <v>146.98849300134214</v>
      </c>
      <c r="AM193" s="270">
        <v>26.712332902978318</v>
      </c>
      <c r="AN193" s="270">
        <v>54.450943965627474</v>
      </c>
      <c r="AO193" s="238">
        <v>116.08786544546037</v>
      </c>
      <c r="AP193" s="268">
        <v>106.76491953420837</v>
      </c>
      <c r="AQ193" s="268">
        <v>107.97902236843152</v>
      </c>
      <c r="AR193" s="268">
        <v>121.37918078328619</v>
      </c>
    </row>
    <row r="194" spans="1:44" x14ac:dyDescent="0.25">
      <c r="A194" s="11">
        <v>44774</v>
      </c>
      <c r="B194" s="232">
        <f t="shared" si="1"/>
        <v>104.73742847247362</v>
      </c>
      <c r="C194" s="252">
        <v>100.81269562586617</v>
      </c>
      <c r="D194" s="235">
        <v>100.71915985857117</v>
      </c>
      <c r="E194" s="190">
        <v>46.343771027284653</v>
      </c>
      <c r="F194" s="190">
        <v>130.8132361137755</v>
      </c>
      <c r="G194" s="190">
        <v>111.52339616371766</v>
      </c>
      <c r="H194" s="190">
        <v>85.463456491304015</v>
      </c>
      <c r="I194" s="190">
        <v>95.849392108199098</v>
      </c>
      <c r="J194" s="190">
        <v>88.205511032316423</v>
      </c>
      <c r="K194" s="356">
        <v>91.986852613192497</v>
      </c>
      <c r="L194" s="299">
        <v>90.037319577602744</v>
      </c>
      <c r="M194" s="299">
        <v>99.193229477146772</v>
      </c>
      <c r="N194" s="303">
        <v>97.382142917743806</v>
      </c>
      <c r="O194" s="190">
        <v>86.513604973529894</v>
      </c>
      <c r="P194" s="190">
        <v>63.481817174423931</v>
      </c>
      <c r="Q194" s="190">
        <v>111.33853315235913</v>
      </c>
      <c r="R194" s="190">
        <v>98.913362767788129</v>
      </c>
      <c r="S194" s="190">
        <v>75.664994750807395</v>
      </c>
      <c r="T194" s="190">
        <v>120.56810117526378</v>
      </c>
      <c r="U194" s="189">
        <v>97.398334191782951</v>
      </c>
      <c r="V194" s="299">
        <v>100.43384762194876</v>
      </c>
      <c r="W194" s="299">
        <v>85.511280992523183</v>
      </c>
      <c r="X194" s="299">
        <v>81.381801080444532</v>
      </c>
      <c r="Y194" s="269">
        <v>94.938052147301576</v>
      </c>
      <c r="Z194" s="189">
        <v>159.03465517285304</v>
      </c>
      <c r="AA194" s="190">
        <v>98.438257981801868</v>
      </c>
      <c r="AB194" s="190">
        <v>103.79791544924345</v>
      </c>
      <c r="AC194" s="190">
        <v>160.15725978847763</v>
      </c>
      <c r="AD194" s="235">
        <v>101.99721358394592</v>
      </c>
      <c r="AE194" s="190">
        <v>97.329191475158183</v>
      </c>
      <c r="AF194" s="190">
        <v>104.8266651151007</v>
      </c>
      <c r="AG194" s="268">
        <v>104.86843457203794</v>
      </c>
      <c r="AH194" s="268">
        <v>102.11124051736589</v>
      </c>
      <c r="AI194" s="271">
        <v>0.85268699892724009</v>
      </c>
      <c r="AJ194" s="271">
        <v>51.741030249239024</v>
      </c>
      <c r="AK194" s="271">
        <v>166.28833259865766</v>
      </c>
      <c r="AL194" s="268">
        <v>166.28833259865766</v>
      </c>
      <c r="AM194" s="270">
        <v>20.579040651385558</v>
      </c>
      <c r="AN194" s="270">
        <v>102.32344873807824</v>
      </c>
      <c r="AO194" s="238">
        <v>107.52164066280196</v>
      </c>
      <c r="AP194" s="268">
        <v>112.37084752624381</v>
      </c>
      <c r="AQ194" s="268">
        <v>96.308610758356608</v>
      </c>
      <c r="AR194" s="268">
        <v>113.38173904475215</v>
      </c>
    </row>
    <row r="195" spans="1:44" x14ac:dyDescent="0.25">
      <c r="A195" s="11">
        <v>44805</v>
      </c>
      <c r="B195" s="232">
        <f t="shared" si="1"/>
        <v>105.56121046551897</v>
      </c>
      <c r="C195" s="252">
        <v>108.06440236095381</v>
      </c>
      <c r="D195" s="235">
        <v>111.12917889909859</v>
      </c>
      <c r="E195" s="190">
        <v>226.2592579591298</v>
      </c>
      <c r="F195" s="190">
        <v>127.74746649786046</v>
      </c>
      <c r="G195" s="190">
        <v>104.93233417076938</v>
      </c>
      <c r="H195" s="190">
        <v>72.914356562643547</v>
      </c>
      <c r="I195" s="190">
        <v>101.93448918148148</v>
      </c>
      <c r="J195" s="190">
        <v>104.21491537347929</v>
      </c>
      <c r="K195" s="356">
        <v>94.723782789842645</v>
      </c>
      <c r="L195" s="299">
        <v>93.38012085626697</v>
      </c>
      <c r="M195" s="299">
        <v>99.69057950183921</v>
      </c>
      <c r="N195" s="303">
        <v>95.971950601580204</v>
      </c>
      <c r="O195" s="190">
        <v>84.890219443582595</v>
      </c>
      <c r="P195" s="190">
        <v>142.230720676826</v>
      </c>
      <c r="Q195" s="190">
        <v>105.034524700266</v>
      </c>
      <c r="R195" s="190">
        <v>95.248410608186504</v>
      </c>
      <c r="S195" s="190">
        <v>102.73250380241214</v>
      </c>
      <c r="T195" s="190">
        <v>88.997008499071285</v>
      </c>
      <c r="U195" s="189">
        <v>116.44754304794611</v>
      </c>
      <c r="V195" s="299">
        <v>121.6255975508151</v>
      </c>
      <c r="W195" s="299">
        <v>65.166404385468965</v>
      </c>
      <c r="X195" s="299">
        <v>93.162433564095366</v>
      </c>
      <c r="Y195" s="269">
        <v>141.63721535023345</v>
      </c>
      <c r="Z195" s="189">
        <v>109.40920052446991</v>
      </c>
      <c r="AA195" s="190">
        <v>101.28110202038013</v>
      </c>
      <c r="AB195" s="190">
        <v>63.964310303390597</v>
      </c>
      <c r="AC195" s="190">
        <v>109.98980858567191</v>
      </c>
      <c r="AD195" s="235">
        <v>121.17585677833488</v>
      </c>
      <c r="AE195" s="190">
        <v>97.28372976264734</v>
      </c>
      <c r="AF195" s="190">
        <v>101.87666641449302</v>
      </c>
      <c r="AG195" s="268">
        <v>101.93202913876969</v>
      </c>
      <c r="AH195" s="268">
        <v>130.07982092379737</v>
      </c>
      <c r="AI195" s="271">
        <v>1.0437849621688009</v>
      </c>
      <c r="AJ195" s="271">
        <v>116.85092832203665</v>
      </c>
      <c r="AK195" s="271">
        <v>132.20013575286228</v>
      </c>
      <c r="AL195" s="268">
        <v>132.20013575286228</v>
      </c>
      <c r="AM195" s="270">
        <v>30.353737920475552</v>
      </c>
      <c r="AN195" s="270">
        <v>42.834637567717905</v>
      </c>
      <c r="AO195" s="238">
        <v>103.78544185593697</v>
      </c>
      <c r="AP195" s="268">
        <v>109.54667793224094</v>
      </c>
      <c r="AQ195" s="268">
        <v>101.04839084590567</v>
      </c>
      <c r="AR195" s="268">
        <v>104.83997908457512</v>
      </c>
    </row>
    <row r="196" spans="1:44" x14ac:dyDescent="0.25">
      <c r="A196" s="11">
        <v>44835</v>
      </c>
      <c r="B196" s="232">
        <f t="shared" si="1"/>
        <v>100.8380309650852</v>
      </c>
      <c r="C196" s="252">
        <v>103.82100128318046</v>
      </c>
      <c r="D196" s="235">
        <v>101.13217746686119</v>
      </c>
      <c r="E196" s="190">
        <v>60.551208968707996</v>
      </c>
      <c r="F196" s="190">
        <v>100.17468550173272</v>
      </c>
      <c r="G196" s="190">
        <v>119.91701589884431</v>
      </c>
      <c r="H196" s="190">
        <v>83.750042388961958</v>
      </c>
      <c r="I196" s="190">
        <v>104.04819368434416</v>
      </c>
      <c r="J196" s="190">
        <v>93.023667100310263</v>
      </c>
      <c r="K196" s="356">
        <v>108.01434441138473</v>
      </c>
      <c r="L196" s="299">
        <v>106.26488609640249</v>
      </c>
      <c r="M196" s="299">
        <v>114.4811524599729</v>
      </c>
      <c r="N196" s="303">
        <v>98.988294772175124</v>
      </c>
      <c r="O196" s="190">
        <v>98.957536802759407</v>
      </c>
      <c r="P196" s="190">
        <v>34.876433757059495</v>
      </c>
      <c r="Q196" s="190">
        <v>82.661010922976672</v>
      </c>
      <c r="R196" s="190">
        <v>101.89081114785414</v>
      </c>
      <c r="S196" s="190">
        <v>72.600257351933763</v>
      </c>
      <c r="T196" s="190">
        <v>94.924785944386329</v>
      </c>
      <c r="U196" s="189">
        <v>107.05604502123788</v>
      </c>
      <c r="V196" s="299">
        <v>108.10804183947701</v>
      </c>
      <c r="W196" s="299">
        <v>103.39003178663951</v>
      </c>
      <c r="X196" s="299">
        <v>101.44625365960658</v>
      </c>
      <c r="Y196" s="269">
        <v>117.58878376931916</v>
      </c>
      <c r="Z196" s="189">
        <v>111.62955053843315</v>
      </c>
      <c r="AA196" s="190">
        <v>98.776504514074773</v>
      </c>
      <c r="AB196" s="190">
        <v>112.18243425439806</v>
      </c>
      <c r="AC196" s="190">
        <v>111.72895212330002</v>
      </c>
      <c r="AD196" s="235">
        <v>114.64562524079315</v>
      </c>
      <c r="AE196" s="190">
        <v>99.929566487072549</v>
      </c>
      <c r="AF196" s="190">
        <v>110.5570970331665</v>
      </c>
      <c r="AG196" s="268">
        <v>96.437384167847824</v>
      </c>
      <c r="AH196" s="268">
        <v>121.08025046871633</v>
      </c>
      <c r="AI196" s="271">
        <v>0.88089272801959662</v>
      </c>
      <c r="AJ196" s="271">
        <v>133.797109076711</v>
      </c>
      <c r="AK196" s="271">
        <v>156.74128487637822</v>
      </c>
      <c r="AL196" s="268">
        <v>156.74128487637822</v>
      </c>
      <c r="AM196" s="270">
        <v>36.938482677505846</v>
      </c>
      <c r="AN196" s="270">
        <v>66.231497853470259</v>
      </c>
      <c r="AO196" s="238">
        <v>98.721906722333884</v>
      </c>
      <c r="AP196" s="268">
        <v>105.59197270965062</v>
      </c>
      <c r="AQ196" s="268">
        <v>85.537219730061892</v>
      </c>
      <c r="AR196" s="268">
        <v>105.51649664847162</v>
      </c>
    </row>
    <row r="197" spans="1:44" x14ac:dyDescent="0.25">
      <c r="A197" s="11">
        <v>44866</v>
      </c>
      <c r="B197" s="232">
        <f t="shared" si="1"/>
        <v>102.32848012423227</v>
      </c>
      <c r="C197" s="252">
        <v>106.22483221579198</v>
      </c>
      <c r="D197" s="235">
        <v>102.64711098506706</v>
      </c>
      <c r="E197" s="190">
        <v>53.652103941390571</v>
      </c>
      <c r="F197" s="190">
        <v>92.342700508433055</v>
      </c>
      <c r="G197" s="190">
        <v>100.51095769584846</v>
      </c>
      <c r="H197" s="190">
        <v>100.96644615822203</v>
      </c>
      <c r="I197" s="190">
        <v>107.37403168963976</v>
      </c>
      <c r="J197" s="190">
        <v>146.87422828418789</v>
      </c>
      <c r="K197" s="356">
        <v>128.56927760159198</v>
      </c>
      <c r="L197" s="299">
        <v>123.39202593419084</v>
      </c>
      <c r="M197" s="299">
        <v>147.70679717870553</v>
      </c>
      <c r="N197" s="303">
        <v>104.12828893960834</v>
      </c>
      <c r="O197" s="190">
        <v>106.66119918517124</v>
      </c>
      <c r="P197" s="190">
        <v>200.48898662464489</v>
      </c>
      <c r="Q197" s="190">
        <v>111.02604488782303</v>
      </c>
      <c r="R197" s="190">
        <v>104.32446820622211</v>
      </c>
      <c r="S197" s="190">
        <v>99.80459610363215</v>
      </c>
      <c r="T197" s="190">
        <v>90.690653383034288</v>
      </c>
      <c r="U197" s="189">
        <v>105.56363899173104</v>
      </c>
      <c r="V197" s="299">
        <v>104.75224680089354</v>
      </c>
      <c r="W197" s="299">
        <v>89.664351460014629</v>
      </c>
      <c r="X197" s="299">
        <v>112.32838471675532</v>
      </c>
      <c r="Y197" s="269">
        <v>126.49884406995956</v>
      </c>
      <c r="Z197" s="189">
        <v>133.74489476594997</v>
      </c>
      <c r="AA197" s="190">
        <v>66.499964231761552</v>
      </c>
      <c r="AB197" s="190">
        <v>144.54536310250501</v>
      </c>
      <c r="AC197" s="190">
        <v>134.17554123785354</v>
      </c>
      <c r="AD197" s="235">
        <v>102.9302703106587</v>
      </c>
      <c r="AE197" s="190">
        <v>95.71769302905291</v>
      </c>
      <c r="AF197" s="190">
        <v>133.76747768915081</v>
      </c>
      <c r="AG197" s="268">
        <v>85.750818244531018</v>
      </c>
      <c r="AH197" s="268">
        <v>106.34135532703772</v>
      </c>
      <c r="AI197" s="271">
        <v>183.64967500240516</v>
      </c>
      <c r="AJ197" s="271">
        <v>125.88626973782438</v>
      </c>
      <c r="AK197" s="271">
        <v>177.19067804882326</v>
      </c>
      <c r="AL197" s="268">
        <v>177.19067804882326</v>
      </c>
      <c r="AM197" s="270">
        <v>21.51173682658963</v>
      </c>
      <c r="AN197" s="270">
        <v>110.45664601204423</v>
      </c>
      <c r="AO197" s="238">
        <v>99.564401290048892</v>
      </c>
      <c r="AP197" s="268">
        <v>111.57216903778419</v>
      </c>
      <c r="AQ197" s="268">
        <v>72.56650591231616</v>
      </c>
      <c r="AR197" s="268">
        <v>113.64662879300259</v>
      </c>
    </row>
    <row r="198" spans="1:44" x14ac:dyDescent="0.25">
      <c r="A198" s="11">
        <v>44896</v>
      </c>
      <c r="B198" s="232">
        <f t="shared" si="1"/>
        <v>121.29139485412477</v>
      </c>
      <c r="C198" s="252">
        <v>123.74834190732413</v>
      </c>
      <c r="D198" s="235">
        <v>112.05509490650485</v>
      </c>
      <c r="E198" s="190">
        <v>84.979753329903602</v>
      </c>
      <c r="F198" s="190">
        <v>106.06098236714513</v>
      </c>
      <c r="G198" s="190">
        <v>120.70435011173872</v>
      </c>
      <c r="H198" s="190">
        <v>74.766811750398944</v>
      </c>
      <c r="I198" s="190">
        <v>116.54690319310717</v>
      </c>
      <c r="J198" s="190">
        <v>113.78554223272394</v>
      </c>
      <c r="K198" s="356">
        <v>127.3162319292026</v>
      </c>
      <c r="L198" s="299">
        <v>121.00075020145987</v>
      </c>
      <c r="M198" s="299">
        <v>150.66117688611826</v>
      </c>
      <c r="N198" s="303">
        <v>115.86106233205011</v>
      </c>
      <c r="O198" s="190">
        <v>114.11720993061846</v>
      </c>
      <c r="P198" s="190">
        <v>191.8156881065554</v>
      </c>
      <c r="Q198" s="190">
        <v>163.20601932709096</v>
      </c>
      <c r="R198" s="190">
        <v>115.89298875464827</v>
      </c>
      <c r="S198" s="190">
        <v>96.113813291018715</v>
      </c>
      <c r="T198" s="190">
        <v>164.74287235052623</v>
      </c>
      <c r="U198" s="189">
        <v>138.34750085165516</v>
      </c>
      <c r="V198" s="299">
        <v>138.13880293901536</v>
      </c>
      <c r="W198" s="299">
        <v>194.99165930074946</v>
      </c>
      <c r="X198" s="299">
        <v>132.18075901568889</v>
      </c>
      <c r="Y198" s="269">
        <v>210.16501592313267</v>
      </c>
      <c r="Z198" s="189">
        <v>141.94903236610077</v>
      </c>
      <c r="AA198" s="190">
        <v>99.584331944937404</v>
      </c>
      <c r="AB198" s="190">
        <v>63.301071009642051</v>
      </c>
      <c r="AC198" s="190">
        <v>143.18645653729652</v>
      </c>
      <c r="AD198" s="235">
        <v>120.47339808896486</v>
      </c>
      <c r="AE198" s="190">
        <v>101.62185083586627</v>
      </c>
      <c r="AF198" s="190">
        <v>140.60680874647593</v>
      </c>
      <c r="AG198" s="268">
        <v>137.15857644798925</v>
      </c>
      <c r="AH198" s="268">
        <v>119.52945163553784</v>
      </c>
      <c r="AI198" s="271">
        <v>479.34400082481613</v>
      </c>
      <c r="AJ198" s="271">
        <v>142.81836313560862</v>
      </c>
      <c r="AK198" s="271">
        <v>335.00409737895296</v>
      </c>
      <c r="AL198" s="268">
        <v>335.00409737895296</v>
      </c>
      <c r="AM198" s="270">
        <v>25.144578235177178</v>
      </c>
      <c r="AN198" s="270">
        <v>173.91008533574919</v>
      </c>
      <c r="AO198" s="238">
        <v>119.54843241467564</v>
      </c>
      <c r="AP198" s="268">
        <v>135.65444935237622</v>
      </c>
      <c r="AQ198" s="268">
        <v>108.33706457308979</v>
      </c>
      <c r="AR198" s="268">
        <v>124.48325012785391</v>
      </c>
    </row>
    <row r="199" spans="1:44" x14ac:dyDescent="0.25">
      <c r="A199" s="11">
        <v>44927</v>
      </c>
      <c r="B199" s="232">
        <f t="shared" si="1"/>
        <v>97.088112884543591</v>
      </c>
      <c r="C199" s="252">
        <v>101.60720140155013</v>
      </c>
      <c r="D199" s="235">
        <v>92.552103943216053</v>
      </c>
      <c r="E199" s="190">
        <v>61.419829325348601</v>
      </c>
      <c r="F199" s="190">
        <v>89.453547742395827</v>
      </c>
      <c r="G199" s="190">
        <v>97.873149171863659</v>
      </c>
      <c r="H199" s="190">
        <v>84.422570638286615</v>
      </c>
      <c r="I199" s="190">
        <v>95.008818514056401</v>
      </c>
      <c r="J199" s="190">
        <v>106.97806974201985</v>
      </c>
      <c r="K199" s="356">
        <v>110.18949596039019</v>
      </c>
      <c r="L199" s="299">
        <v>112.53733502677184</v>
      </c>
      <c r="M199" s="299">
        <v>101.51079556425013</v>
      </c>
      <c r="N199" s="303">
        <v>101.95483400762433</v>
      </c>
      <c r="O199" s="190">
        <v>92.888651995401176</v>
      </c>
      <c r="P199" s="190">
        <v>63.229711924798771</v>
      </c>
      <c r="Q199" s="190">
        <v>103.58427613047326</v>
      </c>
      <c r="R199" s="190">
        <v>103.09775856258896</v>
      </c>
      <c r="S199" s="190">
        <v>82.424263413227436</v>
      </c>
      <c r="T199" s="190">
        <v>143.01640425015381</v>
      </c>
      <c r="U199" s="189">
        <v>111.27914226168826</v>
      </c>
      <c r="V199" s="299">
        <v>111.90550044315447</v>
      </c>
      <c r="W199" s="299">
        <v>82.751475937717373</v>
      </c>
      <c r="X199" s="299">
        <v>111.3688315347603</v>
      </c>
      <c r="Y199" s="269">
        <v>111.96078783396916</v>
      </c>
      <c r="Z199" s="189">
        <v>112.55509852633897</v>
      </c>
      <c r="AA199" s="190">
        <v>80.147907632213986</v>
      </c>
      <c r="AB199" s="190">
        <v>76.638131297536773</v>
      </c>
      <c r="AC199" s="190">
        <v>113.22755982819949</v>
      </c>
      <c r="AD199" s="235">
        <v>97.569287335096007</v>
      </c>
      <c r="AE199" s="190">
        <v>101.67845507378688</v>
      </c>
      <c r="AF199" s="190">
        <v>128.99347854555944</v>
      </c>
      <c r="AG199" s="268">
        <v>91.127994465338958</v>
      </c>
      <c r="AH199" s="268">
        <v>96.801669532663382</v>
      </c>
      <c r="AI199" s="271">
        <v>0.50406438849193624</v>
      </c>
      <c r="AJ199" s="271">
        <v>113.48039352395512</v>
      </c>
      <c r="AK199" s="271">
        <v>143.05756162718166</v>
      </c>
      <c r="AL199" s="268">
        <v>143.05756162718166</v>
      </c>
      <c r="AM199" s="270">
        <v>24.178610797127579</v>
      </c>
      <c r="AN199" s="270">
        <v>42.045651949616392</v>
      </c>
      <c r="AO199" s="238">
        <v>93.88226376564154</v>
      </c>
      <c r="AP199" s="268">
        <v>118.43952059161234</v>
      </c>
      <c r="AQ199" s="268">
        <v>87.573271058828269</v>
      </c>
      <c r="AR199" s="268">
        <v>95.386961559007403</v>
      </c>
    </row>
    <row r="200" spans="1:44" x14ac:dyDescent="0.25">
      <c r="A200" s="11">
        <v>44958</v>
      </c>
      <c r="B200" s="232">
        <f t="shared" si="1"/>
        <v>101.74174586423455</v>
      </c>
      <c r="C200" s="252">
        <v>96.08546423704405</v>
      </c>
      <c r="D200" s="235">
        <v>101.61433623814752</v>
      </c>
      <c r="E200" s="190">
        <v>97.71306961019485</v>
      </c>
      <c r="F200" s="190">
        <v>101.41378273058568</v>
      </c>
      <c r="G200" s="190">
        <v>84.155201913451876</v>
      </c>
      <c r="H200" s="190">
        <v>92.215625813888479</v>
      </c>
      <c r="I200" s="190">
        <v>102.36593053239996</v>
      </c>
      <c r="J200" s="190">
        <v>119.6857374925367</v>
      </c>
      <c r="K200" s="356">
        <v>110.17750842124947</v>
      </c>
      <c r="L200" s="299">
        <v>115.99080047870089</v>
      </c>
      <c r="M200" s="299">
        <v>88.68888903319457</v>
      </c>
      <c r="N200" s="303">
        <v>94.701819615148906</v>
      </c>
      <c r="O200" s="190">
        <v>90.786655770846338</v>
      </c>
      <c r="P200" s="190">
        <v>59.485155823660229</v>
      </c>
      <c r="Q200" s="190">
        <v>74.635275421472471</v>
      </c>
      <c r="R200" s="190">
        <v>96.232442743843464</v>
      </c>
      <c r="S200" s="190">
        <v>80.764363832911528</v>
      </c>
      <c r="T200" s="190">
        <v>100.39352666253797</v>
      </c>
      <c r="U200" s="189">
        <v>91.6107716908611</v>
      </c>
      <c r="V200" s="299">
        <v>92.27341715744268</v>
      </c>
      <c r="W200" s="299">
        <v>83.830288431669885</v>
      </c>
      <c r="X200" s="299">
        <v>88.789491254763291</v>
      </c>
      <c r="Y200" s="269">
        <v>89.017698959903882</v>
      </c>
      <c r="Z200" s="189">
        <v>105.85181939731163</v>
      </c>
      <c r="AA200" s="190">
        <v>102.7888132923056</v>
      </c>
      <c r="AB200" s="190">
        <v>122.60472717193176</v>
      </c>
      <c r="AC200" s="190">
        <v>105.68759089836129</v>
      </c>
      <c r="AD200" s="235">
        <v>92.82004057226365</v>
      </c>
      <c r="AE200" s="190">
        <v>93.525478426695997</v>
      </c>
      <c r="AF200" s="190">
        <v>127.80853912755052</v>
      </c>
      <c r="AG200" s="268">
        <v>97.781995333878967</v>
      </c>
      <c r="AH200" s="268">
        <v>90.187353130192975</v>
      </c>
      <c r="AI200" s="271">
        <v>4.4993282216956807</v>
      </c>
      <c r="AJ200" s="271">
        <v>111.46691628021217</v>
      </c>
      <c r="AK200" s="271">
        <v>180.96543322354947</v>
      </c>
      <c r="AL200" s="268">
        <v>180.96543322354947</v>
      </c>
      <c r="AM200" s="270">
        <v>31.269906508180998</v>
      </c>
      <c r="AN200" s="270">
        <v>29.80103608632756</v>
      </c>
      <c r="AO200" s="238">
        <v>105.75432171942097</v>
      </c>
      <c r="AP200" s="268">
        <v>111.05201947125879</v>
      </c>
      <c r="AQ200" s="268">
        <v>96.147080485346422</v>
      </c>
      <c r="AR200" s="268">
        <v>110.68135878724689</v>
      </c>
    </row>
    <row r="201" spans="1:44" x14ac:dyDescent="0.25">
      <c r="A201" s="11">
        <v>44986</v>
      </c>
      <c r="B201" s="232">
        <f t="shared" si="1"/>
        <v>104.87028942610509</v>
      </c>
      <c r="C201" s="252">
        <v>110.18702283564627</v>
      </c>
      <c r="D201" s="235">
        <v>108.00306597158333</v>
      </c>
      <c r="E201" s="190">
        <v>75.693154563204871</v>
      </c>
      <c r="F201" s="190">
        <v>124.8574726443311</v>
      </c>
      <c r="G201" s="190">
        <v>98.252816841814834</v>
      </c>
      <c r="H201" s="190">
        <v>124.3436955221655</v>
      </c>
      <c r="I201" s="190">
        <v>104.63270285670296</v>
      </c>
      <c r="J201" s="190">
        <v>107.81149165979544</v>
      </c>
      <c r="K201" s="356">
        <v>116.76872990220964</v>
      </c>
      <c r="L201" s="299">
        <v>124.05052740805795</v>
      </c>
      <c r="M201" s="299">
        <v>89.851834360467208</v>
      </c>
      <c r="N201" s="303">
        <v>108.42470976383258</v>
      </c>
      <c r="O201" s="190">
        <v>102.78394519235671</v>
      </c>
      <c r="P201" s="190">
        <v>75.468022507260784</v>
      </c>
      <c r="Q201" s="190">
        <v>105.57588986310412</v>
      </c>
      <c r="R201" s="190">
        <v>111.13473519290187</v>
      </c>
      <c r="S201" s="190">
        <v>83.12477363082138</v>
      </c>
      <c r="T201" s="190">
        <v>95.999369952314112</v>
      </c>
      <c r="U201" s="189">
        <v>120.14866463552114</v>
      </c>
      <c r="V201" s="299">
        <v>126.01999648628112</v>
      </c>
      <c r="W201" s="299">
        <v>96.71609060042627</v>
      </c>
      <c r="X201" s="299">
        <v>89.226609430612015</v>
      </c>
      <c r="Y201" s="269">
        <v>119.49856425671634</v>
      </c>
      <c r="Z201" s="189">
        <v>107.65859156590747</v>
      </c>
      <c r="AA201" s="190">
        <v>83.539418526869966</v>
      </c>
      <c r="AB201" s="190">
        <v>128.49872366485948</v>
      </c>
      <c r="AC201" s="190">
        <v>107.62123569370861</v>
      </c>
      <c r="AD201" s="235">
        <v>96.460415803253014</v>
      </c>
      <c r="AE201" s="190">
        <v>98.360670385775578</v>
      </c>
      <c r="AF201" s="190">
        <v>134.9143079813847</v>
      </c>
      <c r="AG201" s="268">
        <v>99.979011010828401</v>
      </c>
      <c r="AH201" s="268">
        <v>93.761632468000684</v>
      </c>
      <c r="AI201" s="271">
        <v>3.9801461859635325</v>
      </c>
      <c r="AJ201" s="271">
        <v>164.34640525777073</v>
      </c>
      <c r="AK201" s="271">
        <v>198.1311370361945</v>
      </c>
      <c r="AL201" s="268">
        <v>198.1311370361945</v>
      </c>
      <c r="AM201" s="270">
        <v>30.450762498620737</v>
      </c>
      <c r="AN201" s="270">
        <v>180.06026499759375</v>
      </c>
      <c r="AO201" s="238">
        <v>101.09858965694336</v>
      </c>
      <c r="AP201" s="268">
        <v>114.36910827635259</v>
      </c>
      <c r="AQ201" s="268">
        <v>95.548792435193249</v>
      </c>
      <c r="AR201" s="268">
        <v>103.10637077884797</v>
      </c>
    </row>
    <row r="202" spans="1:44" x14ac:dyDescent="0.25">
      <c r="A202" s="11">
        <v>45017</v>
      </c>
      <c r="B202" s="232">
        <f t="shared" si="1"/>
        <v>103.07731430162819</v>
      </c>
      <c r="C202" s="252">
        <v>98.464341392360055</v>
      </c>
      <c r="D202" s="235">
        <v>100.26830619629759</v>
      </c>
      <c r="E202" s="190">
        <v>78.017552423749962</v>
      </c>
      <c r="F202" s="190">
        <v>96.235481255784649</v>
      </c>
      <c r="G202" s="190">
        <v>101.80740438227015</v>
      </c>
      <c r="H202" s="190">
        <v>113.63514872744325</v>
      </c>
      <c r="I202" s="190">
        <v>102.04134397020324</v>
      </c>
      <c r="J202" s="190">
        <v>100.54831891625174</v>
      </c>
      <c r="K202" s="356">
        <v>83.526649189770623</v>
      </c>
      <c r="L202" s="299">
        <v>85.759232593128019</v>
      </c>
      <c r="M202" s="299">
        <v>75.273987095262356</v>
      </c>
      <c r="N202" s="303">
        <v>106.19499987791471</v>
      </c>
      <c r="O202" s="190">
        <v>103.0459584565081</v>
      </c>
      <c r="P202" s="190">
        <v>87.077087276656854</v>
      </c>
      <c r="Q202" s="190">
        <v>83.216435244724153</v>
      </c>
      <c r="R202" s="190">
        <v>107.34990588057265</v>
      </c>
      <c r="S202" s="190">
        <v>99.496987851072348</v>
      </c>
      <c r="T202" s="190">
        <v>95.623679861669871</v>
      </c>
      <c r="U202" s="189">
        <v>94.899711627672559</v>
      </c>
      <c r="V202" s="299">
        <v>99.746074118115402</v>
      </c>
      <c r="W202" s="299">
        <v>75.004664797134495</v>
      </c>
      <c r="X202" s="299">
        <v>69.447788840964861</v>
      </c>
      <c r="Y202" s="269">
        <v>134.32230434015517</v>
      </c>
      <c r="Z202" s="189">
        <v>100.10027335216003</v>
      </c>
      <c r="AA202" s="190">
        <v>78.592014225329791</v>
      </c>
      <c r="AB202" s="190">
        <v>105.5866474046928</v>
      </c>
      <c r="AC202" s="190">
        <v>100.21504356004246</v>
      </c>
      <c r="AD202" s="235">
        <v>89.156485038280366</v>
      </c>
      <c r="AE202" s="190">
        <v>95.623403255334054</v>
      </c>
      <c r="AF202" s="190">
        <v>115.66265206987586</v>
      </c>
      <c r="AG202" s="268">
        <v>83.846380197183308</v>
      </c>
      <c r="AH202" s="268">
        <v>87.959082413651402</v>
      </c>
      <c r="AI202" s="271">
        <v>137.61607508129509</v>
      </c>
      <c r="AJ202" s="271">
        <v>115.39773352127256</v>
      </c>
      <c r="AK202" s="271">
        <v>208.50135009591776</v>
      </c>
      <c r="AL202" s="268">
        <v>208.50135009591776</v>
      </c>
      <c r="AM202" s="270">
        <v>28.295279983254915</v>
      </c>
      <c r="AN202" s="270">
        <v>62.867266709948936</v>
      </c>
      <c r="AO202" s="238">
        <v>106.34976516888679</v>
      </c>
      <c r="AP202" s="268">
        <v>126.11410682658774</v>
      </c>
      <c r="AQ202" s="268">
        <v>78.544788643995119</v>
      </c>
      <c r="AR202" s="268">
        <v>120.24551507090594</v>
      </c>
    </row>
    <row r="203" spans="1:44" x14ac:dyDescent="0.25">
      <c r="A203" s="11">
        <v>45047</v>
      </c>
      <c r="B203" s="232">
        <f t="shared" si="1"/>
        <v>103.50099939829285</v>
      </c>
      <c r="C203" s="252">
        <v>107.9428239543066</v>
      </c>
      <c r="D203" s="235">
        <v>120.07337970034361</v>
      </c>
      <c r="E203" s="190">
        <v>53.519827831299359</v>
      </c>
      <c r="F203" s="190">
        <v>195.32831324202778</v>
      </c>
      <c r="G203" s="190">
        <v>107.05095843760624</v>
      </c>
      <c r="H203" s="190">
        <v>181.10082521964065</v>
      </c>
      <c r="I203" s="190">
        <v>101.07401295466033</v>
      </c>
      <c r="J203" s="190">
        <v>86.236352333697042</v>
      </c>
      <c r="K203" s="356">
        <v>106.00241159162141</v>
      </c>
      <c r="L203" s="299">
        <v>107.9825794195129</v>
      </c>
      <c r="M203" s="299">
        <v>98.682794349358474</v>
      </c>
      <c r="N203" s="303">
        <v>110.98768204035814</v>
      </c>
      <c r="O203" s="190">
        <v>97.196448223711727</v>
      </c>
      <c r="P203" s="190">
        <v>49.91761637492688</v>
      </c>
      <c r="Q203" s="190">
        <v>95.051230972407666</v>
      </c>
      <c r="R203" s="190">
        <v>115.1782443592663</v>
      </c>
      <c r="S203" s="190">
        <v>76.712787972154501</v>
      </c>
      <c r="T203" s="190">
        <v>78.538475700325435</v>
      </c>
      <c r="U203" s="189">
        <v>99.440433573944475</v>
      </c>
      <c r="V203" s="299">
        <v>102.69394863892484</v>
      </c>
      <c r="W203" s="299">
        <v>134.64081535419115</v>
      </c>
      <c r="X203" s="299">
        <v>76.032349514323016</v>
      </c>
      <c r="Y203" s="269">
        <v>103.59318349105622</v>
      </c>
      <c r="Z203" s="189">
        <v>111.0851171000089</v>
      </c>
      <c r="AA203" s="190">
        <v>115.9112703495129</v>
      </c>
      <c r="AB203" s="190">
        <v>89.288324572034114</v>
      </c>
      <c r="AC203" s="190">
        <v>111.29187807310265</v>
      </c>
      <c r="AD203" s="235">
        <v>99.269770321469252</v>
      </c>
      <c r="AE203" s="190">
        <v>97.870864036149555</v>
      </c>
      <c r="AF203" s="190">
        <v>97.379066842370918</v>
      </c>
      <c r="AG203" s="268">
        <v>87.341623583511961</v>
      </c>
      <c r="AH203" s="268">
        <v>102.00928410617125</v>
      </c>
      <c r="AI203" s="271">
        <v>4.3437421212241887</v>
      </c>
      <c r="AJ203" s="271">
        <v>110.17389598332544</v>
      </c>
      <c r="AK203" s="271">
        <v>207.16343344476877</v>
      </c>
      <c r="AL203" s="268">
        <v>207.16343344476877</v>
      </c>
      <c r="AM203" s="270">
        <v>22.761019505107171</v>
      </c>
      <c r="AN203" s="270">
        <v>38.169710398604657</v>
      </c>
      <c r="AO203" s="238">
        <v>100.3499614653942</v>
      </c>
      <c r="AP203" s="268">
        <v>114.48583276563139</v>
      </c>
      <c r="AQ203" s="268">
        <v>86.451523894681827</v>
      </c>
      <c r="AR203" s="268">
        <v>106.94628297744642</v>
      </c>
    </row>
    <row r="204" spans="1:44" x14ac:dyDescent="0.25">
      <c r="A204" s="11">
        <v>45078</v>
      </c>
      <c r="B204" s="232">
        <f t="shared" si="1"/>
        <v>109.34006998227935</v>
      </c>
      <c r="C204" s="252">
        <v>108.08556706027545</v>
      </c>
      <c r="D204" s="235">
        <v>103.25772598465372</v>
      </c>
      <c r="E204" s="190">
        <v>52.049615274132279</v>
      </c>
      <c r="F204" s="190">
        <v>97.125510341708292</v>
      </c>
      <c r="G204" s="190">
        <v>86.832281021724711</v>
      </c>
      <c r="H204" s="190">
        <v>129.31681008418948</v>
      </c>
      <c r="I204" s="190">
        <v>107.42082754209004</v>
      </c>
      <c r="J204" s="190">
        <v>96.290138828304634</v>
      </c>
      <c r="K204" s="356">
        <v>73.723342008563421</v>
      </c>
      <c r="L204" s="299">
        <v>71.850002836748573</v>
      </c>
      <c r="M204" s="299">
        <v>80.64807106914175</v>
      </c>
      <c r="N204" s="303">
        <v>104.41119566925738</v>
      </c>
      <c r="O204" s="190">
        <v>84.238737659994939</v>
      </c>
      <c r="P204" s="190">
        <v>79.991066350356519</v>
      </c>
      <c r="Q204" s="190">
        <v>92.366133460593346</v>
      </c>
      <c r="R204" s="190">
        <v>107.51191963323291</v>
      </c>
      <c r="S204" s="190">
        <v>78.478136647829032</v>
      </c>
      <c r="T204" s="190">
        <v>80.799023568460697</v>
      </c>
      <c r="U204" s="189">
        <v>122.79213280431965</v>
      </c>
      <c r="V204" s="299">
        <v>125.42889898894624</v>
      </c>
      <c r="W204" s="299">
        <v>122.08523094383847</v>
      </c>
      <c r="X204" s="299">
        <v>107.62732288603216</v>
      </c>
      <c r="Y204" s="269">
        <v>99.495764323843858</v>
      </c>
      <c r="Z204" s="189">
        <v>143.84225737744691</v>
      </c>
      <c r="AA204" s="190">
        <v>121.16930961029831</v>
      </c>
      <c r="AB204" s="190">
        <v>102.35242719076874</v>
      </c>
      <c r="AC204" s="190">
        <v>144.497709072264</v>
      </c>
      <c r="AD204" s="235">
        <v>96.566256500155617</v>
      </c>
      <c r="AE204" s="190">
        <v>97.844835592621138</v>
      </c>
      <c r="AF204" s="190">
        <v>120.11570508257883</v>
      </c>
      <c r="AG204" s="268">
        <v>104.16481920206375</v>
      </c>
      <c r="AH204" s="268">
        <v>93.7919733769251</v>
      </c>
      <c r="AI204" s="271">
        <v>4.4551027045538465</v>
      </c>
      <c r="AJ204" s="271">
        <v>93.686296795954576</v>
      </c>
      <c r="AK204" s="271">
        <v>148.98974211035656</v>
      </c>
      <c r="AL204" s="268">
        <v>148.98974211035656</v>
      </c>
      <c r="AM204" s="270">
        <v>18.945368963916728</v>
      </c>
      <c r="AN204" s="270">
        <v>71.632183809909549</v>
      </c>
      <c r="AO204" s="238">
        <v>110.23001649959836</v>
      </c>
      <c r="AP204" s="268">
        <v>121.77811192128084</v>
      </c>
      <c r="AQ204" s="268">
        <v>88.410271277773418</v>
      </c>
      <c r="AR204" s="268">
        <v>121.45992629897223</v>
      </c>
    </row>
    <row r="205" spans="1:44" x14ac:dyDescent="0.25">
      <c r="A205" s="11">
        <v>45108</v>
      </c>
      <c r="B205" s="232">
        <f t="shared" si="1"/>
        <v>107.89709159019563</v>
      </c>
      <c r="C205" s="252">
        <v>102.59555970973079</v>
      </c>
      <c r="D205" s="235">
        <v>100.08696942163981</v>
      </c>
      <c r="E205" s="190">
        <v>50.129169909393596</v>
      </c>
      <c r="F205" s="190">
        <v>80.386027047134931</v>
      </c>
      <c r="G205" s="190">
        <v>88.864196956498347</v>
      </c>
      <c r="H205" s="190">
        <v>79.147888505820816</v>
      </c>
      <c r="I205" s="190">
        <v>109.84861989874305</v>
      </c>
      <c r="J205" s="190">
        <v>93.601609157062015</v>
      </c>
      <c r="K205" s="356">
        <v>89.020432536374045</v>
      </c>
      <c r="L205" s="299">
        <v>86.749076272182407</v>
      </c>
      <c r="M205" s="299">
        <v>97.416417078958062</v>
      </c>
      <c r="N205" s="303">
        <v>105.50418050200565</v>
      </c>
      <c r="O205" s="190">
        <v>94.357240984479077</v>
      </c>
      <c r="P205" s="190">
        <v>85.630688682527563</v>
      </c>
      <c r="Q205" s="190">
        <v>119.30353568232871</v>
      </c>
      <c r="R205" s="190">
        <v>107.45537324953629</v>
      </c>
      <c r="S205" s="190">
        <v>85.523622319587957</v>
      </c>
      <c r="T205" s="190">
        <v>95.922554968939252</v>
      </c>
      <c r="U205" s="189">
        <v>110.34362364189523</v>
      </c>
      <c r="V205" s="299">
        <v>112.23222982125002</v>
      </c>
      <c r="W205" s="299">
        <v>113.43207844795202</v>
      </c>
      <c r="X205" s="299">
        <v>99.013707752568791</v>
      </c>
      <c r="Y205" s="269">
        <v>126.80708540816428</v>
      </c>
      <c r="Z205" s="189">
        <v>105.55284603059363</v>
      </c>
      <c r="AA205" s="190">
        <v>116.84623322324953</v>
      </c>
      <c r="AB205" s="190">
        <v>106.36305843790643</v>
      </c>
      <c r="AC205" s="190">
        <v>105.45085387608921</v>
      </c>
      <c r="AD205" s="235">
        <v>95.367051633354606</v>
      </c>
      <c r="AE205" s="190">
        <v>99.213071251797132</v>
      </c>
      <c r="AF205" s="190">
        <v>100.09347094485615</v>
      </c>
      <c r="AG205" s="268">
        <v>97.587113061034017</v>
      </c>
      <c r="AH205" s="268">
        <v>94.041640784313458</v>
      </c>
      <c r="AI205" s="271">
        <v>8.4039419895349781</v>
      </c>
      <c r="AJ205" s="271">
        <v>77.118786224570002</v>
      </c>
      <c r="AK205" s="271">
        <v>153.34970522087502</v>
      </c>
      <c r="AL205" s="268">
        <v>153.34970522087502</v>
      </c>
      <c r="AM205" s="270">
        <v>14.804934473111523</v>
      </c>
      <c r="AN205" s="270">
        <v>34.958066093452956</v>
      </c>
      <c r="AO205" s="238">
        <v>111.65800736864503</v>
      </c>
      <c r="AP205" s="268">
        <v>110.55097938734383</v>
      </c>
      <c r="AQ205" s="268">
        <v>85.52749488875196</v>
      </c>
      <c r="AR205" s="268">
        <v>126.33304687427677</v>
      </c>
    </row>
    <row r="206" spans="1:44" x14ac:dyDescent="0.25">
      <c r="A206" s="11">
        <v>45139</v>
      </c>
      <c r="B206" s="232">
        <f t="shared" si="1"/>
        <v>107.30431755159542</v>
      </c>
      <c r="C206" s="252">
        <v>106.47764344239758</v>
      </c>
      <c r="D206" s="235">
        <v>104.47769021801803</v>
      </c>
      <c r="E206" s="190">
        <v>73.495127174223427</v>
      </c>
      <c r="F206" s="190">
        <v>88.284609461640798</v>
      </c>
      <c r="G206" s="190">
        <v>53.529809617771875</v>
      </c>
      <c r="H206" s="190">
        <v>100.44275582248768</v>
      </c>
      <c r="I206" s="190">
        <v>112.83506437290386</v>
      </c>
      <c r="J206" s="190">
        <v>90.27370556031174</v>
      </c>
      <c r="K206" s="356">
        <v>83.898668373539962</v>
      </c>
      <c r="L206" s="299">
        <v>83.459486542711375</v>
      </c>
      <c r="M206" s="299">
        <v>85.522087790895398</v>
      </c>
      <c r="N206" s="303">
        <v>110.27374575698182</v>
      </c>
      <c r="O206" s="190">
        <v>88.732308793035401</v>
      </c>
      <c r="P206" s="190">
        <v>78.115902359135134</v>
      </c>
      <c r="Q206" s="190">
        <v>99.277392790825573</v>
      </c>
      <c r="R206" s="190">
        <v>113.69199239096221</v>
      </c>
      <c r="S206" s="190">
        <v>82.821224871893605</v>
      </c>
      <c r="T206" s="190">
        <v>78.437034041483642</v>
      </c>
      <c r="U206" s="189">
        <v>110.66259117705098</v>
      </c>
      <c r="V206" s="299">
        <v>111.4923727462086</v>
      </c>
      <c r="W206" s="299">
        <v>120.84363997936107</v>
      </c>
      <c r="X206" s="299">
        <v>104.53587880093561</v>
      </c>
      <c r="Y206" s="269">
        <v>157.43941967422535</v>
      </c>
      <c r="Z206" s="189">
        <v>127.2072052121262</v>
      </c>
      <c r="AA206" s="190">
        <v>152.66206590238701</v>
      </c>
      <c r="AB206" s="190">
        <v>128.86656843614435</v>
      </c>
      <c r="AC206" s="190">
        <v>126.97920491380837</v>
      </c>
      <c r="AD206" s="235">
        <v>93.687982897501939</v>
      </c>
      <c r="AE206" s="190">
        <v>97.497062648909463</v>
      </c>
      <c r="AF206" s="190">
        <v>105.78147988499967</v>
      </c>
      <c r="AG206" s="268">
        <v>92.119559035141549</v>
      </c>
      <c r="AH206" s="268">
        <v>92.818605176262849</v>
      </c>
      <c r="AI206" s="271">
        <v>8.6062825180344795</v>
      </c>
      <c r="AJ206" s="271">
        <v>67.740194243066114</v>
      </c>
      <c r="AK206" s="271">
        <v>224.02695559693021</v>
      </c>
      <c r="AL206" s="268">
        <v>224.02695559693021</v>
      </c>
      <c r="AM206" s="270">
        <v>20.324918761279559</v>
      </c>
      <c r="AN206" s="270">
        <v>125.6507606753112</v>
      </c>
      <c r="AO206" s="238">
        <v>107.89076157777851</v>
      </c>
      <c r="AP206" s="268">
        <v>129.12911614409401</v>
      </c>
      <c r="AQ206" s="268">
        <v>88.419453348943279</v>
      </c>
      <c r="AR206" s="268">
        <v>117.01423037217894</v>
      </c>
    </row>
    <row r="207" spans="1:44" x14ac:dyDescent="0.25">
      <c r="A207" s="11">
        <v>45170</v>
      </c>
      <c r="B207" s="232">
        <f t="shared" si="1"/>
        <v>109.73134843521848</v>
      </c>
      <c r="C207" s="252">
        <v>108.34017549790438</v>
      </c>
      <c r="D207" s="235">
        <v>101.84015238480467</v>
      </c>
      <c r="E207" s="190">
        <v>51.905025384832456</v>
      </c>
      <c r="F207" s="190">
        <v>75.478868379696536</v>
      </c>
      <c r="G207" s="190">
        <v>88.622835627370137</v>
      </c>
      <c r="H207" s="190">
        <v>113.20119394597477</v>
      </c>
      <c r="I207" s="190">
        <v>110.66230175762993</v>
      </c>
      <c r="J207" s="190">
        <v>158.11442914828487</v>
      </c>
      <c r="K207" s="356">
        <v>87.983283524191236</v>
      </c>
      <c r="L207" s="299">
        <v>85.445871021764987</v>
      </c>
      <c r="M207" s="299">
        <v>97.362735125154444</v>
      </c>
      <c r="N207" s="303">
        <v>106.80542412518177</v>
      </c>
      <c r="O207" s="190">
        <v>74.532252279413584</v>
      </c>
      <c r="P207" s="190">
        <v>98.917037081653532</v>
      </c>
      <c r="Q207" s="190">
        <v>93.511203256670115</v>
      </c>
      <c r="R207" s="190">
        <v>109.99209667954054</v>
      </c>
      <c r="S207" s="190">
        <v>79.28168314012099</v>
      </c>
      <c r="T207" s="190">
        <v>85.718967690146343</v>
      </c>
      <c r="U207" s="189">
        <v>124.02552467796444</v>
      </c>
      <c r="V207" s="299">
        <v>127.43715260580913</v>
      </c>
      <c r="W207" s="299">
        <v>59.153510623219127</v>
      </c>
      <c r="X207" s="299">
        <v>112.73065030758606</v>
      </c>
      <c r="Y207" s="269">
        <v>106.78046073334794</v>
      </c>
      <c r="Z207" s="189">
        <v>118.53126400786381</v>
      </c>
      <c r="AA207" s="190">
        <v>131.97191967593551</v>
      </c>
      <c r="AB207" s="190">
        <v>41.520790950935208</v>
      </c>
      <c r="AC207" s="190">
        <v>119.29145320780241</v>
      </c>
      <c r="AD207" s="235">
        <v>100.74794327900068</v>
      </c>
      <c r="AE207" s="190">
        <v>96.963361516007652</v>
      </c>
      <c r="AF207" s="190">
        <v>105.30460888787378</v>
      </c>
      <c r="AG207" s="268">
        <v>132.88566676835944</v>
      </c>
      <c r="AH207" s="268">
        <v>94.711600624848316</v>
      </c>
      <c r="AI207" s="271">
        <v>10.404941596772108</v>
      </c>
      <c r="AJ207" s="271">
        <v>117.03461062152553</v>
      </c>
      <c r="AK207" s="271">
        <v>166.89080316285364</v>
      </c>
      <c r="AL207" s="268">
        <v>166.89080316285364</v>
      </c>
      <c r="AM207" s="270">
        <v>20.072457839649058</v>
      </c>
      <c r="AN207" s="270">
        <v>48.757261784611089</v>
      </c>
      <c r="AO207" s="238">
        <v>110.7182488950225</v>
      </c>
      <c r="AP207" s="268">
        <v>118.95132336892883</v>
      </c>
      <c r="AQ207" s="268">
        <v>74.31102167452778</v>
      </c>
      <c r="AR207" s="268">
        <v>130.36203440022459</v>
      </c>
    </row>
    <row r="208" spans="1:44" x14ac:dyDescent="0.25">
      <c r="A208" s="11">
        <v>45200</v>
      </c>
      <c r="B208" s="232">
        <f t="shared" si="1"/>
        <v>108.98930775158591</v>
      </c>
      <c r="C208" s="252">
        <v>108.55285991144505</v>
      </c>
      <c r="D208" s="235">
        <v>108.03438421707436</v>
      </c>
      <c r="E208" s="190">
        <v>140.68230127860195</v>
      </c>
      <c r="F208" s="190">
        <v>112.46469501004267</v>
      </c>
      <c r="G208" s="190">
        <v>88.623077369440907</v>
      </c>
      <c r="H208" s="190">
        <v>121.8300309384006</v>
      </c>
      <c r="I208" s="190">
        <v>104.90134976272876</v>
      </c>
      <c r="J208" s="190">
        <v>109.78039696539643</v>
      </c>
      <c r="K208" s="356">
        <v>122.83875111130106</v>
      </c>
      <c r="L208" s="299">
        <v>115.51402655841933</v>
      </c>
      <c r="M208" s="299">
        <v>149.91432489697809</v>
      </c>
      <c r="N208" s="303">
        <v>105.85243740776696</v>
      </c>
      <c r="O208" s="190">
        <v>92.583644408736433</v>
      </c>
      <c r="P208" s="190">
        <v>59.356912895548803</v>
      </c>
      <c r="Q208" s="190">
        <v>106.65842356178418</v>
      </c>
      <c r="R208" s="190">
        <v>106.09291758879546</v>
      </c>
      <c r="S208" s="190">
        <v>109.998233402182</v>
      </c>
      <c r="T208" s="190">
        <v>84.674599733451259</v>
      </c>
      <c r="U208" s="189">
        <v>110.27638222222519</v>
      </c>
      <c r="V208" s="299">
        <v>110.78314858392831</v>
      </c>
      <c r="W208" s="299">
        <v>104.65166623485615</v>
      </c>
      <c r="X208" s="299">
        <v>108.07639649857464</v>
      </c>
      <c r="Y208" s="269">
        <v>148.07825012276754</v>
      </c>
      <c r="Z208" s="189">
        <v>117.4949105029353</v>
      </c>
      <c r="AA208" s="190">
        <v>76.720565830101592</v>
      </c>
      <c r="AB208" s="190">
        <v>76.462810724426845</v>
      </c>
      <c r="AC208" s="190">
        <v>118.29398117795471</v>
      </c>
      <c r="AD208" s="235">
        <v>102.65419407054198</v>
      </c>
      <c r="AE208" s="190">
        <v>103.53682144787255</v>
      </c>
      <c r="AF208" s="190">
        <v>143.21621902198865</v>
      </c>
      <c r="AG208" s="268">
        <v>83.56158518115798</v>
      </c>
      <c r="AH208" s="268">
        <v>104.61768055632172</v>
      </c>
      <c r="AI208" s="271">
        <v>18.732398740817889</v>
      </c>
      <c r="AJ208" s="271">
        <v>156.3004083627437</v>
      </c>
      <c r="AK208" s="271">
        <v>144.52126929307087</v>
      </c>
      <c r="AL208" s="268">
        <v>144.52126929307087</v>
      </c>
      <c r="AM208" s="270">
        <v>33.683867584776706</v>
      </c>
      <c r="AN208" s="270">
        <v>59.450557587352812</v>
      </c>
      <c r="AO208" s="238">
        <v>109.29892459544654</v>
      </c>
      <c r="AP208" s="268">
        <v>125.13492775659738</v>
      </c>
      <c r="AQ208" s="268">
        <v>97.955255477419357</v>
      </c>
      <c r="AR208" s="268">
        <v>114.32975536227332</v>
      </c>
    </row>
    <row r="209" spans="1:44" x14ac:dyDescent="0.25">
      <c r="A209" s="11">
        <v>45231</v>
      </c>
      <c r="B209" s="232">
        <f t="shared" si="1"/>
        <v>107.76769365581347</v>
      </c>
      <c r="C209" s="252">
        <v>110.91248249819334</v>
      </c>
      <c r="D209" s="235">
        <v>109.38294836192962</v>
      </c>
      <c r="E209" s="190">
        <v>53.616533239741628</v>
      </c>
      <c r="F209" s="190">
        <v>129.69702074872151</v>
      </c>
      <c r="G209" s="190">
        <v>95.331339731696573</v>
      </c>
      <c r="H209" s="190">
        <v>111.76628617996042</v>
      </c>
      <c r="I209" s="190">
        <v>108.27721528467085</v>
      </c>
      <c r="J209" s="190">
        <v>59.08805207966261</v>
      </c>
      <c r="K209" s="356">
        <v>121.2825715752988</v>
      </c>
      <c r="L209" s="299">
        <v>121.8422289782322</v>
      </c>
      <c r="M209" s="299">
        <v>119.21381865518222</v>
      </c>
      <c r="N209" s="303">
        <v>108.6188661836356</v>
      </c>
      <c r="O209" s="190">
        <v>74.483444976293811</v>
      </c>
      <c r="P209" s="190">
        <v>102.24664077240929</v>
      </c>
      <c r="Q209" s="190">
        <v>101.33338998757158</v>
      </c>
      <c r="R209" s="190">
        <v>109.50091217390019</v>
      </c>
      <c r="S209" s="190">
        <v>94.575283937113142</v>
      </c>
      <c r="T209" s="190">
        <v>140.37643925268267</v>
      </c>
      <c r="U209" s="189">
        <v>106.58964622032514</v>
      </c>
      <c r="V209" s="299">
        <v>109.90850971300057</v>
      </c>
      <c r="W209" s="299">
        <v>104.08746068080391</v>
      </c>
      <c r="X209" s="299">
        <v>87.711811185926891</v>
      </c>
      <c r="Y209" s="269">
        <v>114.77201400742562</v>
      </c>
      <c r="Z209" s="189">
        <v>178.24234643875937</v>
      </c>
      <c r="AA209" s="190">
        <v>85.498330970152452</v>
      </c>
      <c r="AB209" s="190">
        <v>147.09271425103466</v>
      </c>
      <c r="AC209" s="190">
        <v>179.35687930326813</v>
      </c>
      <c r="AD209" s="235">
        <v>90.281648059143208</v>
      </c>
      <c r="AE209" s="190">
        <v>90.720581253276507</v>
      </c>
      <c r="AF209" s="190">
        <v>146.037138929756</v>
      </c>
      <c r="AG209" s="268">
        <v>86.22599952058421</v>
      </c>
      <c r="AH209" s="268">
        <v>88.626659593014196</v>
      </c>
      <c r="AI209" s="271">
        <v>12.002745611865626</v>
      </c>
      <c r="AJ209" s="271">
        <v>133.88927413518084</v>
      </c>
      <c r="AK209" s="271">
        <v>162.81240986477803</v>
      </c>
      <c r="AL209" s="268">
        <v>162.81240986477803</v>
      </c>
      <c r="AM209" s="270">
        <v>51.353040331981795</v>
      </c>
      <c r="AN209" s="270">
        <v>221.86932370840969</v>
      </c>
      <c r="AO209" s="238">
        <v>105.53677507532177</v>
      </c>
      <c r="AP209" s="268">
        <v>135.6170254490838</v>
      </c>
      <c r="AQ209" s="268">
        <v>83.143011818269443</v>
      </c>
      <c r="AR209" s="268">
        <v>115.56529163308699</v>
      </c>
    </row>
    <row r="210" spans="1:44" x14ac:dyDescent="0.25">
      <c r="A210" s="11">
        <v>45261</v>
      </c>
      <c r="B210" s="232">
        <f t="shared" si="1"/>
        <v>128.00272595539363</v>
      </c>
      <c r="C210" s="252">
        <v>134.63197472084437</v>
      </c>
      <c r="D210" s="235">
        <v>112.97395874988484</v>
      </c>
      <c r="E210" s="190">
        <v>109.94539760855123</v>
      </c>
      <c r="F210" s="190">
        <v>140.3009380861555</v>
      </c>
      <c r="G210" s="190">
        <v>85.411279444671138</v>
      </c>
      <c r="H210" s="190">
        <v>103.97875975717778</v>
      </c>
      <c r="I210" s="190">
        <v>107.57565201238064</v>
      </c>
      <c r="J210" s="190">
        <v>72.2407138591403</v>
      </c>
      <c r="K210" s="356">
        <v>120.29902585827028</v>
      </c>
      <c r="L210" s="299">
        <v>115.1905947802299</v>
      </c>
      <c r="M210" s="299">
        <v>139.18215266856257</v>
      </c>
      <c r="N210" s="303">
        <v>125.86910591786859</v>
      </c>
      <c r="O210" s="190">
        <v>120.30152969476723</v>
      </c>
      <c r="P210" s="190">
        <v>211.16326641823886</v>
      </c>
      <c r="Q210" s="190">
        <v>152.071539542034</v>
      </c>
      <c r="R210" s="190">
        <v>128.06915284354437</v>
      </c>
      <c r="S210" s="190">
        <v>103.15646746547553</v>
      </c>
      <c r="T210" s="190">
        <v>87.044040730770874</v>
      </c>
      <c r="U210" s="189">
        <v>154.08602505416857</v>
      </c>
      <c r="V210" s="299">
        <v>161.63893313669357</v>
      </c>
      <c r="W210" s="299">
        <v>217.69676099848823</v>
      </c>
      <c r="X210" s="299">
        <v>102.10217520922647</v>
      </c>
      <c r="Y210" s="269">
        <v>149.85686673457073</v>
      </c>
      <c r="Z210" s="189">
        <v>163.76209811174036</v>
      </c>
      <c r="AA210" s="190">
        <v>116.66735033535858</v>
      </c>
      <c r="AB210" s="190">
        <v>88.290139857246473</v>
      </c>
      <c r="AC210" s="190">
        <v>165.00249587912896</v>
      </c>
      <c r="AD210" s="235">
        <v>156.67787942353903</v>
      </c>
      <c r="AE210" s="190">
        <v>94.402026762819162</v>
      </c>
      <c r="AF210" s="190">
        <v>158.47055573788458</v>
      </c>
      <c r="AG210" s="268">
        <v>85.56595787517179</v>
      </c>
      <c r="AH210" s="268">
        <v>181.88430927139513</v>
      </c>
      <c r="AI210" s="271">
        <v>898.99251836964459</v>
      </c>
      <c r="AJ210" s="271">
        <v>146.63013065951787</v>
      </c>
      <c r="AK210" s="271">
        <v>427.87460068050632</v>
      </c>
      <c r="AL210" s="268">
        <v>427.87460068050632</v>
      </c>
      <c r="AM210" s="270">
        <v>22.983156169017857</v>
      </c>
      <c r="AN210" s="270">
        <v>205.24118545655679</v>
      </c>
      <c r="AO210" s="238">
        <v>123.2999255491337</v>
      </c>
      <c r="AP210" s="268">
        <v>134.57628608133453</v>
      </c>
      <c r="AQ210" s="268">
        <v>86.809718798186381</v>
      </c>
      <c r="AR210" s="268">
        <v>142.74012469024535</v>
      </c>
    </row>
    <row r="211" spans="1:44" x14ac:dyDescent="0.25">
      <c r="A211" s="11">
        <v>45292</v>
      </c>
      <c r="B211" s="232">
        <f t="shared" si="1"/>
        <v>101.87325121796985</v>
      </c>
      <c r="C211" s="252">
        <v>106.36717547851339</v>
      </c>
      <c r="D211" s="235">
        <v>94.096671313923395</v>
      </c>
      <c r="E211" s="190">
        <v>83.788762070730286</v>
      </c>
      <c r="F211" s="190">
        <v>96.788368247872214</v>
      </c>
      <c r="G211" s="190">
        <v>106.87671888607295</v>
      </c>
      <c r="H211" s="190">
        <v>116.17713941252499</v>
      </c>
      <c r="I211" s="190">
        <v>91.387741526149171</v>
      </c>
      <c r="J211" s="190">
        <v>143.94282539900877</v>
      </c>
      <c r="K211" s="356">
        <v>101.75092419606801</v>
      </c>
      <c r="L211" s="299">
        <v>102.96210652986038</v>
      </c>
      <c r="M211" s="299">
        <v>97.273833431801464</v>
      </c>
      <c r="N211" s="303">
        <v>112.2204740958562</v>
      </c>
      <c r="O211" s="190">
        <v>79.829788391252833</v>
      </c>
      <c r="P211" s="190">
        <v>126.81705380832832</v>
      </c>
      <c r="Q211" s="190">
        <v>154.70205345554774</v>
      </c>
      <c r="R211" s="190">
        <v>115.22724191929341</v>
      </c>
      <c r="S211" s="190">
        <v>73.819075861486539</v>
      </c>
      <c r="T211" s="190">
        <v>114.44173308063739</v>
      </c>
      <c r="U211" s="189">
        <v>112.64691013098164</v>
      </c>
      <c r="V211" s="299">
        <v>115.93281232410577</v>
      </c>
      <c r="W211" s="299">
        <v>103.23607706273543</v>
      </c>
      <c r="X211" s="299">
        <v>94.859208628291583</v>
      </c>
      <c r="Y211" s="269">
        <v>110.13571836436269</v>
      </c>
      <c r="Z211" s="189">
        <v>141.08281874024615</v>
      </c>
      <c r="AA211" s="190">
        <v>112.52762317553747</v>
      </c>
      <c r="AB211" s="190">
        <v>71.228622617506602</v>
      </c>
      <c r="AC211" s="190">
        <v>142.10730703843748</v>
      </c>
      <c r="AD211" s="235">
        <v>97.512659184959503</v>
      </c>
      <c r="AE211" s="190">
        <v>80.047904874699071</v>
      </c>
      <c r="AF211" s="190">
        <v>113.78123579853789</v>
      </c>
      <c r="AG211" s="268">
        <v>83.516790378007059</v>
      </c>
      <c r="AH211" s="268">
        <v>102.70006599647031</v>
      </c>
      <c r="AI211" s="271">
        <v>4.7965655151885267</v>
      </c>
      <c r="AJ211" s="271">
        <v>118.8641619216361</v>
      </c>
      <c r="AK211" s="271">
        <v>149.24379269380734</v>
      </c>
      <c r="AL211" s="268">
        <v>149.24379269380734</v>
      </c>
      <c r="AM211" s="270">
        <v>21.14863122263673</v>
      </c>
      <c r="AN211" s="270">
        <v>31.418782156959594</v>
      </c>
      <c r="AO211" s="238">
        <v>98.685253665618461</v>
      </c>
      <c r="AP211" s="268">
        <v>123.90107193536255</v>
      </c>
      <c r="AQ211" s="268">
        <v>71.969344641497784</v>
      </c>
      <c r="AR211" s="268">
        <v>111.52551791595236</v>
      </c>
    </row>
    <row r="212" spans="1:44" x14ac:dyDescent="0.25">
      <c r="A212" s="11">
        <v>45323</v>
      </c>
      <c r="B212" s="232">
        <f t="shared" si="1"/>
        <v>96.021418072586343</v>
      </c>
      <c r="C212" s="252">
        <v>99.840130823881296</v>
      </c>
      <c r="D212" s="235">
        <v>99.371994111632361</v>
      </c>
      <c r="E212" s="190">
        <v>72.262213923426131</v>
      </c>
      <c r="F212" s="190">
        <v>89.409245123828413</v>
      </c>
      <c r="G212" s="190">
        <v>100.4572939589933</v>
      </c>
      <c r="H212" s="190">
        <v>129.54248029395131</v>
      </c>
      <c r="I212" s="190">
        <v>102.85475287284996</v>
      </c>
      <c r="J212" s="190">
        <v>81.085347194662731</v>
      </c>
      <c r="K212" s="356">
        <v>85.474977914660954</v>
      </c>
      <c r="L212" s="299">
        <v>84.182674303235501</v>
      </c>
      <c r="M212" s="299">
        <v>90.251930485646142</v>
      </c>
      <c r="N212" s="303">
        <v>108.61446667692387</v>
      </c>
      <c r="O212" s="190">
        <v>73.468247402239541</v>
      </c>
      <c r="P212" s="190">
        <v>63.261506228333268</v>
      </c>
      <c r="Q212" s="190">
        <v>103.13260226691938</v>
      </c>
      <c r="R212" s="190">
        <v>107.63105236965151</v>
      </c>
      <c r="S212" s="190">
        <v>118.50435080387594</v>
      </c>
      <c r="T212" s="190">
        <v>131.24774453267537</v>
      </c>
      <c r="U212" s="189">
        <v>96.96778369602302</v>
      </c>
      <c r="V212" s="299">
        <v>99.779193862271583</v>
      </c>
      <c r="W212" s="299">
        <v>100.10335632770594</v>
      </c>
      <c r="X212" s="299">
        <v>80.292211378921451</v>
      </c>
      <c r="Y212" s="269">
        <v>102.87595084787749</v>
      </c>
      <c r="Z212" s="189">
        <v>115.89805691632267</v>
      </c>
      <c r="AA212" s="190">
        <v>120.09305730204548</v>
      </c>
      <c r="AB212" s="190">
        <v>218.60073450399113</v>
      </c>
      <c r="AC212" s="190">
        <v>114.70242890032114</v>
      </c>
      <c r="AD212" s="235">
        <v>88.646363667133699</v>
      </c>
      <c r="AE212" s="190">
        <v>81.597884158871679</v>
      </c>
      <c r="AF212" s="190">
        <v>121.96046252504158</v>
      </c>
      <c r="AG212" s="268">
        <v>74.279860702632305</v>
      </c>
      <c r="AH212" s="268">
        <v>91.353030827883046</v>
      </c>
      <c r="AI212" s="271">
        <v>4.6073729095424554</v>
      </c>
      <c r="AJ212" s="271">
        <v>127.44435932394795</v>
      </c>
      <c r="AK212" s="271">
        <v>185.87127810945594</v>
      </c>
      <c r="AL212" s="268">
        <v>185.87127810945594</v>
      </c>
      <c r="AM212" s="270">
        <v>17.146267922393037</v>
      </c>
      <c r="AN212" s="270">
        <v>63.448678638388941</v>
      </c>
      <c r="AO212" s="238">
        <v>93.312416719103595</v>
      </c>
      <c r="AP212" s="268">
        <v>117.07642836842516</v>
      </c>
      <c r="AQ212" s="268">
        <v>64.016571033720908</v>
      </c>
      <c r="AR212" s="268">
        <v>107.71182753446578</v>
      </c>
    </row>
    <row r="213" spans="1:44" x14ac:dyDescent="0.25">
      <c r="A213" s="11">
        <v>45352</v>
      </c>
      <c r="B213" s="232">
        <f t="shared" si="1"/>
        <v>110.35238085639224</v>
      </c>
      <c r="C213" s="252">
        <v>115.29297116929403</v>
      </c>
      <c r="D213" s="235">
        <v>100.3422419650144</v>
      </c>
      <c r="E213" s="190">
        <v>84.46821727707146</v>
      </c>
      <c r="F213" s="190">
        <v>95.041410069709286</v>
      </c>
      <c r="G213" s="190">
        <v>94.639699686908827</v>
      </c>
      <c r="H213" s="190">
        <v>119.02292368807595</v>
      </c>
      <c r="I213" s="190">
        <v>102.08015258485889</v>
      </c>
      <c r="J213" s="190">
        <v>101.80583343539153</v>
      </c>
      <c r="K213" s="356">
        <v>75.402826597753304</v>
      </c>
      <c r="L213" s="299">
        <v>77.973749377969895</v>
      </c>
      <c r="M213" s="299">
        <v>65.899505492573212</v>
      </c>
      <c r="N213" s="303">
        <v>117.9299923619665</v>
      </c>
      <c r="O213" s="190">
        <v>69.234134165131181</v>
      </c>
      <c r="P213" s="190">
        <v>103.73224392778759</v>
      </c>
      <c r="Q213" s="190">
        <v>127.57199839220469</v>
      </c>
      <c r="R213" s="190">
        <v>121.66742327900099</v>
      </c>
      <c r="S213" s="190">
        <v>82.287793374171017</v>
      </c>
      <c r="T213" s="190">
        <v>96.928535139510998</v>
      </c>
      <c r="U213" s="189">
        <v>130.8389926423271</v>
      </c>
      <c r="V213" s="299">
        <v>130.98034933761576</v>
      </c>
      <c r="W213" s="299">
        <v>124.46207813643719</v>
      </c>
      <c r="X213" s="299">
        <v>130.85126405147236</v>
      </c>
      <c r="Y213" s="269">
        <v>122.51162795989335</v>
      </c>
      <c r="Z213" s="189">
        <v>161.87239925621117</v>
      </c>
      <c r="AA213" s="190">
        <v>120.58204737322215</v>
      </c>
      <c r="AB213" s="190">
        <v>74.529055219906354</v>
      </c>
      <c r="AC213" s="190">
        <v>163.19930127404862</v>
      </c>
      <c r="AD213" s="235">
        <v>98.126600048170957</v>
      </c>
      <c r="AE213" s="190">
        <v>81.088105663012811</v>
      </c>
      <c r="AF213" s="190">
        <v>133.79510435666649</v>
      </c>
      <c r="AG213" s="268">
        <v>92.130603146357672</v>
      </c>
      <c r="AH213" s="268">
        <v>100.78616953477076</v>
      </c>
      <c r="AI213" s="271">
        <v>96.661688721473212</v>
      </c>
      <c r="AJ213" s="271">
        <v>179.112370059478</v>
      </c>
      <c r="AK213" s="271">
        <v>194.92453410832536</v>
      </c>
      <c r="AL213" s="268">
        <v>194.92453410832536</v>
      </c>
      <c r="AM213" s="270">
        <v>25.54910774616453</v>
      </c>
      <c r="AN213" s="270">
        <v>73.197533996888637</v>
      </c>
      <c r="AO213" s="238">
        <v>106.84751764296618</v>
      </c>
      <c r="AP213" s="268">
        <v>123.40710248741718</v>
      </c>
      <c r="AQ213" s="268">
        <v>76.727383148037617</v>
      </c>
      <c r="AR213" s="268">
        <v>122.29857757665125</v>
      </c>
    </row>
    <row r="214" spans="1:44" x14ac:dyDescent="0.25">
      <c r="A214" s="11">
        <v>45383</v>
      </c>
      <c r="B214" s="232">
        <f t="shared" si="1"/>
        <v>101.48769725510385</v>
      </c>
      <c r="C214" s="252">
        <v>106.65704551811986</v>
      </c>
      <c r="D214" s="235">
        <v>100.88923824544771</v>
      </c>
      <c r="E214" s="190">
        <v>105.76471774445353</v>
      </c>
      <c r="F214" s="190">
        <v>96.850957533729883</v>
      </c>
      <c r="G214" s="190">
        <v>109.06232829091795</v>
      </c>
      <c r="H214" s="190">
        <v>70.294047594875636</v>
      </c>
      <c r="I214" s="190">
        <v>103.17708085954848</v>
      </c>
      <c r="J214" s="190">
        <v>85.82665552921182</v>
      </c>
      <c r="K214" s="356">
        <v>86.72856887732928</v>
      </c>
      <c r="L214" s="299">
        <v>82.011079850525903</v>
      </c>
      <c r="M214" s="299">
        <v>104.1665928338868</v>
      </c>
      <c r="N214" s="303">
        <v>118.06083263121724</v>
      </c>
      <c r="O214" s="190">
        <v>74.541114581026235</v>
      </c>
      <c r="P214" s="190">
        <v>61.349552188364932</v>
      </c>
      <c r="Q214" s="190">
        <v>168.55302702612079</v>
      </c>
      <c r="R214" s="190">
        <v>119.22833133026901</v>
      </c>
      <c r="S214" s="190">
        <v>110.20218737711625</v>
      </c>
      <c r="T214" s="190">
        <v>82.949849980259472</v>
      </c>
      <c r="U214" s="189">
        <v>108.25462210738947</v>
      </c>
      <c r="V214" s="299">
        <v>110.61517459402607</v>
      </c>
      <c r="W214" s="299">
        <v>99.866569930238626</v>
      </c>
      <c r="X214" s="299">
        <v>95.688020621382876</v>
      </c>
      <c r="Y214" s="269">
        <v>123.00792283032918</v>
      </c>
      <c r="Z214" s="189">
        <v>115.51352763948171</v>
      </c>
      <c r="AA214" s="190">
        <v>121.6429158589538</v>
      </c>
      <c r="AB214" s="190">
        <v>128.14406079956316</v>
      </c>
      <c r="AC214" s="190">
        <v>115.32034448801932</v>
      </c>
      <c r="AD214" s="235">
        <v>98.420552690404875</v>
      </c>
      <c r="AE214" s="190">
        <v>87.529340149750695</v>
      </c>
      <c r="AF214" s="190">
        <v>118.77852999118087</v>
      </c>
      <c r="AG214" s="268">
        <v>108.01877590683547</v>
      </c>
      <c r="AH214" s="268">
        <v>97.508149924428636</v>
      </c>
      <c r="AI214" s="271">
        <v>16.592606731250971</v>
      </c>
      <c r="AJ214" s="271">
        <v>119.86390464774527</v>
      </c>
      <c r="AK214" s="271">
        <v>154.35015705863938</v>
      </c>
      <c r="AL214" s="268">
        <v>154.35015705863938</v>
      </c>
      <c r="AM214" s="270">
        <v>21.714179037733789</v>
      </c>
      <c r="AN214" s="270">
        <v>44.982458668995889</v>
      </c>
      <c r="AO214" s="238">
        <v>97.820552760827553</v>
      </c>
      <c r="AP214" s="268">
        <v>125.58729152164844</v>
      </c>
      <c r="AQ214" s="268">
        <v>70.760943376580229</v>
      </c>
      <c r="AR214" s="268">
        <v>110.6431764968645</v>
      </c>
    </row>
    <row r="215" spans="1:44" x14ac:dyDescent="0.25">
      <c r="A215" s="11">
        <v>45413</v>
      </c>
      <c r="B215" s="232">
        <f t="shared" si="1"/>
        <v>113.09211558850005</v>
      </c>
      <c r="C215" s="252">
        <v>116.25580758211397</v>
      </c>
      <c r="D215" s="235">
        <v>110.83616332556245</v>
      </c>
      <c r="E215" s="190">
        <v>103.81421560472806</v>
      </c>
      <c r="F215" s="190">
        <v>104.58629775545445</v>
      </c>
      <c r="G215" s="190">
        <v>98.01929938761684</v>
      </c>
      <c r="H215" s="190">
        <v>75.76477788023638</v>
      </c>
      <c r="I215" s="190">
        <v>115.74251809540473</v>
      </c>
      <c r="J215" s="190">
        <v>74.654412595904518</v>
      </c>
      <c r="K215" s="356">
        <v>121.9969132970006</v>
      </c>
      <c r="L215" s="299">
        <v>126.71205739917784</v>
      </c>
      <c r="M215" s="299">
        <v>104.56755726771863</v>
      </c>
      <c r="N215" s="303">
        <v>107.81561051143373</v>
      </c>
      <c r="O215" s="190">
        <v>66.03601673930055</v>
      </c>
      <c r="P215" s="190">
        <v>73.736959867744844</v>
      </c>
      <c r="Q215" s="190">
        <v>106.21851421987074</v>
      </c>
      <c r="R215" s="190">
        <v>109.38260513623696</v>
      </c>
      <c r="S215" s="190">
        <v>96.800568070118729</v>
      </c>
      <c r="T215" s="190">
        <v>92.930227192429157</v>
      </c>
      <c r="U215" s="189">
        <v>110.98993566985169</v>
      </c>
      <c r="V215" s="299">
        <v>114.41154120153689</v>
      </c>
      <c r="W215" s="299">
        <v>86.149362084995175</v>
      </c>
      <c r="X215" s="299">
        <v>94.425773297586431</v>
      </c>
      <c r="Y215" s="269">
        <v>99.09519530518331</v>
      </c>
      <c r="Z215" s="189">
        <v>248.14776796831228</v>
      </c>
      <c r="AA215" s="190">
        <v>186.70663942075473</v>
      </c>
      <c r="AB215" s="190">
        <v>89.97701478478082</v>
      </c>
      <c r="AC215" s="190">
        <v>250.44107674487989</v>
      </c>
      <c r="AD215" s="235">
        <v>95.390689968164708</v>
      </c>
      <c r="AE215" s="190">
        <v>83.091135671613827</v>
      </c>
      <c r="AF215" s="190">
        <v>123.88047320020274</v>
      </c>
      <c r="AG215" s="268">
        <v>84.707235428817071</v>
      </c>
      <c r="AH215" s="268">
        <v>98.478423730304613</v>
      </c>
      <c r="AI215" s="271">
        <v>7.4375103216723248</v>
      </c>
      <c r="AJ215" s="271">
        <v>124.11704366786032</v>
      </c>
      <c r="AK215" s="271">
        <v>171.45604525956119</v>
      </c>
      <c r="AL215" s="268">
        <v>171.45604525956119</v>
      </c>
      <c r="AM215" s="270">
        <v>18.973412241163839</v>
      </c>
      <c r="AN215" s="270">
        <v>229.9282458187871</v>
      </c>
      <c r="AO215" s="238">
        <v>110.84778708020983</v>
      </c>
      <c r="AP215" s="268">
        <v>133.98952535020695</v>
      </c>
      <c r="AQ215" s="268">
        <v>90.036589574296272</v>
      </c>
      <c r="AR215" s="268">
        <v>120.56278744968176</v>
      </c>
    </row>
    <row r="216" spans="1:44" x14ac:dyDescent="0.25">
      <c r="A216" s="11">
        <v>45444</v>
      </c>
      <c r="B216" s="232">
        <f t="shared" si="1"/>
        <v>108.84883544549484</v>
      </c>
      <c r="C216" s="252">
        <v>109.76837608860953</v>
      </c>
      <c r="D216" s="235">
        <v>97.457556705176714</v>
      </c>
      <c r="E216" s="190">
        <v>56.374847129820061</v>
      </c>
      <c r="F216" s="190">
        <v>97.498585646420111</v>
      </c>
      <c r="G216" s="190">
        <v>85.028620351748103</v>
      </c>
      <c r="H216" s="190">
        <v>59.71218751804841</v>
      </c>
      <c r="I216" s="190">
        <v>102.43351741817035</v>
      </c>
      <c r="J216" s="190">
        <v>67.571399565581757</v>
      </c>
      <c r="K216" s="356">
        <v>108.49640297191384</v>
      </c>
      <c r="L216" s="299">
        <v>95.28592245997946</v>
      </c>
      <c r="M216" s="299">
        <v>157.32845628160533</v>
      </c>
      <c r="N216" s="303">
        <v>113.88679487298417</v>
      </c>
      <c r="O216" s="190">
        <v>83.942050185766576</v>
      </c>
      <c r="P216" s="190">
        <v>92.172634877237556</v>
      </c>
      <c r="Q216" s="190">
        <v>125.91806088218894</v>
      </c>
      <c r="R216" s="190">
        <v>116.86224521814552</v>
      </c>
      <c r="S216" s="190">
        <v>89.942228575698707</v>
      </c>
      <c r="T216" s="190">
        <v>74.207393388961421</v>
      </c>
      <c r="U216" s="189">
        <v>125.58570284907756</v>
      </c>
      <c r="V216" s="299">
        <v>129.71897229763803</v>
      </c>
      <c r="W216" s="299">
        <v>126.29366590685542</v>
      </c>
      <c r="X216" s="299">
        <v>101.57763925072226</v>
      </c>
      <c r="Y216" s="269">
        <v>102.01186314387557</v>
      </c>
      <c r="Z216" s="189">
        <v>122.58132089924996</v>
      </c>
      <c r="AA216" s="190">
        <v>171.03376289686179</v>
      </c>
      <c r="AB216" s="190">
        <v>179.38470761427118</v>
      </c>
      <c r="AC216" s="190">
        <v>121.54082762624678</v>
      </c>
      <c r="AD216" s="235">
        <v>94.339850580340851</v>
      </c>
      <c r="AE216" s="190">
        <v>80.651097490165242</v>
      </c>
      <c r="AF216" s="190">
        <v>104.40324188788762</v>
      </c>
      <c r="AG216" s="268">
        <v>89.913723298412123</v>
      </c>
      <c r="AH216" s="268">
        <v>97.197346110638293</v>
      </c>
      <c r="AI216" s="271">
        <v>5.7232873986112436</v>
      </c>
      <c r="AJ216" s="271">
        <v>115.53024663254773</v>
      </c>
      <c r="AK216" s="271">
        <v>138.11710865182079</v>
      </c>
      <c r="AL216" s="268">
        <v>138.11710865182079</v>
      </c>
      <c r="AM216" s="270">
        <v>15.874226654144474</v>
      </c>
      <c r="AN216" s="270">
        <v>222.28887990713415</v>
      </c>
      <c r="AO216" s="238">
        <v>108.19651174140492</v>
      </c>
      <c r="AP216" s="268">
        <v>102.34697190080746</v>
      </c>
      <c r="AQ216" s="268">
        <v>73.915785990954291</v>
      </c>
      <c r="AR216" s="268">
        <v>127.80983402337125</v>
      </c>
    </row>
    <row r="217" spans="1:44" x14ac:dyDescent="0.25">
      <c r="A217" s="11">
        <v>45474</v>
      </c>
      <c r="B217" s="232">
        <f>(C217*41.5+AO217*58.5)/100</f>
        <v>121.94346432932355</v>
      </c>
      <c r="C217" s="252">
        <v>125.27908859103698</v>
      </c>
      <c r="D217" s="235">
        <v>101.63348328248698</v>
      </c>
      <c r="E217" s="190">
        <v>89.720457962652432</v>
      </c>
      <c r="F217" s="190">
        <v>104.00145117682693</v>
      </c>
      <c r="G217" s="190">
        <v>83.253069071186005</v>
      </c>
      <c r="H217" s="190">
        <v>84.226276410814279</v>
      </c>
      <c r="I217" s="190">
        <v>103.52351025485876</v>
      </c>
      <c r="J217" s="190">
        <v>76.320671688932592</v>
      </c>
      <c r="K217" s="356">
        <v>109.5423300868773</v>
      </c>
      <c r="L217" s="299">
        <v>105.38794366447333</v>
      </c>
      <c r="M217" s="299">
        <v>124.89886606334068</v>
      </c>
      <c r="N217" s="303">
        <v>121.92652982734316</v>
      </c>
      <c r="O217" s="190">
        <v>81.837730555664052</v>
      </c>
      <c r="P217" s="190">
        <v>173.22542501850319</v>
      </c>
      <c r="Q217" s="190">
        <v>132.63730870129092</v>
      </c>
      <c r="R217" s="190">
        <v>122.7663435984314</v>
      </c>
      <c r="S217" s="190">
        <v>118.5951724383866</v>
      </c>
      <c r="T217" s="190">
        <v>84.050641532320356</v>
      </c>
      <c r="U217" s="189">
        <v>157.89991293491724</v>
      </c>
      <c r="V217" s="299">
        <v>169.50495176107458</v>
      </c>
      <c r="W217" s="299">
        <v>132.6678779187032</v>
      </c>
      <c r="X217" s="299">
        <v>94.035786027014964</v>
      </c>
      <c r="Y217" s="269">
        <v>129.72020655000776</v>
      </c>
      <c r="Z217" s="189">
        <v>183.15097238750076</v>
      </c>
      <c r="AA217" s="190">
        <v>180.73080509867526</v>
      </c>
      <c r="AB217" s="190">
        <v>111.82441053591143</v>
      </c>
      <c r="AC217" s="190">
        <v>183.97727636656583</v>
      </c>
      <c r="AD217" s="235">
        <v>96.895526779455395</v>
      </c>
      <c r="AE217" s="190">
        <v>78.269480680675912</v>
      </c>
      <c r="AF217" s="190">
        <v>121.55762900622676</v>
      </c>
      <c r="AG217" s="268">
        <v>87.529258785038309</v>
      </c>
      <c r="AH217" s="268">
        <v>100.98828361886443</v>
      </c>
      <c r="AI217" s="271">
        <v>9.1562298685441341</v>
      </c>
      <c r="AJ217" s="271">
        <v>73.514240999677341</v>
      </c>
      <c r="AK217" s="271">
        <v>176.53889549933703</v>
      </c>
      <c r="AL217" s="268">
        <v>176.53889549933703</v>
      </c>
      <c r="AM217" s="270">
        <v>21.897893396956956</v>
      </c>
      <c r="AN217" s="270">
        <v>161.76903769872763</v>
      </c>
      <c r="AO217" s="238">
        <v>119.57716677614222</v>
      </c>
      <c r="AP217" s="268">
        <v>105.07232563924815</v>
      </c>
      <c r="AQ217" s="268">
        <v>79.870445963255648</v>
      </c>
      <c r="AR217" s="268">
        <v>142.92961172785326</v>
      </c>
    </row>
    <row r="218" spans="1:44" x14ac:dyDescent="0.25">
      <c r="A218" s="11">
        <v>45505</v>
      </c>
      <c r="B218" s="232">
        <f t="shared" si="1"/>
        <v>109.68497485947734</v>
      </c>
      <c r="C218" s="252">
        <v>111.05832619605629</v>
      </c>
      <c r="D218" s="235">
        <v>99.605957270097107</v>
      </c>
      <c r="E218" s="190">
        <v>64.14545735933342</v>
      </c>
      <c r="F218" s="190">
        <v>85.676533497961728</v>
      </c>
      <c r="G218" s="190">
        <v>117.88543642275197</v>
      </c>
      <c r="H218" s="190">
        <v>66.354286516833369</v>
      </c>
      <c r="I218" s="190">
        <v>106.88846737357797</v>
      </c>
      <c r="J218" s="190">
        <v>79.683471692921984</v>
      </c>
      <c r="K218" s="356">
        <v>103.90711011370151</v>
      </c>
      <c r="L218" s="299">
        <v>96.428039538656137</v>
      </c>
      <c r="M218" s="299">
        <v>131.55321826984476</v>
      </c>
      <c r="N218" s="303">
        <v>108.57781682293324</v>
      </c>
      <c r="O218" s="190">
        <v>78.760815251483962</v>
      </c>
      <c r="P218" s="190">
        <v>96.311425090150834</v>
      </c>
      <c r="Q218" s="190">
        <v>114.11576225687172</v>
      </c>
      <c r="R218" s="190">
        <v>111.75525900402828</v>
      </c>
      <c r="S218" s="190">
        <v>81.157614743054339</v>
      </c>
      <c r="T218" s="190">
        <v>76.765910199054971</v>
      </c>
      <c r="U218" s="189">
        <v>117.11223241837142</v>
      </c>
      <c r="V218" s="299">
        <v>123.24621514157516</v>
      </c>
      <c r="W218" s="299">
        <v>42.321959357304038</v>
      </c>
      <c r="X218" s="299">
        <v>91.356510806539802</v>
      </c>
      <c r="Y218" s="269">
        <v>109.37396267007855</v>
      </c>
      <c r="Z218" s="189">
        <v>195.52999348721664</v>
      </c>
      <c r="AA218" s="190">
        <v>184.8697518838824</v>
      </c>
      <c r="AB218" s="190">
        <v>125.96930973032831</v>
      </c>
      <c r="AC218" s="190">
        <v>196.40406630565832</v>
      </c>
      <c r="AD218" s="235">
        <v>97.730981154573968</v>
      </c>
      <c r="AE218" s="190">
        <v>77.838952371863996</v>
      </c>
      <c r="AF218" s="190">
        <v>115.71456845287946</v>
      </c>
      <c r="AG218" s="268">
        <v>87.468666151186625</v>
      </c>
      <c r="AH218" s="268">
        <v>102.51385581165883</v>
      </c>
      <c r="AI218" s="271">
        <v>7.5122597781243039</v>
      </c>
      <c r="AJ218" s="271">
        <v>57.3816200545808</v>
      </c>
      <c r="AK218" s="271">
        <v>224.70680138057318</v>
      </c>
      <c r="AL218" s="268">
        <v>224.70680138057318</v>
      </c>
      <c r="AM218" s="270">
        <v>20.752738073472589</v>
      </c>
      <c r="AN218" s="270">
        <v>141.01746013862993</v>
      </c>
      <c r="AO218" s="238">
        <v>108.71071707369912</v>
      </c>
      <c r="AP218" s="268">
        <v>121.84958232492031</v>
      </c>
      <c r="AQ218" s="268">
        <v>74.699599017188405</v>
      </c>
      <c r="AR218" s="268">
        <v>126.61433111276342</v>
      </c>
    </row>
    <row r="219" spans="1:44" x14ac:dyDescent="0.25">
      <c r="A219" s="11">
        <v>45536</v>
      </c>
      <c r="B219" s="232">
        <f t="shared" si="1"/>
        <v>107.75866185136431</v>
      </c>
      <c r="C219" s="252">
        <v>122.90304885825981</v>
      </c>
      <c r="D219" s="235">
        <v>122.84348892429965</v>
      </c>
      <c r="E219" s="190">
        <v>64.22045645876112</v>
      </c>
      <c r="F219" s="190">
        <v>226.66537140365395</v>
      </c>
      <c r="G219" s="190">
        <v>132.04910449150211</v>
      </c>
      <c r="H219" s="190">
        <v>68.592764006694026</v>
      </c>
      <c r="I219" s="190">
        <v>99.933978466842717</v>
      </c>
      <c r="J219" s="190">
        <v>71.135230150088404</v>
      </c>
      <c r="K219" s="356">
        <v>107.56195863976271</v>
      </c>
      <c r="L219" s="299">
        <v>102.60149246149294</v>
      </c>
      <c r="M219" s="299">
        <v>125.89813866284058</v>
      </c>
      <c r="N219" s="303">
        <v>121.48526418065555</v>
      </c>
      <c r="O219" s="190">
        <v>84.863083330838805</v>
      </c>
      <c r="P219" s="190">
        <v>81.576907316847809</v>
      </c>
      <c r="Q219" s="190">
        <v>112.21593183566139</v>
      </c>
      <c r="R219" s="190">
        <v>125.57441219171754</v>
      </c>
      <c r="S219" s="190">
        <v>88.736031514236103</v>
      </c>
      <c r="T219" s="190">
        <v>82.763561180144521</v>
      </c>
      <c r="U219" s="189">
        <v>117.01028943158387</v>
      </c>
      <c r="V219" s="299">
        <v>120.74401897005616</v>
      </c>
      <c r="W219" s="299">
        <v>89.937598964831608</v>
      </c>
      <c r="X219" s="299">
        <v>98.930708823131738</v>
      </c>
      <c r="Y219" s="269">
        <v>121.5775236087801</v>
      </c>
      <c r="Z219" s="189">
        <v>199.94942093124448</v>
      </c>
      <c r="AA219" s="190">
        <v>169.3442807865074</v>
      </c>
      <c r="AB219" s="190">
        <v>103.49852976850576</v>
      </c>
      <c r="AC219" s="190">
        <v>201.29145909522512</v>
      </c>
      <c r="AD219" s="235">
        <v>115.18006741440203</v>
      </c>
      <c r="AE219" s="190">
        <v>85.017166025395582</v>
      </c>
      <c r="AF219" s="190">
        <v>110.50078767417732</v>
      </c>
      <c r="AG219" s="268">
        <v>90.575113629148078</v>
      </c>
      <c r="AH219" s="268">
        <v>125.63685799276919</v>
      </c>
      <c r="AI219" s="271">
        <v>10.088555182868546</v>
      </c>
      <c r="AJ219" s="271">
        <v>121.8835311381283</v>
      </c>
      <c r="AK219" s="271">
        <v>212.65846429517745</v>
      </c>
      <c r="AL219" s="268">
        <v>212.65846429517745</v>
      </c>
      <c r="AM219" s="270">
        <v>12.632153316379936</v>
      </c>
      <c r="AN219" s="270">
        <v>32.079191558356264</v>
      </c>
      <c r="AO219" s="238">
        <v>97.015207820831606</v>
      </c>
      <c r="AP219" s="268">
        <v>106.19227772091509</v>
      </c>
      <c r="AQ219" s="268">
        <v>68.52876770903309</v>
      </c>
      <c r="AR219" s="268">
        <v>112.16067460908157</v>
      </c>
    </row>
    <row r="220" spans="1:44" x14ac:dyDescent="0.25">
      <c r="A220" s="11">
        <v>45566</v>
      </c>
      <c r="B220" s="232">
        <f t="shared" si="1"/>
        <v>109.32275420820068</v>
      </c>
      <c r="C220" s="252">
        <v>112.52117085783946</v>
      </c>
      <c r="D220" s="235">
        <v>87.589526333801018</v>
      </c>
      <c r="E220" s="190">
        <v>64.08177981811599</v>
      </c>
      <c r="F220" s="190">
        <v>98.788602980684132</v>
      </c>
      <c r="G220" s="190">
        <v>88.334519205778719</v>
      </c>
      <c r="H220" s="190">
        <v>83.991727753137695</v>
      </c>
      <c r="I220" s="190">
        <v>84.996659413055326</v>
      </c>
      <c r="J220" s="190">
        <v>123.01484056518998</v>
      </c>
      <c r="K220" s="356">
        <v>105.61557766747569</v>
      </c>
      <c r="L220" s="299">
        <v>104.64816703429007</v>
      </c>
      <c r="M220" s="299">
        <v>109.19157534366958</v>
      </c>
      <c r="N220" s="303">
        <v>114.32548796006303</v>
      </c>
      <c r="O220" s="190">
        <v>88.688577011173948</v>
      </c>
      <c r="P220" s="190">
        <v>120.33546994747141</v>
      </c>
      <c r="Q220" s="190">
        <v>109.94850625550683</v>
      </c>
      <c r="R220" s="190">
        <v>113.75455962509307</v>
      </c>
      <c r="S220" s="190">
        <v>127.59896881773608</v>
      </c>
      <c r="T220" s="190">
        <v>86.981482113775243</v>
      </c>
      <c r="U220" s="189">
        <v>120.17065101090139</v>
      </c>
      <c r="V220" s="299">
        <v>121.09499935424438</v>
      </c>
      <c r="W220" s="299">
        <v>129.1218557285911</v>
      </c>
      <c r="X220" s="299">
        <v>113.6568661667343</v>
      </c>
      <c r="Y220" s="269">
        <v>136.15223820602446</v>
      </c>
      <c r="Z220" s="189">
        <v>193.73313479084874</v>
      </c>
      <c r="AA220" s="190">
        <v>157.72801870371615</v>
      </c>
      <c r="AB220" s="190">
        <v>119.76454065914122</v>
      </c>
      <c r="AC220" s="190">
        <v>194.86537858435111</v>
      </c>
      <c r="AD220" s="235">
        <v>113.07815289024678</v>
      </c>
      <c r="AE220" s="190">
        <v>96.112690791246038</v>
      </c>
      <c r="AF220" s="190">
        <v>120.98880997391346</v>
      </c>
      <c r="AG220" s="268">
        <v>101.38822357939252</v>
      </c>
      <c r="AH220" s="268">
        <v>118.07122864200998</v>
      </c>
      <c r="AI220" s="271">
        <v>9.1444336483079347</v>
      </c>
      <c r="AJ220" s="271">
        <v>159.76505915665587</v>
      </c>
      <c r="AK220" s="271">
        <v>227.32331657246647</v>
      </c>
      <c r="AL220" s="268">
        <v>227.32331657246647</v>
      </c>
      <c r="AM220" s="270">
        <v>15.158785027874204</v>
      </c>
      <c r="AN220" s="270">
        <v>108.89478580519066</v>
      </c>
      <c r="AO220" s="238">
        <v>107.05379196956802</v>
      </c>
      <c r="AP220" s="268">
        <v>128.81474004223389</v>
      </c>
      <c r="AQ220" s="268">
        <v>79.349968602251877</v>
      </c>
      <c r="AR220" s="268">
        <v>120.72913424885408</v>
      </c>
    </row>
    <row r="221" spans="1:44" x14ac:dyDescent="0.25">
      <c r="A221" s="11">
        <v>45597</v>
      </c>
      <c r="B221" s="232">
        <f t="shared" si="1"/>
        <v>110.83653343463916</v>
      </c>
      <c r="C221" s="252">
        <v>118.13256956325563</v>
      </c>
      <c r="D221" s="235">
        <v>97.721306010373311</v>
      </c>
      <c r="E221" s="190">
        <v>100.41376846447251</v>
      </c>
      <c r="F221" s="190">
        <v>88.092826185908791</v>
      </c>
      <c r="G221" s="190">
        <v>108.12020780895097</v>
      </c>
      <c r="H221" s="190">
        <v>79.415692320737449</v>
      </c>
      <c r="I221" s="190">
        <v>99.898620746319295</v>
      </c>
      <c r="J221" s="190">
        <v>133.48622736566745</v>
      </c>
      <c r="K221" s="356">
        <v>111.42009020064569</v>
      </c>
      <c r="L221" s="299">
        <v>110.50234117704585</v>
      </c>
      <c r="M221" s="299">
        <v>114.81251557115797</v>
      </c>
      <c r="N221" s="303">
        <v>123.14294550244439</v>
      </c>
      <c r="O221" s="190">
        <v>65.479691918138087</v>
      </c>
      <c r="P221" s="190">
        <v>98.877097705446701</v>
      </c>
      <c r="Q221" s="190">
        <v>163.42884115599372</v>
      </c>
      <c r="R221" s="190">
        <v>119.8268539840501</v>
      </c>
      <c r="S221" s="190">
        <v>166.59148288345185</v>
      </c>
      <c r="T221" s="190">
        <v>81.041434615556156</v>
      </c>
      <c r="U221" s="189">
        <v>122.55398862281488</v>
      </c>
      <c r="V221" s="299">
        <v>125.63808260248148</v>
      </c>
      <c r="W221" s="299">
        <v>161.05866325174108</v>
      </c>
      <c r="X221" s="299">
        <v>99.696033195535094</v>
      </c>
      <c r="Y221" s="269">
        <v>108.31911054037137</v>
      </c>
      <c r="Z221" s="189">
        <v>198.87675525833822</v>
      </c>
      <c r="AA221" s="190">
        <v>119.47140848557331</v>
      </c>
      <c r="AB221" s="190">
        <v>104.85205145368623</v>
      </c>
      <c r="AC221" s="190">
        <v>200.59250239104617</v>
      </c>
      <c r="AD221" s="235">
        <v>110.8714717392769</v>
      </c>
      <c r="AE221" s="190">
        <v>66.606346923768939</v>
      </c>
      <c r="AF221" s="190">
        <v>131.58236207737005</v>
      </c>
      <c r="AG221" s="268">
        <v>100.28945589470399</v>
      </c>
      <c r="AH221" s="268">
        <v>119.86588770038935</v>
      </c>
      <c r="AI221" s="271">
        <v>10.189101139529278</v>
      </c>
      <c r="AJ221" s="271">
        <v>136.41357481680802</v>
      </c>
      <c r="AK221" s="271">
        <v>214.64319798136896</v>
      </c>
      <c r="AL221" s="268">
        <v>214.64319798136896</v>
      </c>
      <c r="AM221" s="270">
        <v>32.42444512286233</v>
      </c>
      <c r="AN221" s="270">
        <v>184.47863663601086</v>
      </c>
      <c r="AO221" s="238">
        <v>105.66071293314204</v>
      </c>
      <c r="AP221" s="268">
        <v>122.44830562870717</v>
      </c>
      <c r="AQ221" s="268">
        <v>73.913713347942732</v>
      </c>
      <c r="AR221" s="268">
        <v>122.00104679491348</v>
      </c>
    </row>
    <row r="222" spans="1:44" x14ac:dyDescent="0.25">
      <c r="A222" s="11">
        <v>45627</v>
      </c>
      <c r="B222" s="232">
        <f t="shared" si="1"/>
        <v>127.38748382158539</v>
      </c>
      <c r="C222" s="252">
        <v>148.42983061169957</v>
      </c>
      <c r="D222" s="235">
        <v>112.21064053570831</v>
      </c>
      <c r="E222" s="190">
        <v>66.721717888152398</v>
      </c>
      <c r="F222" s="190">
        <v>141.87260832170139</v>
      </c>
      <c r="G222" s="190">
        <v>115.75406100604643</v>
      </c>
      <c r="H222" s="190">
        <v>69.835474658115032</v>
      </c>
      <c r="I222" s="190">
        <v>104.62264126910752</v>
      </c>
      <c r="J222" s="190">
        <v>252.23174642879437</v>
      </c>
      <c r="K222" s="356">
        <v>150.62507012357383</v>
      </c>
      <c r="L222" s="299">
        <v>154.74540985249112</v>
      </c>
      <c r="M222" s="299">
        <v>135.39438649213747</v>
      </c>
      <c r="N222" s="303">
        <v>125.65488301759956</v>
      </c>
      <c r="O222" s="190">
        <v>322.71999763672335</v>
      </c>
      <c r="P222" s="190">
        <v>177.64496451877307</v>
      </c>
      <c r="Q222" s="190">
        <v>133.53833834023627</v>
      </c>
      <c r="R222" s="190">
        <v>121.77748826555114</v>
      </c>
      <c r="S222" s="190">
        <v>166.57372577728506</v>
      </c>
      <c r="T222" s="190">
        <v>86.249065822626108</v>
      </c>
      <c r="U222" s="189">
        <v>178.8447696924253</v>
      </c>
      <c r="V222" s="299">
        <v>180.39224374097242</v>
      </c>
      <c r="W222" s="299">
        <v>108.24657260160492</v>
      </c>
      <c r="X222" s="299">
        <v>179.08172224770257</v>
      </c>
      <c r="Y222" s="269">
        <v>153.24238509667953</v>
      </c>
      <c r="Z222" s="189">
        <v>305.4309872069299</v>
      </c>
      <c r="AA222" s="190">
        <v>275.97348548288625</v>
      </c>
      <c r="AB222" s="190">
        <v>84.59580907325487</v>
      </c>
      <c r="AC222" s="190">
        <v>308.16986658538497</v>
      </c>
      <c r="AD222" s="235">
        <v>128.44311669494294</v>
      </c>
      <c r="AE222" s="190">
        <v>81.705960548586091</v>
      </c>
      <c r="AF222" s="190">
        <v>133.03444421377992</v>
      </c>
      <c r="AG222" s="268">
        <v>104.76435388457664</v>
      </c>
      <c r="AH222" s="268">
        <v>141.2134079752941</v>
      </c>
      <c r="AI222" s="271">
        <v>1057.1535519830875</v>
      </c>
      <c r="AJ222" s="271">
        <v>183.74272445600567</v>
      </c>
      <c r="AK222" s="271">
        <v>337.17255901232181</v>
      </c>
      <c r="AL222" s="268">
        <v>337.17255901232181</v>
      </c>
      <c r="AM222" s="270">
        <v>32.497086125150581</v>
      </c>
      <c r="AN222" s="270">
        <v>252.8599898052679</v>
      </c>
      <c r="AO222" s="238">
        <v>112.46000703885481</v>
      </c>
      <c r="AP222" s="268">
        <v>143.60784639878472</v>
      </c>
      <c r="AQ222" s="268">
        <v>67.191858678178846</v>
      </c>
      <c r="AR222" s="268">
        <v>135.16766288966812</v>
      </c>
    </row>
    <row r="223" spans="1:44" x14ac:dyDescent="0.25">
      <c r="A223" s="11">
        <v>45658</v>
      </c>
      <c r="B223" s="232">
        <f t="shared" si="1"/>
        <v>104.58920245975311</v>
      </c>
      <c r="C223" s="252">
        <v>118.06547804265213</v>
      </c>
      <c r="D223" s="235">
        <v>110.94358978370811</v>
      </c>
      <c r="E223" s="190">
        <v>68.214195392566481</v>
      </c>
      <c r="F223" s="190">
        <v>114.46439906564045</v>
      </c>
      <c r="G223" s="190">
        <v>125.71276074477076</v>
      </c>
      <c r="H223" s="190">
        <v>64.736447059300772</v>
      </c>
      <c r="I223" s="190">
        <v>110.86387448408614</v>
      </c>
      <c r="J223" s="190">
        <v>233.84287822523552</v>
      </c>
      <c r="K223" s="356">
        <v>105.08856692772336</v>
      </c>
      <c r="L223" s="299">
        <v>106.03893301254683</v>
      </c>
      <c r="M223" s="299">
        <v>101.57557379504385</v>
      </c>
      <c r="N223" s="303">
        <v>109.71587151956824</v>
      </c>
      <c r="O223" s="190">
        <v>75.918377601249219</v>
      </c>
      <c r="P223" s="190">
        <v>105.54200999035879</v>
      </c>
      <c r="Q223" s="190">
        <v>117.83792546131212</v>
      </c>
      <c r="R223" s="190">
        <v>109.72211599760875</v>
      </c>
      <c r="S223" s="190">
        <v>122.99156021451944</v>
      </c>
      <c r="T223" s="190">
        <v>48.232894457953066</v>
      </c>
      <c r="U223" s="189">
        <v>123.67503059490157</v>
      </c>
      <c r="V223" s="299">
        <v>131.94719507290927</v>
      </c>
      <c r="W223" s="299">
        <v>85.393727164144067</v>
      </c>
      <c r="X223" s="299">
        <v>80.794398584362355</v>
      </c>
      <c r="Y223" s="269">
        <v>120.58129848971647</v>
      </c>
      <c r="Z223" s="189">
        <v>204.26260780645015</v>
      </c>
      <c r="AA223" s="190">
        <v>188.74505976005972</v>
      </c>
      <c r="AB223" s="190">
        <v>71.935467647511445</v>
      </c>
      <c r="AC223" s="190">
        <v>205.88623836655461</v>
      </c>
      <c r="AD223" s="235">
        <v>107.10791713102033</v>
      </c>
      <c r="AE223" s="190">
        <v>86.045970887049577</v>
      </c>
      <c r="AF223" s="190">
        <v>111.93608968789921</v>
      </c>
      <c r="AG223" s="268">
        <v>89.430853093283076</v>
      </c>
      <c r="AH223" s="268">
        <v>114.16168921519906</v>
      </c>
      <c r="AI223" s="271">
        <v>19.147321660616388</v>
      </c>
      <c r="AJ223" s="271">
        <v>120.28974119232002</v>
      </c>
      <c r="AK223" s="271">
        <v>219.8545963342427</v>
      </c>
      <c r="AL223" s="268">
        <v>219.8545963342427</v>
      </c>
      <c r="AM223" s="270">
        <v>18.647122984000031</v>
      </c>
      <c r="AN223" s="270">
        <v>183.41498980215138</v>
      </c>
      <c r="AO223" s="238">
        <v>95.029109524876034</v>
      </c>
      <c r="AP223" s="268">
        <v>115.49049651387378</v>
      </c>
      <c r="AQ223" s="268">
        <v>62.821922827188686</v>
      </c>
      <c r="AR223" s="268">
        <v>111.3246124464029</v>
      </c>
    </row>
    <row r="224" spans="1:44" x14ac:dyDescent="0.25">
      <c r="A224" s="11">
        <v>45689</v>
      </c>
      <c r="B224" s="232">
        <f t="shared" si="1"/>
        <v>99.738254755066706</v>
      </c>
      <c r="C224" s="252">
        <v>108.3606040359149</v>
      </c>
      <c r="D224" s="235">
        <v>100.41600264571601</v>
      </c>
      <c r="E224" s="190">
        <v>47.306190402434346</v>
      </c>
      <c r="F224" s="190">
        <v>91.138410054641966</v>
      </c>
      <c r="G224" s="190">
        <v>123.00969872578194</v>
      </c>
      <c r="H224" s="190">
        <v>66.042247731187601</v>
      </c>
      <c r="I224" s="190">
        <v>107.63911933783554</v>
      </c>
      <c r="J224" s="190">
        <v>65.930824067408565</v>
      </c>
      <c r="K224" s="356">
        <v>107.61724272668874</v>
      </c>
      <c r="L224" s="299">
        <v>114.5230713293393</v>
      </c>
      <c r="M224" s="299">
        <v>82.090102349957277</v>
      </c>
      <c r="N224" s="303">
        <v>108.95519696756682</v>
      </c>
      <c r="O224" s="190">
        <v>84.835343962777188</v>
      </c>
      <c r="P224" s="190">
        <v>105.56165539929357</v>
      </c>
      <c r="Q224" s="190">
        <v>143.65706507800647</v>
      </c>
      <c r="R224" s="190">
        <v>110.15434422687916</v>
      </c>
      <c r="S224" s="190">
        <v>91.427683731405139</v>
      </c>
      <c r="T224" s="190">
        <v>113.47674191619726</v>
      </c>
      <c r="U224" s="189">
        <v>110.63381127542677</v>
      </c>
      <c r="V224" s="299">
        <v>117.64299905703058</v>
      </c>
      <c r="W224" s="299">
        <v>116.87622094289975</v>
      </c>
      <c r="X224" s="299">
        <v>69.264617473446918</v>
      </c>
      <c r="Y224" s="269">
        <v>111.48204901037468</v>
      </c>
      <c r="Z224" s="189">
        <v>146.3118258967518</v>
      </c>
      <c r="AA224" s="190">
        <v>199.44763088038201</v>
      </c>
      <c r="AB224" s="190">
        <v>105.59879420103314</v>
      </c>
      <c r="AC224" s="190">
        <v>146.33534495861198</v>
      </c>
      <c r="AD224" s="235">
        <v>107.70114380735512</v>
      </c>
      <c r="AE224" s="190">
        <v>84.574824954652328</v>
      </c>
      <c r="AF224" s="190">
        <v>110.44002853689142</v>
      </c>
      <c r="AG224" s="268">
        <v>82.456528168164013</v>
      </c>
      <c r="AH224" s="268">
        <v>116.73711993477109</v>
      </c>
      <c r="AI224" s="271">
        <v>7.9729354177612608</v>
      </c>
      <c r="AJ224" s="271">
        <v>135.53733762897929</v>
      </c>
      <c r="AK224" s="271">
        <v>212.03779292230362</v>
      </c>
      <c r="AL224" s="268">
        <v>212.03779292230362</v>
      </c>
      <c r="AM224" s="270">
        <v>21.242282120470545</v>
      </c>
      <c r="AN224" s="270">
        <v>40.667283143429096</v>
      </c>
      <c r="AO224" s="238">
        <v>93.621545436174387</v>
      </c>
      <c r="AP224" s="268">
        <v>111.44497673081361</v>
      </c>
      <c r="AQ224" s="268">
        <v>65.551981504782063</v>
      </c>
      <c r="AR224" s="268">
        <v>107.82434649228297</v>
      </c>
    </row>
    <row r="225" spans="1:44" x14ac:dyDescent="0.25">
      <c r="A225" s="11">
        <v>45717</v>
      </c>
      <c r="B225" s="232">
        <f t="shared" si="1"/>
        <v>115.04938929746179</v>
      </c>
      <c r="C225" s="252">
        <v>125.73229058445666</v>
      </c>
      <c r="D225" s="235">
        <v>116.64275199257122</v>
      </c>
      <c r="E225" s="190">
        <v>59.790908452315563</v>
      </c>
      <c r="F225" s="190">
        <v>128.17196117837358</v>
      </c>
      <c r="G225" s="190">
        <v>216.35868985070258</v>
      </c>
      <c r="H225" s="190">
        <v>76.280990808933751</v>
      </c>
      <c r="I225" s="190">
        <v>115.98446194143202</v>
      </c>
      <c r="J225" s="190">
        <v>88.300784285681161</v>
      </c>
      <c r="K225" s="356">
        <v>82.168043350171743</v>
      </c>
      <c r="L225" s="299">
        <v>81.794832960669694</v>
      </c>
      <c r="M225" s="299">
        <v>83.547601771186805</v>
      </c>
      <c r="N225" s="303">
        <v>113.62945038310502</v>
      </c>
      <c r="O225" s="190">
        <v>90.510199753695332</v>
      </c>
      <c r="P225" s="190">
        <v>90.920651488137707</v>
      </c>
      <c r="Q225" s="190">
        <v>152.79790767706498</v>
      </c>
      <c r="R225" s="190">
        <v>116.11679017573729</v>
      </c>
      <c r="S225" s="190">
        <v>92.233586376740703</v>
      </c>
      <c r="T225" s="190">
        <v>70.295950779745922</v>
      </c>
      <c r="U225" s="189">
        <v>138.29826665896869</v>
      </c>
      <c r="V225" s="299">
        <v>145.38034145507041</v>
      </c>
      <c r="W225" s="299">
        <v>163.25026327425874</v>
      </c>
      <c r="X225" s="299">
        <v>94.071597671709327</v>
      </c>
      <c r="Y225" s="269">
        <v>96.389438392200987</v>
      </c>
      <c r="Z225" s="189">
        <v>253.07629970646434</v>
      </c>
      <c r="AA225" s="190">
        <v>203.28141214927572</v>
      </c>
      <c r="AB225" s="190">
        <v>85.572397887439749</v>
      </c>
      <c r="AC225" s="190">
        <v>255.37939556514092</v>
      </c>
      <c r="AD225" s="235">
        <v>99.318533720781801</v>
      </c>
      <c r="AE225" s="190">
        <v>90.23776143981236</v>
      </c>
      <c r="AF225" s="190">
        <v>112.8820333564658</v>
      </c>
      <c r="AG225" s="268">
        <v>86.502037233722746</v>
      </c>
      <c r="AH225" s="268">
        <v>102.91687977774166</v>
      </c>
      <c r="AI225" s="271">
        <v>5.1515488720543754</v>
      </c>
      <c r="AJ225" s="271">
        <v>180.76763506188871</v>
      </c>
      <c r="AK225" s="271">
        <v>190.50674140915197</v>
      </c>
      <c r="AL225" s="268">
        <v>190.50674140915197</v>
      </c>
      <c r="AM225" s="270">
        <v>11.641255951856753</v>
      </c>
      <c r="AN225" s="270">
        <v>40.807374313480821</v>
      </c>
      <c r="AO225" s="238">
        <v>107.47092086309792</v>
      </c>
      <c r="AP225" s="268">
        <v>122.35719770934311</v>
      </c>
      <c r="AQ225" s="268">
        <v>90.160003800388836</v>
      </c>
      <c r="AR225" s="268">
        <v>115.91021863197342</v>
      </c>
    </row>
    <row r="226" spans="1:44" x14ac:dyDescent="0.25">
      <c r="A226" s="11">
        <v>45748</v>
      </c>
      <c r="B226" s="232">
        <f t="shared" si="1"/>
        <v>102.07308751714223</v>
      </c>
      <c r="C226" s="252">
        <v>106.46148270650401</v>
      </c>
      <c r="D226" s="235">
        <v>84.878421908070592</v>
      </c>
      <c r="E226" s="190">
        <v>51.115619736859728</v>
      </c>
      <c r="F226" s="190">
        <v>103.48574717614785</v>
      </c>
      <c r="G226" s="190">
        <v>143.41023313058844</v>
      </c>
      <c r="H226" s="190">
        <v>77.107731098139865</v>
      </c>
      <c r="I226" s="190">
        <v>80.740207811888482</v>
      </c>
      <c r="J226" s="190">
        <v>57.601207797342951</v>
      </c>
      <c r="K226" s="356">
        <v>104.76392070374915</v>
      </c>
      <c r="L226" s="299">
        <v>104.02671130172905</v>
      </c>
      <c r="M226" s="299">
        <v>107.48898803096174</v>
      </c>
      <c r="N226" s="303">
        <v>116.27703590896526</v>
      </c>
      <c r="O226" s="190">
        <v>92.315915076409553</v>
      </c>
      <c r="P226" s="190">
        <v>67.010677323697109</v>
      </c>
      <c r="Q226" s="190">
        <v>152.39231178519557</v>
      </c>
      <c r="R226" s="190">
        <v>115.31817041661981</v>
      </c>
      <c r="S226" s="190">
        <v>134.8815063169634</v>
      </c>
      <c r="T226" s="190">
        <v>70.612097881040086</v>
      </c>
      <c r="U226" s="189">
        <v>118.00776999083718</v>
      </c>
      <c r="V226" s="299">
        <v>127.25134734709438</v>
      </c>
      <c r="W226" s="299">
        <v>120.43883423873818</v>
      </c>
      <c r="X226" s="299">
        <v>64.206151985209743</v>
      </c>
      <c r="Y226" s="269">
        <v>124.27939000046044</v>
      </c>
      <c r="Z226" s="189">
        <v>128.26023797170603</v>
      </c>
      <c r="AA226" s="190">
        <v>163.61345908422379</v>
      </c>
      <c r="AB226" s="190">
        <v>141.81602854655216</v>
      </c>
      <c r="AC226" s="190">
        <v>127.81637317481716</v>
      </c>
      <c r="AD226" s="235">
        <v>101.67418469267493</v>
      </c>
      <c r="AE226" s="190">
        <v>83.996807278432428</v>
      </c>
      <c r="AF226" s="190">
        <v>100.8258625148534</v>
      </c>
      <c r="AG226" s="268">
        <v>107.65787002836016</v>
      </c>
      <c r="AH226" s="268">
        <v>103.59274621349954</v>
      </c>
      <c r="AI226" s="271">
        <v>6.2283891987472799</v>
      </c>
      <c r="AJ226" s="271">
        <v>134.50044616991198</v>
      </c>
      <c r="AK226" s="271">
        <v>221.01071369968773</v>
      </c>
      <c r="AL226" s="268">
        <v>221.01071369968773</v>
      </c>
      <c r="AM226" s="270">
        <v>22.031617173009852</v>
      </c>
      <c r="AN226" s="270">
        <v>23.747374958993621</v>
      </c>
      <c r="AO226" s="238">
        <v>98.959952468278757</v>
      </c>
      <c r="AP226" s="268">
        <v>105.92165798705973</v>
      </c>
      <c r="AQ226" s="268">
        <v>69.195391715794358</v>
      </c>
      <c r="AR226" s="268">
        <v>115.00068713215457</v>
      </c>
    </row>
    <row r="227" spans="1:44" x14ac:dyDescent="0.25">
      <c r="A227" s="11">
        <v>45778</v>
      </c>
      <c r="B227" s="232">
        <f t="shared" si="1"/>
        <v>104.65964318045165</v>
      </c>
      <c r="C227" s="252">
        <v>118.98162430447805</v>
      </c>
      <c r="D227" s="235">
        <v>121.09741739424965</v>
      </c>
      <c r="E227" s="190">
        <v>52.077529884291984</v>
      </c>
      <c r="F227" s="190">
        <v>134.36197225410564</v>
      </c>
      <c r="G227" s="190">
        <v>157.77108342714007</v>
      </c>
      <c r="H227" s="190">
        <v>86.201772040940682</v>
      </c>
      <c r="I227" s="190">
        <v>122.6897664644533</v>
      </c>
      <c r="J227" s="190">
        <v>75.414924938268669</v>
      </c>
      <c r="K227" s="356">
        <v>110.50477310311275</v>
      </c>
      <c r="L227" s="299">
        <v>110.34677915255688</v>
      </c>
      <c r="M227" s="299">
        <v>111.088791906152</v>
      </c>
      <c r="N227" s="303">
        <v>113.00785759262909</v>
      </c>
      <c r="O227" s="190">
        <v>99.352984577601333</v>
      </c>
      <c r="P227" s="190">
        <v>56.264072323732826</v>
      </c>
      <c r="Q227" s="190">
        <v>110.64889093664394</v>
      </c>
      <c r="R227" s="190">
        <v>115.68120138685939</v>
      </c>
      <c r="S227" s="190">
        <v>99.359872158708015</v>
      </c>
      <c r="T227" s="190">
        <v>53.134660920002588</v>
      </c>
      <c r="U227" s="189">
        <v>125.36749016231613</v>
      </c>
      <c r="V227" s="299">
        <v>132.58234697618806</v>
      </c>
      <c r="W227" s="299">
        <v>120.17424508550813</v>
      </c>
      <c r="X227" s="299">
        <v>84.297024156994382</v>
      </c>
      <c r="Y227" s="269">
        <v>121.99094345880343</v>
      </c>
      <c r="Z227" s="189">
        <v>165.20210432190652</v>
      </c>
      <c r="AA227" s="190">
        <v>101.47285573219865</v>
      </c>
      <c r="AB227" s="190">
        <v>95.442962330104706</v>
      </c>
      <c r="AC227" s="190">
        <v>166.51464972641136</v>
      </c>
      <c r="AD227" s="235">
        <v>97.917888710129134</v>
      </c>
      <c r="AE227" s="190">
        <v>85.963382426096047</v>
      </c>
      <c r="AF227" s="190">
        <v>88.579794978455908</v>
      </c>
      <c r="AG227" s="268">
        <v>89.081727956012799</v>
      </c>
      <c r="AH227" s="268">
        <v>102.19896455188092</v>
      </c>
      <c r="AI227" s="271">
        <v>8.6441372314346285</v>
      </c>
      <c r="AJ227" s="271">
        <v>123.28386520380347</v>
      </c>
      <c r="AK227" s="271">
        <v>159.44925314148796</v>
      </c>
      <c r="AL227" s="268">
        <v>159.44925314148796</v>
      </c>
      <c r="AM227" s="270">
        <v>18.833289642218734</v>
      </c>
      <c r="AN227" s="270">
        <v>103.3240665418772</v>
      </c>
      <c r="AO227" s="238">
        <v>94.499605289048333</v>
      </c>
      <c r="AP227" s="268">
        <v>107.63128969278408</v>
      </c>
      <c r="AQ227" s="268">
        <v>61.198608488987887</v>
      </c>
      <c r="AR227" s="268">
        <v>112.00747137181911</v>
      </c>
    </row>
    <row r="228" spans="1:44" x14ac:dyDescent="0.25">
      <c r="A228" s="11">
        <v>45809</v>
      </c>
      <c r="B228" s="232">
        <f t="shared" ref="B228:B232" si="2">(C228*41.5+AO228*58.5)/100</f>
        <v>111.03151533898195</v>
      </c>
      <c r="C228" s="252">
        <v>115.52299191589572</v>
      </c>
      <c r="D228" s="235">
        <v>91.851853325449127</v>
      </c>
      <c r="E228" s="190">
        <v>55.041915529913027</v>
      </c>
      <c r="F228" s="190">
        <v>119.2805912132832</v>
      </c>
      <c r="G228" s="190">
        <v>205.12246896660818</v>
      </c>
      <c r="H228" s="190">
        <v>72.146810816726443</v>
      </c>
      <c r="I228" s="190">
        <v>84.229875380599978</v>
      </c>
      <c r="J228" s="190">
        <v>65.790682618770134</v>
      </c>
      <c r="K228" s="356">
        <v>94.004847477093307</v>
      </c>
      <c r="L228" s="299">
        <v>89.631013289035522</v>
      </c>
      <c r="M228" s="299">
        <v>110.17256401443179</v>
      </c>
      <c r="N228" s="303">
        <v>113.16248267223787</v>
      </c>
      <c r="O228" s="190">
        <v>30.522378695603422</v>
      </c>
      <c r="P228" s="190">
        <v>53.779949918442107</v>
      </c>
      <c r="Q228" s="190">
        <v>171.49988495037502</v>
      </c>
      <c r="R228" s="190">
        <v>114.8525345400044</v>
      </c>
      <c r="S228" s="190">
        <v>98.77994379900224</v>
      </c>
      <c r="T228" s="190">
        <v>84.092456853851232</v>
      </c>
      <c r="U228" s="189">
        <v>145.47469572000608</v>
      </c>
      <c r="V228" s="299">
        <v>156.01484710297996</v>
      </c>
      <c r="W228" s="299">
        <v>154.40259724647555</v>
      </c>
      <c r="X228" s="299">
        <v>83.325048747058133</v>
      </c>
      <c r="Y228" s="269">
        <v>107.43932555877309</v>
      </c>
      <c r="Z228" s="189">
        <v>161.77282171459981</v>
      </c>
      <c r="AA228" s="190">
        <v>104.77896956193416</v>
      </c>
      <c r="AB228" s="190">
        <v>134.27368722199651</v>
      </c>
      <c r="AC228" s="190">
        <v>162.55221503878175</v>
      </c>
      <c r="AD228" s="235">
        <v>96.684718462492327</v>
      </c>
      <c r="AE228" s="190">
        <v>79.232841799306527</v>
      </c>
      <c r="AF228" s="190">
        <v>96.980553151544271</v>
      </c>
      <c r="AG228" s="268">
        <v>84.942450514019157</v>
      </c>
      <c r="AH228" s="268">
        <v>102.10109793453137</v>
      </c>
      <c r="AI228" s="271">
        <v>5.9160106233330421</v>
      </c>
      <c r="AJ228" s="271">
        <v>109.15632605633691</v>
      </c>
      <c r="AK228" s="271">
        <v>148.51295429960743</v>
      </c>
      <c r="AL228" s="268">
        <v>148.51295429960743</v>
      </c>
      <c r="AM228" s="270">
        <v>28.831853756454191</v>
      </c>
      <c r="AN228" s="270">
        <v>374.71786930093157</v>
      </c>
      <c r="AO228" s="238">
        <v>107.84525417758159</v>
      </c>
      <c r="AP228" s="268">
        <v>96.916041666701105</v>
      </c>
      <c r="AQ228" s="268">
        <v>88.38717716162131</v>
      </c>
      <c r="AR228" s="268">
        <v>119.60277824383226</v>
      </c>
    </row>
    <row r="229" spans="1:44" x14ac:dyDescent="0.25">
      <c r="A229" s="11">
        <v>45839</v>
      </c>
      <c r="B229" s="232">
        <f t="shared" si="2"/>
        <v>111.39695980256347</v>
      </c>
      <c r="C229" s="252">
        <v>126.33649753229625</v>
      </c>
      <c r="D229" s="235">
        <v>117.76795172125743</v>
      </c>
      <c r="E229" s="190">
        <v>66.848047249699448</v>
      </c>
      <c r="F229" s="190">
        <v>107.29723880202575</v>
      </c>
      <c r="G229" s="190">
        <v>135.46716879308195</v>
      </c>
      <c r="H229" s="190">
        <v>84.606132613979781</v>
      </c>
      <c r="I229" s="190">
        <v>125.85155770295596</v>
      </c>
      <c r="J229" s="190">
        <v>60.619978588725758</v>
      </c>
      <c r="K229" s="356">
        <v>105.20636777685233</v>
      </c>
      <c r="L229" s="299">
        <v>102.38038832314048</v>
      </c>
      <c r="M229" s="299">
        <v>115.65249645559966</v>
      </c>
      <c r="N229" s="303">
        <v>119.2690700428553</v>
      </c>
      <c r="O229" s="190">
        <v>97.2260511271609</v>
      </c>
      <c r="P229" s="190">
        <v>51.642096444721304</v>
      </c>
      <c r="Q229" s="190">
        <v>137.58381824363551</v>
      </c>
      <c r="R229" s="190">
        <v>118.12125139220721</v>
      </c>
      <c r="S229" s="190">
        <v>143.7021846696407</v>
      </c>
      <c r="T229" s="190">
        <v>69.768015083831202</v>
      </c>
      <c r="U229" s="189">
        <v>158.17145101671423</v>
      </c>
      <c r="V229" s="299">
        <v>136.55922633764445</v>
      </c>
      <c r="W229" s="299">
        <v>137.435499917594</v>
      </c>
      <c r="X229" s="299">
        <v>285.92350459076107</v>
      </c>
      <c r="Y229" s="269">
        <v>135.93083956123868</v>
      </c>
      <c r="Z229" s="189">
        <v>120.81401536425196</v>
      </c>
      <c r="AA229" s="190">
        <v>100.87684464836161</v>
      </c>
      <c r="AB229" s="190">
        <v>142.07034792680955</v>
      </c>
      <c r="AC229" s="190">
        <v>120.73757779081983</v>
      </c>
      <c r="AD229" s="235">
        <v>112.06748677976825</v>
      </c>
      <c r="AE229" s="190">
        <v>87.25412510828582</v>
      </c>
      <c r="AF229" s="190">
        <v>82.238792016933871</v>
      </c>
      <c r="AG229" s="268">
        <v>87.62776092198925</v>
      </c>
      <c r="AH229" s="268">
        <v>122.63692469526714</v>
      </c>
      <c r="AI229" s="271">
        <v>5.8733102974256015</v>
      </c>
      <c r="AJ229" s="271">
        <v>67.774992851605447</v>
      </c>
      <c r="AK229" s="271">
        <v>171.5836457469708</v>
      </c>
      <c r="AL229" s="268">
        <v>171.5836457469708</v>
      </c>
      <c r="AM229" s="270">
        <v>20.499686584773823</v>
      </c>
      <c r="AN229" s="270">
        <v>120.08520154186793</v>
      </c>
      <c r="AO229" s="238">
        <v>100.79882619941971</v>
      </c>
      <c r="AP229" s="268">
        <v>111.88754434398703</v>
      </c>
      <c r="AQ229" s="268">
        <v>69.889599889115843</v>
      </c>
      <c r="AR229" s="268">
        <v>117.13953957182336</v>
      </c>
    </row>
    <row r="230" spans="1:44" x14ac:dyDescent="0.25">
      <c r="A230" s="11">
        <v>45870</v>
      </c>
      <c r="B230" s="232">
        <f t="shared" si="2"/>
        <v>101.1135618828706</v>
      </c>
      <c r="C230" s="252">
        <v>109.07102633251105</v>
      </c>
      <c r="D230" s="235">
        <v>96.004648322927508</v>
      </c>
      <c r="E230" s="190">
        <v>47.122495666406344</v>
      </c>
      <c r="F230" s="190">
        <v>119.82610590106586</v>
      </c>
      <c r="G230" s="190">
        <v>162.73179921500252</v>
      </c>
      <c r="H230" s="190">
        <v>101.9796294280971</v>
      </c>
      <c r="I230" s="190">
        <v>90.771362159631593</v>
      </c>
      <c r="J230" s="190">
        <v>53.819180523958586</v>
      </c>
      <c r="K230" s="356">
        <v>96.651942295097754</v>
      </c>
      <c r="L230" s="299">
        <v>92.129213787443675</v>
      </c>
      <c r="M230" s="299">
        <v>113.37004118571002</v>
      </c>
      <c r="N230" s="303">
        <v>108.80799140529369</v>
      </c>
      <c r="O230" s="190">
        <v>88.280427543897758</v>
      </c>
      <c r="P230" s="190">
        <v>259.26752486743896</v>
      </c>
      <c r="Q230" s="190">
        <v>229.70156366237782</v>
      </c>
      <c r="R230" s="190">
        <v>108.67758865513964</v>
      </c>
      <c r="S230" s="190">
        <v>101.15239198488459</v>
      </c>
      <c r="T230" s="190">
        <v>53.626022175572594</v>
      </c>
      <c r="U230" s="189">
        <v>112.28731989951453</v>
      </c>
      <c r="V230" s="299">
        <v>121.89892784583459</v>
      </c>
      <c r="W230" s="299">
        <v>68.437928478465807</v>
      </c>
      <c r="X230" s="299">
        <v>62.381299199073368</v>
      </c>
      <c r="Y230" s="269">
        <v>90.009187704910701</v>
      </c>
      <c r="Z230" s="189">
        <v>205.8751107837281</v>
      </c>
      <c r="AA230" s="190">
        <v>73.217284553751711</v>
      </c>
      <c r="AB230" s="190">
        <v>89.079114242194862</v>
      </c>
      <c r="AC230" s="190">
        <v>208.28604459400572</v>
      </c>
      <c r="AD230" s="235">
        <v>98.258105112634496</v>
      </c>
      <c r="AE230" s="190">
        <v>85.405304112308428</v>
      </c>
      <c r="AF230" s="190">
        <v>101.65599704196079</v>
      </c>
      <c r="AG230" s="268">
        <v>91.750601488003838</v>
      </c>
      <c r="AH230" s="268">
        <v>101.67724256211672</v>
      </c>
      <c r="AI230" s="271">
        <v>7.130782446522141</v>
      </c>
      <c r="AJ230" s="271">
        <v>55.113735581151786</v>
      </c>
      <c r="AK230" s="271">
        <v>206.15087696046155</v>
      </c>
      <c r="AL230" s="268">
        <v>206.15087696046155</v>
      </c>
      <c r="AM230" s="270">
        <v>25.014242356124289</v>
      </c>
      <c r="AN230" s="270">
        <v>56.047370494083523</v>
      </c>
      <c r="AO230" s="238">
        <v>95.468522999792313</v>
      </c>
      <c r="AP230" s="268">
        <v>82.431497956544149</v>
      </c>
      <c r="AQ230" s="268">
        <v>69.437627220197569</v>
      </c>
      <c r="AR230" s="268">
        <v>111.06759554900431</v>
      </c>
    </row>
    <row r="231" spans="1:44" x14ac:dyDescent="0.25">
      <c r="A231" s="11">
        <v>45901</v>
      </c>
      <c r="B231" s="232">
        <f t="shared" si="2"/>
        <v>101.86645835295745</v>
      </c>
      <c r="C231" s="252">
        <v>114.67016436862745</v>
      </c>
      <c r="D231" s="235">
        <v>106.1242310500208</v>
      </c>
      <c r="E231" s="190">
        <v>47.971936490841969</v>
      </c>
      <c r="F231" s="190">
        <v>124.68704688189167</v>
      </c>
      <c r="G231" s="190">
        <v>161.32344277635787</v>
      </c>
      <c r="H231" s="190">
        <v>83.278634738167469</v>
      </c>
      <c r="I231" s="190">
        <v>104.2395856016215</v>
      </c>
      <c r="J231" s="190">
        <v>73.060794839110528</v>
      </c>
      <c r="K231" s="356">
        <v>98.164019769293077</v>
      </c>
      <c r="L231" s="299">
        <v>96.315355322435451</v>
      </c>
      <c r="M231" s="299">
        <v>104.99753962037865</v>
      </c>
      <c r="N231" s="303">
        <v>116.84954804718349</v>
      </c>
      <c r="O231" s="190">
        <v>92.753239335529329</v>
      </c>
      <c r="P231" s="190">
        <v>53.854544067267646</v>
      </c>
      <c r="Q231" s="190">
        <v>180.45486942477277</v>
      </c>
      <c r="R231" s="190">
        <v>118.11506990876261</v>
      </c>
      <c r="S231" s="190">
        <v>105.47446997615708</v>
      </c>
      <c r="T231" s="190">
        <v>83.483408067413606</v>
      </c>
      <c r="U231" s="189">
        <v>125.89263340672524</v>
      </c>
      <c r="V231" s="299">
        <v>134.9295717485638</v>
      </c>
      <c r="W231" s="299">
        <v>165.46362054958701</v>
      </c>
      <c r="X231" s="299">
        <v>68.451549777424447</v>
      </c>
      <c r="Y231" s="269">
        <v>108.94003752166597</v>
      </c>
      <c r="Z231" s="189">
        <v>143.92185043946995</v>
      </c>
      <c r="AA231" s="190">
        <v>103.69708409327087</v>
      </c>
      <c r="AB231" s="190">
        <v>108.95802053421686</v>
      </c>
      <c r="AC231" s="190">
        <v>144.64779638356259</v>
      </c>
      <c r="AD231" s="235">
        <v>102.16562814107517</v>
      </c>
      <c r="AE231" s="190">
        <v>96.011542148260304</v>
      </c>
      <c r="AF231" s="190">
        <v>102.61196018201758</v>
      </c>
      <c r="AG231" s="268">
        <v>95.530806060627512</v>
      </c>
      <c r="AH231" s="268">
        <v>104.56553807113032</v>
      </c>
      <c r="AI231" s="271">
        <v>9.2751092976821177</v>
      </c>
      <c r="AJ231" s="271">
        <v>130.02224061014294</v>
      </c>
      <c r="AK231" s="271">
        <v>169.29997782813342</v>
      </c>
      <c r="AL231" s="268">
        <v>169.29997782813342</v>
      </c>
      <c r="AM231" s="270">
        <v>18.247381585504996</v>
      </c>
      <c r="AN231" s="270">
        <v>52.42080073488664</v>
      </c>
      <c r="AO231" s="238">
        <v>92.783487418764224</v>
      </c>
      <c r="AP231" s="268">
        <v>103.54851357172085</v>
      </c>
      <c r="AQ231" s="268">
        <v>67.025968678815985</v>
      </c>
      <c r="AR231" s="268">
        <v>106.27547537380559</v>
      </c>
    </row>
    <row r="232" spans="1:44" x14ac:dyDescent="0.25">
      <c r="A232" s="11">
        <v>45931</v>
      </c>
      <c r="B232" s="232">
        <f t="shared" si="2"/>
        <v>107.79053189488479</v>
      </c>
      <c r="C232" s="252">
        <v>118.46064868097203</v>
      </c>
      <c r="D232" s="235">
        <v>108.79925336785583</v>
      </c>
      <c r="E232" s="190">
        <v>74.289918320872985</v>
      </c>
      <c r="F232" s="190">
        <v>133.4402888169777</v>
      </c>
      <c r="G232" s="190">
        <v>184.81141586478637</v>
      </c>
      <c r="H232" s="190">
        <v>113.17030502783382</v>
      </c>
      <c r="I232" s="190">
        <v>102.19223942933715</v>
      </c>
      <c r="J232" s="190">
        <v>71.915264356521519</v>
      </c>
      <c r="K232" s="356">
        <v>101.18885610724941</v>
      </c>
      <c r="L232" s="299">
        <v>98.83605391013117</v>
      </c>
      <c r="M232" s="299">
        <v>109.88590253285388</v>
      </c>
      <c r="N232" s="303">
        <v>120.48417805549842</v>
      </c>
      <c r="O232" s="190">
        <v>90.516833439713551</v>
      </c>
      <c r="P232" s="190">
        <v>221.00238392425962</v>
      </c>
      <c r="Q232" s="190">
        <v>145.41166092297081</v>
      </c>
      <c r="R232" s="190">
        <v>119.99397276462096</v>
      </c>
      <c r="S232" s="190">
        <v>132.34751119796096</v>
      </c>
      <c r="T232" s="190">
        <v>60.155849949599357</v>
      </c>
      <c r="U232" s="189">
        <v>126.92482437315367</v>
      </c>
      <c r="V232" s="299">
        <v>129.1015064080209</v>
      </c>
      <c r="W232" s="299">
        <v>163.89911010856335</v>
      </c>
      <c r="X232" s="299">
        <v>109.51656600427003</v>
      </c>
      <c r="Y232" s="269">
        <v>108.90863222172958</v>
      </c>
      <c r="Z232" s="189">
        <v>147.65982943665691</v>
      </c>
      <c r="AA232" s="190">
        <v>83.844921284193305</v>
      </c>
      <c r="AB232" s="190">
        <v>114.18282790662276</v>
      </c>
      <c r="AC232" s="190">
        <v>148.56287714320916</v>
      </c>
      <c r="AD232" s="235">
        <v>112.40495644068589</v>
      </c>
      <c r="AE232" s="190">
        <v>87.512768287417629</v>
      </c>
      <c r="AF232" s="190">
        <v>100.61984474889618</v>
      </c>
      <c r="AG232" s="268">
        <v>107.39560577073119</v>
      </c>
      <c r="AH232" s="268">
        <v>118.28054258476466</v>
      </c>
      <c r="AI232" s="271">
        <v>13.090680661342709</v>
      </c>
      <c r="AJ232" s="271">
        <v>193.4575114221403</v>
      </c>
      <c r="AK232" s="271">
        <v>218.19538598071424</v>
      </c>
      <c r="AL232" s="268">
        <v>218.19538598071424</v>
      </c>
      <c r="AM232" s="270">
        <v>14.151806213368417</v>
      </c>
      <c r="AN232" s="270">
        <v>333.44704679944095</v>
      </c>
      <c r="AO232" s="238">
        <v>100.22113280731863</v>
      </c>
      <c r="AP232" s="268">
        <v>112.42714639436612</v>
      </c>
      <c r="AQ232" s="268">
        <v>75.547915471902868</v>
      </c>
      <c r="AR232" s="268">
        <v>112.98961653913794</v>
      </c>
    </row>
    <row r="233" spans="1:44" x14ac:dyDescent="0.25">
      <c r="A233" s="11">
        <v>45962</v>
      </c>
      <c r="B233" s="232">
        <f>(C233*41.5+AO233*58.5)/100</f>
        <v>103.79854560613616</v>
      </c>
      <c r="C233" s="252">
        <v>117.43026963934881</v>
      </c>
      <c r="D233" s="235">
        <v>115.14692188762164</v>
      </c>
      <c r="E233" s="190">
        <v>48.238591255540541</v>
      </c>
      <c r="F233" s="190">
        <v>164.10954474369967</v>
      </c>
      <c r="G233" s="190">
        <v>159.20276399009526</v>
      </c>
      <c r="H233" s="190">
        <v>92.361837011684528</v>
      </c>
      <c r="I233" s="190">
        <v>106.14909571805011</v>
      </c>
      <c r="J233" s="190">
        <v>53.442034324862561</v>
      </c>
      <c r="K233" s="356">
        <v>128.85183518555638</v>
      </c>
      <c r="L233" s="299">
        <v>128.09915994356422</v>
      </c>
      <c r="M233" s="299">
        <v>131.63407141902587</v>
      </c>
      <c r="N233" s="303">
        <v>112.73878512456912</v>
      </c>
      <c r="O233" s="190">
        <v>81.423554332718268</v>
      </c>
      <c r="P233" s="190">
        <v>114.45575010639111</v>
      </c>
      <c r="Q233" s="190">
        <v>164.59151727187765</v>
      </c>
      <c r="R233" s="190">
        <v>113.22239787905492</v>
      </c>
      <c r="S233" s="190">
        <v>112.19160343169665</v>
      </c>
      <c r="T233" s="190">
        <v>64.233836970364692</v>
      </c>
      <c r="U233" s="189">
        <v>115.60576047193308</v>
      </c>
      <c r="V233" s="299">
        <v>121.97412727070288</v>
      </c>
      <c r="W233" s="299">
        <v>131.61582390501502</v>
      </c>
      <c r="X233" s="299">
        <v>76.672863523853266</v>
      </c>
      <c r="Y233" s="269">
        <v>125.68255642961354</v>
      </c>
      <c r="Z233" s="189">
        <v>177.14610373321418</v>
      </c>
      <c r="AA233" s="190">
        <v>93.771002688732096</v>
      </c>
      <c r="AB233" s="190">
        <v>144.6301045515535</v>
      </c>
      <c r="AC233" s="190">
        <v>178.19907183074568</v>
      </c>
      <c r="AD233" s="235">
        <v>106.39722340207425</v>
      </c>
      <c r="AE233" s="190">
        <v>88.675504939598653</v>
      </c>
      <c r="AF233" s="190">
        <v>118.61622982533684</v>
      </c>
      <c r="AG233" s="268">
        <v>111.08485708757424</v>
      </c>
      <c r="AH233" s="268">
        <v>108.02357576231702</v>
      </c>
      <c r="AI233" s="271">
        <v>11.182894979512415</v>
      </c>
      <c r="AJ233" s="271">
        <v>141.68078959144424</v>
      </c>
      <c r="AK233" s="271">
        <v>278.88380614757074</v>
      </c>
      <c r="AL233" s="268">
        <v>278.88380614757074</v>
      </c>
      <c r="AM233" s="270">
        <v>21.801128728108676</v>
      </c>
      <c r="AN233" s="270">
        <v>233.37242769368012</v>
      </c>
      <c r="AO233" s="238">
        <v>94.128177274882745</v>
      </c>
      <c r="AP233" s="268">
        <v>115.17607058931938</v>
      </c>
      <c r="AQ233" s="268">
        <v>63.351799127963545</v>
      </c>
      <c r="AR233" s="268">
        <v>109.57694681517914</v>
      </c>
    </row>
    <row r="234" spans="1:44" x14ac:dyDescent="0.25">
      <c r="A234" s="11">
        <v>45992</v>
      </c>
      <c r="B234" s="232">
        <f>(C234*41.5+AO234*58.5)/100</f>
        <v>122.21162754916212</v>
      </c>
      <c r="C234" s="252">
        <v>148.17682506182774</v>
      </c>
      <c r="D234" s="235">
        <v>110.82259550375493</v>
      </c>
      <c r="E234" s="190">
        <v>81.866631284128161</v>
      </c>
      <c r="F234" s="190">
        <v>116.27327822028052</v>
      </c>
      <c r="G234" s="190">
        <v>166.47158457765735</v>
      </c>
      <c r="H234" s="190">
        <v>120.05044207162776</v>
      </c>
      <c r="I234" s="190">
        <v>110.20089782622392</v>
      </c>
      <c r="J234" s="190">
        <v>55.380886039860791</v>
      </c>
      <c r="K234" s="356">
        <v>135.01602262797599</v>
      </c>
      <c r="L234" s="299">
        <v>137.82418868403653</v>
      </c>
      <c r="M234" s="299">
        <v>124.63574051574453</v>
      </c>
      <c r="N234" s="303">
        <v>147.30989521727869</v>
      </c>
      <c r="O234" s="190">
        <v>122.83199387508601</v>
      </c>
      <c r="P234" s="190">
        <v>225.95335709320139</v>
      </c>
      <c r="Q234" s="190">
        <v>313.25875752210885</v>
      </c>
      <c r="R234" s="190">
        <v>145.33111853965627</v>
      </c>
      <c r="S234" s="190">
        <v>154.50831809112708</v>
      </c>
      <c r="T234" s="190">
        <v>106.42696829878213</v>
      </c>
      <c r="U234" s="189">
        <v>170.1806392964566</v>
      </c>
      <c r="V234" s="299">
        <v>184.65078219000949</v>
      </c>
      <c r="W234" s="299">
        <v>196.97271907642386</v>
      </c>
      <c r="X234" s="299">
        <v>82.965625489543982</v>
      </c>
      <c r="Y234" s="269">
        <v>146.4955184480427</v>
      </c>
      <c r="Z234" s="189">
        <v>259.26558029702539</v>
      </c>
      <c r="AA234" s="190">
        <v>401.48023502997717</v>
      </c>
      <c r="AB234" s="190">
        <v>130.34275963585654</v>
      </c>
      <c r="AC234" s="190">
        <v>259.5541585332312</v>
      </c>
      <c r="AD234" s="235">
        <v>132.40049936179165</v>
      </c>
      <c r="AE234" s="190">
        <v>86.53922262774303</v>
      </c>
      <c r="AF234" s="190">
        <v>112.08590587598238</v>
      </c>
      <c r="AG234" s="268">
        <v>103.22843933579952</v>
      </c>
      <c r="AH234" s="268">
        <v>147.20054152770052</v>
      </c>
      <c r="AI234" s="271">
        <v>812.22605855866186</v>
      </c>
      <c r="AJ234" s="271">
        <v>228.52360431051463</v>
      </c>
      <c r="AK234" s="271">
        <v>263.17107263543971</v>
      </c>
      <c r="AL234" s="268">
        <v>263.17107263543971</v>
      </c>
      <c r="AM234" s="270">
        <v>18.483517774133784</v>
      </c>
      <c r="AN234" s="270">
        <v>274.42871624466915</v>
      </c>
      <c r="AO234" s="238">
        <v>103.7918720487241</v>
      </c>
      <c r="AP234" s="268">
        <v>112.43024448982588</v>
      </c>
      <c r="AQ234" s="268">
        <v>64.902022263772295</v>
      </c>
      <c r="AR234" s="268">
        <v>124.78799437181658</v>
      </c>
    </row>
    <row r="235" spans="1:44" x14ac:dyDescent="0.25">
      <c r="A235" s="11">
        <v>46023</v>
      </c>
      <c r="B235" s="232">
        <f>(C235*41.5+AO235*58.5)/100</f>
        <v>103.59929711846986</v>
      </c>
      <c r="C235" s="252">
        <v>123.00144083930842</v>
      </c>
      <c r="D235" s="235">
        <v>119.68087292227064</v>
      </c>
      <c r="E235" s="190">
        <v>66.84336756737143</v>
      </c>
      <c r="F235" s="190">
        <v>116.9768237744883</v>
      </c>
      <c r="G235" s="190">
        <v>176.84671323319122</v>
      </c>
      <c r="H235" s="190">
        <v>101.59323452513273</v>
      </c>
      <c r="I235" s="190">
        <v>124.13113340035309</v>
      </c>
      <c r="J235" s="190">
        <v>51.349901263095148</v>
      </c>
      <c r="K235" s="356">
        <v>115.08782418410014</v>
      </c>
      <c r="L235" s="299">
        <v>118.37249469064336</v>
      </c>
      <c r="M235" s="299">
        <v>102.94616096939831</v>
      </c>
      <c r="N235" s="303">
        <v>121.27938575227708</v>
      </c>
      <c r="O235" s="190">
        <v>102.12777410390215</v>
      </c>
      <c r="P235" s="190">
        <v>159.56207507361174</v>
      </c>
      <c r="Q235" s="190">
        <v>165.06638189920352</v>
      </c>
      <c r="R235" s="190">
        <v>121.07062954836798</v>
      </c>
      <c r="S235" s="190">
        <v>125.91767718295908</v>
      </c>
      <c r="T235" s="190">
        <v>79.828816519251305</v>
      </c>
      <c r="U235" s="189">
        <v>141.0888014949536</v>
      </c>
      <c r="V235" s="299">
        <v>123.69485753969323</v>
      </c>
      <c r="W235" s="299">
        <v>115.65613427591815</v>
      </c>
      <c r="X235" s="299">
        <v>245.04451640017101</v>
      </c>
      <c r="Y235" s="269">
        <v>127.42697065152869</v>
      </c>
      <c r="Z235" s="189">
        <v>104.72361324267757</v>
      </c>
      <c r="AA235" s="190">
        <v>236.32058548376313</v>
      </c>
      <c r="AB235" s="190">
        <v>137.48643209370499</v>
      </c>
      <c r="AC235" s="190">
        <v>103.2714693926293</v>
      </c>
      <c r="AD235" s="235">
        <v>110.79902522432572</v>
      </c>
      <c r="AE235" s="190">
        <v>76.768070595566485</v>
      </c>
      <c r="AF235" s="190">
        <v>107.20401704999524</v>
      </c>
      <c r="AG235" s="268">
        <v>75.805802293749494</v>
      </c>
      <c r="AH235" s="268">
        <v>123.98776257303308</v>
      </c>
      <c r="AI235" s="271">
        <v>4.8432736795852902</v>
      </c>
      <c r="AJ235" s="271">
        <v>157.51117875038486</v>
      </c>
      <c r="AK235" s="271">
        <v>270.02404801828698</v>
      </c>
      <c r="AL235" s="268">
        <v>270.02404801828698</v>
      </c>
      <c r="AM235" s="270">
        <v>20.52316545438098</v>
      </c>
      <c r="AN235" s="270">
        <v>182.22583836883177</v>
      </c>
      <c r="AO235" s="238">
        <v>89.835383196849349</v>
      </c>
      <c r="AP235" s="268">
        <v>99.246180450625801</v>
      </c>
      <c r="AQ235" s="268">
        <v>63.970048634849341</v>
      </c>
      <c r="AR235" s="268">
        <v>103.49874855177193</v>
      </c>
    </row>
    <row r="236" spans="1:44" x14ac:dyDescent="0.25">
      <c r="A236" s="359"/>
    </row>
    <row r="237" spans="1:44" x14ac:dyDescent="0.25">
      <c r="C237" s="231" t="s">
        <v>487</v>
      </c>
    </row>
  </sheetData>
  <mergeCells count="3">
    <mergeCell ref="A1:J1"/>
    <mergeCell ref="C5:C6"/>
    <mergeCell ref="B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H279"/>
  <sheetViews>
    <sheetView workbookViewId="0">
      <pane xSplit="1" ySplit="6" topLeftCell="B191" activePane="bottomRight" state="frozen"/>
      <selection pane="topRight" activeCell="B1" sqref="B1"/>
      <selection pane="bottomLeft" activeCell="A7" sqref="A7"/>
      <selection pane="bottomRight" activeCell="J215" sqref="J215"/>
    </sheetView>
  </sheetViews>
  <sheetFormatPr defaultColWidth="11.42578125" defaultRowHeight="15" x14ac:dyDescent="0.25"/>
  <cols>
    <col min="9" max="9" width="12.5703125" bestFit="1" customWidth="1"/>
    <col min="10" max="10" width="15.42578125" bestFit="1" customWidth="1"/>
    <col min="14" max="133" width="0" hidden="1" customWidth="1"/>
  </cols>
  <sheetData>
    <row r="1" spans="1:138" ht="23.25" x14ac:dyDescent="0.35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2"/>
      <c r="L1" s="2"/>
      <c r="M1" s="2"/>
    </row>
    <row r="3" spans="1:138" x14ac:dyDescent="0.25">
      <c r="B3" s="106" t="s">
        <v>483</v>
      </c>
      <c r="C3" s="96"/>
      <c r="D3" s="97" t="s">
        <v>484</v>
      </c>
      <c r="E3" s="84"/>
      <c r="F3" s="84"/>
      <c r="G3" s="98" t="s">
        <v>485</v>
      </c>
      <c r="H3" s="99"/>
      <c r="I3" s="99"/>
      <c r="J3" s="99"/>
      <c r="K3" s="99"/>
    </row>
    <row r="4" spans="1:138" x14ac:dyDescent="0.25">
      <c r="B4" s="100" t="s">
        <v>154</v>
      </c>
      <c r="C4" s="100" t="s">
        <v>155</v>
      </c>
      <c r="D4" s="101" t="s">
        <v>156</v>
      </c>
      <c r="E4" s="101" t="s">
        <v>157</v>
      </c>
      <c r="F4" s="304" t="s">
        <v>295</v>
      </c>
      <c r="G4" s="89" t="s">
        <v>158</v>
      </c>
      <c r="H4" s="89"/>
      <c r="I4" s="101" t="s">
        <v>161</v>
      </c>
      <c r="J4" s="101" t="s">
        <v>162</v>
      </c>
      <c r="K4" s="101" t="s">
        <v>163</v>
      </c>
    </row>
    <row r="5" spans="1:138" x14ac:dyDescent="0.25">
      <c r="B5" s="1"/>
      <c r="C5" s="1"/>
      <c r="D5" s="1"/>
      <c r="E5" s="1"/>
      <c r="F5" s="1"/>
      <c r="G5" s="1" t="s">
        <v>159</v>
      </c>
      <c r="H5" s="1" t="s">
        <v>160</v>
      </c>
      <c r="I5" s="1"/>
      <c r="J5" s="1"/>
      <c r="K5" s="1"/>
      <c r="N5" s="71" t="s">
        <v>312</v>
      </c>
    </row>
    <row r="6" spans="1:138" x14ac:dyDescent="0.25">
      <c r="B6" s="1" t="s">
        <v>164</v>
      </c>
      <c r="C6" s="1" t="s">
        <v>164</v>
      </c>
      <c r="D6" s="1" t="s">
        <v>164</v>
      </c>
      <c r="E6" s="1" t="s">
        <v>164</v>
      </c>
      <c r="F6" s="1" t="s">
        <v>164</v>
      </c>
      <c r="G6" s="1" t="s">
        <v>164</v>
      </c>
      <c r="H6" s="1" t="s">
        <v>164</v>
      </c>
      <c r="I6" s="1" t="s">
        <v>164</v>
      </c>
      <c r="J6" s="1" t="s">
        <v>164</v>
      </c>
      <c r="K6" s="1" t="s">
        <v>164</v>
      </c>
    </row>
    <row r="7" spans="1:138" ht="15.75" thickBot="1" x14ac:dyDescent="0.3">
      <c r="A7" s="95">
        <v>39814</v>
      </c>
      <c r="B7" s="75">
        <v>241.42857142857142</v>
      </c>
      <c r="C7" s="75">
        <v>336.36363636363637</v>
      </c>
      <c r="D7" s="75">
        <v>207.42424242424241</v>
      </c>
      <c r="E7" s="75">
        <v>203.4848484848485</v>
      </c>
      <c r="F7" s="75">
        <v>194.54545454545453</v>
      </c>
      <c r="G7" s="75">
        <v>455</v>
      </c>
      <c r="H7" s="75">
        <v>414.69696969696975</v>
      </c>
      <c r="I7" s="75">
        <v>356.969696969697</v>
      </c>
      <c r="J7" s="75"/>
      <c r="K7" s="75">
        <v>340.2380952380953</v>
      </c>
      <c r="N7" s="71">
        <v>2009</v>
      </c>
    </row>
    <row r="8" spans="1:138" x14ac:dyDescent="0.25">
      <c r="A8" s="95">
        <v>39845</v>
      </c>
      <c r="B8" s="75">
        <v>246</v>
      </c>
      <c r="C8" s="75">
        <v>319.69696969696963</v>
      </c>
      <c r="D8" s="75">
        <v>216</v>
      </c>
      <c r="E8" s="75">
        <v>206</v>
      </c>
      <c r="F8" s="75">
        <v>199</v>
      </c>
      <c r="G8" s="75">
        <v>478</v>
      </c>
      <c r="H8" s="75">
        <v>407</v>
      </c>
      <c r="I8" s="75">
        <v>316</v>
      </c>
      <c r="J8" s="75">
        <v>278</v>
      </c>
      <c r="K8" s="75">
        <v>310</v>
      </c>
      <c r="N8" s="107"/>
      <c r="O8" s="108"/>
      <c r="P8" s="109"/>
      <c r="Q8" s="109"/>
      <c r="R8" s="110" t="s">
        <v>165</v>
      </c>
      <c r="S8" s="110"/>
      <c r="T8" s="111"/>
      <c r="U8" s="111"/>
      <c r="V8" s="109"/>
      <c r="W8" s="109"/>
      <c r="X8" s="112"/>
      <c r="Y8" s="108"/>
      <c r="Z8" s="109"/>
      <c r="AA8" s="109"/>
      <c r="AB8" s="110" t="s">
        <v>165</v>
      </c>
      <c r="AC8" s="110"/>
      <c r="AD8" s="111"/>
      <c r="AE8" s="111"/>
      <c r="AF8" s="109"/>
      <c r="AG8" s="109"/>
      <c r="AH8" s="112"/>
      <c r="AI8" s="108"/>
      <c r="AJ8" s="109"/>
      <c r="AK8" s="109"/>
      <c r="AL8" s="110" t="s">
        <v>165</v>
      </c>
      <c r="AM8" s="110"/>
      <c r="AN8" s="111"/>
      <c r="AO8" s="111"/>
      <c r="AP8" s="109"/>
      <c r="AQ8" s="109"/>
      <c r="AR8" s="112"/>
      <c r="AS8" s="108"/>
      <c r="AT8" s="109"/>
      <c r="AU8" s="109"/>
      <c r="AV8" s="110" t="s">
        <v>165</v>
      </c>
      <c r="AW8" s="110"/>
      <c r="AX8" s="111"/>
      <c r="AY8" s="111"/>
      <c r="AZ8" s="109"/>
      <c r="BA8" s="109"/>
      <c r="BB8" s="112"/>
      <c r="BC8" s="108"/>
      <c r="BD8" s="109"/>
      <c r="BE8" s="109"/>
      <c r="BF8" s="110"/>
      <c r="BG8" s="110" t="s">
        <v>165</v>
      </c>
      <c r="BH8" s="111"/>
      <c r="BI8" s="111"/>
      <c r="BJ8" s="109"/>
      <c r="BK8" s="109"/>
      <c r="BL8" s="112"/>
      <c r="BM8" s="108"/>
      <c r="BN8" s="109"/>
      <c r="BO8" s="109"/>
      <c r="BP8" s="110"/>
      <c r="BQ8" s="110" t="s">
        <v>165</v>
      </c>
      <c r="BR8" s="111"/>
      <c r="BS8" s="111"/>
      <c r="BT8" s="109"/>
      <c r="BU8" s="109"/>
      <c r="BV8" s="112"/>
      <c r="BW8" s="108"/>
      <c r="BX8" s="109"/>
      <c r="BY8" s="109"/>
      <c r="BZ8" s="110"/>
      <c r="CA8" s="110" t="s">
        <v>165</v>
      </c>
      <c r="CB8" s="111"/>
      <c r="CC8" s="111"/>
      <c r="CD8" s="109"/>
      <c r="CE8" s="109"/>
      <c r="CF8" s="112"/>
      <c r="CG8" s="108"/>
      <c r="CH8" s="109"/>
      <c r="CI8" s="109"/>
      <c r="CJ8" s="110"/>
      <c r="CK8" s="110" t="s">
        <v>165</v>
      </c>
      <c r="CL8" s="111"/>
      <c r="CM8" s="111"/>
      <c r="CN8" s="109"/>
      <c r="CO8" s="109"/>
      <c r="CP8" s="112"/>
      <c r="CQ8" s="108"/>
      <c r="CR8" s="109"/>
      <c r="CS8" s="109"/>
      <c r="CT8" s="110"/>
      <c r="CU8" s="110" t="s">
        <v>165</v>
      </c>
      <c r="CV8" s="111"/>
      <c r="CW8" s="111"/>
      <c r="CX8" s="109"/>
      <c r="CY8" s="109"/>
      <c r="CZ8" s="112"/>
      <c r="DA8" s="108"/>
      <c r="DB8" s="113"/>
      <c r="DC8" s="113"/>
      <c r="DD8" s="110"/>
      <c r="DE8" s="110"/>
      <c r="DF8" s="110"/>
      <c r="DG8" s="111" t="s">
        <v>165</v>
      </c>
      <c r="DH8" s="111"/>
      <c r="DI8" s="113"/>
      <c r="DJ8" s="113"/>
      <c r="DK8" s="113"/>
      <c r="DL8" s="114"/>
      <c r="DM8" s="108"/>
      <c r="DN8" s="113"/>
      <c r="DO8" s="113"/>
      <c r="DP8" s="110"/>
      <c r="DQ8" s="111" t="s">
        <v>165</v>
      </c>
      <c r="DR8" s="111"/>
      <c r="DS8" s="113"/>
      <c r="DT8" s="113"/>
      <c r="DU8" s="113"/>
      <c r="DV8" s="113"/>
      <c r="DW8" s="114"/>
      <c r="DX8" s="113"/>
      <c r="DY8" s="113"/>
      <c r="DZ8" s="113"/>
      <c r="EA8" s="113"/>
      <c r="EB8" s="110"/>
      <c r="EC8" s="111" t="s">
        <v>165</v>
      </c>
      <c r="ED8" s="111"/>
      <c r="EE8" s="113"/>
      <c r="EF8" s="113"/>
      <c r="EG8" s="113"/>
      <c r="EH8" s="114"/>
    </row>
    <row r="9" spans="1:138" ht="15.75" thickBot="1" x14ac:dyDescent="0.3">
      <c r="A9" s="95">
        <v>39873</v>
      </c>
      <c r="B9" s="75">
        <v>230</v>
      </c>
      <c r="C9" s="75">
        <v>311</v>
      </c>
      <c r="D9" s="75">
        <v>212</v>
      </c>
      <c r="E9" s="75">
        <v>207</v>
      </c>
      <c r="F9" s="75">
        <v>201</v>
      </c>
      <c r="G9" s="75">
        <v>458</v>
      </c>
      <c r="H9" s="75">
        <v>409</v>
      </c>
      <c r="I9" s="75">
        <v>322</v>
      </c>
      <c r="J9" s="75">
        <v>280</v>
      </c>
      <c r="K9" s="75">
        <v>306</v>
      </c>
      <c r="N9" s="120"/>
      <c r="O9" s="121"/>
      <c r="P9" s="122"/>
      <c r="Q9" s="122"/>
      <c r="R9" s="123" t="s">
        <v>168</v>
      </c>
      <c r="S9" s="123"/>
      <c r="T9" s="124"/>
      <c r="U9" s="124"/>
      <c r="V9" s="122"/>
      <c r="W9" s="122"/>
      <c r="X9" s="125"/>
      <c r="Y9" s="121"/>
      <c r="Z9" s="122"/>
      <c r="AA9" s="122"/>
      <c r="AB9" s="123" t="s">
        <v>169</v>
      </c>
      <c r="AC9" s="123"/>
      <c r="AD9" s="124"/>
      <c r="AE9" s="124"/>
      <c r="AF9" s="122"/>
      <c r="AG9" s="122"/>
      <c r="AH9" s="125"/>
      <c r="AI9" s="121"/>
      <c r="AJ9" s="122"/>
      <c r="AK9" s="122"/>
      <c r="AL9" s="123" t="s">
        <v>170</v>
      </c>
      <c r="AM9" s="123"/>
      <c r="AN9" s="124"/>
      <c r="AO9" s="124"/>
      <c r="AP9" s="122"/>
      <c r="AQ9" s="122"/>
      <c r="AR9" s="125"/>
      <c r="AS9" s="121"/>
      <c r="AT9" s="122"/>
      <c r="AU9" s="122"/>
      <c r="AV9" s="123" t="s">
        <v>171</v>
      </c>
      <c r="AW9" s="123"/>
      <c r="AX9" s="124"/>
      <c r="AY9" s="124"/>
      <c r="AZ9" s="122"/>
      <c r="BA9" s="122"/>
      <c r="BB9" s="125"/>
      <c r="BC9" s="121"/>
      <c r="BD9" s="122"/>
      <c r="BE9" s="122"/>
      <c r="BF9" s="123"/>
      <c r="BG9" s="123" t="s">
        <v>172</v>
      </c>
      <c r="BH9" s="124"/>
      <c r="BI9" s="124"/>
      <c r="BJ9" s="122"/>
      <c r="BK9" s="122"/>
      <c r="BL9" s="125"/>
      <c r="BM9" s="121"/>
      <c r="BN9" s="122"/>
      <c r="BO9" s="122"/>
      <c r="BP9" s="123"/>
      <c r="BQ9" s="123" t="s">
        <v>173</v>
      </c>
      <c r="BR9" s="124"/>
      <c r="BS9" s="124"/>
      <c r="BT9" s="122"/>
      <c r="BU9" s="122"/>
      <c r="BV9" s="125"/>
      <c r="BW9" s="121"/>
      <c r="BX9" s="122"/>
      <c r="BY9" s="122"/>
      <c r="BZ9" s="123"/>
      <c r="CA9" s="123" t="s">
        <v>174</v>
      </c>
      <c r="CB9" s="124"/>
      <c r="CC9" s="124"/>
      <c r="CD9" s="122"/>
      <c r="CE9" s="122"/>
      <c r="CF9" s="125"/>
      <c r="CG9" s="121"/>
      <c r="CH9" s="122"/>
      <c r="CI9" s="122"/>
      <c r="CJ9" s="123"/>
      <c r="CK9" s="123" t="s">
        <v>175</v>
      </c>
      <c r="CL9" s="124"/>
      <c r="CM9" s="124"/>
      <c r="CN9" s="122"/>
      <c r="CO9" s="122"/>
      <c r="CP9" s="125"/>
      <c r="CQ9" s="121"/>
      <c r="CR9" s="122"/>
      <c r="CS9" s="122"/>
      <c r="CT9" s="123"/>
      <c r="CU9" s="123" t="s">
        <v>176</v>
      </c>
      <c r="CV9" s="124"/>
      <c r="CW9" s="124"/>
      <c r="CX9" s="122"/>
      <c r="CY9" s="122"/>
      <c r="CZ9" s="125"/>
      <c r="DA9" s="120"/>
      <c r="DB9" s="126"/>
      <c r="DC9" s="126"/>
      <c r="DD9" s="123"/>
      <c r="DE9" s="123"/>
      <c r="DF9" s="123"/>
      <c r="DG9" s="124" t="s">
        <v>177</v>
      </c>
      <c r="DH9" s="124"/>
      <c r="DI9" s="126"/>
      <c r="DJ9" s="126"/>
      <c r="DK9" s="126"/>
      <c r="DL9" s="127"/>
      <c r="DM9" s="120"/>
      <c r="DN9" s="126"/>
      <c r="DO9" s="126"/>
      <c r="DP9" s="123"/>
      <c r="DQ9" s="124" t="s">
        <v>178</v>
      </c>
      <c r="DR9" s="124"/>
      <c r="DS9" s="126"/>
      <c r="DT9" s="126"/>
      <c r="DU9" s="126"/>
      <c r="DV9" s="126"/>
      <c r="DW9" s="127"/>
      <c r="DX9" s="126"/>
      <c r="DY9" s="126"/>
      <c r="DZ9" s="126"/>
      <c r="EA9" s="126"/>
      <c r="EB9" s="123"/>
      <c r="EC9" s="124" t="s">
        <v>179</v>
      </c>
      <c r="ED9" s="124"/>
      <c r="EE9" s="126"/>
      <c r="EF9" s="126"/>
      <c r="EG9" s="126"/>
      <c r="EH9" s="126"/>
    </row>
    <row r="10" spans="1:138" x14ac:dyDescent="0.25">
      <c r="A10" s="95">
        <v>39904</v>
      </c>
      <c r="B10" s="75">
        <v>198.86363636363637</v>
      </c>
      <c r="C10" s="75">
        <v>293.18181818181819</v>
      </c>
      <c r="D10" s="75">
        <v>221</v>
      </c>
      <c r="E10" s="75">
        <v>217</v>
      </c>
      <c r="F10" s="75">
        <v>215</v>
      </c>
      <c r="G10" s="75">
        <v>469</v>
      </c>
      <c r="H10" s="75">
        <v>406</v>
      </c>
      <c r="I10" s="75">
        <v>308</v>
      </c>
      <c r="J10" s="75" t="s">
        <v>105</v>
      </c>
      <c r="K10" s="75">
        <v>308</v>
      </c>
      <c r="N10" s="431" t="s">
        <v>289</v>
      </c>
      <c r="O10" s="455" t="s">
        <v>152</v>
      </c>
      <c r="P10" s="456"/>
      <c r="Q10" s="457" t="s">
        <v>153</v>
      </c>
      <c r="R10" s="458"/>
      <c r="S10" s="456"/>
      <c r="T10" s="475" t="s">
        <v>290</v>
      </c>
      <c r="U10" s="476"/>
      <c r="V10" s="476"/>
      <c r="W10" s="476"/>
      <c r="X10" s="477"/>
      <c r="Y10" s="455" t="s">
        <v>152</v>
      </c>
      <c r="Z10" s="456"/>
      <c r="AA10" s="457" t="s">
        <v>153</v>
      </c>
      <c r="AB10" s="458"/>
      <c r="AC10" s="456"/>
      <c r="AD10" s="475" t="s">
        <v>290</v>
      </c>
      <c r="AE10" s="476"/>
      <c r="AF10" s="476"/>
      <c r="AG10" s="476"/>
      <c r="AH10" s="477"/>
      <c r="AI10" s="455" t="s">
        <v>152</v>
      </c>
      <c r="AJ10" s="456"/>
      <c r="AK10" s="457" t="s">
        <v>153</v>
      </c>
      <c r="AL10" s="458"/>
      <c r="AM10" s="456"/>
      <c r="AN10" s="475" t="s">
        <v>290</v>
      </c>
      <c r="AO10" s="476"/>
      <c r="AP10" s="476"/>
      <c r="AQ10" s="476"/>
      <c r="AR10" s="477"/>
      <c r="AS10" s="455" t="s">
        <v>152</v>
      </c>
      <c r="AT10" s="456"/>
      <c r="AU10" s="457" t="s">
        <v>153</v>
      </c>
      <c r="AV10" s="458"/>
      <c r="AW10" s="456"/>
      <c r="AX10" s="475" t="s">
        <v>290</v>
      </c>
      <c r="AY10" s="476"/>
      <c r="AZ10" s="476"/>
      <c r="BA10" s="476"/>
      <c r="BB10" s="477"/>
      <c r="BC10" s="455" t="s">
        <v>152</v>
      </c>
      <c r="BD10" s="456"/>
      <c r="BE10" s="457" t="s">
        <v>153</v>
      </c>
      <c r="BF10" s="458"/>
      <c r="BG10" s="456"/>
      <c r="BH10" s="475" t="s">
        <v>290</v>
      </c>
      <c r="BI10" s="476"/>
      <c r="BJ10" s="476"/>
      <c r="BK10" s="476"/>
      <c r="BL10" s="477"/>
      <c r="BM10" s="455" t="s">
        <v>152</v>
      </c>
      <c r="BN10" s="456"/>
      <c r="BO10" s="457" t="s">
        <v>153</v>
      </c>
      <c r="BP10" s="458"/>
      <c r="BQ10" s="456"/>
      <c r="BR10" s="475" t="s">
        <v>290</v>
      </c>
      <c r="BS10" s="476"/>
      <c r="BT10" s="476"/>
      <c r="BU10" s="476"/>
      <c r="BV10" s="477"/>
      <c r="BW10" s="455" t="s">
        <v>152</v>
      </c>
      <c r="BX10" s="456"/>
      <c r="BY10" s="457" t="s">
        <v>153</v>
      </c>
      <c r="BZ10" s="458"/>
      <c r="CA10" s="456"/>
      <c r="CB10" s="475" t="s">
        <v>290</v>
      </c>
      <c r="CC10" s="476"/>
      <c r="CD10" s="476"/>
      <c r="CE10" s="476"/>
      <c r="CF10" s="477"/>
      <c r="CG10" s="455" t="s">
        <v>152</v>
      </c>
      <c r="CH10" s="456"/>
      <c r="CI10" s="457" t="s">
        <v>153</v>
      </c>
      <c r="CJ10" s="458"/>
      <c r="CK10" s="456"/>
      <c r="CL10" s="475" t="s">
        <v>290</v>
      </c>
      <c r="CM10" s="476"/>
      <c r="CN10" s="476"/>
      <c r="CO10" s="476"/>
      <c r="CP10" s="477"/>
      <c r="CQ10" s="455" t="s">
        <v>152</v>
      </c>
      <c r="CR10" s="456"/>
      <c r="CS10" s="457" t="s">
        <v>153</v>
      </c>
      <c r="CT10" s="458"/>
      <c r="CU10" s="456"/>
      <c r="CV10" s="475" t="s">
        <v>290</v>
      </c>
      <c r="CW10" s="476"/>
      <c r="CX10" s="476"/>
      <c r="CY10" s="476"/>
      <c r="CZ10" s="477"/>
      <c r="DA10" s="455" t="s">
        <v>152</v>
      </c>
      <c r="DB10" s="456"/>
      <c r="DC10" s="457" t="s">
        <v>153</v>
      </c>
      <c r="DD10" s="458"/>
      <c r="DE10" s="458"/>
      <c r="DF10" s="458"/>
      <c r="DG10" s="456"/>
      <c r="DH10" s="457" t="s">
        <v>290</v>
      </c>
      <c r="DI10" s="458"/>
      <c r="DJ10" s="458"/>
      <c r="DK10" s="458"/>
      <c r="DL10" s="459"/>
      <c r="DM10" s="485" t="s">
        <v>152</v>
      </c>
      <c r="DN10" s="483"/>
      <c r="DO10" s="483" t="s">
        <v>153</v>
      </c>
      <c r="DP10" s="483"/>
      <c r="DQ10" s="483"/>
      <c r="DR10" s="483" t="s">
        <v>290</v>
      </c>
      <c r="DS10" s="483"/>
      <c r="DT10" s="483"/>
      <c r="DU10" s="483"/>
      <c r="DV10" s="483"/>
      <c r="DW10" s="486"/>
      <c r="DX10" s="482" t="s">
        <v>152</v>
      </c>
      <c r="DY10" s="482"/>
      <c r="DZ10" s="483"/>
      <c r="EA10" s="483" t="s">
        <v>153</v>
      </c>
      <c r="EB10" s="483"/>
      <c r="EC10" s="483"/>
      <c r="ED10" s="483" t="s">
        <v>290</v>
      </c>
      <c r="EE10" s="483"/>
      <c r="EF10" s="483"/>
      <c r="EG10" s="483"/>
      <c r="EH10" s="484"/>
    </row>
    <row r="11" spans="1:138" x14ac:dyDescent="0.25">
      <c r="A11" s="95">
        <v>39934</v>
      </c>
      <c r="B11" s="75">
        <v>195</v>
      </c>
      <c r="C11" s="75">
        <v>301</v>
      </c>
      <c r="D11" s="75">
        <v>223</v>
      </c>
      <c r="E11" s="75">
        <v>221</v>
      </c>
      <c r="F11" s="75">
        <v>208</v>
      </c>
      <c r="G11" s="75">
        <v>463</v>
      </c>
      <c r="H11" s="75">
        <v>398</v>
      </c>
      <c r="I11" s="75">
        <v>291</v>
      </c>
      <c r="J11" s="75" t="s">
        <v>105</v>
      </c>
      <c r="K11" s="75">
        <v>300</v>
      </c>
      <c r="N11" s="480"/>
      <c r="O11" s="451" t="s">
        <v>291</v>
      </c>
      <c r="P11" s="452"/>
      <c r="Q11" s="453" t="s">
        <v>291</v>
      </c>
      <c r="R11" s="454"/>
      <c r="S11" s="452"/>
      <c r="T11" s="453" t="s">
        <v>291</v>
      </c>
      <c r="U11" s="454"/>
      <c r="V11" s="454"/>
      <c r="W11" s="454"/>
      <c r="X11" s="460"/>
      <c r="Y11" s="451" t="s">
        <v>291</v>
      </c>
      <c r="Z11" s="452"/>
      <c r="AA11" s="453" t="s">
        <v>291</v>
      </c>
      <c r="AB11" s="454"/>
      <c r="AC11" s="452"/>
      <c r="AD11" s="453" t="s">
        <v>291</v>
      </c>
      <c r="AE11" s="454"/>
      <c r="AF11" s="454"/>
      <c r="AG11" s="454"/>
      <c r="AH11" s="460"/>
      <c r="AI11" s="451" t="s">
        <v>291</v>
      </c>
      <c r="AJ11" s="452"/>
      <c r="AK11" s="453" t="s">
        <v>291</v>
      </c>
      <c r="AL11" s="454"/>
      <c r="AM11" s="452"/>
      <c r="AN11" s="453" t="s">
        <v>291</v>
      </c>
      <c r="AO11" s="454"/>
      <c r="AP11" s="454"/>
      <c r="AQ11" s="454"/>
      <c r="AR11" s="460"/>
      <c r="AS11" s="451" t="s">
        <v>291</v>
      </c>
      <c r="AT11" s="452"/>
      <c r="AU11" s="453" t="s">
        <v>291</v>
      </c>
      <c r="AV11" s="454"/>
      <c r="AW11" s="452"/>
      <c r="AX11" s="453" t="s">
        <v>291</v>
      </c>
      <c r="AY11" s="454"/>
      <c r="AZ11" s="454"/>
      <c r="BA11" s="454"/>
      <c r="BB11" s="460"/>
      <c r="BC11" s="451" t="s">
        <v>291</v>
      </c>
      <c r="BD11" s="452"/>
      <c r="BE11" s="453" t="s">
        <v>291</v>
      </c>
      <c r="BF11" s="454"/>
      <c r="BG11" s="452"/>
      <c r="BH11" s="453" t="s">
        <v>291</v>
      </c>
      <c r="BI11" s="454"/>
      <c r="BJ11" s="454"/>
      <c r="BK11" s="454"/>
      <c r="BL11" s="460"/>
      <c r="BM11" s="451" t="s">
        <v>291</v>
      </c>
      <c r="BN11" s="452"/>
      <c r="BO11" s="453" t="s">
        <v>291</v>
      </c>
      <c r="BP11" s="454"/>
      <c r="BQ11" s="452"/>
      <c r="BR11" s="453" t="s">
        <v>291</v>
      </c>
      <c r="BS11" s="454"/>
      <c r="BT11" s="454"/>
      <c r="BU11" s="454"/>
      <c r="BV11" s="460"/>
      <c r="BW11" s="451" t="s">
        <v>291</v>
      </c>
      <c r="BX11" s="452"/>
      <c r="BY11" s="453" t="s">
        <v>291</v>
      </c>
      <c r="BZ11" s="454"/>
      <c r="CA11" s="452"/>
      <c r="CB11" s="453" t="s">
        <v>291</v>
      </c>
      <c r="CC11" s="454"/>
      <c r="CD11" s="454"/>
      <c r="CE11" s="454"/>
      <c r="CF11" s="460"/>
      <c r="CG11" s="451" t="s">
        <v>291</v>
      </c>
      <c r="CH11" s="452"/>
      <c r="CI11" s="453" t="s">
        <v>291</v>
      </c>
      <c r="CJ11" s="454"/>
      <c r="CK11" s="452"/>
      <c r="CL11" s="453" t="s">
        <v>291</v>
      </c>
      <c r="CM11" s="454"/>
      <c r="CN11" s="454"/>
      <c r="CO11" s="454"/>
      <c r="CP11" s="460"/>
      <c r="CQ11" s="451" t="s">
        <v>291</v>
      </c>
      <c r="CR11" s="452"/>
      <c r="CS11" s="453" t="s">
        <v>291</v>
      </c>
      <c r="CT11" s="454"/>
      <c r="CU11" s="452"/>
      <c r="CV11" s="453" t="s">
        <v>291</v>
      </c>
      <c r="CW11" s="454"/>
      <c r="CX11" s="454"/>
      <c r="CY11" s="454"/>
      <c r="CZ11" s="460"/>
      <c r="DA11" s="478" t="s">
        <v>291</v>
      </c>
      <c r="DB11" s="472"/>
      <c r="DC11" s="469" t="s">
        <v>291</v>
      </c>
      <c r="DD11" s="470"/>
      <c r="DE11" s="470"/>
      <c r="DF11" s="470"/>
      <c r="DG11" s="472"/>
      <c r="DH11" s="469" t="s">
        <v>291</v>
      </c>
      <c r="DI11" s="470"/>
      <c r="DJ11" s="470"/>
      <c r="DK11" s="470"/>
      <c r="DL11" s="471"/>
      <c r="DM11" s="478" t="s">
        <v>291</v>
      </c>
      <c r="DN11" s="472"/>
      <c r="DO11" s="469" t="s">
        <v>291</v>
      </c>
      <c r="DP11" s="470"/>
      <c r="DQ11" s="472"/>
      <c r="DR11" s="469" t="s">
        <v>291</v>
      </c>
      <c r="DS11" s="470"/>
      <c r="DT11" s="470"/>
      <c r="DU11" s="470"/>
      <c r="DV11" s="470"/>
      <c r="DW11" s="471"/>
      <c r="DX11" s="470" t="s">
        <v>291</v>
      </c>
      <c r="DY11" s="470"/>
      <c r="DZ11" s="472"/>
      <c r="EA11" s="469" t="s">
        <v>291</v>
      </c>
      <c r="EB11" s="470"/>
      <c r="EC11" s="472"/>
      <c r="ED11" s="469" t="s">
        <v>291</v>
      </c>
      <c r="EE11" s="470"/>
      <c r="EF11" s="470"/>
      <c r="EG11" s="470"/>
      <c r="EH11" s="470"/>
    </row>
    <row r="12" spans="1:138" x14ac:dyDescent="0.25">
      <c r="A12" s="95">
        <v>39965</v>
      </c>
      <c r="B12" s="75">
        <v>266</v>
      </c>
      <c r="C12" s="75">
        <v>300</v>
      </c>
      <c r="D12" s="75">
        <v>227</v>
      </c>
      <c r="E12" s="75">
        <v>222</v>
      </c>
      <c r="F12" s="75">
        <v>206</v>
      </c>
      <c r="G12" s="75">
        <v>439</v>
      </c>
      <c r="H12" s="75">
        <v>389</v>
      </c>
      <c r="I12" s="75">
        <v>288</v>
      </c>
      <c r="J12" s="75" t="s">
        <v>105</v>
      </c>
      <c r="K12" s="75">
        <v>293</v>
      </c>
      <c r="N12" s="481"/>
      <c r="O12" s="430" t="s">
        <v>163</v>
      </c>
      <c r="P12" s="422" t="s">
        <v>155</v>
      </c>
      <c r="Q12" s="422" t="s">
        <v>293</v>
      </c>
      <c r="R12" s="422" t="s">
        <v>294</v>
      </c>
      <c r="S12" s="422" t="s">
        <v>295</v>
      </c>
      <c r="T12" s="424" t="s">
        <v>296</v>
      </c>
      <c r="U12" s="425"/>
      <c r="V12" s="426" t="s">
        <v>297</v>
      </c>
      <c r="W12" s="426" t="s">
        <v>162</v>
      </c>
      <c r="X12" s="428" t="s">
        <v>163</v>
      </c>
      <c r="Y12" s="430" t="s">
        <v>163</v>
      </c>
      <c r="Z12" s="422" t="s">
        <v>155</v>
      </c>
      <c r="AA12" s="422" t="s">
        <v>293</v>
      </c>
      <c r="AB12" s="422" t="s">
        <v>294</v>
      </c>
      <c r="AC12" s="422" t="s">
        <v>295</v>
      </c>
      <c r="AD12" s="424" t="s">
        <v>296</v>
      </c>
      <c r="AE12" s="425"/>
      <c r="AF12" s="426" t="s">
        <v>297</v>
      </c>
      <c r="AG12" s="426" t="s">
        <v>162</v>
      </c>
      <c r="AH12" s="428" t="s">
        <v>163</v>
      </c>
      <c r="AI12" s="430" t="s">
        <v>163</v>
      </c>
      <c r="AJ12" s="422" t="s">
        <v>155</v>
      </c>
      <c r="AK12" s="422" t="s">
        <v>293</v>
      </c>
      <c r="AL12" s="422" t="s">
        <v>294</v>
      </c>
      <c r="AM12" s="422" t="s">
        <v>295</v>
      </c>
      <c r="AN12" s="424" t="s">
        <v>296</v>
      </c>
      <c r="AO12" s="425"/>
      <c r="AP12" s="426" t="s">
        <v>297</v>
      </c>
      <c r="AQ12" s="426" t="s">
        <v>162</v>
      </c>
      <c r="AR12" s="428" t="s">
        <v>163</v>
      </c>
      <c r="AS12" s="430" t="s">
        <v>163</v>
      </c>
      <c r="AT12" s="422" t="s">
        <v>155</v>
      </c>
      <c r="AU12" s="422" t="s">
        <v>293</v>
      </c>
      <c r="AV12" s="422" t="s">
        <v>294</v>
      </c>
      <c r="AW12" s="422" t="s">
        <v>295</v>
      </c>
      <c r="AX12" s="424" t="s">
        <v>296</v>
      </c>
      <c r="AY12" s="425"/>
      <c r="AZ12" s="426" t="s">
        <v>297</v>
      </c>
      <c r="BA12" s="426" t="s">
        <v>162</v>
      </c>
      <c r="BB12" s="428" t="s">
        <v>163</v>
      </c>
      <c r="BC12" s="430" t="s">
        <v>163</v>
      </c>
      <c r="BD12" s="422" t="s">
        <v>155</v>
      </c>
      <c r="BE12" s="422" t="s">
        <v>293</v>
      </c>
      <c r="BF12" s="422" t="s">
        <v>294</v>
      </c>
      <c r="BG12" s="422" t="s">
        <v>295</v>
      </c>
      <c r="BH12" s="424" t="s">
        <v>296</v>
      </c>
      <c r="BI12" s="425"/>
      <c r="BJ12" s="426" t="s">
        <v>297</v>
      </c>
      <c r="BK12" s="426" t="s">
        <v>162</v>
      </c>
      <c r="BL12" s="428" t="s">
        <v>163</v>
      </c>
      <c r="BM12" s="430" t="s">
        <v>163</v>
      </c>
      <c r="BN12" s="422" t="s">
        <v>155</v>
      </c>
      <c r="BO12" s="422" t="s">
        <v>293</v>
      </c>
      <c r="BP12" s="422" t="s">
        <v>294</v>
      </c>
      <c r="BQ12" s="422" t="s">
        <v>295</v>
      </c>
      <c r="BR12" s="424" t="s">
        <v>296</v>
      </c>
      <c r="BS12" s="425"/>
      <c r="BT12" s="426" t="s">
        <v>297</v>
      </c>
      <c r="BU12" s="426" t="s">
        <v>162</v>
      </c>
      <c r="BV12" s="428" t="s">
        <v>163</v>
      </c>
      <c r="BW12" s="430" t="s">
        <v>163</v>
      </c>
      <c r="BX12" s="422" t="s">
        <v>155</v>
      </c>
      <c r="BY12" s="422" t="s">
        <v>293</v>
      </c>
      <c r="BZ12" s="422" t="s">
        <v>294</v>
      </c>
      <c r="CA12" s="422" t="s">
        <v>295</v>
      </c>
      <c r="CB12" s="424" t="s">
        <v>296</v>
      </c>
      <c r="CC12" s="425"/>
      <c r="CD12" s="426" t="s">
        <v>297</v>
      </c>
      <c r="CE12" s="426" t="s">
        <v>162</v>
      </c>
      <c r="CF12" s="428" t="s">
        <v>163</v>
      </c>
      <c r="CG12" s="430" t="s">
        <v>163</v>
      </c>
      <c r="CH12" s="422" t="s">
        <v>155</v>
      </c>
      <c r="CI12" s="422" t="s">
        <v>293</v>
      </c>
      <c r="CJ12" s="422" t="s">
        <v>294</v>
      </c>
      <c r="CK12" s="422" t="s">
        <v>295</v>
      </c>
      <c r="CL12" s="424" t="s">
        <v>296</v>
      </c>
      <c r="CM12" s="425"/>
      <c r="CN12" s="426" t="s">
        <v>297</v>
      </c>
      <c r="CO12" s="426" t="s">
        <v>162</v>
      </c>
      <c r="CP12" s="428" t="s">
        <v>163</v>
      </c>
      <c r="CQ12" s="430" t="s">
        <v>163</v>
      </c>
      <c r="CR12" s="422" t="s">
        <v>155</v>
      </c>
      <c r="CS12" s="422" t="s">
        <v>293</v>
      </c>
      <c r="CT12" s="422" t="s">
        <v>294</v>
      </c>
      <c r="CU12" s="422" t="s">
        <v>295</v>
      </c>
      <c r="CV12" s="424" t="s">
        <v>296</v>
      </c>
      <c r="CW12" s="425"/>
      <c r="CX12" s="426" t="s">
        <v>297</v>
      </c>
      <c r="CY12" s="426" t="s">
        <v>162</v>
      </c>
      <c r="CZ12" s="428" t="s">
        <v>163</v>
      </c>
      <c r="DA12" s="430" t="s">
        <v>163</v>
      </c>
      <c r="DB12" s="422" t="s">
        <v>155</v>
      </c>
      <c r="DC12" s="422" t="s">
        <v>293</v>
      </c>
      <c r="DD12" s="422" t="s">
        <v>294</v>
      </c>
      <c r="DE12" s="143"/>
      <c r="DF12" s="143"/>
      <c r="DG12" s="422" t="s">
        <v>295</v>
      </c>
      <c r="DH12" s="449" t="s">
        <v>296</v>
      </c>
      <c r="DI12" s="450"/>
      <c r="DJ12" s="426" t="s">
        <v>297</v>
      </c>
      <c r="DK12" s="447" t="s">
        <v>162</v>
      </c>
      <c r="DL12" s="428" t="s">
        <v>163</v>
      </c>
      <c r="DM12" s="430" t="s">
        <v>163</v>
      </c>
      <c r="DN12" s="422" t="s">
        <v>155</v>
      </c>
      <c r="DO12" s="422" t="s">
        <v>293</v>
      </c>
      <c r="DP12" s="422" t="s">
        <v>294</v>
      </c>
      <c r="DQ12" s="422" t="s">
        <v>295</v>
      </c>
      <c r="DR12" s="446" t="s">
        <v>296</v>
      </c>
      <c r="DS12" s="446"/>
      <c r="DT12" s="144"/>
      <c r="DU12" s="426" t="s">
        <v>297</v>
      </c>
      <c r="DV12" s="447" t="s">
        <v>162</v>
      </c>
      <c r="DW12" s="428" t="s">
        <v>163</v>
      </c>
      <c r="DX12" s="430" t="s">
        <v>163</v>
      </c>
      <c r="DY12" s="145"/>
      <c r="DZ12" s="422" t="s">
        <v>155</v>
      </c>
      <c r="EA12" s="422" t="s">
        <v>293</v>
      </c>
      <c r="EB12" s="422" t="s">
        <v>294</v>
      </c>
      <c r="EC12" s="422" t="s">
        <v>295</v>
      </c>
      <c r="ED12" s="446" t="s">
        <v>296</v>
      </c>
      <c r="EE12" s="446"/>
      <c r="EF12" s="426" t="s">
        <v>297</v>
      </c>
      <c r="EG12" s="447" t="s">
        <v>162</v>
      </c>
      <c r="EH12" s="428" t="s">
        <v>163</v>
      </c>
    </row>
    <row r="13" spans="1:138" x14ac:dyDescent="0.25">
      <c r="A13" s="95">
        <v>39995</v>
      </c>
      <c r="B13" s="75">
        <v>327</v>
      </c>
      <c r="C13" s="75">
        <v>325</v>
      </c>
      <c r="D13" s="75">
        <v>226</v>
      </c>
      <c r="E13" s="75">
        <v>227</v>
      </c>
      <c r="F13" s="75">
        <v>211</v>
      </c>
      <c r="G13" s="75">
        <v>450</v>
      </c>
      <c r="H13" s="75">
        <v>384</v>
      </c>
      <c r="I13" s="75">
        <v>280</v>
      </c>
      <c r="J13" s="75">
        <v>277</v>
      </c>
      <c r="K13" s="75">
        <v>279</v>
      </c>
      <c r="N13" s="481"/>
      <c r="O13" s="431"/>
      <c r="P13" s="423"/>
      <c r="Q13" s="423"/>
      <c r="R13" s="423"/>
      <c r="S13" s="423"/>
      <c r="T13" s="146" t="s">
        <v>159</v>
      </c>
      <c r="U13" s="146" t="s">
        <v>160</v>
      </c>
      <c r="V13" s="427"/>
      <c r="W13" s="427"/>
      <c r="X13" s="429"/>
      <c r="Y13" s="431"/>
      <c r="Z13" s="423"/>
      <c r="AA13" s="423"/>
      <c r="AB13" s="423"/>
      <c r="AC13" s="423"/>
      <c r="AD13" s="146" t="s">
        <v>159</v>
      </c>
      <c r="AE13" s="146" t="s">
        <v>160</v>
      </c>
      <c r="AF13" s="427"/>
      <c r="AG13" s="427"/>
      <c r="AH13" s="429"/>
      <c r="AI13" s="431"/>
      <c r="AJ13" s="423"/>
      <c r="AK13" s="423"/>
      <c r="AL13" s="423"/>
      <c r="AM13" s="423"/>
      <c r="AN13" s="146" t="s">
        <v>159</v>
      </c>
      <c r="AO13" s="146" t="s">
        <v>160</v>
      </c>
      <c r="AP13" s="427"/>
      <c r="AQ13" s="427"/>
      <c r="AR13" s="429"/>
      <c r="AS13" s="431"/>
      <c r="AT13" s="423"/>
      <c r="AU13" s="423"/>
      <c r="AV13" s="423"/>
      <c r="AW13" s="423"/>
      <c r="AX13" s="146" t="s">
        <v>159</v>
      </c>
      <c r="AY13" s="146" t="s">
        <v>160</v>
      </c>
      <c r="AZ13" s="427"/>
      <c r="BA13" s="427"/>
      <c r="BB13" s="429"/>
      <c r="BC13" s="431"/>
      <c r="BD13" s="423"/>
      <c r="BE13" s="423"/>
      <c r="BF13" s="423"/>
      <c r="BG13" s="423"/>
      <c r="BH13" s="146" t="s">
        <v>159</v>
      </c>
      <c r="BI13" s="146" t="s">
        <v>160</v>
      </c>
      <c r="BJ13" s="427"/>
      <c r="BK13" s="427"/>
      <c r="BL13" s="429"/>
      <c r="BM13" s="431"/>
      <c r="BN13" s="423"/>
      <c r="BO13" s="423"/>
      <c r="BP13" s="423"/>
      <c r="BQ13" s="423"/>
      <c r="BR13" s="146" t="s">
        <v>159</v>
      </c>
      <c r="BS13" s="146" t="s">
        <v>160</v>
      </c>
      <c r="BT13" s="427"/>
      <c r="BU13" s="427"/>
      <c r="BV13" s="429"/>
      <c r="BW13" s="431"/>
      <c r="BX13" s="423"/>
      <c r="BY13" s="423"/>
      <c r="BZ13" s="423"/>
      <c r="CA13" s="423"/>
      <c r="CB13" s="146" t="s">
        <v>159</v>
      </c>
      <c r="CC13" s="146" t="s">
        <v>160</v>
      </c>
      <c r="CD13" s="427"/>
      <c r="CE13" s="427"/>
      <c r="CF13" s="429"/>
      <c r="CG13" s="431"/>
      <c r="CH13" s="423"/>
      <c r="CI13" s="423"/>
      <c r="CJ13" s="423"/>
      <c r="CK13" s="423"/>
      <c r="CL13" s="146" t="s">
        <v>159</v>
      </c>
      <c r="CM13" s="146" t="s">
        <v>160</v>
      </c>
      <c r="CN13" s="427"/>
      <c r="CO13" s="427"/>
      <c r="CP13" s="429"/>
      <c r="CQ13" s="431"/>
      <c r="CR13" s="423"/>
      <c r="CS13" s="423"/>
      <c r="CT13" s="423"/>
      <c r="CU13" s="423"/>
      <c r="CV13" s="146" t="s">
        <v>159</v>
      </c>
      <c r="CW13" s="146" t="s">
        <v>160</v>
      </c>
      <c r="CX13" s="427"/>
      <c r="CY13" s="427"/>
      <c r="CZ13" s="429"/>
      <c r="DA13" s="431"/>
      <c r="DB13" s="423"/>
      <c r="DC13" s="423"/>
      <c r="DD13" s="423"/>
      <c r="DE13" s="147"/>
      <c r="DF13" s="147"/>
      <c r="DG13" s="423"/>
      <c r="DH13" s="148" t="s">
        <v>159</v>
      </c>
      <c r="DI13" s="148" t="s">
        <v>160</v>
      </c>
      <c r="DJ13" s="427"/>
      <c r="DK13" s="448"/>
      <c r="DL13" s="429"/>
      <c r="DM13" s="431"/>
      <c r="DN13" s="423"/>
      <c r="DO13" s="423"/>
      <c r="DP13" s="423"/>
      <c r="DQ13" s="423"/>
      <c r="DR13" s="148" t="s">
        <v>159</v>
      </c>
      <c r="DS13" s="148" t="s">
        <v>160</v>
      </c>
      <c r="DT13" s="149"/>
      <c r="DU13" s="427"/>
      <c r="DV13" s="448"/>
      <c r="DW13" s="429"/>
      <c r="DX13" s="431"/>
      <c r="DY13" s="150"/>
      <c r="DZ13" s="423"/>
      <c r="EA13" s="423"/>
      <c r="EB13" s="423"/>
      <c r="EC13" s="423"/>
      <c r="ED13" s="148" t="s">
        <v>159</v>
      </c>
      <c r="EE13" s="148" t="s">
        <v>160</v>
      </c>
      <c r="EF13" s="427"/>
      <c r="EG13" s="448"/>
      <c r="EH13" s="429"/>
    </row>
    <row r="14" spans="1:138" x14ac:dyDescent="0.25">
      <c r="A14" s="95">
        <v>40026</v>
      </c>
      <c r="B14" s="75">
        <v>376</v>
      </c>
      <c r="C14" s="75" t="s">
        <v>105</v>
      </c>
      <c r="D14" s="75">
        <v>226</v>
      </c>
      <c r="E14" s="75">
        <v>230</v>
      </c>
      <c r="F14" s="75">
        <v>213</v>
      </c>
      <c r="G14" s="75">
        <v>433</v>
      </c>
      <c r="H14" s="75">
        <v>377</v>
      </c>
      <c r="I14" s="75">
        <v>278</v>
      </c>
      <c r="J14" s="75">
        <v>250</v>
      </c>
      <c r="K14" s="75">
        <v>271</v>
      </c>
      <c r="N14" s="151" t="s">
        <v>299</v>
      </c>
      <c r="O14" s="102">
        <v>165</v>
      </c>
      <c r="P14" s="102">
        <v>283.33333333333331</v>
      </c>
      <c r="Q14" s="102">
        <v>233.33333333333334</v>
      </c>
      <c r="R14" s="102">
        <v>250</v>
      </c>
      <c r="S14" s="102">
        <v>225</v>
      </c>
      <c r="T14" s="102">
        <v>450</v>
      </c>
      <c r="U14" s="102">
        <v>400</v>
      </c>
      <c r="V14" s="102">
        <v>383.33333333333331</v>
      </c>
      <c r="W14" s="102"/>
      <c r="X14" s="102">
        <v>350</v>
      </c>
      <c r="Y14" s="102">
        <v>212.5</v>
      </c>
      <c r="Z14" s="102">
        <v>300</v>
      </c>
      <c r="AA14" s="102">
        <v>225</v>
      </c>
      <c r="AB14" s="102">
        <v>250</v>
      </c>
      <c r="AC14" s="102">
        <v>216.66666666666666</v>
      </c>
      <c r="AD14" s="102">
        <v>450</v>
      </c>
      <c r="AE14" s="102">
        <v>400</v>
      </c>
      <c r="AF14" s="102">
        <v>350</v>
      </c>
      <c r="AG14" s="102">
        <v>275</v>
      </c>
      <c r="AH14" s="102">
        <v>316.66666666666669</v>
      </c>
      <c r="AI14" s="102">
        <v>212.5</v>
      </c>
      <c r="AJ14" s="102">
        <v>287.5</v>
      </c>
      <c r="AK14" s="102">
        <v>225</v>
      </c>
      <c r="AL14" s="102">
        <v>231.25</v>
      </c>
      <c r="AM14" s="102">
        <v>225</v>
      </c>
      <c r="AN14" s="102">
        <v>450</v>
      </c>
      <c r="AO14" s="102">
        <v>400</v>
      </c>
      <c r="AP14" s="102">
        <v>343.75</v>
      </c>
      <c r="AQ14" s="102"/>
      <c r="AR14" s="102">
        <v>300</v>
      </c>
      <c r="AS14" s="102">
        <v>200</v>
      </c>
      <c r="AT14" s="102">
        <v>250</v>
      </c>
      <c r="AU14" s="102">
        <v>225</v>
      </c>
      <c r="AV14" s="102">
        <v>237.5</v>
      </c>
      <c r="AW14" s="102">
        <v>225</v>
      </c>
      <c r="AX14" s="102">
        <v>450</v>
      </c>
      <c r="AY14" s="102">
        <v>400</v>
      </c>
      <c r="AZ14" s="102">
        <v>325</v>
      </c>
      <c r="BA14" s="102"/>
      <c r="BB14" s="102">
        <v>300</v>
      </c>
      <c r="BC14" s="102">
        <v>193.75</v>
      </c>
      <c r="BD14" s="102">
        <v>312.5</v>
      </c>
      <c r="BE14" s="102">
        <v>231.25</v>
      </c>
      <c r="BF14" s="102">
        <v>243.75</v>
      </c>
      <c r="BG14" s="102">
        <v>212.5</v>
      </c>
      <c r="BH14" s="102">
        <v>450</v>
      </c>
      <c r="BI14" s="102">
        <v>400</v>
      </c>
      <c r="BJ14" s="102">
        <v>300</v>
      </c>
      <c r="BK14" s="102"/>
      <c r="BL14" s="102">
        <v>300</v>
      </c>
      <c r="BM14" s="102">
        <v>287.5</v>
      </c>
      <c r="BN14" s="102"/>
      <c r="BO14" s="102">
        <v>250</v>
      </c>
      <c r="BP14" s="102">
        <v>250</v>
      </c>
      <c r="BQ14" s="102">
        <v>225</v>
      </c>
      <c r="BR14" s="102">
        <v>437.5</v>
      </c>
      <c r="BS14" s="102">
        <v>362.5</v>
      </c>
      <c r="BT14" s="102">
        <v>300</v>
      </c>
      <c r="BU14" s="102"/>
      <c r="BV14" s="102">
        <v>300</v>
      </c>
      <c r="BW14" s="102">
        <v>325</v>
      </c>
      <c r="BX14" s="102"/>
      <c r="BY14" s="102">
        <v>233.33333333333334</v>
      </c>
      <c r="BZ14" s="102">
        <v>250</v>
      </c>
      <c r="CA14" s="102">
        <v>216.66666666666666</v>
      </c>
      <c r="CB14" s="102">
        <v>425</v>
      </c>
      <c r="CC14" s="102">
        <v>350</v>
      </c>
      <c r="CD14" s="102">
        <v>275</v>
      </c>
      <c r="CE14" s="102">
        <v>275</v>
      </c>
      <c r="CF14" s="102">
        <v>300</v>
      </c>
      <c r="CG14" s="102">
        <v>375</v>
      </c>
      <c r="CH14" s="102"/>
      <c r="CI14" s="102">
        <v>225</v>
      </c>
      <c r="CJ14" s="102">
        <v>250</v>
      </c>
      <c r="CK14" s="102">
        <v>225</v>
      </c>
      <c r="CL14" s="102">
        <v>425</v>
      </c>
      <c r="CM14" s="102">
        <v>362.5</v>
      </c>
      <c r="CN14" s="102">
        <v>275</v>
      </c>
      <c r="CO14" s="102">
        <v>250</v>
      </c>
      <c r="CP14" s="102">
        <v>300</v>
      </c>
      <c r="CQ14" s="102">
        <v>200</v>
      </c>
      <c r="CR14" s="102">
        <v>325</v>
      </c>
      <c r="CS14" s="102">
        <v>250</v>
      </c>
      <c r="CT14" s="102">
        <v>250</v>
      </c>
      <c r="CU14" s="102">
        <v>225</v>
      </c>
      <c r="CV14" s="102">
        <v>425</v>
      </c>
      <c r="CW14" s="102">
        <v>350</v>
      </c>
      <c r="CX14" s="102">
        <v>275</v>
      </c>
      <c r="CY14" s="102"/>
      <c r="CZ14" s="102">
        <v>287.5</v>
      </c>
      <c r="DA14" s="102"/>
      <c r="DB14" s="102">
        <v>275</v>
      </c>
      <c r="DC14" s="102">
        <v>250</v>
      </c>
      <c r="DD14" s="102">
        <v>250</v>
      </c>
      <c r="DE14" s="102"/>
      <c r="DF14" s="102"/>
      <c r="DG14" s="102">
        <v>225</v>
      </c>
      <c r="DH14" s="102">
        <v>425</v>
      </c>
      <c r="DI14" s="102">
        <v>350</v>
      </c>
      <c r="DJ14" s="102">
        <v>250</v>
      </c>
      <c r="DK14" s="102">
        <v>258.33333333333331</v>
      </c>
      <c r="DL14" s="102">
        <v>266.66666666666669</v>
      </c>
      <c r="DM14" s="102"/>
      <c r="DN14" s="102">
        <v>300</v>
      </c>
      <c r="DO14" s="102">
        <v>243.75</v>
      </c>
      <c r="DP14" s="102">
        <v>237.5</v>
      </c>
      <c r="DQ14" s="102">
        <v>225</v>
      </c>
      <c r="DR14" s="102">
        <v>400</v>
      </c>
      <c r="DS14" s="102">
        <v>350</v>
      </c>
      <c r="DT14" s="102"/>
      <c r="DU14" s="102">
        <v>250</v>
      </c>
      <c r="DV14" s="102">
        <v>250</v>
      </c>
      <c r="DW14" s="102">
        <v>275</v>
      </c>
      <c r="DX14" s="102"/>
      <c r="DY14" s="102"/>
      <c r="DZ14" s="102">
        <v>316.66666666666669</v>
      </c>
      <c r="EA14" s="102">
        <v>233.33333333333334</v>
      </c>
      <c r="EB14" s="102">
        <v>233.33333333333334</v>
      </c>
      <c r="EC14" s="102">
        <v>241.66666666666666</v>
      </c>
      <c r="ED14" s="102">
        <v>400</v>
      </c>
      <c r="EE14" s="102">
        <v>350</v>
      </c>
      <c r="EF14" s="102">
        <v>250</v>
      </c>
      <c r="EG14" s="102">
        <v>250</v>
      </c>
      <c r="EH14" s="102">
        <v>258.33333333333331</v>
      </c>
    </row>
    <row r="15" spans="1:138" x14ac:dyDescent="0.25">
      <c r="A15" s="95">
        <v>40057</v>
      </c>
      <c r="B15" s="75">
        <v>319</v>
      </c>
      <c r="C15" s="75">
        <v>386</v>
      </c>
      <c r="D15" s="75">
        <v>225</v>
      </c>
      <c r="E15" s="75">
        <v>217</v>
      </c>
      <c r="F15" s="75">
        <v>211</v>
      </c>
      <c r="G15" s="75">
        <v>433</v>
      </c>
      <c r="H15" s="75">
        <v>360</v>
      </c>
      <c r="I15" s="75">
        <v>273</v>
      </c>
      <c r="J15" s="75" t="s">
        <v>105</v>
      </c>
      <c r="K15" s="75">
        <v>267</v>
      </c>
      <c r="N15" s="151" t="s">
        <v>300</v>
      </c>
      <c r="O15" s="102">
        <v>250</v>
      </c>
      <c r="P15" s="102">
        <v>300</v>
      </c>
      <c r="Q15" s="102">
        <v>225</v>
      </c>
      <c r="R15" s="102">
        <v>200</v>
      </c>
      <c r="S15" s="102">
        <v>196.66666666666666</v>
      </c>
      <c r="T15" s="102">
        <v>440</v>
      </c>
      <c r="U15" s="102">
        <v>396.66666666666669</v>
      </c>
      <c r="V15" s="102">
        <v>333.33333333333331</v>
      </c>
      <c r="W15" s="102"/>
      <c r="X15" s="102"/>
      <c r="Y15" s="102">
        <v>250</v>
      </c>
      <c r="Z15" s="102">
        <v>300</v>
      </c>
      <c r="AA15" s="102">
        <v>225</v>
      </c>
      <c r="AB15" s="102">
        <v>200</v>
      </c>
      <c r="AC15" s="102">
        <v>200</v>
      </c>
      <c r="AD15" s="102">
        <v>450</v>
      </c>
      <c r="AE15" s="102">
        <v>390</v>
      </c>
      <c r="AF15" s="102">
        <v>300</v>
      </c>
      <c r="AG15" s="102"/>
      <c r="AH15" s="102"/>
      <c r="AI15" s="102">
        <v>212.5</v>
      </c>
      <c r="AJ15" s="102">
        <v>312.5</v>
      </c>
      <c r="AK15" s="102">
        <v>212.5</v>
      </c>
      <c r="AL15" s="102">
        <v>200</v>
      </c>
      <c r="AM15" s="102">
        <v>200</v>
      </c>
      <c r="AN15" s="102">
        <v>450</v>
      </c>
      <c r="AO15" s="102">
        <v>390</v>
      </c>
      <c r="AP15" s="102">
        <v>300</v>
      </c>
      <c r="AQ15" s="102"/>
      <c r="AR15" s="102"/>
      <c r="AS15" s="102">
        <v>150</v>
      </c>
      <c r="AT15" s="102">
        <v>275</v>
      </c>
      <c r="AU15" s="102">
        <v>200</v>
      </c>
      <c r="AV15" s="102">
        <v>205</v>
      </c>
      <c r="AW15" s="102">
        <v>200</v>
      </c>
      <c r="AX15" s="102">
        <v>450</v>
      </c>
      <c r="AY15" s="102">
        <v>387.5</v>
      </c>
      <c r="AZ15" s="102">
        <v>287.5</v>
      </c>
      <c r="BA15" s="102"/>
      <c r="BB15" s="102">
        <v>300</v>
      </c>
      <c r="BC15" s="102">
        <v>150</v>
      </c>
      <c r="BD15" s="102">
        <v>187.5</v>
      </c>
      <c r="BE15" s="102">
        <v>212.5</v>
      </c>
      <c r="BF15" s="102">
        <v>212.5</v>
      </c>
      <c r="BG15" s="102">
        <v>200</v>
      </c>
      <c r="BH15" s="102">
        <v>450</v>
      </c>
      <c r="BI15" s="102">
        <v>382.5</v>
      </c>
      <c r="BJ15" s="102">
        <v>272.5</v>
      </c>
      <c r="BK15" s="102"/>
      <c r="BL15" s="102">
        <v>281.25</v>
      </c>
      <c r="BM15" s="102">
        <v>225</v>
      </c>
      <c r="BN15" s="102"/>
      <c r="BO15" s="102">
        <v>225</v>
      </c>
      <c r="BP15" s="102">
        <v>225</v>
      </c>
      <c r="BQ15" s="102">
        <v>200</v>
      </c>
      <c r="BR15" s="102">
        <v>430</v>
      </c>
      <c r="BS15" s="102">
        <v>375</v>
      </c>
      <c r="BT15" s="102">
        <v>275</v>
      </c>
      <c r="BU15" s="102"/>
      <c r="BV15" s="102">
        <v>275</v>
      </c>
      <c r="BW15" s="102">
        <v>333.33333333333331</v>
      </c>
      <c r="BX15" s="102"/>
      <c r="BY15" s="102">
        <v>225</v>
      </c>
      <c r="BZ15" s="102">
        <v>225</v>
      </c>
      <c r="CA15" s="102">
        <v>220</v>
      </c>
      <c r="CB15" s="102">
        <v>425</v>
      </c>
      <c r="CC15" s="102">
        <v>375</v>
      </c>
      <c r="CD15" s="102">
        <v>275</v>
      </c>
      <c r="CE15" s="102"/>
      <c r="CF15" s="102"/>
      <c r="CG15" s="102">
        <v>350</v>
      </c>
      <c r="CH15" s="102"/>
      <c r="CI15" s="102">
        <v>225</v>
      </c>
      <c r="CJ15" s="102">
        <v>225</v>
      </c>
      <c r="CK15" s="102">
        <v>200</v>
      </c>
      <c r="CL15" s="102">
        <v>425</v>
      </c>
      <c r="CM15" s="102">
        <v>362.5</v>
      </c>
      <c r="CN15" s="102">
        <v>250</v>
      </c>
      <c r="CO15" s="102"/>
      <c r="CP15" s="102">
        <v>250</v>
      </c>
      <c r="CQ15" s="102"/>
      <c r="CR15" s="102">
        <v>300</v>
      </c>
      <c r="CS15" s="102">
        <v>225</v>
      </c>
      <c r="CT15" s="102">
        <v>225</v>
      </c>
      <c r="CU15" s="102">
        <v>225</v>
      </c>
      <c r="CV15" s="102">
        <v>425</v>
      </c>
      <c r="CW15" s="102">
        <v>350</v>
      </c>
      <c r="CX15" s="102">
        <v>250</v>
      </c>
      <c r="CY15" s="102"/>
      <c r="CZ15" s="102">
        <v>250</v>
      </c>
      <c r="DA15" s="102"/>
      <c r="DB15" s="102">
        <v>283.33333333333331</v>
      </c>
      <c r="DC15" s="102">
        <v>200</v>
      </c>
      <c r="DD15" s="102">
        <v>216.66666666666666</v>
      </c>
      <c r="DE15" s="102"/>
      <c r="DF15" s="102"/>
      <c r="DG15" s="102">
        <v>213.33333333333334</v>
      </c>
      <c r="DH15" s="102">
        <v>416.66666666666669</v>
      </c>
      <c r="DI15" s="102">
        <v>350</v>
      </c>
      <c r="DJ15" s="102">
        <v>250</v>
      </c>
      <c r="DK15" s="102"/>
      <c r="DL15" s="102">
        <v>258.33333333333331</v>
      </c>
      <c r="DM15" s="102"/>
      <c r="DN15" s="102">
        <v>300</v>
      </c>
      <c r="DO15" s="102">
        <v>193.75</v>
      </c>
      <c r="DP15" s="102">
        <v>225</v>
      </c>
      <c r="DQ15" s="102">
        <v>205</v>
      </c>
      <c r="DR15" s="102">
        <v>400</v>
      </c>
      <c r="DS15" s="102">
        <v>325</v>
      </c>
      <c r="DT15" s="102"/>
      <c r="DU15" s="102">
        <v>250</v>
      </c>
      <c r="DV15" s="102"/>
      <c r="DW15" s="102">
        <v>250</v>
      </c>
      <c r="DX15" s="102"/>
      <c r="DY15" s="102"/>
      <c r="DZ15" s="102">
        <v>308.33333333333331</v>
      </c>
      <c r="EA15" s="102">
        <v>183.33333333333334</v>
      </c>
      <c r="EB15" s="102">
        <v>200</v>
      </c>
      <c r="EC15" s="102">
        <v>200</v>
      </c>
      <c r="ED15" s="102">
        <v>400</v>
      </c>
      <c r="EE15" s="102">
        <v>333.33333333333331</v>
      </c>
      <c r="EF15" s="102">
        <v>250</v>
      </c>
      <c r="EG15" s="102"/>
      <c r="EH15" s="102">
        <v>250</v>
      </c>
    </row>
    <row r="16" spans="1:138" x14ac:dyDescent="0.25">
      <c r="A16" s="95">
        <v>40087</v>
      </c>
      <c r="B16" s="75" t="s">
        <v>105</v>
      </c>
      <c r="C16" s="75">
        <v>323</v>
      </c>
      <c r="D16" s="75">
        <v>204</v>
      </c>
      <c r="E16" s="75">
        <v>215</v>
      </c>
      <c r="F16" s="75">
        <v>204</v>
      </c>
      <c r="G16" s="75">
        <v>431</v>
      </c>
      <c r="H16" s="75">
        <v>357</v>
      </c>
      <c r="I16" s="75">
        <v>261</v>
      </c>
      <c r="J16" s="75">
        <v>279</v>
      </c>
      <c r="K16" s="75">
        <v>259</v>
      </c>
      <c r="N16" s="151" t="s">
        <v>301</v>
      </c>
      <c r="O16" s="102">
        <v>225</v>
      </c>
      <c r="P16" s="102">
        <v>283.33333333333331</v>
      </c>
      <c r="Q16" s="102">
        <v>205</v>
      </c>
      <c r="R16" s="102">
        <v>200</v>
      </c>
      <c r="S16" s="102">
        <v>200</v>
      </c>
      <c r="T16" s="102"/>
      <c r="U16" s="102">
        <v>408.33333333333331</v>
      </c>
      <c r="V16" s="102">
        <v>325</v>
      </c>
      <c r="W16" s="102"/>
      <c r="X16" s="102">
        <v>308.33333333333331</v>
      </c>
      <c r="Y16" s="102">
        <v>225</v>
      </c>
      <c r="Z16" s="102">
        <v>283.33333333333331</v>
      </c>
      <c r="AA16" s="102">
        <v>206.66666666666666</v>
      </c>
      <c r="AB16" s="102">
        <v>200</v>
      </c>
      <c r="AC16" s="102">
        <v>200</v>
      </c>
      <c r="AD16" s="102"/>
      <c r="AE16" s="102">
        <v>400</v>
      </c>
      <c r="AF16" s="102">
        <v>300</v>
      </c>
      <c r="AG16" s="102"/>
      <c r="AH16" s="102">
        <v>280</v>
      </c>
      <c r="AI16" s="102">
        <v>200</v>
      </c>
      <c r="AJ16" s="102">
        <v>281.25</v>
      </c>
      <c r="AK16" s="102">
        <v>202.5</v>
      </c>
      <c r="AL16" s="102">
        <v>200</v>
      </c>
      <c r="AM16" s="102">
        <v>195</v>
      </c>
      <c r="AN16" s="102"/>
      <c r="AO16" s="102">
        <v>400</v>
      </c>
      <c r="AP16" s="102">
        <v>305</v>
      </c>
      <c r="AQ16" s="102"/>
      <c r="AR16" s="102">
        <v>295</v>
      </c>
      <c r="AS16" s="102">
        <v>150</v>
      </c>
      <c r="AT16" s="102">
        <v>250</v>
      </c>
      <c r="AU16" s="102">
        <v>210</v>
      </c>
      <c r="AV16" s="102">
        <v>200</v>
      </c>
      <c r="AW16" s="102">
        <v>200</v>
      </c>
      <c r="AX16" s="102"/>
      <c r="AY16" s="102">
        <v>400</v>
      </c>
      <c r="AZ16" s="102">
        <v>287.5</v>
      </c>
      <c r="BA16" s="102"/>
      <c r="BB16" s="102">
        <v>300</v>
      </c>
      <c r="BC16" s="102">
        <v>150</v>
      </c>
      <c r="BD16" s="102">
        <v>275</v>
      </c>
      <c r="BE16" s="102">
        <v>215</v>
      </c>
      <c r="BF16" s="102">
        <v>202.5</v>
      </c>
      <c r="BG16" s="102">
        <v>200</v>
      </c>
      <c r="BH16" s="102"/>
      <c r="BI16" s="102">
        <v>383.75</v>
      </c>
      <c r="BJ16" s="102">
        <v>275</v>
      </c>
      <c r="BK16" s="102"/>
      <c r="BL16" s="102">
        <v>280</v>
      </c>
      <c r="BM16" s="102">
        <v>250</v>
      </c>
      <c r="BN16" s="102">
        <v>350</v>
      </c>
      <c r="BO16" s="102">
        <v>220</v>
      </c>
      <c r="BP16" s="102">
        <v>210</v>
      </c>
      <c r="BQ16" s="102">
        <v>200</v>
      </c>
      <c r="BR16" s="102"/>
      <c r="BS16" s="102">
        <v>375</v>
      </c>
      <c r="BT16" s="102">
        <v>267.5</v>
      </c>
      <c r="BU16" s="102"/>
      <c r="BV16" s="102">
        <v>260</v>
      </c>
      <c r="BW16" s="102">
        <v>300</v>
      </c>
      <c r="BX16" s="102"/>
      <c r="BY16" s="102">
        <v>223.33333333333334</v>
      </c>
      <c r="BZ16" s="102">
        <v>220</v>
      </c>
      <c r="CA16" s="102">
        <v>190</v>
      </c>
      <c r="CB16" s="102"/>
      <c r="CC16" s="102">
        <v>366.66666666666669</v>
      </c>
      <c r="CD16" s="102">
        <v>275</v>
      </c>
      <c r="CE16" s="102"/>
      <c r="CF16" s="102">
        <v>255</v>
      </c>
      <c r="CG16" s="102">
        <v>350</v>
      </c>
      <c r="CH16" s="102"/>
      <c r="CI16" s="102">
        <v>217.5</v>
      </c>
      <c r="CJ16" s="102">
        <v>225</v>
      </c>
      <c r="CK16" s="102">
        <v>200</v>
      </c>
      <c r="CL16" s="102"/>
      <c r="CM16" s="102">
        <v>375</v>
      </c>
      <c r="CN16" s="102">
        <v>275</v>
      </c>
      <c r="CO16" s="102"/>
      <c r="CP16" s="102">
        <v>245</v>
      </c>
      <c r="CQ16" s="102"/>
      <c r="CR16" s="102">
        <v>300</v>
      </c>
      <c r="CS16" s="102">
        <v>200</v>
      </c>
      <c r="CT16" s="102">
        <v>200</v>
      </c>
      <c r="CU16" s="102">
        <v>200</v>
      </c>
      <c r="CV16" s="102"/>
      <c r="CW16" s="102">
        <v>350</v>
      </c>
      <c r="CX16" s="102">
        <v>250</v>
      </c>
      <c r="CY16" s="102"/>
      <c r="CZ16" s="102">
        <v>225</v>
      </c>
      <c r="DA16" s="102"/>
      <c r="DB16" s="102">
        <v>283.33333333333331</v>
      </c>
      <c r="DC16" s="102">
        <v>171.66666666666666</v>
      </c>
      <c r="DD16" s="102">
        <v>212.5</v>
      </c>
      <c r="DE16" s="102"/>
      <c r="DF16" s="102"/>
      <c r="DG16" s="102"/>
      <c r="DH16" s="102"/>
      <c r="DI16" s="102">
        <v>350</v>
      </c>
      <c r="DJ16" s="102">
        <v>250</v>
      </c>
      <c r="DK16" s="102"/>
      <c r="DL16" s="102">
        <v>233.33333333333334</v>
      </c>
      <c r="DM16" s="102"/>
      <c r="DN16" s="102">
        <v>312.5</v>
      </c>
      <c r="DO16" s="102">
        <v>175</v>
      </c>
      <c r="DP16" s="102">
        <v>181.25</v>
      </c>
      <c r="DQ16" s="102"/>
      <c r="DR16" s="102"/>
      <c r="DS16" s="102">
        <v>350</v>
      </c>
      <c r="DT16" s="102"/>
      <c r="DU16" s="102">
        <v>250</v>
      </c>
      <c r="DV16" s="102"/>
      <c r="DW16" s="102">
        <v>218.75</v>
      </c>
      <c r="DX16" s="102"/>
      <c r="DY16" s="102"/>
      <c r="DZ16" s="102">
        <v>333.33333333333331</v>
      </c>
      <c r="EA16" s="102">
        <v>175</v>
      </c>
      <c r="EB16" s="102">
        <v>175</v>
      </c>
      <c r="EC16" s="102">
        <v>175</v>
      </c>
      <c r="ED16" s="102"/>
      <c r="EE16" s="102">
        <v>350</v>
      </c>
      <c r="EF16" s="102">
        <v>266.66666666666669</v>
      </c>
      <c r="EG16" s="102"/>
      <c r="EH16" s="102">
        <v>233.33333333333334</v>
      </c>
    </row>
    <row r="17" spans="1:138" x14ac:dyDescent="0.25">
      <c r="A17" s="95">
        <v>40118</v>
      </c>
      <c r="B17" s="75" t="s">
        <v>105</v>
      </c>
      <c r="C17" s="75">
        <v>335</v>
      </c>
      <c r="D17" s="75">
        <v>194</v>
      </c>
      <c r="E17" s="75">
        <v>208</v>
      </c>
      <c r="F17" s="75">
        <v>194</v>
      </c>
      <c r="G17" s="75">
        <v>417</v>
      </c>
      <c r="H17" s="75">
        <v>352</v>
      </c>
      <c r="I17" s="75">
        <v>257</v>
      </c>
      <c r="J17" s="75">
        <v>250</v>
      </c>
      <c r="K17" s="75">
        <v>250</v>
      </c>
      <c r="N17" s="151" t="s">
        <v>302</v>
      </c>
      <c r="O17" s="102"/>
      <c r="P17" s="102">
        <v>300</v>
      </c>
      <c r="Q17" s="102">
        <v>203.33333333333334</v>
      </c>
      <c r="R17" s="102">
        <v>193.33333333333334</v>
      </c>
      <c r="S17" s="102">
        <v>196.66666666666666</v>
      </c>
      <c r="T17" s="102"/>
      <c r="U17" s="102">
        <v>425</v>
      </c>
      <c r="V17" s="102">
        <v>341.66666666666669</v>
      </c>
      <c r="W17" s="102"/>
      <c r="X17" s="102">
        <v>316.66666666666669</v>
      </c>
      <c r="Y17" s="102">
        <v>250</v>
      </c>
      <c r="Z17" s="102">
        <v>308.33333333333331</v>
      </c>
      <c r="AA17" s="102">
        <v>210</v>
      </c>
      <c r="AB17" s="102">
        <v>200</v>
      </c>
      <c r="AC17" s="102">
        <v>200</v>
      </c>
      <c r="AD17" s="102"/>
      <c r="AE17" s="102">
        <v>425</v>
      </c>
      <c r="AF17" s="102">
        <v>325</v>
      </c>
      <c r="AG17" s="102"/>
      <c r="AH17" s="102">
        <v>275</v>
      </c>
      <c r="AI17" s="102">
        <v>212.5</v>
      </c>
      <c r="AJ17" s="102">
        <v>306.25</v>
      </c>
      <c r="AK17" s="102">
        <v>210</v>
      </c>
      <c r="AL17" s="102">
        <v>200</v>
      </c>
      <c r="AM17" s="102">
        <v>200</v>
      </c>
      <c r="AN17" s="102"/>
      <c r="AO17" s="102">
        <v>425</v>
      </c>
      <c r="AP17" s="102">
        <v>318.75</v>
      </c>
      <c r="AQ17" s="102"/>
      <c r="AR17" s="102">
        <v>293.75</v>
      </c>
      <c r="AS17" s="102">
        <v>150</v>
      </c>
      <c r="AT17" s="102">
        <v>250</v>
      </c>
      <c r="AU17" s="102">
        <v>205</v>
      </c>
      <c r="AV17" s="102">
        <v>200</v>
      </c>
      <c r="AW17" s="102"/>
      <c r="AX17" s="102"/>
      <c r="AY17" s="102">
        <v>400</v>
      </c>
      <c r="AZ17" s="102">
        <v>300</v>
      </c>
      <c r="BA17" s="102"/>
      <c r="BB17" s="102">
        <v>300</v>
      </c>
      <c r="BC17" s="102">
        <v>150</v>
      </c>
      <c r="BD17" s="102">
        <v>250</v>
      </c>
      <c r="BE17" s="102">
        <v>215</v>
      </c>
      <c r="BF17" s="102">
        <v>205</v>
      </c>
      <c r="BG17" s="102"/>
      <c r="BH17" s="102"/>
      <c r="BI17" s="102">
        <v>400</v>
      </c>
      <c r="BJ17" s="102">
        <v>308.75</v>
      </c>
      <c r="BK17" s="102"/>
      <c r="BL17" s="102">
        <v>300</v>
      </c>
      <c r="BM17" s="102">
        <v>225</v>
      </c>
      <c r="BN17" s="102"/>
      <c r="BO17" s="102">
        <v>220</v>
      </c>
      <c r="BP17" s="102">
        <v>225</v>
      </c>
      <c r="BQ17" s="102">
        <v>200</v>
      </c>
      <c r="BR17" s="102"/>
      <c r="BS17" s="102">
        <v>400</v>
      </c>
      <c r="BT17" s="102">
        <v>275</v>
      </c>
      <c r="BU17" s="102"/>
      <c r="BV17" s="102">
        <v>300</v>
      </c>
      <c r="BW17" s="102">
        <v>283.33333333333331</v>
      </c>
      <c r="BX17" s="102"/>
      <c r="BY17" s="102">
        <v>223.33333333333334</v>
      </c>
      <c r="BZ17" s="102">
        <v>225</v>
      </c>
      <c r="CA17" s="102">
        <v>225</v>
      </c>
      <c r="CB17" s="102"/>
      <c r="CC17" s="102">
        <v>400</v>
      </c>
      <c r="CD17" s="102">
        <v>275</v>
      </c>
      <c r="CE17" s="102"/>
      <c r="CF17" s="102">
        <v>250</v>
      </c>
      <c r="CG17" s="102">
        <v>337.5</v>
      </c>
      <c r="CH17" s="102"/>
      <c r="CI17" s="102">
        <v>217.5</v>
      </c>
      <c r="CJ17" s="102">
        <v>210</v>
      </c>
      <c r="CK17" s="102">
        <v>225</v>
      </c>
      <c r="CL17" s="102"/>
      <c r="CM17" s="102">
        <v>350</v>
      </c>
      <c r="CN17" s="102">
        <v>275</v>
      </c>
      <c r="CO17" s="102"/>
      <c r="CP17" s="102">
        <v>300</v>
      </c>
      <c r="CQ17" s="102">
        <v>375</v>
      </c>
      <c r="CR17" s="102">
        <v>350</v>
      </c>
      <c r="CS17" s="102">
        <v>225</v>
      </c>
      <c r="CT17" s="102">
        <v>220</v>
      </c>
      <c r="CU17" s="102"/>
      <c r="CV17" s="102"/>
      <c r="CW17" s="102">
        <v>350</v>
      </c>
      <c r="CX17" s="102">
        <v>275</v>
      </c>
      <c r="CY17" s="102"/>
      <c r="CZ17" s="102">
        <v>250</v>
      </c>
      <c r="DA17" s="102"/>
      <c r="DB17" s="102">
        <v>300</v>
      </c>
      <c r="DC17" s="102">
        <v>218.33333333333334</v>
      </c>
      <c r="DD17" s="102">
        <v>216.66666666666666</v>
      </c>
      <c r="DE17" s="102"/>
      <c r="DF17" s="102"/>
      <c r="DG17" s="102"/>
      <c r="DH17" s="102"/>
      <c r="DI17" s="102">
        <v>350</v>
      </c>
      <c r="DJ17" s="102">
        <v>275</v>
      </c>
      <c r="DK17" s="102"/>
      <c r="DL17" s="102">
        <v>250</v>
      </c>
      <c r="DM17" s="102"/>
      <c r="DN17" s="102">
        <v>337.5</v>
      </c>
      <c r="DO17" s="102">
        <v>200</v>
      </c>
      <c r="DP17" s="102">
        <v>208.75</v>
      </c>
      <c r="DQ17" s="102">
        <v>191.66666666666666</v>
      </c>
      <c r="DR17" s="102"/>
      <c r="DS17" s="102">
        <v>350</v>
      </c>
      <c r="DT17" s="102"/>
      <c r="DU17" s="102">
        <v>275</v>
      </c>
      <c r="DV17" s="102"/>
      <c r="DW17" s="102">
        <v>250</v>
      </c>
      <c r="DX17" s="102"/>
      <c r="DY17" s="102"/>
      <c r="DZ17" s="102">
        <v>333.33333333333331</v>
      </c>
      <c r="EA17" s="102">
        <v>188.33333333333334</v>
      </c>
      <c r="EB17" s="102">
        <v>195</v>
      </c>
      <c r="EC17" s="102">
        <v>191.66666666666666</v>
      </c>
      <c r="ED17" s="102"/>
      <c r="EE17" s="102">
        <v>350</v>
      </c>
      <c r="EF17" s="102">
        <v>275</v>
      </c>
      <c r="EG17" s="102"/>
      <c r="EH17" s="102">
        <v>216.66666666666666</v>
      </c>
    </row>
    <row r="18" spans="1:138" x14ac:dyDescent="0.25">
      <c r="A18" s="95">
        <v>40148</v>
      </c>
      <c r="B18" s="75" t="s">
        <v>105</v>
      </c>
      <c r="C18" s="75">
        <v>349</v>
      </c>
      <c r="D18" s="75">
        <v>195</v>
      </c>
      <c r="E18" s="75">
        <v>199</v>
      </c>
      <c r="F18" s="75">
        <v>189</v>
      </c>
      <c r="G18" s="75">
        <v>406</v>
      </c>
      <c r="H18" s="75">
        <v>350</v>
      </c>
      <c r="I18" s="75">
        <v>266</v>
      </c>
      <c r="J18" s="75">
        <v>250</v>
      </c>
      <c r="K18" s="75">
        <v>244</v>
      </c>
      <c r="N18" s="151" t="s">
        <v>303</v>
      </c>
      <c r="O18" s="102">
        <v>250</v>
      </c>
      <c r="P18" s="102">
        <v>383.33333333333331</v>
      </c>
      <c r="Q18" s="102">
        <v>283.33333333333331</v>
      </c>
      <c r="R18" s="102">
        <v>250</v>
      </c>
      <c r="S18" s="102">
        <v>191.66666666666666</v>
      </c>
      <c r="T18" s="102"/>
      <c r="U18" s="102">
        <v>433.33333333333331</v>
      </c>
      <c r="V18" s="102">
        <v>391.66666666666669</v>
      </c>
      <c r="W18" s="102"/>
      <c r="X18" s="102">
        <v>300</v>
      </c>
      <c r="Y18" s="102">
        <v>250</v>
      </c>
      <c r="Z18" s="102">
        <v>316.66666666666669</v>
      </c>
      <c r="AA18" s="102">
        <v>300</v>
      </c>
      <c r="AB18" s="102">
        <v>250</v>
      </c>
      <c r="AC18" s="102">
        <v>191.66666666666666</v>
      </c>
      <c r="AD18" s="102"/>
      <c r="AE18" s="102">
        <v>400</v>
      </c>
      <c r="AF18" s="102">
        <v>325</v>
      </c>
      <c r="AG18" s="102"/>
      <c r="AH18" s="102">
        <v>300</v>
      </c>
      <c r="AI18" s="102">
        <v>200</v>
      </c>
      <c r="AJ18" s="102">
        <v>300</v>
      </c>
      <c r="AK18" s="102">
        <v>287.5</v>
      </c>
      <c r="AL18" s="102">
        <v>231.25</v>
      </c>
      <c r="AM18" s="102">
        <v>200</v>
      </c>
      <c r="AN18" s="102"/>
      <c r="AO18" s="102">
        <v>402.5</v>
      </c>
      <c r="AP18" s="102">
        <v>343.75</v>
      </c>
      <c r="AQ18" s="102"/>
      <c r="AR18" s="102">
        <v>300</v>
      </c>
      <c r="AS18" s="102">
        <v>200</v>
      </c>
      <c r="AT18" s="102">
        <v>300</v>
      </c>
      <c r="AU18" s="102">
        <v>250</v>
      </c>
      <c r="AV18" s="102">
        <v>200</v>
      </c>
      <c r="AW18" s="102">
        <v>265</v>
      </c>
      <c r="AX18" s="102"/>
      <c r="AY18" s="102">
        <v>400</v>
      </c>
      <c r="AZ18" s="102">
        <v>300</v>
      </c>
      <c r="BA18" s="102"/>
      <c r="BB18" s="102">
        <v>300</v>
      </c>
      <c r="BC18" s="102">
        <v>150</v>
      </c>
      <c r="BD18" s="102">
        <v>300</v>
      </c>
      <c r="BE18" s="102">
        <v>250</v>
      </c>
      <c r="BF18" s="102">
        <v>243.75</v>
      </c>
      <c r="BG18" s="102">
        <v>206.25</v>
      </c>
      <c r="BH18" s="102"/>
      <c r="BI18" s="102">
        <v>400</v>
      </c>
      <c r="BJ18" s="102">
        <v>306.25</v>
      </c>
      <c r="BK18" s="102"/>
      <c r="BL18" s="102">
        <v>325</v>
      </c>
      <c r="BM18" s="102">
        <v>237.5</v>
      </c>
      <c r="BN18" s="102">
        <v>300</v>
      </c>
      <c r="BO18" s="102">
        <v>250</v>
      </c>
      <c r="BP18" s="102">
        <v>200</v>
      </c>
      <c r="BQ18" s="102">
        <v>200</v>
      </c>
      <c r="BR18" s="102"/>
      <c r="BS18" s="102">
        <v>400</v>
      </c>
      <c r="BT18" s="102">
        <v>325</v>
      </c>
      <c r="BU18" s="102"/>
      <c r="BV18" s="102">
        <v>325</v>
      </c>
      <c r="BW18" s="102">
        <v>300</v>
      </c>
      <c r="BX18" s="102">
        <v>325</v>
      </c>
      <c r="BY18" s="102">
        <v>250</v>
      </c>
      <c r="BZ18" s="102">
        <v>233.33333333333334</v>
      </c>
      <c r="CA18" s="102">
        <v>183.33333333333334</v>
      </c>
      <c r="CB18" s="102"/>
      <c r="CC18" s="102">
        <v>408.33333333333331</v>
      </c>
      <c r="CD18" s="102">
        <v>291.66666666666669</v>
      </c>
      <c r="CE18" s="102">
        <v>300</v>
      </c>
      <c r="CF18" s="102">
        <v>286.66666666666669</v>
      </c>
      <c r="CG18" s="102">
        <v>300</v>
      </c>
      <c r="CH18" s="102"/>
      <c r="CI18" s="102">
        <v>275</v>
      </c>
      <c r="CJ18" s="102">
        <v>250</v>
      </c>
      <c r="CK18" s="102">
        <v>200</v>
      </c>
      <c r="CL18" s="102"/>
      <c r="CM18" s="102">
        <v>400</v>
      </c>
      <c r="CN18" s="102">
        <v>300</v>
      </c>
      <c r="CO18" s="102"/>
      <c r="CP18" s="102">
        <v>275</v>
      </c>
      <c r="CQ18" s="102">
        <v>300</v>
      </c>
      <c r="CR18" s="102">
        <v>450</v>
      </c>
      <c r="CS18" s="102">
        <v>300</v>
      </c>
      <c r="CT18" s="102">
        <v>225</v>
      </c>
      <c r="CU18" s="102">
        <v>200</v>
      </c>
      <c r="CV18" s="102"/>
      <c r="CW18" s="102">
        <v>400</v>
      </c>
      <c r="CX18" s="102">
        <v>300</v>
      </c>
      <c r="CY18" s="102">
        <v>300</v>
      </c>
      <c r="CZ18" s="102">
        <v>300</v>
      </c>
      <c r="DA18" s="102"/>
      <c r="DB18" s="102">
        <v>400</v>
      </c>
      <c r="DC18" s="102">
        <v>241.66666666666666</v>
      </c>
      <c r="DD18" s="102">
        <v>233.33333333333334</v>
      </c>
      <c r="DE18" s="102"/>
      <c r="DF18" s="102"/>
      <c r="DG18" s="102">
        <v>225</v>
      </c>
      <c r="DH18" s="102"/>
      <c r="DI18" s="102">
        <v>400</v>
      </c>
      <c r="DJ18" s="102">
        <v>300</v>
      </c>
      <c r="DK18" s="102">
        <v>300</v>
      </c>
      <c r="DL18" s="102">
        <v>266.66666666666669</v>
      </c>
      <c r="DM18" s="102"/>
      <c r="DN18" s="102">
        <v>387.5</v>
      </c>
      <c r="DO18" s="102">
        <v>256.25</v>
      </c>
      <c r="DP18" s="102">
        <v>243.75</v>
      </c>
      <c r="DQ18" s="102">
        <v>243.75</v>
      </c>
      <c r="DR18" s="102"/>
      <c r="DS18" s="102">
        <v>400</v>
      </c>
      <c r="DT18" s="102"/>
      <c r="DU18" s="102">
        <v>300</v>
      </c>
      <c r="DV18" s="102"/>
      <c r="DW18" s="102">
        <v>250</v>
      </c>
      <c r="DX18" s="102"/>
      <c r="DY18" s="102"/>
      <c r="DZ18" s="102">
        <v>433.33333333333331</v>
      </c>
      <c r="EA18" s="102">
        <v>275</v>
      </c>
      <c r="EB18" s="102">
        <v>241.66666666666666</v>
      </c>
      <c r="EC18" s="102">
        <v>216.66666666666666</v>
      </c>
      <c r="ED18" s="102">
        <v>400</v>
      </c>
      <c r="EE18" s="102">
        <v>350</v>
      </c>
      <c r="EF18" s="102">
        <v>325</v>
      </c>
      <c r="EG18" s="102"/>
      <c r="EH18" s="102">
        <v>250</v>
      </c>
    </row>
    <row r="19" spans="1:138" x14ac:dyDescent="0.25">
      <c r="A19" s="95">
        <v>40179</v>
      </c>
      <c r="B19" s="75" t="s">
        <v>105</v>
      </c>
      <c r="C19" s="75">
        <v>365</v>
      </c>
      <c r="D19" s="75">
        <v>201</v>
      </c>
      <c r="E19" s="75">
        <v>201</v>
      </c>
      <c r="F19" s="75">
        <v>196</v>
      </c>
      <c r="G19" s="75">
        <v>411</v>
      </c>
      <c r="H19" s="75">
        <v>351</v>
      </c>
      <c r="I19" s="75">
        <v>273</v>
      </c>
      <c r="J19" s="75">
        <v>300</v>
      </c>
      <c r="K19" s="75">
        <v>253</v>
      </c>
      <c r="N19" s="151" t="s">
        <v>304</v>
      </c>
      <c r="O19" s="102">
        <v>300</v>
      </c>
      <c r="P19" s="102">
        <v>316.66666666666669</v>
      </c>
      <c r="Q19" s="102">
        <v>250</v>
      </c>
      <c r="R19" s="102">
        <v>250</v>
      </c>
      <c r="S19" s="102">
        <v>241.66666666666666</v>
      </c>
      <c r="T19" s="102"/>
      <c r="U19" s="102">
        <v>416.66666666666669</v>
      </c>
      <c r="V19" s="102">
        <v>358.33333333333331</v>
      </c>
      <c r="W19" s="102"/>
      <c r="X19" s="102">
        <v>400</v>
      </c>
      <c r="Y19" s="102">
        <v>250</v>
      </c>
      <c r="Z19" s="102">
        <v>300</v>
      </c>
      <c r="AA19" s="102">
        <v>250</v>
      </c>
      <c r="AB19" s="102">
        <v>250</v>
      </c>
      <c r="AC19" s="102">
        <v>241.66666666666666</v>
      </c>
      <c r="AD19" s="102"/>
      <c r="AE19" s="102">
        <v>408.33333333333331</v>
      </c>
      <c r="AF19" s="102">
        <v>333.33333333333331</v>
      </c>
      <c r="AG19" s="102"/>
      <c r="AH19" s="102">
        <v>325</v>
      </c>
      <c r="AI19" s="102">
        <v>200</v>
      </c>
      <c r="AJ19" s="102">
        <v>300</v>
      </c>
      <c r="AK19" s="102">
        <v>237.5</v>
      </c>
      <c r="AL19" s="102">
        <v>250</v>
      </c>
      <c r="AM19" s="102">
        <v>250</v>
      </c>
      <c r="AN19" s="102"/>
      <c r="AO19" s="102">
        <v>431.25</v>
      </c>
      <c r="AP19" s="102">
        <v>337.5</v>
      </c>
      <c r="AQ19" s="102"/>
      <c r="AR19" s="102">
        <v>325</v>
      </c>
      <c r="AS19" s="102">
        <v>150</v>
      </c>
      <c r="AT19" s="102">
        <v>300</v>
      </c>
      <c r="AU19" s="102">
        <v>237.5</v>
      </c>
      <c r="AV19" s="102">
        <v>237.5</v>
      </c>
      <c r="AW19" s="102">
        <v>237.5</v>
      </c>
      <c r="AX19" s="102"/>
      <c r="AY19" s="102">
        <v>412.5</v>
      </c>
      <c r="AZ19" s="102">
        <v>312.5</v>
      </c>
      <c r="BA19" s="102"/>
      <c r="BB19" s="102"/>
      <c r="BC19" s="102">
        <v>162.5</v>
      </c>
      <c r="BD19" s="102">
        <v>300</v>
      </c>
      <c r="BE19" s="102">
        <v>250</v>
      </c>
      <c r="BF19" s="102">
        <v>250</v>
      </c>
      <c r="BG19" s="102">
        <v>250</v>
      </c>
      <c r="BH19" s="102"/>
      <c r="BI19" s="102">
        <v>400</v>
      </c>
      <c r="BJ19" s="102">
        <v>275</v>
      </c>
      <c r="BK19" s="102"/>
      <c r="BL19" s="102"/>
      <c r="BM19" s="102">
        <v>275</v>
      </c>
      <c r="BN19" s="102"/>
      <c r="BO19" s="102">
        <v>250</v>
      </c>
      <c r="BP19" s="102">
        <v>250</v>
      </c>
      <c r="BQ19" s="102">
        <v>250</v>
      </c>
      <c r="BR19" s="102"/>
      <c r="BS19" s="102">
        <v>400</v>
      </c>
      <c r="BT19" s="102">
        <v>275</v>
      </c>
      <c r="BU19" s="102"/>
      <c r="BV19" s="102"/>
      <c r="BW19" s="102">
        <v>366.66666666666669</v>
      </c>
      <c r="BX19" s="102"/>
      <c r="BY19" s="102">
        <v>250</v>
      </c>
      <c r="BZ19" s="102">
        <v>250</v>
      </c>
      <c r="CA19" s="102">
        <v>250</v>
      </c>
      <c r="CB19" s="102"/>
      <c r="CC19" s="102">
        <v>400</v>
      </c>
      <c r="CD19" s="102">
        <v>275</v>
      </c>
      <c r="CE19" s="102"/>
      <c r="CF19" s="102">
        <v>275</v>
      </c>
      <c r="CG19" s="102">
        <v>450</v>
      </c>
      <c r="CH19" s="102"/>
      <c r="CI19" s="102">
        <v>250</v>
      </c>
      <c r="CJ19" s="102">
        <v>250</v>
      </c>
      <c r="CK19" s="102">
        <v>250</v>
      </c>
      <c r="CL19" s="102"/>
      <c r="CM19" s="102">
        <v>400</v>
      </c>
      <c r="CN19" s="102">
        <v>275</v>
      </c>
      <c r="CO19" s="102"/>
      <c r="CP19" s="102">
        <v>275</v>
      </c>
      <c r="CQ19" s="102"/>
      <c r="CR19" s="102">
        <v>350</v>
      </c>
      <c r="CS19" s="102">
        <v>250</v>
      </c>
      <c r="CT19" s="102">
        <v>250</v>
      </c>
      <c r="CU19" s="102">
        <v>237.5</v>
      </c>
      <c r="CV19" s="102"/>
      <c r="CW19" s="102">
        <v>362.5</v>
      </c>
      <c r="CX19" s="102">
        <v>275</v>
      </c>
      <c r="CY19" s="102"/>
      <c r="CZ19" s="102">
        <v>275</v>
      </c>
      <c r="DA19" s="102"/>
      <c r="DB19" s="102">
        <v>316.66666666666669</v>
      </c>
      <c r="DC19" s="102">
        <v>250</v>
      </c>
      <c r="DD19" s="102">
        <v>250</v>
      </c>
      <c r="DE19" s="102"/>
      <c r="DF19" s="102"/>
      <c r="DG19" s="102">
        <v>250</v>
      </c>
      <c r="DH19" s="102"/>
      <c r="DI19" s="102">
        <v>358.33333333333331</v>
      </c>
      <c r="DJ19" s="102">
        <v>266.66666666666669</v>
      </c>
      <c r="DK19" s="102"/>
      <c r="DL19" s="102">
        <v>258.33333333333331</v>
      </c>
      <c r="DM19" s="102"/>
      <c r="DN19" s="102">
        <v>337.5</v>
      </c>
      <c r="DO19" s="102">
        <v>250</v>
      </c>
      <c r="DP19" s="102">
        <v>250</v>
      </c>
      <c r="DQ19" s="102">
        <v>250</v>
      </c>
      <c r="DR19" s="102"/>
      <c r="DS19" s="102">
        <v>350</v>
      </c>
      <c r="DT19" s="102"/>
      <c r="DU19" s="102">
        <v>250</v>
      </c>
      <c r="DV19" s="102"/>
      <c r="DW19" s="102">
        <v>250</v>
      </c>
      <c r="DX19" s="102"/>
      <c r="DY19" s="102"/>
      <c r="DZ19" s="102">
        <v>333.33333333333331</v>
      </c>
      <c r="EA19" s="102">
        <v>250</v>
      </c>
      <c r="EB19" s="102">
        <v>250</v>
      </c>
      <c r="EC19" s="102">
        <v>250</v>
      </c>
      <c r="ED19" s="102"/>
      <c r="EE19" s="102">
        <v>350</v>
      </c>
      <c r="EF19" s="102">
        <v>250</v>
      </c>
      <c r="EG19" s="102"/>
      <c r="EH19" s="102">
        <v>250</v>
      </c>
    </row>
    <row r="20" spans="1:138" x14ac:dyDescent="0.25">
      <c r="A20" s="95">
        <v>40210</v>
      </c>
      <c r="B20" s="75">
        <v>282</v>
      </c>
      <c r="C20" s="75">
        <v>378</v>
      </c>
      <c r="D20" s="75">
        <v>204</v>
      </c>
      <c r="E20" s="75">
        <v>194</v>
      </c>
      <c r="F20" s="75">
        <v>195</v>
      </c>
      <c r="G20" s="75">
        <v>415</v>
      </c>
      <c r="H20" s="75">
        <v>353</v>
      </c>
      <c r="I20" s="75">
        <v>250</v>
      </c>
      <c r="J20" s="75">
        <v>250</v>
      </c>
      <c r="K20" s="75">
        <v>251</v>
      </c>
      <c r="N20" s="151" t="s">
        <v>305</v>
      </c>
      <c r="O20" s="102"/>
      <c r="P20" s="102">
        <v>366.66666666666669</v>
      </c>
      <c r="Q20" s="102">
        <v>203.33333333333334</v>
      </c>
      <c r="R20" s="102">
        <v>208.33333333333334</v>
      </c>
      <c r="S20" s="102">
        <v>193.33333333333334</v>
      </c>
      <c r="T20" s="102"/>
      <c r="U20" s="102">
        <v>425</v>
      </c>
      <c r="V20" s="102">
        <v>366.66666666666669</v>
      </c>
      <c r="W20" s="102"/>
      <c r="X20" s="102"/>
      <c r="Y20" s="102">
        <v>250</v>
      </c>
      <c r="Z20" s="102">
        <v>350</v>
      </c>
      <c r="AA20" s="102">
        <v>200</v>
      </c>
      <c r="AB20" s="102">
        <v>200</v>
      </c>
      <c r="AC20" s="102">
        <v>200</v>
      </c>
      <c r="AD20" s="102"/>
      <c r="AE20" s="102">
        <v>403.33333333333331</v>
      </c>
      <c r="AF20" s="102">
        <v>227.33333333333334</v>
      </c>
      <c r="AG20" s="102"/>
      <c r="AH20" s="102"/>
      <c r="AI20" s="102">
        <v>250</v>
      </c>
      <c r="AJ20" s="102">
        <v>350</v>
      </c>
      <c r="AK20" s="102">
        <v>200</v>
      </c>
      <c r="AL20" s="102">
        <v>212.5</v>
      </c>
      <c r="AM20" s="102">
        <v>200</v>
      </c>
      <c r="AN20" s="102"/>
      <c r="AO20" s="102">
        <v>402.5</v>
      </c>
      <c r="AP20" s="102">
        <v>317.5</v>
      </c>
      <c r="AQ20" s="102"/>
      <c r="AR20" s="102">
        <v>300</v>
      </c>
      <c r="AS20" s="102">
        <v>200</v>
      </c>
      <c r="AT20" s="102">
        <v>300</v>
      </c>
      <c r="AU20" s="102">
        <v>225</v>
      </c>
      <c r="AV20" s="102">
        <v>225</v>
      </c>
      <c r="AW20" s="102">
        <v>192.5</v>
      </c>
      <c r="AX20" s="102"/>
      <c r="AY20" s="102">
        <v>400</v>
      </c>
      <c r="AZ20" s="102">
        <v>307.5</v>
      </c>
      <c r="BA20" s="102"/>
      <c r="BB20" s="102">
        <v>310</v>
      </c>
      <c r="BC20" s="102">
        <v>200</v>
      </c>
      <c r="BD20" s="102">
        <v>350</v>
      </c>
      <c r="BE20" s="102">
        <v>225</v>
      </c>
      <c r="BF20" s="102">
        <v>200</v>
      </c>
      <c r="BG20" s="102">
        <v>185.5</v>
      </c>
      <c r="BH20" s="102"/>
      <c r="BI20" s="102">
        <v>402.5</v>
      </c>
      <c r="BJ20" s="102">
        <v>311.66666666666669</v>
      </c>
      <c r="BK20" s="102"/>
      <c r="BL20" s="102">
        <v>310</v>
      </c>
      <c r="BM20" s="102">
        <v>300</v>
      </c>
      <c r="BN20" s="102"/>
      <c r="BO20" s="102">
        <v>225</v>
      </c>
      <c r="BP20" s="102">
        <v>237.5</v>
      </c>
      <c r="BQ20" s="102">
        <v>180</v>
      </c>
      <c r="BR20" s="102"/>
      <c r="BS20" s="102">
        <v>400</v>
      </c>
      <c r="BT20" s="102">
        <v>310</v>
      </c>
      <c r="BU20" s="102"/>
      <c r="BV20" s="102"/>
      <c r="BW20" s="102">
        <v>350</v>
      </c>
      <c r="BX20" s="102"/>
      <c r="BY20" s="102">
        <v>225</v>
      </c>
      <c r="BZ20" s="102">
        <v>225</v>
      </c>
      <c r="CA20" s="102">
        <v>192.5</v>
      </c>
      <c r="CB20" s="102"/>
      <c r="CC20" s="102">
        <v>395</v>
      </c>
      <c r="CD20" s="102">
        <v>275</v>
      </c>
      <c r="CE20" s="102"/>
      <c r="CF20" s="102"/>
      <c r="CG20" s="102">
        <v>375</v>
      </c>
      <c r="CH20" s="102"/>
      <c r="CI20" s="102">
        <v>225</v>
      </c>
      <c r="CJ20" s="102">
        <v>225</v>
      </c>
      <c r="CK20" s="102">
        <v>185</v>
      </c>
      <c r="CL20" s="102"/>
      <c r="CM20" s="102">
        <v>375</v>
      </c>
      <c r="CN20" s="102">
        <v>275</v>
      </c>
      <c r="CO20" s="102"/>
      <c r="CP20" s="102"/>
      <c r="CQ20" s="102"/>
      <c r="CR20" s="102">
        <v>450</v>
      </c>
      <c r="CS20" s="102">
        <v>212.5</v>
      </c>
      <c r="CT20" s="102">
        <v>207.5</v>
      </c>
      <c r="CU20" s="102">
        <v>200</v>
      </c>
      <c r="CV20" s="102"/>
      <c r="CW20" s="102">
        <v>337.5</v>
      </c>
      <c r="CX20" s="102">
        <v>272.5</v>
      </c>
      <c r="CY20" s="102"/>
      <c r="CZ20" s="102"/>
      <c r="DA20" s="102"/>
      <c r="DB20" s="102">
        <v>333.33333333333331</v>
      </c>
      <c r="DC20" s="102">
        <v>200</v>
      </c>
      <c r="DD20" s="102">
        <v>225</v>
      </c>
      <c r="DE20" s="102"/>
      <c r="DF20" s="102"/>
      <c r="DG20" s="102"/>
      <c r="DH20" s="102"/>
      <c r="DI20" s="102">
        <v>350</v>
      </c>
      <c r="DJ20" s="102">
        <v>250</v>
      </c>
      <c r="DK20" s="102"/>
      <c r="DL20" s="102">
        <v>251.66666666666666</v>
      </c>
      <c r="DM20" s="102"/>
      <c r="DN20" s="102">
        <v>350</v>
      </c>
      <c r="DO20" s="102">
        <v>181.25</v>
      </c>
      <c r="DP20" s="102">
        <v>200</v>
      </c>
      <c r="DQ20" s="102">
        <v>200</v>
      </c>
      <c r="DR20" s="102"/>
      <c r="DS20" s="102">
        <v>350</v>
      </c>
      <c r="DT20" s="102"/>
      <c r="DU20" s="102">
        <v>250</v>
      </c>
      <c r="DV20" s="102"/>
      <c r="DW20" s="102"/>
      <c r="DX20" s="102"/>
      <c r="DY20" s="102"/>
      <c r="DZ20" s="102">
        <v>350</v>
      </c>
      <c r="EA20" s="102">
        <v>200</v>
      </c>
      <c r="EB20" s="102">
        <v>208.33333333333334</v>
      </c>
      <c r="EC20" s="102">
        <v>200</v>
      </c>
      <c r="ED20" s="102"/>
      <c r="EE20" s="102">
        <v>358.33333333333331</v>
      </c>
      <c r="EF20" s="102">
        <v>258.33333333333331</v>
      </c>
      <c r="EG20" s="102"/>
      <c r="EH20" s="102"/>
    </row>
    <row r="21" spans="1:138" x14ac:dyDescent="0.25">
      <c r="A21" s="95">
        <v>40238</v>
      </c>
      <c r="B21" s="75">
        <v>307</v>
      </c>
      <c r="C21" s="75">
        <v>375</v>
      </c>
      <c r="D21" s="75">
        <v>201</v>
      </c>
      <c r="E21" s="75">
        <v>196</v>
      </c>
      <c r="F21" s="75">
        <v>194</v>
      </c>
      <c r="G21" s="75">
        <v>408</v>
      </c>
      <c r="H21" s="75">
        <v>349</v>
      </c>
      <c r="I21" s="75">
        <v>266</v>
      </c>
      <c r="J21" s="75">
        <v>250</v>
      </c>
      <c r="K21" s="75">
        <v>260</v>
      </c>
      <c r="N21" s="151" t="s">
        <v>306</v>
      </c>
      <c r="O21" s="102">
        <v>250</v>
      </c>
      <c r="P21" s="102">
        <v>333.33333333333331</v>
      </c>
      <c r="Q21" s="102">
        <v>128.33333333333334</v>
      </c>
      <c r="R21" s="102">
        <v>136.66666666666666</v>
      </c>
      <c r="S21" s="102">
        <v>145</v>
      </c>
      <c r="T21" s="102"/>
      <c r="U21" s="102">
        <v>363.33333333333331</v>
      </c>
      <c r="V21" s="102">
        <v>343.33333333333331</v>
      </c>
      <c r="W21" s="102"/>
      <c r="X21" s="102">
        <v>331.66666666666669</v>
      </c>
      <c r="Y21" s="102">
        <v>225</v>
      </c>
      <c r="Z21" s="102">
        <v>291.66666666666669</v>
      </c>
      <c r="AA21" s="102">
        <v>156.66666666666666</v>
      </c>
      <c r="AB21" s="102">
        <v>143.33333333333334</v>
      </c>
      <c r="AC21" s="102">
        <v>176.66666666666666</v>
      </c>
      <c r="AD21" s="102">
        <v>533.33333333333337</v>
      </c>
      <c r="AE21" s="102">
        <v>393.33333333333331</v>
      </c>
      <c r="AF21" s="102">
        <v>313.33333333333331</v>
      </c>
      <c r="AG21" s="102">
        <v>280</v>
      </c>
      <c r="AH21" s="102">
        <v>350</v>
      </c>
      <c r="AI21" s="102">
        <v>231.25</v>
      </c>
      <c r="AJ21" s="102">
        <v>281.25</v>
      </c>
      <c r="AK21" s="102">
        <v>165</v>
      </c>
      <c r="AL21" s="102">
        <v>167.5</v>
      </c>
      <c r="AM21" s="102">
        <v>175</v>
      </c>
      <c r="AN21" s="102">
        <v>475</v>
      </c>
      <c r="AO21" s="102">
        <v>400</v>
      </c>
      <c r="AP21" s="102">
        <v>300</v>
      </c>
      <c r="AQ21" s="102">
        <v>280</v>
      </c>
      <c r="AR21" s="102"/>
      <c r="AS21" s="102">
        <v>187.5</v>
      </c>
      <c r="AT21" s="102">
        <v>275</v>
      </c>
      <c r="AU21" s="102">
        <v>177.5</v>
      </c>
      <c r="AV21" s="102">
        <v>177.5</v>
      </c>
      <c r="AW21" s="102">
        <v>170</v>
      </c>
      <c r="AX21" s="102">
        <v>500</v>
      </c>
      <c r="AY21" s="102">
        <v>395</v>
      </c>
      <c r="AZ21" s="102">
        <v>290</v>
      </c>
      <c r="BA21" s="102"/>
      <c r="BB21" s="102"/>
      <c r="BC21" s="102">
        <v>175</v>
      </c>
      <c r="BD21" s="102">
        <v>262.5</v>
      </c>
      <c r="BE21" s="102">
        <v>180</v>
      </c>
      <c r="BF21" s="102">
        <v>183.75</v>
      </c>
      <c r="BG21" s="102">
        <v>178.75</v>
      </c>
      <c r="BH21" s="102">
        <v>500</v>
      </c>
      <c r="BI21" s="102">
        <v>380</v>
      </c>
      <c r="BJ21" s="102">
        <v>270</v>
      </c>
      <c r="BK21" s="102"/>
      <c r="BL21" s="102"/>
      <c r="BM21" s="102">
        <v>187.5</v>
      </c>
      <c r="BN21" s="102">
        <v>250</v>
      </c>
      <c r="BO21" s="102">
        <v>177.5</v>
      </c>
      <c r="BP21" s="102">
        <v>185</v>
      </c>
      <c r="BQ21" s="102">
        <v>175</v>
      </c>
      <c r="BR21" s="102"/>
      <c r="BS21" s="102">
        <v>372.5</v>
      </c>
      <c r="BT21" s="102">
        <v>270</v>
      </c>
      <c r="BU21" s="102"/>
      <c r="BV21" s="102"/>
      <c r="BW21" s="102">
        <v>241.66666666666666</v>
      </c>
      <c r="BX21" s="102"/>
      <c r="BY21" s="102">
        <v>180</v>
      </c>
      <c r="BZ21" s="102">
        <v>191.66666666666666</v>
      </c>
      <c r="CA21" s="102">
        <v>181.66666666666666</v>
      </c>
      <c r="CB21" s="102">
        <v>500</v>
      </c>
      <c r="CC21" s="102">
        <v>376.66666666666669</v>
      </c>
      <c r="CD21" s="102">
        <v>275</v>
      </c>
      <c r="CE21" s="102">
        <v>255</v>
      </c>
      <c r="CF21" s="102"/>
      <c r="CG21" s="102">
        <v>350</v>
      </c>
      <c r="CH21" s="102"/>
      <c r="CI21" s="102">
        <v>180</v>
      </c>
      <c r="CJ21" s="102">
        <v>200</v>
      </c>
      <c r="CK21" s="102">
        <v>170</v>
      </c>
      <c r="CL21" s="102"/>
      <c r="CM21" s="102">
        <v>350</v>
      </c>
      <c r="CN21" s="102">
        <v>260</v>
      </c>
      <c r="CO21" s="102"/>
      <c r="CP21" s="102">
        <v>245</v>
      </c>
      <c r="CQ21" s="102"/>
      <c r="CR21" s="102">
        <v>325</v>
      </c>
      <c r="CS21" s="102">
        <v>175</v>
      </c>
      <c r="CT21" s="102">
        <v>175</v>
      </c>
      <c r="CU21" s="102">
        <v>170</v>
      </c>
      <c r="CV21" s="102"/>
      <c r="CW21" s="102">
        <v>340</v>
      </c>
      <c r="CX21" s="102">
        <v>250</v>
      </c>
      <c r="CY21" s="102"/>
      <c r="CZ21" s="102"/>
      <c r="DA21" s="102"/>
      <c r="DB21" s="102">
        <v>316.66666666666669</v>
      </c>
      <c r="DC21" s="102">
        <v>158.33333333333334</v>
      </c>
      <c r="DD21" s="102">
        <v>178.33333333333334</v>
      </c>
      <c r="DE21" s="102"/>
      <c r="DF21" s="102"/>
      <c r="DG21" s="102">
        <v>156.66666666666666</v>
      </c>
      <c r="DH21" s="102"/>
      <c r="DI21" s="102">
        <v>340</v>
      </c>
      <c r="DJ21" s="102">
        <v>250</v>
      </c>
      <c r="DK21" s="102"/>
      <c r="DL21" s="102">
        <v>245</v>
      </c>
      <c r="DM21" s="102"/>
      <c r="DN21" s="102">
        <v>300</v>
      </c>
      <c r="DO21" s="102">
        <v>132.5</v>
      </c>
      <c r="DP21" s="102">
        <v>186.25</v>
      </c>
      <c r="DQ21" s="102">
        <v>132.5</v>
      </c>
      <c r="DR21" s="102"/>
      <c r="DS21" s="102">
        <v>337.5</v>
      </c>
      <c r="DT21" s="102"/>
      <c r="DU21" s="102">
        <v>242.5</v>
      </c>
      <c r="DV21" s="102"/>
      <c r="DW21" s="102">
        <v>230</v>
      </c>
      <c r="DX21" s="102"/>
      <c r="DY21" s="102"/>
      <c r="DZ21" s="102">
        <v>333.33333333333331</v>
      </c>
      <c r="EA21" s="102">
        <v>140</v>
      </c>
      <c r="EB21" s="102">
        <v>158.33333333333334</v>
      </c>
      <c r="EC21" s="102">
        <v>141.66666666666666</v>
      </c>
      <c r="ED21" s="102"/>
      <c r="EE21" s="102">
        <v>341.66666666666669</v>
      </c>
      <c r="EF21" s="102">
        <v>250</v>
      </c>
      <c r="EG21" s="102"/>
      <c r="EH21" s="102">
        <v>220</v>
      </c>
    </row>
    <row r="22" spans="1:138" x14ac:dyDescent="0.25">
      <c r="A22" s="95">
        <v>40269</v>
      </c>
      <c r="B22" s="75">
        <v>311</v>
      </c>
      <c r="C22" s="75">
        <v>383</v>
      </c>
      <c r="D22" s="75">
        <v>199</v>
      </c>
      <c r="E22" s="75">
        <v>194</v>
      </c>
      <c r="F22" s="75">
        <v>187</v>
      </c>
      <c r="G22" s="75">
        <v>408</v>
      </c>
      <c r="H22" s="75">
        <v>350</v>
      </c>
      <c r="I22" s="75">
        <v>276</v>
      </c>
      <c r="J22" s="75">
        <v>250</v>
      </c>
      <c r="K22" s="75">
        <v>263</v>
      </c>
      <c r="N22" s="151" t="s">
        <v>307</v>
      </c>
      <c r="O22" s="102">
        <v>250</v>
      </c>
      <c r="P22" s="102">
        <v>333.33333333333331</v>
      </c>
      <c r="Q22" s="102">
        <v>150</v>
      </c>
      <c r="R22" s="102">
        <v>150</v>
      </c>
      <c r="S22" s="102">
        <v>150</v>
      </c>
      <c r="T22" s="102"/>
      <c r="U22" s="102">
        <v>441.66666666666669</v>
      </c>
      <c r="V22" s="102">
        <v>383.33333333333331</v>
      </c>
      <c r="W22" s="102"/>
      <c r="X22" s="102">
        <v>375</v>
      </c>
      <c r="Y22" s="102">
        <v>266.66666666666669</v>
      </c>
      <c r="Z22" s="102">
        <v>316.66666666666669</v>
      </c>
      <c r="AA22" s="102">
        <v>200</v>
      </c>
      <c r="AB22" s="102">
        <v>175</v>
      </c>
      <c r="AC22" s="102">
        <v>166.66666666666666</v>
      </c>
      <c r="AD22" s="102"/>
      <c r="AE22" s="102">
        <v>425</v>
      </c>
      <c r="AF22" s="102">
        <v>341.66666666666669</v>
      </c>
      <c r="AG22" s="102"/>
      <c r="AH22" s="102">
        <v>325</v>
      </c>
      <c r="AI22" s="102">
        <v>250</v>
      </c>
      <c r="AJ22" s="102">
        <v>312.5</v>
      </c>
      <c r="AK22" s="102">
        <v>190</v>
      </c>
      <c r="AL22" s="102">
        <v>187.5</v>
      </c>
      <c r="AM22" s="102">
        <v>165</v>
      </c>
      <c r="AN22" s="102"/>
      <c r="AO22" s="102">
        <v>425</v>
      </c>
      <c r="AP22" s="102">
        <v>325</v>
      </c>
      <c r="AQ22" s="102"/>
      <c r="AR22" s="102">
        <v>325</v>
      </c>
      <c r="AS22" s="102">
        <v>250</v>
      </c>
      <c r="AT22" s="102">
        <v>300</v>
      </c>
      <c r="AU22" s="102">
        <v>225</v>
      </c>
      <c r="AV22" s="102">
        <v>225</v>
      </c>
      <c r="AW22" s="102">
        <v>200</v>
      </c>
      <c r="AX22" s="102"/>
      <c r="AY22" s="102">
        <v>425</v>
      </c>
      <c r="AZ22" s="102">
        <v>325</v>
      </c>
      <c r="BA22" s="102"/>
      <c r="BB22" s="102">
        <v>325</v>
      </c>
      <c r="BC22" s="102">
        <v>262.5</v>
      </c>
      <c r="BD22" s="102">
        <v>300</v>
      </c>
      <c r="BE22" s="102">
        <v>225</v>
      </c>
      <c r="BF22" s="102">
        <v>212.5</v>
      </c>
      <c r="BG22" s="102">
        <v>200</v>
      </c>
      <c r="BH22" s="102"/>
      <c r="BI22" s="102">
        <v>418.75</v>
      </c>
      <c r="BJ22" s="102">
        <v>281.25</v>
      </c>
      <c r="BK22" s="102"/>
      <c r="BL22" s="102">
        <v>306.25</v>
      </c>
      <c r="BM22" s="102">
        <v>337.5</v>
      </c>
      <c r="BN22" s="102"/>
      <c r="BO22" s="102">
        <v>225</v>
      </c>
      <c r="BP22" s="102">
        <v>200</v>
      </c>
      <c r="BQ22" s="102">
        <v>200</v>
      </c>
      <c r="BR22" s="102"/>
      <c r="BS22" s="102">
        <v>400</v>
      </c>
      <c r="BT22" s="102">
        <v>300</v>
      </c>
      <c r="BU22" s="102"/>
      <c r="BV22" s="102">
        <v>300</v>
      </c>
      <c r="BW22" s="102">
        <v>383.33333333333331</v>
      </c>
      <c r="BX22" s="102"/>
      <c r="BY22" s="102">
        <v>225</v>
      </c>
      <c r="BZ22" s="102">
        <v>216.66666666666666</v>
      </c>
      <c r="CA22" s="102">
        <v>216.66666666666666</v>
      </c>
      <c r="CB22" s="102"/>
      <c r="CC22" s="102">
        <v>366.66666666666669</v>
      </c>
      <c r="CD22" s="102">
        <v>286.66666666666669</v>
      </c>
      <c r="CE22" s="102"/>
      <c r="CF22" s="102">
        <v>310</v>
      </c>
      <c r="CG22" s="102">
        <v>450</v>
      </c>
      <c r="CH22" s="102"/>
      <c r="CI22" s="102">
        <v>225</v>
      </c>
      <c r="CJ22" s="102">
        <v>225</v>
      </c>
      <c r="CK22" s="102">
        <v>225</v>
      </c>
      <c r="CL22" s="102"/>
      <c r="CM22" s="102">
        <v>400</v>
      </c>
      <c r="CN22" s="102">
        <v>300</v>
      </c>
      <c r="CO22" s="102"/>
      <c r="CP22" s="102">
        <v>300</v>
      </c>
      <c r="CQ22" s="102">
        <v>400</v>
      </c>
      <c r="CR22" s="102">
        <v>425</v>
      </c>
      <c r="CS22" s="102">
        <v>200</v>
      </c>
      <c r="CT22" s="102">
        <v>200</v>
      </c>
      <c r="CU22" s="102">
        <v>200</v>
      </c>
      <c r="CV22" s="102"/>
      <c r="CW22" s="102">
        <v>400</v>
      </c>
      <c r="CX22" s="102">
        <v>300</v>
      </c>
      <c r="CY22" s="102"/>
      <c r="CZ22" s="102">
        <v>275</v>
      </c>
      <c r="DA22" s="102"/>
      <c r="DB22" s="102">
        <v>333.33333333333331</v>
      </c>
      <c r="DC22" s="102">
        <v>150</v>
      </c>
      <c r="DD22" s="102">
        <v>158.33333333333334</v>
      </c>
      <c r="DE22" s="102"/>
      <c r="DF22" s="102"/>
      <c r="DG22" s="102">
        <v>158.33333333333334</v>
      </c>
      <c r="DH22" s="102"/>
      <c r="DI22" s="102">
        <v>350</v>
      </c>
      <c r="DJ22" s="102">
        <v>258.33333333333331</v>
      </c>
      <c r="DK22" s="102"/>
      <c r="DL22" s="102">
        <v>266.66666666666669</v>
      </c>
      <c r="DM22" s="102"/>
      <c r="DN22" s="102">
        <v>350</v>
      </c>
      <c r="DO22" s="102">
        <v>131.25</v>
      </c>
      <c r="DP22" s="102">
        <v>137.5</v>
      </c>
      <c r="DQ22" s="102">
        <v>131.25</v>
      </c>
      <c r="DR22" s="102"/>
      <c r="DS22" s="102">
        <v>350</v>
      </c>
      <c r="DT22" s="102"/>
      <c r="DU22" s="102">
        <v>250</v>
      </c>
      <c r="DV22" s="102"/>
      <c r="DW22" s="102"/>
      <c r="DX22" s="102"/>
      <c r="DY22" s="102"/>
      <c r="DZ22" s="102">
        <v>350</v>
      </c>
      <c r="EA22" s="102">
        <v>121.66666666666667</v>
      </c>
      <c r="EB22" s="102">
        <v>121.66666666666667</v>
      </c>
      <c r="EC22" s="102">
        <v>116.66666666666667</v>
      </c>
      <c r="ED22" s="102"/>
      <c r="EE22" s="102">
        <v>350</v>
      </c>
      <c r="EF22" s="102">
        <v>266.66666666666669</v>
      </c>
      <c r="EG22" s="102">
        <v>250</v>
      </c>
      <c r="EH22" s="102">
        <v>275</v>
      </c>
    </row>
    <row r="23" spans="1:138" x14ac:dyDescent="0.25">
      <c r="A23" s="95">
        <v>40299</v>
      </c>
      <c r="B23" s="75">
        <v>331</v>
      </c>
      <c r="C23" s="75">
        <v>400</v>
      </c>
      <c r="D23" s="75">
        <v>202</v>
      </c>
      <c r="E23" s="75">
        <v>201</v>
      </c>
      <c r="F23" s="75">
        <v>191</v>
      </c>
      <c r="G23" s="75">
        <v>410</v>
      </c>
      <c r="H23" s="75">
        <v>349</v>
      </c>
      <c r="I23" s="75">
        <v>275</v>
      </c>
      <c r="J23" s="75">
        <v>250</v>
      </c>
      <c r="K23" s="75">
        <v>256</v>
      </c>
      <c r="N23" s="151" t="s">
        <v>308</v>
      </c>
      <c r="O23" s="102"/>
      <c r="P23" s="102">
        <v>450</v>
      </c>
      <c r="Q23" s="102">
        <v>191.66666666666666</v>
      </c>
      <c r="R23" s="102">
        <v>183.33333333333334</v>
      </c>
      <c r="S23" s="102">
        <v>175</v>
      </c>
      <c r="T23" s="102">
        <v>475</v>
      </c>
      <c r="U23" s="102">
        <v>426.66666666666669</v>
      </c>
      <c r="V23" s="102">
        <v>350</v>
      </c>
      <c r="W23" s="102"/>
      <c r="X23" s="102"/>
      <c r="Y23" s="102"/>
      <c r="Z23" s="102">
        <v>450</v>
      </c>
      <c r="AA23" s="102">
        <v>183.33333333333334</v>
      </c>
      <c r="AB23" s="102">
        <v>175</v>
      </c>
      <c r="AC23" s="102">
        <v>175</v>
      </c>
      <c r="AD23" s="102"/>
      <c r="AE23" s="102">
        <v>415</v>
      </c>
      <c r="AF23" s="102">
        <v>325</v>
      </c>
      <c r="AG23" s="102"/>
      <c r="AH23" s="102"/>
      <c r="AI23" s="102">
        <v>308.33333333333331</v>
      </c>
      <c r="AJ23" s="102">
        <v>375</v>
      </c>
      <c r="AK23" s="102">
        <v>187.5</v>
      </c>
      <c r="AL23" s="102">
        <v>175</v>
      </c>
      <c r="AM23" s="102">
        <v>180</v>
      </c>
      <c r="AN23" s="102"/>
      <c r="AO23" s="102">
        <v>415</v>
      </c>
      <c r="AP23" s="102">
        <v>325</v>
      </c>
      <c r="AQ23" s="102"/>
      <c r="AR23" s="102"/>
      <c r="AS23" s="102">
        <v>300</v>
      </c>
      <c r="AT23" s="102">
        <v>400</v>
      </c>
      <c r="AU23" s="102">
        <v>255</v>
      </c>
      <c r="AV23" s="102">
        <v>225</v>
      </c>
      <c r="AW23" s="102">
        <v>225</v>
      </c>
      <c r="AX23" s="102">
        <v>475</v>
      </c>
      <c r="AY23" s="102">
        <v>420</v>
      </c>
      <c r="AZ23" s="102">
        <v>325</v>
      </c>
      <c r="BA23" s="102"/>
      <c r="BB23" s="102">
        <v>325</v>
      </c>
      <c r="BC23" s="102">
        <v>300</v>
      </c>
      <c r="BD23" s="102">
        <v>400</v>
      </c>
      <c r="BE23" s="102">
        <v>225</v>
      </c>
      <c r="BF23" s="102">
        <v>225</v>
      </c>
      <c r="BG23" s="102">
        <v>225</v>
      </c>
      <c r="BH23" s="102">
        <v>450</v>
      </c>
      <c r="BI23" s="102">
        <v>405</v>
      </c>
      <c r="BJ23" s="102">
        <v>293.33333333333331</v>
      </c>
      <c r="BK23" s="102"/>
      <c r="BL23" s="102">
        <v>300</v>
      </c>
      <c r="BM23" s="102">
        <v>325</v>
      </c>
      <c r="BN23" s="102"/>
      <c r="BO23" s="102">
        <v>225</v>
      </c>
      <c r="BP23" s="102">
        <v>212.5</v>
      </c>
      <c r="BQ23" s="102">
        <v>212.5</v>
      </c>
      <c r="BR23" s="102"/>
      <c r="BS23" s="102">
        <v>395</v>
      </c>
      <c r="BT23" s="102">
        <v>285</v>
      </c>
      <c r="BU23" s="102"/>
      <c r="BV23" s="102"/>
      <c r="BW23" s="102">
        <v>383.33333333333331</v>
      </c>
      <c r="BX23" s="102"/>
      <c r="BY23" s="102">
        <v>225</v>
      </c>
      <c r="BZ23" s="102">
        <v>206.66666666666666</v>
      </c>
      <c r="CA23" s="102">
        <v>216.66666666666666</v>
      </c>
      <c r="CB23" s="102"/>
      <c r="CC23" s="102">
        <v>386.66666666666669</v>
      </c>
      <c r="CD23" s="102">
        <v>275</v>
      </c>
      <c r="CE23" s="102"/>
      <c r="CF23" s="102"/>
      <c r="CG23" s="102">
        <v>400</v>
      </c>
      <c r="CH23" s="102"/>
      <c r="CI23" s="102">
        <v>225</v>
      </c>
      <c r="CJ23" s="102">
        <v>225</v>
      </c>
      <c r="CK23" s="102">
        <v>225</v>
      </c>
      <c r="CL23" s="102"/>
      <c r="CM23" s="102">
        <v>375</v>
      </c>
      <c r="CN23" s="102">
        <v>275</v>
      </c>
      <c r="CO23" s="102"/>
      <c r="CP23" s="102"/>
      <c r="CQ23" s="102"/>
      <c r="CR23" s="102">
        <v>600</v>
      </c>
      <c r="CS23" s="102">
        <v>200</v>
      </c>
      <c r="CT23" s="102">
        <v>200</v>
      </c>
      <c r="CU23" s="102">
        <v>200</v>
      </c>
      <c r="CV23" s="102"/>
      <c r="CW23" s="102">
        <v>360</v>
      </c>
      <c r="CX23" s="102">
        <v>275</v>
      </c>
      <c r="CY23" s="102"/>
      <c r="CZ23" s="102"/>
      <c r="DA23" s="102"/>
      <c r="DB23" s="102">
        <v>400</v>
      </c>
      <c r="DC23" s="102">
        <v>175</v>
      </c>
      <c r="DD23" s="102">
        <v>175</v>
      </c>
      <c r="DE23" s="102"/>
      <c r="DF23" s="102"/>
      <c r="DG23" s="102">
        <v>175</v>
      </c>
      <c r="DH23" s="102"/>
      <c r="DI23" s="102">
        <v>356.66666666666669</v>
      </c>
      <c r="DJ23" s="102">
        <v>250</v>
      </c>
      <c r="DK23" s="102"/>
      <c r="DL23" s="102">
        <v>275</v>
      </c>
      <c r="DM23" s="102"/>
      <c r="DN23" s="102">
        <v>400</v>
      </c>
      <c r="DO23" s="102">
        <v>175</v>
      </c>
      <c r="DP23" s="102">
        <v>168.75</v>
      </c>
      <c r="DQ23" s="102">
        <v>156.25</v>
      </c>
      <c r="DR23" s="102"/>
      <c r="DS23" s="102">
        <v>350</v>
      </c>
      <c r="DT23" s="102"/>
      <c r="DU23" s="102">
        <v>250</v>
      </c>
      <c r="DV23" s="102"/>
      <c r="DW23" s="102"/>
      <c r="DX23" s="102"/>
      <c r="DY23" s="102"/>
      <c r="DZ23" s="102">
        <v>400</v>
      </c>
      <c r="EA23" s="102">
        <v>175</v>
      </c>
      <c r="EB23" s="102">
        <v>153.33333333333334</v>
      </c>
      <c r="EC23" s="102">
        <v>150</v>
      </c>
      <c r="ED23" s="102"/>
      <c r="EE23" s="102">
        <v>350</v>
      </c>
      <c r="EF23" s="102">
        <v>266.66666666666669</v>
      </c>
      <c r="EG23" s="102"/>
      <c r="EH23" s="102"/>
    </row>
    <row r="24" spans="1:138" x14ac:dyDescent="0.25">
      <c r="A24" s="95">
        <v>40330</v>
      </c>
      <c r="B24" s="75">
        <v>410</v>
      </c>
      <c r="C24" s="75" t="s">
        <v>105</v>
      </c>
      <c r="D24" s="75">
        <v>201</v>
      </c>
      <c r="E24" s="75">
        <v>208</v>
      </c>
      <c r="F24" s="75">
        <v>193</v>
      </c>
      <c r="G24" s="75">
        <v>410</v>
      </c>
      <c r="H24" s="75">
        <v>350</v>
      </c>
      <c r="I24" s="75">
        <v>278</v>
      </c>
      <c r="J24" s="75">
        <v>256</v>
      </c>
      <c r="K24" s="75">
        <v>265</v>
      </c>
      <c r="N24" s="151" t="s">
        <v>310</v>
      </c>
      <c r="O24" s="102"/>
      <c r="P24" s="102">
        <v>350</v>
      </c>
      <c r="Q24" s="102">
        <v>208.33333333333334</v>
      </c>
      <c r="R24" s="102">
        <v>216.66666666666666</v>
      </c>
      <c r="S24" s="102">
        <v>225</v>
      </c>
      <c r="T24" s="102"/>
      <c r="U24" s="102">
        <v>425</v>
      </c>
      <c r="V24" s="102">
        <v>350</v>
      </c>
      <c r="W24" s="102"/>
      <c r="X24" s="102"/>
      <c r="Y24" s="102">
        <v>283.33333333333331</v>
      </c>
      <c r="Z24" s="102">
        <v>300</v>
      </c>
      <c r="AA24" s="102">
        <v>216.66666666666666</v>
      </c>
      <c r="AB24" s="102">
        <v>225</v>
      </c>
      <c r="AC24" s="102">
        <v>225</v>
      </c>
      <c r="AD24" s="102"/>
      <c r="AE24" s="102">
        <v>416.66666666666669</v>
      </c>
      <c r="AF24" s="102">
        <v>333.33333333333331</v>
      </c>
      <c r="AG24" s="102"/>
      <c r="AH24" s="102"/>
      <c r="AI24" s="102">
        <v>250</v>
      </c>
      <c r="AJ24" s="102">
        <v>312.5</v>
      </c>
      <c r="AK24" s="102">
        <v>212.5</v>
      </c>
      <c r="AL24" s="102">
        <v>225</v>
      </c>
      <c r="AM24" s="102">
        <v>225</v>
      </c>
      <c r="AN24" s="102"/>
      <c r="AO24" s="102">
        <v>412.5</v>
      </c>
      <c r="AP24" s="102">
        <v>325</v>
      </c>
      <c r="AQ24" s="102"/>
      <c r="AR24" s="102"/>
      <c r="AS24" s="102">
        <v>250</v>
      </c>
      <c r="AT24" s="102">
        <v>325</v>
      </c>
      <c r="AU24" s="102">
        <v>225</v>
      </c>
      <c r="AV24" s="102">
        <v>250</v>
      </c>
      <c r="AW24" s="102">
        <v>237.5</v>
      </c>
      <c r="AX24" s="102"/>
      <c r="AY24" s="102">
        <v>425</v>
      </c>
      <c r="AZ24" s="102">
        <v>325</v>
      </c>
      <c r="BA24" s="102"/>
      <c r="BB24" s="102"/>
      <c r="BC24" s="102">
        <v>250</v>
      </c>
      <c r="BD24" s="102">
        <v>375</v>
      </c>
      <c r="BE24" s="102">
        <v>225</v>
      </c>
      <c r="BF24" s="102">
        <v>250</v>
      </c>
      <c r="BG24" s="102">
        <v>225</v>
      </c>
      <c r="BH24" s="102"/>
      <c r="BI24" s="102">
        <v>406.25</v>
      </c>
      <c r="BJ24" s="102">
        <v>312.5</v>
      </c>
      <c r="BK24" s="102"/>
      <c r="BL24" s="102"/>
      <c r="BM24" s="102">
        <v>275</v>
      </c>
      <c r="BN24" s="102"/>
      <c r="BO24" s="102">
        <v>225</v>
      </c>
      <c r="BP24" s="102">
        <v>250</v>
      </c>
      <c r="BQ24" s="102">
        <v>225</v>
      </c>
      <c r="BR24" s="102">
        <v>450</v>
      </c>
      <c r="BS24" s="102">
        <v>400</v>
      </c>
      <c r="BT24" s="102">
        <v>287.5</v>
      </c>
      <c r="BU24" s="102"/>
      <c r="BV24" s="102"/>
      <c r="BW24" s="102">
        <v>333.33333333333331</v>
      </c>
      <c r="BX24" s="102"/>
      <c r="BY24" s="102">
        <v>225</v>
      </c>
      <c r="BZ24" s="102">
        <v>250</v>
      </c>
      <c r="CA24" s="102">
        <v>233.33333333333334</v>
      </c>
      <c r="CB24" s="102">
        <v>450</v>
      </c>
      <c r="CC24" s="102">
        <v>400</v>
      </c>
      <c r="CD24" s="102">
        <v>300</v>
      </c>
      <c r="CE24" s="102"/>
      <c r="CF24" s="102"/>
      <c r="CG24" s="102">
        <v>400</v>
      </c>
      <c r="CH24" s="102"/>
      <c r="CI24" s="102">
        <v>225</v>
      </c>
      <c r="CJ24" s="102">
        <v>250</v>
      </c>
      <c r="CK24" s="102">
        <v>237.5</v>
      </c>
      <c r="CL24" s="102">
        <v>450</v>
      </c>
      <c r="CM24" s="102">
        <v>400</v>
      </c>
      <c r="CN24" s="102">
        <v>300</v>
      </c>
      <c r="CO24" s="102"/>
      <c r="CP24" s="102">
        <v>250</v>
      </c>
      <c r="CQ24" s="102"/>
      <c r="CR24" s="102">
        <v>375</v>
      </c>
      <c r="CS24" s="102">
        <v>237.5</v>
      </c>
      <c r="CT24" s="102">
        <v>237.5</v>
      </c>
      <c r="CU24" s="102">
        <v>250</v>
      </c>
      <c r="CV24" s="102">
        <v>450</v>
      </c>
      <c r="CW24" s="102">
        <v>362.5</v>
      </c>
      <c r="CX24" s="102">
        <v>275</v>
      </c>
      <c r="CY24" s="102"/>
      <c r="CZ24" s="102">
        <v>275</v>
      </c>
      <c r="DA24" s="102"/>
      <c r="DB24" s="102">
        <v>316.66666666666669</v>
      </c>
      <c r="DC24" s="102">
        <v>233.33333333333334</v>
      </c>
      <c r="DD24" s="102">
        <v>250</v>
      </c>
      <c r="DE24" s="102"/>
      <c r="DF24" s="102"/>
      <c r="DG24" s="102">
        <v>225</v>
      </c>
      <c r="DH24" s="102">
        <v>450</v>
      </c>
      <c r="DI24" s="102">
        <v>375</v>
      </c>
      <c r="DJ24" s="102">
        <v>275</v>
      </c>
      <c r="DK24" s="102"/>
      <c r="DL24" s="102">
        <v>275</v>
      </c>
      <c r="DM24" s="102"/>
      <c r="DN24" s="102">
        <v>312.5</v>
      </c>
      <c r="DO24" s="102">
        <v>200</v>
      </c>
      <c r="DP24" s="102">
        <v>250</v>
      </c>
      <c r="DQ24" s="102">
        <v>200</v>
      </c>
      <c r="DR24" s="102">
        <v>450</v>
      </c>
      <c r="DS24" s="102">
        <v>356.25</v>
      </c>
      <c r="DT24" s="102"/>
      <c r="DU24" s="102">
        <v>256.25</v>
      </c>
      <c r="DV24" s="102"/>
      <c r="DW24" s="102">
        <v>275</v>
      </c>
      <c r="DX24" s="102"/>
      <c r="DY24" s="102"/>
      <c r="DZ24" s="102">
        <v>350</v>
      </c>
      <c r="EA24" s="102">
        <v>200</v>
      </c>
      <c r="EB24" s="102">
        <v>250</v>
      </c>
      <c r="EC24" s="102">
        <v>200</v>
      </c>
      <c r="ED24" s="102">
        <v>425</v>
      </c>
      <c r="EE24" s="102">
        <v>366.66666666666669</v>
      </c>
      <c r="EF24" s="102">
        <v>266.66666666666669</v>
      </c>
      <c r="EG24" s="102"/>
      <c r="EH24" s="102"/>
    </row>
    <row r="25" spans="1:138" ht="15.75" thickBot="1" x14ac:dyDescent="0.3">
      <c r="A25" s="95">
        <v>40360</v>
      </c>
      <c r="B25" s="75">
        <v>519</v>
      </c>
      <c r="C25" s="75">
        <v>581</v>
      </c>
      <c r="D25" s="75">
        <v>206</v>
      </c>
      <c r="E25" s="75">
        <v>215</v>
      </c>
      <c r="F25" s="75">
        <v>195</v>
      </c>
      <c r="G25" s="75">
        <v>408</v>
      </c>
      <c r="H25" s="75">
        <v>352</v>
      </c>
      <c r="I25" s="75">
        <v>285</v>
      </c>
      <c r="J25" s="75">
        <v>263</v>
      </c>
      <c r="K25" s="75">
        <v>274</v>
      </c>
      <c r="N25" s="160" t="s">
        <v>311</v>
      </c>
      <c r="O25" s="161">
        <v>241.42857142857142</v>
      </c>
      <c r="P25" s="161">
        <v>336.36363636363637</v>
      </c>
      <c r="Q25" s="161">
        <v>207.42424242424241</v>
      </c>
      <c r="R25" s="161">
        <v>203.4848484848485</v>
      </c>
      <c r="S25" s="161">
        <v>194.54545454545453</v>
      </c>
      <c r="T25" s="161">
        <v>455</v>
      </c>
      <c r="U25" s="161">
        <v>414.69696969696975</v>
      </c>
      <c r="V25" s="161">
        <v>356.969696969697</v>
      </c>
      <c r="W25" s="161"/>
      <c r="X25" s="161">
        <v>340.2380952380953</v>
      </c>
      <c r="Y25" s="161">
        <v>246.25</v>
      </c>
      <c r="Z25" s="161">
        <v>319.69696969696963</v>
      </c>
      <c r="AA25" s="161">
        <v>215.75757575757572</v>
      </c>
      <c r="AB25" s="161">
        <v>206.21212121212119</v>
      </c>
      <c r="AC25" s="161">
        <v>199.39393939393941</v>
      </c>
      <c r="AD25" s="161">
        <v>477.77777777777783</v>
      </c>
      <c r="AE25" s="161">
        <v>406.969696969697</v>
      </c>
      <c r="AF25" s="161">
        <v>315.81818181818181</v>
      </c>
      <c r="AG25" s="161">
        <v>277.5</v>
      </c>
      <c r="AH25" s="161">
        <v>310.2380952380953</v>
      </c>
      <c r="AI25" s="161">
        <v>229.7348484848485</v>
      </c>
      <c r="AJ25" s="161">
        <v>310.79545454545456</v>
      </c>
      <c r="AK25" s="161">
        <v>211.81818181818181</v>
      </c>
      <c r="AL25" s="161">
        <v>207.27272727272728</v>
      </c>
      <c r="AM25" s="161">
        <v>201.36363636363637</v>
      </c>
      <c r="AN25" s="161">
        <v>458.33333333333331</v>
      </c>
      <c r="AO25" s="161">
        <v>409.43181818181819</v>
      </c>
      <c r="AP25" s="161">
        <v>321.93181818181819</v>
      </c>
      <c r="AQ25" s="161">
        <v>280</v>
      </c>
      <c r="AR25" s="161">
        <v>305.53571428571428</v>
      </c>
      <c r="AS25" s="161">
        <v>198.86363636363637</v>
      </c>
      <c r="AT25" s="161">
        <v>293.18181818181819</v>
      </c>
      <c r="AU25" s="161">
        <v>221.36363636363637</v>
      </c>
      <c r="AV25" s="161">
        <v>216.59090909090909</v>
      </c>
      <c r="AW25" s="161">
        <v>215.25</v>
      </c>
      <c r="AX25" s="161">
        <v>468.75</v>
      </c>
      <c r="AY25" s="161">
        <v>405.90909090909093</v>
      </c>
      <c r="AZ25" s="161">
        <v>307.72727272727275</v>
      </c>
      <c r="BA25" s="161"/>
      <c r="BB25" s="161">
        <v>307.5</v>
      </c>
      <c r="BC25" s="161">
        <v>194.88636363636363</v>
      </c>
      <c r="BD25" s="161">
        <v>301.13636363636363</v>
      </c>
      <c r="BE25" s="161">
        <v>223.06818181818181</v>
      </c>
      <c r="BF25" s="161">
        <v>220.79545454545453</v>
      </c>
      <c r="BG25" s="161">
        <v>208.3</v>
      </c>
      <c r="BH25" s="161">
        <v>462.5</v>
      </c>
      <c r="BI25" s="161">
        <v>398.06818181818181</v>
      </c>
      <c r="BJ25" s="161">
        <v>291.47727272727275</v>
      </c>
      <c r="BK25" s="161"/>
      <c r="BL25" s="161">
        <v>300.3125</v>
      </c>
      <c r="BM25" s="161">
        <v>265.90909090909093</v>
      </c>
      <c r="BN25" s="161">
        <v>300</v>
      </c>
      <c r="BO25" s="161">
        <v>226.59090909090909</v>
      </c>
      <c r="BP25" s="161">
        <v>222.27272727272728</v>
      </c>
      <c r="BQ25" s="161">
        <v>206.13636363636363</v>
      </c>
      <c r="BR25" s="161">
        <v>439.16666666666669</v>
      </c>
      <c r="BS25" s="161">
        <v>389.09090909090907</v>
      </c>
      <c r="BT25" s="161">
        <v>288.18181818181819</v>
      </c>
      <c r="BU25" s="161"/>
      <c r="BV25" s="161">
        <v>293.33333333333331</v>
      </c>
      <c r="BW25" s="161">
        <v>327.27272727272725</v>
      </c>
      <c r="BX25" s="161">
        <v>325</v>
      </c>
      <c r="BY25" s="161">
        <v>225.90909090909091</v>
      </c>
      <c r="BZ25" s="161">
        <v>226.66666666666669</v>
      </c>
      <c r="CA25" s="161">
        <v>211.43939393939397</v>
      </c>
      <c r="CB25" s="161">
        <v>450</v>
      </c>
      <c r="CC25" s="161">
        <v>384.09090909090907</v>
      </c>
      <c r="CD25" s="161">
        <v>279.84848484848487</v>
      </c>
      <c r="CE25" s="161">
        <v>277</v>
      </c>
      <c r="CF25" s="161">
        <v>279.44444444444446</v>
      </c>
      <c r="CG25" s="161">
        <v>376.13636363636363</v>
      </c>
      <c r="CH25" s="161"/>
      <c r="CI25" s="161">
        <v>226.36363636363637</v>
      </c>
      <c r="CJ25" s="161">
        <v>230.45454545454547</v>
      </c>
      <c r="CK25" s="161">
        <v>212.95454545454547</v>
      </c>
      <c r="CL25" s="161">
        <v>433.33333333333331</v>
      </c>
      <c r="CM25" s="161">
        <v>377.27272727272725</v>
      </c>
      <c r="CN25" s="161">
        <v>278.18181818181819</v>
      </c>
      <c r="CO25" s="161">
        <v>250</v>
      </c>
      <c r="CP25" s="161">
        <v>271.11111111111109</v>
      </c>
      <c r="CQ25" s="161">
        <v>318.75</v>
      </c>
      <c r="CR25" s="161">
        <v>386.36363636363637</v>
      </c>
      <c r="CS25" s="161">
        <v>225</v>
      </c>
      <c r="CT25" s="161">
        <v>217.27272727272728</v>
      </c>
      <c r="CU25" s="161">
        <v>210.75</v>
      </c>
      <c r="CV25" s="161">
        <v>433.33333333333331</v>
      </c>
      <c r="CW25" s="161">
        <v>360.22727272727275</v>
      </c>
      <c r="CX25" s="161">
        <v>272.5</v>
      </c>
      <c r="CY25" s="161">
        <v>300</v>
      </c>
      <c r="CZ25" s="161">
        <v>267.1875</v>
      </c>
      <c r="DA25" s="161"/>
      <c r="DB25" s="161">
        <v>323.48484848484844</v>
      </c>
      <c r="DC25" s="161">
        <v>204.39393939393941</v>
      </c>
      <c r="DD25" s="161">
        <v>215.07575757575754</v>
      </c>
      <c r="DE25" s="161"/>
      <c r="DF25" s="161"/>
      <c r="DG25" s="161">
        <v>203.54166666666666</v>
      </c>
      <c r="DH25" s="161">
        <v>430.5555555555556</v>
      </c>
      <c r="DI25" s="161">
        <v>357.27272727272725</v>
      </c>
      <c r="DJ25" s="161">
        <v>261.36363636363643</v>
      </c>
      <c r="DK25" s="161">
        <v>279.16666666666663</v>
      </c>
      <c r="DL25" s="161">
        <v>258.78787878787875</v>
      </c>
      <c r="DM25" s="161"/>
      <c r="DN25" s="161">
        <v>335.22727272727275</v>
      </c>
      <c r="DO25" s="161">
        <v>194.43181818181819</v>
      </c>
      <c r="DP25" s="161">
        <v>208.06818181818181</v>
      </c>
      <c r="DQ25" s="161">
        <v>193.54166666666666</v>
      </c>
      <c r="DR25" s="161">
        <v>416.66666666666669</v>
      </c>
      <c r="DS25" s="161">
        <v>351.70454545454544</v>
      </c>
      <c r="DT25" s="161"/>
      <c r="DU25" s="161">
        <v>256.70454545454544</v>
      </c>
      <c r="DV25" s="161">
        <v>250</v>
      </c>
      <c r="DW25" s="161">
        <v>249.84375</v>
      </c>
      <c r="DX25" s="161"/>
      <c r="DY25" s="161"/>
      <c r="DZ25" s="161">
        <v>349.24242424242425</v>
      </c>
      <c r="EA25" s="161">
        <v>194.69696969696972</v>
      </c>
      <c r="EB25" s="161">
        <v>198.78787878787878</v>
      </c>
      <c r="EC25" s="161">
        <v>189.39393939393941</v>
      </c>
      <c r="ED25" s="161">
        <v>406.25</v>
      </c>
      <c r="EE25" s="161">
        <v>349.99999999999994</v>
      </c>
      <c r="EF25" s="161">
        <v>265.90909090909088</v>
      </c>
      <c r="EG25" s="161">
        <v>250</v>
      </c>
      <c r="EH25" s="161">
        <v>244.16666666666666</v>
      </c>
    </row>
    <row r="26" spans="1:138" x14ac:dyDescent="0.25">
      <c r="A26" s="95">
        <v>40391</v>
      </c>
      <c r="B26" s="75">
        <v>465</v>
      </c>
      <c r="C26" s="75">
        <v>534</v>
      </c>
      <c r="D26" s="75">
        <v>204</v>
      </c>
      <c r="E26" s="75">
        <v>213</v>
      </c>
      <c r="F26" s="75">
        <v>196</v>
      </c>
      <c r="G26" s="75">
        <v>408</v>
      </c>
      <c r="H26" s="75">
        <v>352</v>
      </c>
      <c r="I26" s="75">
        <v>289</v>
      </c>
      <c r="J26" s="75">
        <v>275</v>
      </c>
      <c r="K26" s="75">
        <v>277</v>
      </c>
    </row>
    <row r="27" spans="1:138" x14ac:dyDescent="0.25">
      <c r="A27" s="95">
        <v>40422</v>
      </c>
      <c r="B27" s="75">
        <v>493</v>
      </c>
      <c r="C27" s="75">
        <v>519</v>
      </c>
      <c r="D27" s="75">
        <v>196</v>
      </c>
      <c r="E27" s="75">
        <v>209</v>
      </c>
      <c r="F27" s="75">
        <v>193</v>
      </c>
      <c r="G27" s="75">
        <v>408</v>
      </c>
      <c r="H27" s="75">
        <v>351</v>
      </c>
      <c r="I27" s="75">
        <v>290</v>
      </c>
      <c r="J27" s="75">
        <v>250</v>
      </c>
      <c r="K27" s="75">
        <v>272</v>
      </c>
    </row>
    <row r="28" spans="1:138" ht="15.75" thickBot="1" x14ac:dyDescent="0.3">
      <c r="A28" s="95">
        <v>40452</v>
      </c>
      <c r="B28" s="75">
        <v>500</v>
      </c>
      <c r="C28" s="75">
        <v>401</v>
      </c>
      <c r="D28" s="75">
        <v>186</v>
      </c>
      <c r="E28" s="75">
        <v>205</v>
      </c>
      <c r="F28" s="75">
        <v>193</v>
      </c>
      <c r="G28" s="75">
        <v>396</v>
      </c>
      <c r="H28" s="75">
        <v>354</v>
      </c>
      <c r="I28" s="75">
        <v>297</v>
      </c>
      <c r="J28" s="75">
        <v>288</v>
      </c>
      <c r="K28" s="75">
        <v>281</v>
      </c>
      <c r="N28" s="172">
        <v>2010</v>
      </c>
    </row>
    <row r="29" spans="1:138" ht="15.75" thickBot="1" x14ac:dyDescent="0.3">
      <c r="A29" s="95">
        <v>40483</v>
      </c>
      <c r="B29" s="75" t="s">
        <v>105</v>
      </c>
      <c r="C29" s="75">
        <v>445</v>
      </c>
      <c r="D29" s="75">
        <v>185</v>
      </c>
      <c r="E29" s="75">
        <v>210</v>
      </c>
      <c r="F29" s="75">
        <v>189</v>
      </c>
      <c r="G29" s="75">
        <v>405</v>
      </c>
      <c r="H29" s="75">
        <v>356</v>
      </c>
      <c r="I29" s="75">
        <v>298</v>
      </c>
      <c r="J29" s="75">
        <v>288</v>
      </c>
      <c r="K29" s="75">
        <v>281</v>
      </c>
      <c r="N29" s="115"/>
      <c r="O29" s="115"/>
      <c r="P29" s="110"/>
      <c r="Q29" s="111" t="s">
        <v>165</v>
      </c>
      <c r="R29" s="111"/>
      <c r="S29" s="116"/>
      <c r="T29" s="115"/>
      <c r="U29" s="115"/>
      <c r="V29" s="115"/>
      <c r="W29" s="117"/>
      <c r="X29" s="108"/>
      <c r="Y29" s="113"/>
      <c r="Z29" s="113"/>
      <c r="AA29" s="110"/>
      <c r="AB29" s="111" t="s">
        <v>165</v>
      </c>
      <c r="AC29" s="111"/>
      <c r="AD29" s="113"/>
      <c r="AE29" s="113"/>
      <c r="AF29" s="113"/>
      <c r="AG29" s="114"/>
      <c r="AH29" s="108"/>
      <c r="AI29" s="113"/>
      <c r="AJ29" s="113"/>
      <c r="AK29" s="110"/>
      <c r="AL29" s="111" t="s">
        <v>165</v>
      </c>
      <c r="AM29" s="111"/>
      <c r="AN29" s="113"/>
      <c r="AO29" s="113"/>
      <c r="AP29" s="113"/>
      <c r="AQ29" s="114"/>
      <c r="AR29" s="108"/>
      <c r="AS29" s="115"/>
      <c r="AT29" s="115"/>
      <c r="AU29" s="110"/>
      <c r="AV29" s="111" t="s">
        <v>165</v>
      </c>
      <c r="AW29" s="111"/>
      <c r="AX29" s="115"/>
      <c r="AY29" s="115"/>
      <c r="AZ29" s="115"/>
      <c r="BA29" s="117"/>
      <c r="BB29" s="108"/>
      <c r="BC29" s="109"/>
      <c r="BD29" s="109"/>
      <c r="BE29" s="109"/>
      <c r="BF29" s="110" t="s">
        <v>165</v>
      </c>
      <c r="BG29" s="111"/>
      <c r="BH29" s="111"/>
      <c r="BI29" s="109"/>
      <c r="BJ29" s="109"/>
      <c r="BK29" s="112"/>
      <c r="BL29" s="108"/>
      <c r="BM29" s="109"/>
      <c r="BN29" s="109"/>
      <c r="BO29" s="109"/>
      <c r="BP29" s="110" t="s">
        <v>165</v>
      </c>
      <c r="BQ29" s="111"/>
      <c r="BR29" s="111"/>
      <c r="BS29" s="109"/>
      <c r="BT29" s="109"/>
      <c r="BU29" s="112"/>
      <c r="BV29" s="108"/>
      <c r="BW29" s="109"/>
      <c r="BX29" s="109"/>
      <c r="BY29" s="109"/>
      <c r="BZ29" s="110"/>
      <c r="CA29" s="111" t="s">
        <v>165</v>
      </c>
      <c r="CB29" s="111"/>
      <c r="CC29" s="109"/>
      <c r="CD29" s="109"/>
      <c r="CE29" s="112"/>
      <c r="CF29" s="108"/>
      <c r="CG29" s="109"/>
      <c r="CH29" s="109"/>
      <c r="CI29" s="109"/>
      <c r="CJ29" s="110"/>
      <c r="CK29" s="111" t="s">
        <v>165</v>
      </c>
      <c r="CL29" s="111"/>
      <c r="CM29" s="109"/>
      <c r="CN29" s="109"/>
      <c r="CO29" s="112"/>
      <c r="CP29" s="108"/>
      <c r="CQ29" s="109"/>
      <c r="CR29" s="109"/>
      <c r="CS29" s="109"/>
      <c r="CT29" s="110"/>
      <c r="CU29" s="111" t="s">
        <v>165</v>
      </c>
      <c r="CV29" s="111"/>
      <c r="CW29" s="109"/>
      <c r="CX29" s="109"/>
      <c r="CY29" s="112"/>
      <c r="CZ29" s="108"/>
      <c r="DA29" s="109"/>
      <c r="DB29" s="109"/>
      <c r="DC29" s="109"/>
      <c r="DD29" s="110"/>
      <c r="DE29" s="111" t="s">
        <v>165</v>
      </c>
      <c r="DF29" s="111"/>
      <c r="DG29" s="109"/>
      <c r="DH29" s="109"/>
      <c r="DI29" s="112"/>
      <c r="DJ29" s="108"/>
      <c r="DK29" s="109"/>
      <c r="DL29" s="109"/>
      <c r="DM29" s="109"/>
      <c r="DN29" s="110"/>
      <c r="DO29" s="111" t="s">
        <v>165</v>
      </c>
      <c r="DP29" s="111"/>
      <c r="DQ29" s="109"/>
      <c r="DR29" s="109"/>
      <c r="DS29" s="112"/>
      <c r="DT29" s="108"/>
      <c r="DU29" s="109"/>
      <c r="DV29" s="109"/>
      <c r="DW29" s="109"/>
      <c r="DX29" s="110"/>
      <c r="DY29" s="111" t="s">
        <v>165</v>
      </c>
      <c r="DZ29" s="111"/>
      <c r="EA29" s="109"/>
      <c r="EB29" s="109"/>
      <c r="EC29" s="112"/>
    </row>
    <row r="30" spans="1:138" ht="15.75" thickBot="1" x14ac:dyDescent="0.3">
      <c r="A30" s="95">
        <v>40513</v>
      </c>
      <c r="B30" s="75" t="s">
        <v>105</v>
      </c>
      <c r="C30" s="75">
        <v>482</v>
      </c>
      <c r="D30" s="75">
        <v>185</v>
      </c>
      <c r="E30" s="75">
        <v>195</v>
      </c>
      <c r="F30" s="75">
        <v>190</v>
      </c>
      <c r="G30" s="75">
        <v>398</v>
      </c>
      <c r="H30" s="75">
        <v>349</v>
      </c>
      <c r="I30" s="75">
        <v>291</v>
      </c>
      <c r="J30" s="75">
        <v>295</v>
      </c>
      <c r="K30" s="75">
        <v>282</v>
      </c>
      <c r="N30" s="128"/>
      <c r="O30" s="129"/>
      <c r="P30" s="130"/>
      <c r="Q30" s="131" t="s">
        <v>180</v>
      </c>
      <c r="R30" s="131"/>
      <c r="S30" s="132"/>
      <c r="T30" s="129"/>
      <c r="U30" s="129"/>
      <c r="V30" s="129"/>
      <c r="W30" s="133"/>
      <c r="X30" s="120"/>
      <c r="Y30" s="126"/>
      <c r="Z30" s="126"/>
      <c r="AA30" s="123"/>
      <c r="AB30" s="124" t="s">
        <v>181</v>
      </c>
      <c r="AC30" s="124"/>
      <c r="AD30" s="126"/>
      <c r="AE30" s="126"/>
      <c r="AF30" s="126"/>
      <c r="AG30" s="127"/>
      <c r="AH30" s="120"/>
      <c r="AI30" s="126"/>
      <c r="AJ30" s="126"/>
      <c r="AK30" s="123"/>
      <c r="AL30" s="124" t="s">
        <v>182</v>
      </c>
      <c r="AM30" s="124"/>
      <c r="AN30" s="126"/>
      <c r="AO30" s="126"/>
      <c r="AP30" s="126"/>
      <c r="AQ30" s="127"/>
      <c r="AR30" s="134"/>
      <c r="AS30" s="135"/>
      <c r="AT30" s="135"/>
      <c r="AU30" s="123"/>
      <c r="AV30" s="124" t="s">
        <v>183</v>
      </c>
      <c r="AW30" s="124"/>
      <c r="AX30" s="135"/>
      <c r="AY30" s="135"/>
      <c r="AZ30" s="135"/>
      <c r="BA30" s="136"/>
      <c r="BB30" s="121"/>
      <c r="BC30" s="122"/>
      <c r="BD30" s="122"/>
      <c r="BE30" s="122"/>
      <c r="BF30" s="123" t="s">
        <v>184</v>
      </c>
      <c r="BG30" s="124"/>
      <c r="BH30" s="124"/>
      <c r="BI30" s="122"/>
      <c r="BJ30" s="122"/>
      <c r="BK30" s="125"/>
      <c r="BL30" s="121"/>
      <c r="BM30" s="122"/>
      <c r="BN30" s="122"/>
      <c r="BO30" s="122"/>
      <c r="BP30" s="123" t="s">
        <v>185</v>
      </c>
      <c r="BQ30" s="124"/>
      <c r="BR30" s="124"/>
      <c r="BS30" s="122"/>
      <c r="BT30" s="122"/>
      <c r="BU30" s="125"/>
      <c r="BV30" s="121"/>
      <c r="BW30" s="122"/>
      <c r="BX30" s="122"/>
      <c r="BY30" s="122"/>
      <c r="BZ30" s="123"/>
      <c r="CA30" s="124" t="s">
        <v>186</v>
      </c>
      <c r="CB30" s="124"/>
      <c r="CC30" s="122"/>
      <c r="CD30" s="122"/>
      <c r="CE30" s="125"/>
      <c r="CF30" s="121"/>
      <c r="CG30" s="122"/>
      <c r="CH30" s="122"/>
      <c r="CI30" s="122"/>
      <c r="CJ30" s="123"/>
      <c r="CK30" s="124" t="s">
        <v>187</v>
      </c>
      <c r="CL30" s="124"/>
      <c r="CM30" s="122"/>
      <c r="CN30" s="122"/>
      <c r="CO30" s="125"/>
      <c r="CP30" s="121"/>
      <c r="CQ30" s="122"/>
      <c r="CR30" s="122"/>
      <c r="CS30" s="122"/>
      <c r="CT30" s="123"/>
      <c r="CU30" s="124" t="s">
        <v>188</v>
      </c>
      <c r="CV30" s="124"/>
      <c r="CW30" s="122"/>
      <c r="CX30" s="122"/>
      <c r="CY30" s="125"/>
      <c r="CZ30" s="121"/>
      <c r="DA30" s="122"/>
      <c r="DB30" s="122"/>
      <c r="DC30" s="122"/>
      <c r="DD30" s="123"/>
      <c r="DE30" s="124" t="s">
        <v>189</v>
      </c>
      <c r="DF30" s="124"/>
      <c r="DG30" s="122"/>
      <c r="DH30" s="122"/>
      <c r="DI30" s="125"/>
      <c r="DJ30" s="121"/>
      <c r="DK30" s="122"/>
      <c r="DL30" s="122"/>
      <c r="DM30" s="122"/>
      <c r="DN30" s="123"/>
      <c r="DO30" s="124" t="s">
        <v>190</v>
      </c>
      <c r="DP30" s="124"/>
      <c r="DQ30" s="122"/>
      <c r="DR30" s="122"/>
      <c r="DS30" s="125"/>
      <c r="DT30" s="121"/>
      <c r="DU30" s="122"/>
      <c r="DV30" s="122"/>
      <c r="DW30" s="122"/>
      <c r="DX30" s="123"/>
      <c r="DY30" s="124" t="s">
        <v>191</v>
      </c>
      <c r="DZ30" s="124"/>
      <c r="EA30" s="122"/>
      <c r="EB30" s="122"/>
      <c r="EC30" s="125"/>
    </row>
    <row r="31" spans="1:138" x14ac:dyDescent="0.25">
      <c r="A31" s="95">
        <v>40544</v>
      </c>
      <c r="B31" s="75" t="s">
        <v>105</v>
      </c>
      <c r="C31" s="75">
        <v>451</v>
      </c>
      <c r="D31" s="75">
        <v>191</v>
      </c>
      <c r="E31" s="75">
        <v>196</v>
      </c>
      <c r="F31" s="75">
        <v>192</v>
      </c>
      <c r="G31" s="75">
        <v>405</v>
      </c>
      <c r="H31" s="75">
        <v>353</v>
      </c>
      <c r="I31" s="75">
        <v>301</v>
      </c>
      <c r="J31" s="75">
        <v>306</v>
      </c>
      <c r="K31" s="75">
        <v>282</v>
      </c>
      <c r="N31" s="473" t="s">
        <v>152</v>
      </c>
      <c r="O31" s="474"/>
      <c r="P31" s="475" t="s">
        <v>153</v>
      </c>
      <c r="Q31" s="476"/>
      <c r="R31" s="474"/>
      <c r="S31" s="475" t="s">
        <v>290</v>
      </c>
      <c r="T31" s="476"/>
      <c r="U31" s="476"/>
      <c r="V31" s="476"/>
      <c r="W31" s="477"/>
      <c r="X31" s="473" t="s">
        <v>152</v>
      </c>
      <c r="Y31" s="474"/>
      <c r="Z31" s="475" t="s">
        <v>153</v>
      </c>
      <c r="AA31" s="476"/>
      <c r="AB31" s="474"/>
      <c r="AC31" s="475" t="s">
        <v>290</v>
      </c>
      <c r="AD31" s="476"/>
      <c r="AE31" s="476"/>
      <c r="AF31" s="476"/>
      <c r="AG31" s="477"/>
      <c r="AH31" s="473" t="s">
        <v>152</v>
      </c>
      <c r="AI31" s="474"/>
      <c r="AJ31" s="475" t="s">
        <v>153</v>
      </c>
      <c r="AK31" s="476"/>
      <c r="AL31" s="474"/>
      <c r="AM31" s="475" t="s">
        <v>290</v>
      </c>
      <c r="AN31" s="476"/>
      <c r="AO31" s="476"/>
      <c r="AP31" s="476"/>
      <c r="AQ31" s="477"/>
      <c r="AR31" s="455" t="s">
        <v>152</v>
      </c>
      <c r="AS31" s="456"/>
      <c r="AT31" s="457" t="s">
        <v>153</v>
      </c>
      <c r="AU31" s="458"/>
      <c r="AV31" s="456"/>
      <c r="AW31" s="457" t="s">
        <v>290</v>
      </c>
      <c r="AX31" s="458"/>
      <c r="AY31" s="458"/>
      <c r="AZ31" s="458"/>
      <c r="BA31" s="459"/>
      <c r="BB31" s="455" t="s">
        <v>152</v>
      </c>
      <c r="BC31" s="456"/>
      <c r="BD31" s="457" t="s">
        <v>153</v>
      </c>
      <c r="BE31" s="458"/>
      <c r="BF31" s="456"/>
      <c r="BG31" s="475" t="s">
        <v>290</v>
      </c>
      <c r="BH31" s="476"/>
      <c r="BI31" s="476"/>
      <c r="BJ31" s="476"/>
      <c r="BK31" s="477"/>
      <c r="BL31" s="455" t="s">
        <v>152</v>
      </c>
      <c r="BM31" s="456"/>
      <c r="BN31" s="457" t="s">
        <v>153</v>
      </c>
      <c r="BO31" s="458"/>
      <c r="BP31" s="456"/>
      <c r="BQ31" s="475" t="s">
        <v>290</v>
      </c>
      <c r="BR31" s="476"/>
      <c r="BS31" s="476"/>
      <c r="BT31" s="476"/>
      <c r="BU31" s="477"/>
      <c r="BV31" s="455" t="s">
        <v>152</v>
      </c>
      <c r="BW31" s="456"/>
      <c r="BX31" s="457" t="s">
        <v>153</v>
      </c>
      <c r="BY31" s="458"/>
      <c r="BZ31" s="456"/>
      <c r="CA31" s="475" t="s">
        <v>290</v>
      </c>
      <c r="CB31" s="476"/>
      <c r="CC31" s="476"/>
      <c r="CD31" s="476"/>
      <c r="CE31" s="477"/>
      <c r="CF31" s="473" t="s">
        <v>152</v>
      </c>
      <c r="CG31" s="474"/>
      <c r="CH31" s="475" t="s">
        <v>153</v>
      </c>
      <c r="CI31" s="476"/>
      <c r="CJ31" s="474"/>
      <c r="CK31" s="475" t="s">
        <v>290</v>
      </c>
      <c r="CL31" s="476"/>
      <c r="CM31" s="476"/>
      <c r="CN31" s="476"/>
      <c r="CO31" s="477"/>
      <c r="CP31" s="473" t="s">
        <v>152</v>
      </c>
      <c r="CQ31" s="474"/>
      <c r="CR31" s="475" t="s">
        <v>153</v>
      </c>
      <c r="CS31" s="476"/>
      <c r="CT31" s="474"/>
      <c r="CU31" s="475" t="s">
        <v>290</v>
      </c>
      <c r="CV31" s="476"/>
      <c r="CW31" s="476"/>
      <c r="CX31" s="476"/>
      <c r="CY31" s="477"/>
      <c r="CZ31" s="473" t="s">
        <v>152</v>
      </c>
      <c r="DA31" s="474"/>
      <c r="DB31" s="475" t="s">
        <v>153</v>
      </c>
      <c r="DC31" s="476"/>
      <c r="DD31" s="474"/>
      <c r="DE31" s="475" t="s">
        <v>290</v>
      </c>
      <c r="DF31" s="476"/>
      <c r="DG31" s="476"/>
      <c r="DH31" s="476"/>
      <c r="DI31" s="477"/>
      <c r="DJ31" s="473" t="s">
        <v>152</v>
      </c>
      <c r="DK31" s="474"/>
      <c r="DL31" s="475" t="s">
        <v>153</v>
      </c>
      <c r="DM31" s="476"/>
      <c r="DN31" s="474"/>
      <c r="DO31" s="475" t="s">
        <v>290</v>
      </c>
      <c r="DP31" s="476"/>
      <c r="DQ31" s="476"/>
      <c r="DR31" s="476"/>
      <c r="DS31" s="477"/>
      <c r="DT31" s="473" t="s">
        <v>152</v>
      </c>
      <c r="DU31" s="474"/>
      <c r="DV31" s="475" t="s">
        <v>153</v>
      </c>
      <c r="DW31" s="476"/>
      <c r="DX31" s="474"/>
      <c r="DY31" s="475" t="s">
        <v>290</v>
      </c>
      <c r="DZ31" s="476"/>
      <c r="EA31" s="476"/>
      <c r="EB31" s="476"/>
      <c r="EC31" s="477"/>
    </row>
    <row r="32" spans="1:138" x14ac:dyDescent="0.25">
      <c r="A32" s="95">
        <v>40575</v>
      </c>
      <c r="B32" s="75">
        <v>360.71428571428572</v>
      </c>
      <c r="C32" s="75">
        <v>438.06818181818181</v>
      </c>
      <c r="D32" s="75">
        <v>192.04545454545453</v>
      </c>
      <c r="E32" s="75">
        <v>202.04545454545453</v>
      </c>
      <c r="F32" s="75">
        <v>192.84090909090909</v>
      </c>
      <c r="G32" s="75">
        <v>406.25</v>
      </c>
      <c r="H32" s="75">
        <v>341.02272727272725</v>
      </c>
      <c r="I32" s="75">
        <v>298.63636363636363</v>
      </c>
      <c r="J32" s="75">
        <v>262.5</v>
      </c>
      <c r="K32" s="75">
        <v>284.10714285714283</v>
      </c>
      <c r="N32" s="478" t="s">
        <v>291</v>
      </c>
      <c r="O32" s="472"/>
      <c r="P32" s="469" t="s">
        <v>291</v>
      </c>
      <c r="Q32" s="470"/>
      <c r="R32" s="472"/>
      <c r="S32" s="469" t="s">
        <v>291</v>
      </c>
      <c r="T32" s="470"/>
      <c r="U32" s="470"/>
      <c r="V32" s="470"/>
      <c r="W32" s="471"/>
      <c r="X32" s="478" t="s">
        <v>291</v>
      </c>
      <c r="Y32" s="472"/>
      <c r="Z32" s="469" t="s">
        <v>291</v>
      </c>
      <c r="AA32" s="470"/>
      <c r="AB32" s="472"/>
      <c r="AC32" s="469" t="s">
        <v>291</v>
      </c>
      <c r="AD32" s="470"/>
      <c r="AE32" s="470"/>
      <c r="AF32" s="470"/>
      <c r="AG32" s="471"/>
      <c r="AH32" s="478" t="s">
        <v>291</v>
      </c>
      <c r="AI32" s="472"/>
      <c r="AJ32" s="469" t="s">
        <v>291</v>
      </c>
      <c r="AK32" s="470"/>
      <c r="AL32" s="472"/>
      <c r="AM32" s="469" t="s">
        <v>291</v>
      </c>
      <c r="AN32" s="470"/>
      <c r="AO32" s="470"/>
      <c r="AP32" s="470"/>
      <c r="AQ32" s="471"/>
      <c r="AR32" s="478" t="s">
        <v>291</v>
      </c>
      <c r="AS32" s="472"/>
      <c r="AT32" s="469" t="s">
        <v>291</v>
      </c>
      <c r="AU32" s="470"/>
      <c r="AV32" s="472"/>
      <c r="AW32" s="469" t="s">
        <v>291</v>
      </c>
      <c r="AX32" s="470"/>
      <c r="AY32" s="470"/>
      <c r="AZ32" s="470"/>
      <c r="BA32" s="471"/>
      <c r="BB32" s="451" t="s">
        <v>291</v>
      </c>
      <c r="BC32" s="452"/>
      <c r="BD32" s="453" t="s">
        <v>291</v>
      </c>
      <c r="BE32" s="454"/>
      <c r="BF32" s="452"/>
      <c r="BG32" s="453" t="s">
        <v>291</v>
      </c>
      <c r="BH32" s="454"/>
      <c r="BI32" s="454"/>
      <c r="BJ32" s="454"/>
      <c r="BK32" s="460"/>
      <c r="BL32" s="451" t="s">
        <v>291</v>
      </c>
      <c r="BM32" s="452"/>
      <c r="BN32" s="453" t="s">
        <v>291</v>
      </c>
      <c r="BO32" s="454"/>
      <c r="BP32" s="452"/>
      <c r="BQ32" s="453" t="s">
        <v>291</v>
      </c>
      <c r="BR32" s="454"/>
      <c r="BS32" s="454"/>
      <c r="BT32" s="454"/>
      <c r="BU32" s="460"/>
      <c r="BV32" s="451" t="s">
        <v>291</v>
      </c>
      <c r="BW32" s="452"/>
      <c r="BX32" s="453" t="s">
        <v>291</v>
      </c>
      <c r="BY32" s="454"/>
      <c r="BZ32" s="452"/>
      <c r="CA32" s="453" t="s">
        <v>291</v>
      </c>
      <c r="CB32" s="454"/>
      <c r="CC32" s="454"/>
      <c r="CD32" s="454"/>
      <c r="CE32" s="460"/>
      <c r="CF32" s="451" t="s">
        <v>291</v>
      </c>
      <c r="CG32" s="452"/>
      <c r="CH32" s="453" t="s">
        <v>291</v>
      </c>
      <c r="CI32" s="454"/>
      <c r="CJ32" s="452"/>
      <c r="CK32" s="453" t="s">
        <v>291</v>
      </c>
      <c r="CL32" s="454"/>
      <c r="CM32" s="454"/>
      <c r="CN32" s="454"/>
      <c r="CO32" s="460"/>
      <c r="CP32" s="451" t="s">
        <v>291</v>
      </c>
      <c r="CQ32" s="452"/>
      <c r="CR32" s="453" t="s">
        <v>291</v>
      </c>
      <c r="CS32" s="454"/>
      <c r="CT32" s="452"/>
      <c r="CU32" s="453" t="s">
        <v>291</v>
      </c>
      <c r="CV32" s="454"/>
      <c r="CW32" s="454"/>
      <c r="CX32" s="454"/>
      <c r="CY32" s="460"/>
      <c r="CZ32" s="451" t="s">
        <v>291</v>
      </c>
      <c r="DA32" s="452"/>
      <c r="DB32" s="453" t="s">
        <v>291</v>
      </c>
      <c r="DC32" s="454"/>
      <c r="DD32" s="452"/>
      <c r="DE32" s="453" t="s">
        <v>291</v>
      </c>
      <c r="DF32" s="454"/>
      <c r="DG32" s="454"/>
      <c r="DH32" s="454"/>
      <c r="DI32" s="460"/>
      <c r="DJ32" s="451" t="s">
        <v>291</v>
      </c>
      <c r="DK32" s="452"/>
      <c r="DL32" s="453" t="s">
        <v>291</v>
      </c>
      <c r="DM32" s="454"/>
      <c r="DN32" s="452"/>
      <c r="DO32" s="453" t="s">
        <v>291</v>
      </c>
      <c r="DP32" s="454"/>
      <c r="DQ32" s="454"/>
      <c r="DR32" s="454"/>
      <c r="DS32" s="460"/>
      <c r="DT32" s="451" t="s">
        <v>291</v>
      </c>
      <c r="DU32" s="452"/>
      <c r="DV32" s="453" t="s">
        <v>291</v>
      </c>
      <c r="DW32" s="454"/>
      <c r="DX32" s="452"/>
      <c r="DY32" s="453" t="s">
        <v>291</v>
      </c>
      <c r="DZ32" s="454"/>
      <c r="EA32" s="454"/>
      <c r="EB32" s="454"/>
      <c r="EC32" s="460"/>
    </row>
    <row r="33" spans="1:133" x14ac:dyDescent="0.25">
      <c r="A33" s="95">
        <v>40603</v>
      </c>
      <c r="B33" s="75">
        <v>349.58333333333331</v>
      </c>
      <c r="C33" s="75">
        <v>434.65909090909093</v>
      </c>
      <c r="D33" s="75">
        <v>190.22727272727272</v>
      </c>
      <c r="E33" s="75">
        <v>198.97727272727272</v>
      </c>
      <c r="F33" s="75">
        <v>198.63636363636363</v>
      </c>
      <c r="G33" s="75">
        <v>406.25</v>
      </c>
      <c r="H33" s="75">
        <v>334.65909090909093</v>
      </c>
      <c r="I33" s="75">
        <v>297.65151515151518</v>
      </c>
      <c r="J33" s="75">
        <v>280</v>
      </c>
      <c r="K33" s="75">
        <v>282.91666666666669</v>
      </c>
      <c r="N33" s="430" t="s">
        <v>163</v>
      </c>
      <c r="O33" s="422" t="s">
        <v>155</v>
      </c>
      <c r="P33" s="422" t="s">
        <v>293</v>
      </c>
      <c r="Q33" s="422" t="s">
        <v>294</v>
      </c>
      <c r="R33" s="422" t="s">
        <v>295</v>
      </c>
      <c r="S33" s="424" t="s">
        <v>296</v>
      </c>
      <c r="T33" s="425"/>
      <c r="U33" s="426" t="s">
        <v>297</v>
      </c>
      <c r="V33" s="426" t="s">
        <v>162</v>
      </c>
      <c r="W33" s="428" t="s">
        <v>163</v>
      </c>
      <c r="X33" s="430" t="s">
        <v>163</v>
      </c>
      <c r="Y33" s="422" t="s">
        <v>155</v>
      </c>
      <c r="Z33" s="422" t="s">
        <v>293</v>
      </c>
      <c r="AA33" s="422" t="s">
        <v>294</v>
      </c>
      <c r="AB33" s="422" t="s">
        <v>295</v>
      </c>
      <c r="AC33" s="424" t="s">
        <v>296</v>
      </c>
      <c r="AD33" s="425"/>
      <c r="AE33" s="426" t="s">
        <v>297</v>
      </c>
      <c r="AF33" s="426" t="s">
        <v>162</v>
      </c>
      <c r="AG33" s="428" t="s">
        <v>163</v>
      </c>
      <c r="AH33" s="430" t="s">
        <v>163</v>
      </c>
      <c r="AI33" s="422" t="s">
        <v>155</v>
      </c>
      <c r="AJ33" s="422" t="s">
        <v>293</v>
      </c>
      <c r="AK33" s="422" t="s">
        <v>294</v>
      </c>
      <c r="AL33" s="422" t="s">
        <v>295</v>
      </c>
      <c r="AM33" s="424" t="s">
        <v>296</v>
      </c>
      <c r="AN33" s="425"/>
      <c r="AO33" s="426" t="s">
        <v>297</v>
      </c>
      <c r="AP33" s="426" t="s">
        <v>162</v>
      </c>
      <c r="AQ33" s="428" t="s">
        <v>163</v>
      </c>
      <c r="AR33" s="430" t="s">
        <v>163</v>
      </c>
      <c r="AS33" s="422" t="s">
        <v>155</v>
      </c>
      <c r="AT33" s="422" t="s">
        <v>293</v>
      </c>
      <c r="AU33" s="422" t="s">
        <v>294</v>
      </c>
      <c r="AV33" s="422" t="s">
        <v>295</v>
      </c>
      <c r="AW33" s="424" t="s">
        <v>296</v>
      </c>
      <c r="AX33" s="425"/>
      <c r="AY33" s="426" t="s">
        <v>297</v>
      </c>
      <c r="AZ33" s="426" t="s">
        <v>162</v>
      </c>
      <c r="BA33" s="428" t="s">
        <v>163</v>
      </c>
      <c r="BB33" s="430" t="s">
        <v>163</v>
      </c>
      <c r="BC33" s="422" t="s">
        <v>155</v>
      </c>
      <c r="BD33" s="422" t="s">
        <v>293</v>
      </c>
      <c r="BE33" s="422" t="s">
        <v>294</v>
      </c>
      <c r="BF33" s="422" t="s">
        <v>295</v>
      </c>
      <c r="BG33" s="424" t="s">
        <v>296</v>
      </c>
      <c r="BH33" s="425"/>
      <c r="BI33" s="426" t="s">
        <v>297</v>
      </c>
      <c r="BJ33" s="426" t="s">
        <v>162</v>
      </c>
      <c r="BK33" s="428" t="s">
        <v>163</v>
      </c>
      <c r="BL33" s="430" t="s">
        <v>163</v>
      </c>
      <c r="BM33" s="422" t="s">
        <v>155</v>
      </c>
      <c r="BN33" s="422" t="s">
        <v>293</v>
      </c>
      <c r="BO33" s="422" t="s">
        <v>294</v>
      </c>
      <c r="BP33" s="422" t="s">
        <v>295</v>
      </c>
      <c r="BQ33" s="424" t="s">
        <v>296</v>
      </c>
      <c r="BR33" s="425"/>
      <c r="BS33" s="426" t="s">
        <v>297</v>
      </c>
      <c r="BT33" s="426" t="s">
        <v>162</v>
      </c>
      <c r="BU33" s="428" t="s">
        <v>163</v>
      </c>
      <c r="BV33" s="430" t="s">
        <v>163</v>
      </c>
      <c r="BW33" s="422" t="s">
        <v>155</v>
      </c>
      <c r="BX33" s="422" t="s">
        <v>293</v>
      </c>
      <c r="BY33" s="422" t="s">
        <v>294</v>
      </c>
      <c r="BZ33" s="422" t="s">
        <v>295</v>
      </c>
      <c r="CA33" s="424" t="s">
        <v>296</v>
      </c>
      <c r="CB33" s="425"/>
      <c r="CC33" s="426" t="s">
        <v>297</v>
      </c>
      <c r="CD33" s="426" t="s">
        <v>162</v>
      </c>
      <c r="CE33" s="428" t="s">
        <v>163</v>
      </c>
      <c r="CF33" s="430" t="s">
        <v>163</v>
      </c>
      <c r="CG33" s="422" t="s">
        <v>155</v>
      </c>
      <c r="CH33" s="422" t="s">
        <v>293</v>
      </c>
      <c r="CI33" s="422" t="s">
        <v>294</v>
      </c>
      <c r="CJ33" s="422" t="s">
        <v>295</v>
      </c>
      <c r="CK33" s="424" t="s">
        <v>296</v>
      </c>
      <c r="CL33" s="425"/>
      <c r="CM33" s="426" t="s">
        <v>297</v>
      </c>
      <c r="CN33" s="426" t="s">
        <v>162</v>
      </c>
      <c r="CO33" s="428" t="s">
        <v>163</v>
      </c>
      <c r="CP33" s="430" t="s">
        <v>163</v>
      </c>
      <c r="CQ33" s="422" t="s">
        <v>155</v>
      </c>
      <c r="CR33" s="422" t="s">
        <v>293</v>
      </c>
      <c r="CS33" s="422" t="s">
        <v>294</v>
      </c>
      <c r="CT33" s="422" t="s">
        <v>295</v>
      </c>
      <c r="CU33" s="424" t="s">
        <v>296</v>
      </c>
      <c r="CV33" s="425"/>
      <c r="CW33" s="426" t="s">
        <v>297</v>
      </c>
      <c r="CX33" s="426" t="s">
        <v>162</v>
      </c>
      <c r="CY33" s="428" t="s">
        <v>163</v>
      </c>
      <c r="CZ33" s="430" t="s">
        <v>163</v>
      </c>
      <c r="DA33" s="422" t="s">
        <v>155</v>
      </c>
      <c r="DB33" s="422" t="s">
        <v>293</v>
      </c>
      <c r="DC33" s="422" t="s">
        <v>294</v>
      </c>
      <c r="DD33" s="422" t="s">
        <v>295</v>
      </c>
      <c r="DE33" s="424" t="s">
        <v>296</v>
      </c>
      <c r="DF33" s="425"/>
      <c r="DG33" s="426" t="s">
        <v>297</v>
      </c>
      <c r="DH33" s="426" t="s">
        <v>162</v>
      </c>
      <c r="DI33" s="428" t="s">
        <v>163</v>
      </c>
      <c r="DJ33" s="430" t="s">
        <v>163</v>
      </c>
      <c r="DK33" s="422" t="s">
        <v>155</v>
      </c>
      <c r="DL33" s="422" t="s">
        <v>293</v>
      </c>
      <c r="DM33" s="422" t="s">
        <v>294</v>
      </c>
      <c r="DN33" s="422" t="s">
        <v>295</v>
      </c>
      <c r="DO33" s="424" t="s">
        <v>296</v>
      </c>
      <c r="DP33" s="425"/>
      <c r="DQ33" s="426" t="s">
        <v>297</v>
      </c>
      <c r="DR33" s="426" t="s">
        <v>162</v>
      </c>
      <c r="DS33" s="428" t="s">
        <v>163</v>
      </c>
      <c r="DT33" s="430" t="s">
        <v>163</v>
      </c>
      <c r="DU33" s="422" t="s">
        <v>155</v>
      </c>
      <c r="DV33" s="422" t="s">
        <v>293</v>
      </c>
      <c r="DW33" s="422" t="s">
        <v>294</v>
      </c>
      <c r="DX33" s="422" t="s">
        <v>295</v>
      </c>
      <c r="DY33" s="424" t="s">
        <v>296</v>
      </c>
      <c r="DZ33" s="425"/>
      <c r="EA33" s="426" t="s">
        <v>297</v>
      </c>
      <c r="EB33" s="426" t="s">
        <v>162</v>
      </c>
      <c r="EC33" s="428" t="s">
        <v>163</v>
      </c>
    </row>
    <row r="34" spans="1:133" x14ac:dyDescent="0.25">
      <c r="A34" s="95">
        <v>40634</v>
      </c>
      <c r="B34" s="75">
        <v>259</v>
      </c>
      <c r="C34" s="75">
        <v>407</v>
      </c>
      <c r="D34" s="75">
        <v>197</v>
      </c>
      <c r="E34" s="75">
        <v>207</v>
      </c>
      <c r="F34" s="75">
        <v>203</v>
      </c>
      <c r="G34" s="75">
        <v>406</v>
      </c>
      <c r="H34" s="75">
        <v>351</v>
      </c>
      <c r="I34" s="75">
        <v>296</v>
      </c>
      <c r="J34" s="75">
        <v>281</v>
      </c>
      <c r="K34" s="75">
        <v>284</v>
      </c>
      <c r="N34" s="431"/>
      <c r="O34" s="423"/>
      <c r="P34" s="423"/>
      <c r="Q34" s="423"/>
      <c r="R34" s="423"/>
      <c r="S34" s="146" t="s">
        <v>159</v>
      </c>
      <c r="T34" s="146" t="s">
        <v>160</v>
      </c>
      <c r="U34" s="427"/>
      <c r="V34" s="427"/>
      <c r="W34" s="429"/>
      <c r="X34" s="431"/>
      <c r="Y34" s="423"/>
      <c r="Z34" s="423"/>
      <c r="AA34" s="423"/>
      <c r="AB34" s="423"/>
      <c r="AC34" s="146" t="s">
        <v>159</v>
      </c>
      <c r="AD34" s="146" t="s">
        <v>160</v>
      </c>
      <c r="AE34" s="427"/>
      <c r="AF34" s="427"/>
      <c r="AG34" s="429"/>
      <c r="AH34" s="431"/>
      <c r="AI34" s="423"/>
      <c r="AJ34" s="423"/>
      <c r="AK34" s="423"/>
      <c r="AL34" s="423"/>
      <c r="AM34" s="146" t="s">
        <v>159</v>
      </c>
      <c r="AN34" s="146" t="s">
        <v>160</v>
      </c>
      <c r="AO34" s="427"/>
      <c r="AP34" s="427"/>
      <c r="AQ34" s="429"/>
      <c r="AR34" s="431"/>
      <c r="AS34" s="423"/>
      <c r="AT34" s="423"/>
      <c r="AU34" s="423"/>
      <c r="AV34" s="423"/>
      <c r="AW34" s="146" t="s">
        <v>159</v>
      </c>
      <c r="AX34" s="146" t="s">
        <v>160</v>
      </c>
      <c r="AY34" s="427"/>
      <c r="AZ34" s="427"/>
      <c r="BA34" s="429"/>
      <c r="BB34" s="431"/>
      <c r="BC34" s="423"/>
      <c r="BD34" s="423"/>
      <c r="BE34" s="423"/>
      <c r="BF34" s="423"/>
      <c r="BG34" s="146" t="s">
        <v>159</v>
      </c>
      <c r="BH34" s="146" t="s">
        <v>160</v>
      </c>
      <c r="BI34" s="427"/>
      <c r="BJ34" s="427"/>
      <c r="BK34" s="429"/>
      <c r="BL34" s="431"/>
      <c r="BM34" s="423"/>
      <c r="BN34" s="423"/>
      <c r="BO34" s="423"/>
      <c r="BP34" s="423"/>
      <c r="BQ34" s="146" t="s">
        <v>159</v>
      </c>
      <c r="BR34" s="146" t="s">
        <v>160</v>
      </c>
      <c r="BS34" s="427"/>
      <c r="BT34" s="427"/>
      <c r="BU34" s="429"/>
      <c r="BV34" s="431"/>
      <c r="BW34" s="423"/>
      <c r="BX34" s="423"/>
      <c r="BY34" s="423"/>
      <c r="BZ34" s="423"/>
      <c r="CA34" s="146" t="s">
        <v>159</v>
      </c>
      <c r="CB34" s="146" t="s">
        <v>160</v>
      </c>
      <c r="CC34" s="427"/>
      <c r="CD34" s="427"/>
      <c r="CE34" s="429"/>
      <c r="CF34" s="431"/>
      <c r="CG34" s="423"/>
      <c r="CH34" s="423"/>
      <c r="CI34" s="423"/>
      <c r="CJ34" s="423"/>
      <c r="CK34" s="146" t="s">
        <v>159</v>
      </c>
      <c r="CL34" s="146" t="s">
        <v>160</v>
      </c>
      <c r="CM34" s="427"/>
      <c r="CN34" s="427"/>
      <c r="CO34" s="429"/>
      <c r="CP34" s="431"/>
      <c r="CQ34" s="423"/>
      <c r="CR34" s="423"/>
      <c r="CS34" s="423"/>
      <c r="CT34" s="423"/>
      <c r="CU34" s="146" t="s">
        <v>159</v>
      </c>
      <c r="CV34" s="146" t="s">
        <v>160</v>
      </c>
      <c r="CW34" s="427"/>
      <c r="CX34" s="427"/>
      <c r="CY34" s="429"/>
      <c r="CZ34" s="431"/>
      <c r="DA34" s="423"/>
      <c r="DB34" s="423"/>
      <c r="DC34" s="423"/>
      <c r="DD34" s="423"/>
      <c r="DE34" s="146" t="s">
        <v>159</v>
      </c>
      <c r="DF34" s="146" t="s">
        <v>160</v>
      </c>
      <c r="DG34" s="427"/>
      <c r="DH34" s="427"/>
      <c r="DI34" s="429"/>
      <c r="DJ34" s="431"/>
      <c r="DK34" s="423"/>
      <c r="DL34" s="423"/>
      <c r="DM34" s="423"/>
      <c r="DN34" s="423"/>
      <c r="DO34" s="146" t="s">
        <v>159</v>
      </c>
      <c r="DP34" s="146" t="s">
        <v>160</v>
      </c>
      <c r="DQ34" s="427"/>
      <c r="DR34" s="427"/>
      <c r="DS34" s="429"/>
      <c r="DT34" s="431"/>
      <c r="DU34" s="423"/>
      <c r="DV34" s="423"/>
      <c r="DW34" s="423"/>
      <c r="DX34" s="423"/>
      <c r="DY34" s="146" t="s">
        <v>159</v>
      </c>
      <c r="DZ34" s="146" t="s">
        <v>160</v>
      </c>
      <c r="EA34" s="427"/>
      <c r="EB34" s="427"/>
      <c r="EC34" s="429"/>
    </row>
    <row r="35" spans="1:133" x14ac:dyDescent="0.25">
      <c r="A35" s="95">
        <v>40664</v>
      </c>
      <c r="B35" s="75">
        <v>231</v>
      </c>
      <c r="C35" s="75">
        <v>352</v>
      </c>
      <c r="D35" s="75">
        <v>211</v>
      </c>
      <c r="E35" s="75">
        <v>222</v>
      </c>
      <c r="F35" s="75">
        <v>211</v>
      </c>
      <c r="G35" s="75">
        <v>406</v>
      </c>
      <c r="H35" s="75">
        <v>336</v>
      </c>
      <c r="I35" s="75">
        <v>298</v>
      </c>
      <c r="J35" s="75">
        <v>286</v>
      </c>
      <c r="K35" s="75">
        <v>287</v>
      </c>
      <c r="N35" s="102"/>
      <c r="O35" s="102">
        <v>350</v>
      </c>
      <c r="P35" s="102">
        <v>225</v>
      </c>
      <c r="Q35" s="102">
        <v>231.25</v>
      </c>
      <c r="R35" s="102">
        <v>212.5</v>
      </c>
      <c r="S35" s="102">
        <v>400</v>
      </c>
      <c r="T35" s="102">
        <v>350</v>
      </c>
      <c r="U35" s="102">
        <v>250</v>
      </c>
      <c r="V35" s="102">
        <v>250</v>
      </c>
      <c r="W35" s="102">
        <v>256.25</v>
      </c>
      <c r="X35" s="102">
        <v>300</v>
      </c>
      <c r="Y35" s="102">
        <v>350</v>
      </c>
      <c r="Z35" s="102">
        <v>200</v>
      </c>
      <c r="AA35" s="102">
        <v>225</v>
      </c>
      <c r="AB35" s="102">
        <v>212.5</v>
      </c>
      <c r="AC35" s="102">
        <v>400</v>
      </c>
      <c r="AD35" s="102">
        <v>350</v>
      </c>
      <c r="AE35" s="102">
        <v>250</v>
      </c>
      <c r="AF35" s="102">
        <v>250</v>
      </c>
      <c r="AG35" s="102">
        <v>250</v>
      </c>
      <c r="AH35" s="102">
        <v>300</v>
      </c>
      <c r="AI35" s="102">
        <v>350</v>
      </c>
      <c r="AJ35" s="102">
        <v>216.66666666666666</v>
      </c>
      <c r="AK35" s="102">
        <v>233.33333333333334</v>
      </c>
      <c r="AL35" s="102">
        <v>225</v>
      </c>
      <c r="AM35" s="102">
        <v>400</v>
      </c>
      <c r="AN35" s="102">
        <v>350</v>
      </c>
      <c r="AO35" s="102">
        <v>266.66666666666669</v>
      </c>
      <c r="AP35" s="102">
        <v>250</v>
      </c>
      <c r="AQ35" s="102">
        <v>266.66666666666669</v>
      </c>
      <c r="AR35" s="102">
        <v>300</v>
      </c>
      <c r="AS35" s="102">
        <v>400</v>
      </c>
      <c r="AT35" s="102">
        <v>218.75</v>
      </c>
      <c r="AU35" s="102">
        <v>225</v>
      </c>
      <c r="AV35" s="102">
        <v>218.75</v>
      </c>
      <c r="AW35" s="102">
        <v>400</v>
      </c>
      <c r="AX35" s="102">
        <v>350</v>
      </c>
      <c r="AY35" s="102">
        <v>275</v>
      </c>
      <c r="AZ35" s="102">
        <v>250</v>
      </c>
      <c r="BA35" s="102">
        <v>262.5</v>
      </c>
      <c r="BB35" s="102">
        <v>312.5</v>
      </c>
      <c r="BC35" s="104">
        <v>400</v>
      </c>
      <c r="BD35" s="104">
        <v>200</v>
      </c>
      <c r="BE35" s="104">
        <v>237.5</v>
      </c>
      <c r="BF35" s="104">
        <v>206.25</v>
      </c>
      <c r="BG35" s="104">
        <v>400</v>
      </c>
      <c r="BH35" s="104">
        <v>350</v>
      </c>
      <c r="BI35" s="104">
        <v>262.5</v>
      </c>
      <c r="BJ35" s="104">
        <v>250</v>
      </c>
      <c r="BK35" s="152">
        <v>268.75</v>
      </c>
      <c r="BL35" s="102">
        <v>381.25</v>
      </c>
      <c r="BM35" s="104"/>
      <c r="BN35" s="104">
        <v>218.75</v>
      </c>
      <c r="BO35" s="104">
        <v>237.5</v>
      </c>
      <c r="BP35" s="104">
        <v>206.25</v>
      </c>
      <c r="BQ35" s="104">
        <v>400</v>
      </c>
      <c r="BR35" s="104">
        <v>350</v>
      </c>
      <c r="BS35" s="104">
        <v>268.75</v>
      </c>
      <c r="BT35" s="104">
        <v>256.25</v>
      </c>
      <c r="BU35" s="152">
        <v>262.5</v>
      </c>
      <c r="BV35" s="102">
        <v>475</v>
      </c>
      <c r="BW35" s="104">
        <v>566.66666666666663</v>
      </c>
      <c r="BX35" s="104">
        <v>212.5</v>
      </c>
      <c r="BY35" s="104">
        <v>231.25</v>
      </c>
      <c r="BZ35" s="104">
        <v>212.5</v>
      </c>
      <c r="CA35" s="104">
        <v>400</v>
      </c>
      <c r="CB35" s="104">
        <v>350</v>
      </c>
      <c r="CC35" s="104">
        <v>268.75</v>
      </c>
      <c r="CD35" s="104">
        <v>262.5</v>
      </c>
      <c r="CE35" s="152">
        <v>275</v>
      </c>
      <c r="CF35" s="102">
        <v>368.75</v>
      </c>
      <c r="CG35" s="104">
        <v>475</v>
      </c>
      <c r="CH35" s="104">
        <v>218.75</v>
      </c>
      <c r="CI35" s="104">
        <v>237.5</v>
      </c>
      <c r="CJ35" s="104">
        <v>218.75</v>
      </c>
      <c r="CK35" s="104">
        <v>400</v>
      </c>
      <c r="CL35" s="104">
        <v>350</v>
      </c>
      <c r="CM35" s="104">
        <v>275</v>
      </c>
      <c r="CN35" s="104">
        <v>275</v>
      </c>
      <c r="CO35" s="152">
        <v>275</v>
      </c>
      <c r="CP35" s="102"/>
      <c r="CQ35" s="104">
        <v>483.33333333333331</v>
      </c>
      <c r="CR35" s="104">
        <v>225</v>
      </c>
      <c r="CS35" s="104">
        <v>233.33333333333334</v>
      </c>
      <c r="CT35" s="104">
        <v>208.33333333333334</v>
      </c>
      <c r="CU35" s="104">
        <v>400</v>
      </c>
      <c r="CV35" s="104">
        <v>350</v>
      </c>
      <c r="CW35" s="104">
        <v>291.66666666666669</v>
      </c>
      <c r="CX35" s="104"/>
      <c r="CY35" s="152">
        <v>258.33333333333331</v>
      </c>
      <c r="CZ35" s="102"/>
      <c r="DA35" s="104">
        <v>360</v>
      </c>
      <c r="DB35" s="104">
        <v>210</v>
      </c>
      <c r="DC35" s="104">
        <v>225</v>
      </c>
      <c r="DD35" s="104">
        <v>215</v>
      </c>
      <c r="DE35" s="104">
        <v>400</v>
      </c>
      <c r="DF35" s="104">
        <v>350</v>
      </c>
      <c r="DG35" s="104">
        <v>300</v>
      </c>
      <c r="DH35" s="104">
        <v>312.5</v>
      </c>
      <c r="DI35" s="152">
        <v>285</v>
      </c>
      <c r="DJ35" s="102"/>
      <c r="DK35" s="104">
        <v>400</v>
      </c>
      <c r="DL35" s="104">
        <v>216.66666666666666</v>
      </c>
      <c r="DM35" s="104">
        <v>225</v>
      </c>
      <c r="DN35" s="104">
        <v>216.66666666666666</v>
      </c>
      <c r="DO35" s="104">
        <v>400</v>
      </c>
      <c r="DP35" s="104">
        <v>350</v>
      </c>
      <c r="DQ35" s="104">
        <v>300</v>
      </c>
      <c r="DR35" s="104">
        <v>300</v>
      </c>
      <c r="DS35" s="152">
        <v>291.66666666666669</v>
      </c>
      <c r="DT35" s="102"/>
      <c r="DU35" s="104">
        <v>425</v>
      </c>
      <c r="DV35" s="104">
        <v>212.5</v>
      </c>
      <c r="DW35" s="104">
        <v>225</v>
      </c>
      <c r="DX35" s="104">
        <v>218.75</v>
      </c>
      <c r="DY35" s="104">
        <v>400</v>
      </c>
      <c r="DZ35" s="104">
        <v>350</v>
      </c>
      <c r="EA35" s="104">
        <v>300</v>
      </c>
      <c r="EB35" s="104">
        <v>300</v>
      </c>
      <c r="EC35" s="152">
        <v>300</v>
      </c>
    </row>
    <row r="36" spans="1:133" x14ac:dyDescent="0.25">
      <c r="A36" s="95">
        <v>40695</v>
      </c>
      <c r="B36" s="75">
        <v>240</v>
      </c>
      <c r="C36" s="75">
        <v>388</v>
      </c>
      <c r="D36" s="75">
        <v>213</v>
      </c>
      <c r="E36" s="75">
        <v>222</v>
      </c>
      <c r="F36" s="75">
        <v>217</v>
      </c>
      <c r="G36" s="75">
        <v>403</v>
      </c>
      <c r="H36" s="75">
        <v>336</v>
      </c>
      <c r="I36" s="75">
        <v>298</v>
      </c>
      <c r="J36" s="75">
        <v>300</v>
      </c>
      <c r="K36" s="75">
        <v>286</v>
      </c>
      <c r="N36" s="102"/>
      <c r="O36" s="102">
        <v>337.5</v>
      </c>
      <c r="P36" s="102">
        <v>187.5</v>
      </c>
      <c r="Q36" s="102">
        <v>200</v>
      </c>
      <c r="R36" s="102">
        <v>200</v>
      </c>
      <c r="S36" s="102">
        <v>400</v>
      </c>
      <c r="T36" s="102">
        <v>331.25</v>
      </c>
      <c r="U36" s="102">
        <v>253.75</v>
      </c>
      <c r="V36" s="102"/>
      <c r="W36" s="102">
        <v>250</v>
      </c>
      <c r="X36" s="102">
        <v>250</v>
      </c>
      <c r="Y36" s="102">
        <v>312.5</v>
      </c>
      <c r="Z36" s="102">
        <v>200</v>
      </c>
      <c r="AA36" s="102">
        <v>187.5</v>
      </c>
      <c r="AB36" s="102">
        <v>200</v>
      </c>
      <c r="AC36" s="102">
        <v>400</v>
      </c>
      <c r="AD36" s="102">
        <v>350</v>
      </c>
      <c r="AE36" s="102">
        <v>257.5</v>
      </c>
      <c r="AF36" s="102"/>
      <c r="AG36" s="102">
        <v>250</v>
      </c>
      <c r="AH36" s="102">
        <v>275</v>
      </c>
      <c r="AI36" s="102">
        <v>350</v>
      </c>
      <c r="AJ36" s="102">
        <v>191.66666666666666</v>
      </c>
      <c r="AK36" s="102">
        <v>191.66666666666666</v>
      </c>
      <c r="AL36" s="102">
        <v>200</v>
      </c>
      <c r="AM36" s="102">
        <v>400</v>
      </c>
      <c r="AN36" s="102">
        <v>341.66666666666669</v>
      </c>
      <c r="AO36" s="102">
        <v>253.33333333333334</v>
      </c>
      <c r="AP36" s="102"/>
      <c r="AQ36" s="102">
        <v>250</v>
      </c>
      <c r="AR36" s="102">
        <v>293.75</v>
      </c>
      <c r="AS36" s="102">
        <v>325</v>
      </c>
      <c r="AT36" s="102">
        <v>200</v>
      </c>
      <c r="AU36" s="102">
        <v>200</v>
      </c>
      <c r="AV36" s="102">
        <v>200</v>
      </c>
      <c r="AW36" s="102">
        <v>400</v>
      </c>
      <c r="AX36" s="102">
        <v>325</v>
      </c>
      <c r="AY36" s="102">
        <v>250</v>
      </c>
      <c r="AZ36" s="102"/>
      <c r="BA36" s="102">
        <v>250</v>
      </c>
      <c r="BB36" s="102">
        <v>293.75</v>
      </c>
      <c r="BC36" s="104"/>
      <c r="BD36" s="104">
        <v>193.75</v>
      </c>
      <c r="BE36" s="104">
        <v>200</v>
      </c>
      <c r="BF36" s="104">
        <v>200</v>
      </c>
      <c r="BG36" s="104">
        <v>400</v>
      </c>
      <c r="BH36" s="104">
        <v>331.25</v>
      </c>
      <c r="BI36" s="104">
        <v>256.25</v>
      </c>
      <c r="BJ36" s="104"/>
      <c r="BK36" s="152">
        <v>250</v>
      </c>
      <c r="BL36" s="102">
        <v>400</v>
      </c>
      <c r="BM36" s="104"/>
      <c r="BN36" s="104">
        <v>200</v>
      </c>
      <c r="BO36" s="104">
        <v>193.75</v>
      </c>
      <c r="BP36" s="104">
        <v>200</v>
      </c>
      <c r="BQ36" s="104">
        <v>400</v>
      </c>
      <c r="BR36" s="104">
        <v>325</v>
      </c>
      <c r="BS36" s="104">
        <v>250</v>
      </c>
      <c r="BT36" s="104"/>
      <c r="BU36" s="152">
        <v>250</v>
      </c>
      <c r="BV36" s="102">
        <v>443.75</v>
      </c>
      <c r="BW36" s="104">
        <v>566.66666666666663</v>
      </c>
      <c r="BX36" s="104">
        <v>200</v>
      </c>
      <c r="BY36" s="104">
        <v>200</v>
      </c>
      <c r="BZ36" s="104">
        <v>200</v>
      </c>
      <c r="CA36" s="104">
        <v>400</v>
      </c>
      <c r="CB36" s="104">
        <v>331.25</v>
      </c>
      <c r="CC36" s="104">
        <v>262.5</v>
      </c>
      <c r="CD36" s="104" t="s">
        <v>105</v>
      </c>
      <c r="CE36" s="152">
        <v>250</v>
      </c>
      <c r="CF36" s="102">
        <v>425</v>
      </c>
      <c r="CG36" s="104">
        <v>487.5</v>
      </c>
      <c r="CH36" s="104">
        <v>200</v>
      </c>
      <c r="CI36" s="104">
        <v>200</v>
      </c>
      <c r="CJ36" s="104">
        <v>200</v>
      </c>
      <c r="CK36" s="104">
        <v>400</v>
      </c>
      <c r="CL36" s="104">
        <v>331.25</v>
      </c>
      <c r="CM36" s="104">
        <v>275</v>
      </c>
      <c r="CN36" s="104" t="s">
        <v>105</v>
      </c>
      <c r="CO36" s="104" t="s">
        <v>105</v>
      </c>
      <c r="CP36" s="102">
        <v>475</v>
      </c>
      <c r="CQ36" s="104">
        <v>466.66666666666669</v>
      </c>
      <c r="CR36" s="104">
        <v>173.33333333333334</v>
      </c>
      <c r="CS36" s="104">
        <v>200</v>
      </c>
      <c r="CT36" s="104">
        <v>200</v>
      </c>
      <c r="CU36" s="104">
        <v>400</v>
      </c>
      <c r="CV36" s="104">
        <v>341.66666666666669</v>
      </c>
      <c r="CW36" s="104">
        <v>275</v>
      </c>
      <c r="CX36" s="104"/>
      <c r="CY36" s="152"/>
      <c r="CZ36" s="102"/>
      <c r="DA36" s="104">
        <v>320</v>
      </c>
      <c r="DB36" s="104">
        <v>160</v>
      </c>
      <c r="DC36" s="104">
        <v>200</v>
      </c>
      <c r="DD36" s="104">
        <v>200</v>
      </c>
      <c r="DE36" s="104">
        <v>400</v>
      </c>
      <c r="DF36" s="104">
        <v>325</v>
      </c>
      <c r="DG36" s="104">
        <v>275</v>
      </c>
      <c r="DH36" s="104"/>
      <c r="DI36" s="152"/>
      <c r="DJ36" s="102"/>
      <c r="DK36" s="104">
        <v>383.33333333333331</v>
      </c>
      <c r="DL36" s="104">
        <v>178.33333333333334</v>
      </c>
      <c r="DM36" s="104">
        <v>175</v>
      </c>
      <c r="DN36" s="104">
        <v>200</v>
      </c>
      <c r="DO36" s="104">
        <v>400</v>
      </c>
      <c r="DP36" s="104">
        <v>333.33333333333331</v>
      </c>
      <c r="DQ36" s="104">
        <v>275</v>
      </c>
      <c r="DR36" s="104"/>
      <c r="DS36" s="152"/>
      <c r="DT36" s="102"/>
      <c r="DU36" s="104">
        <v>412.5</v>
      </c>
      <c r="DV36" s="104">
        <v>160</v>
      </c>
      <c r="DW36" s="104">
        <v>185</v>
      </c>
      <c r="DX36" s="104">
        <v>200</v>
      </c>
      <c r="DY36" s="104">
        <v>400</v>
      </c>
      <c r="DZ36" s="104">
        <v>325</v>
      </c>
      <c r="EA36" s="104">
        <v>278.75</v>
      </c>
      <c r="EB36" s="104"/>
      <c r="EC36" s="152"/>
    </row>
    <row r="37" spans="1:133" x14ac:dyDescent="0.25">
      <c r="A37" s="95">
        <v>40725</v>
      </c>
      <c r="B37" s="75">
        <v>279.09090909090907</v>
      </c>
      <c r="C37" s="75">
        <v>400</v>
      </c>
      <c r="D37" s="75">
        <v>217.88636363636363</v>
      </c>
      <c r="E37" s="75">
        <v>226.27272727272728</v>
      </c>
      <c r="F37" s="75">
        <v>213.52272727272728</v>
      </c>
      <c r="G37" s="75">
        <v>402</v>
      </c>
      <c r="H37" s="75">
        <v>336.36363636363637</v>
      </c>
      <c r="I37" s="75">
        <v>298.27272727272725</v>
      </c>
      <c r="J37" s="75">
        <v>300</v>
      </c>
      <c r="K37" s="75">
        <v>290.55555555555554</v>
      </c>
      <c r="N37" s="102"/>
      <c r="O37" s="102">
        <v>356.25</v>
      </c>
      <c r="P37" s="102">
        <v>175</v>
      </c>
      <c r="Q37" s="102">
        <v>175</v>
      </c>
      <c r="R37" s="102">
        <v>182.5</v>
      </c>
      <c r="S37" s="102"/>
      <c r="T37" s="102">
        <v>350</v>
      </c>
      <c r="U37" s="102">
        <v>275</v>
      </c>
      <c r="V37" s="102">
        <v>350</v>
      </c>
      <c r="W37" s="102">
        <v>250</v>
      </c>
      <c r="X37" s="102">
        <v>350</v>
      </c>
      <c r="Y37" s="102">
        <v>375</v>
      </c>
      <c r="Z37" s="102">
        <v>175</v>
      </c>
      <c r="AA37" s="102">
        <v>175</v>
      </c>
      <c r="AB37" s="102">
        <v>200</v>
      </c>
      <c r="AC37" s="102"/>
      <c r="AD37" s="102">
        <v>350</v>
      </c>
      <c r="AE37" s="102">
        <v>275</v>
      </c>
      <c r="AF37" s="102"/>
      <c r="AG37" s="102">
        <v>250</v>
      </c>
      <c r="AH37" s="102">
        <v>300</v>
      </c>
      <c r="AI37" s="102">
        <v>350</v>
      </c>
      <c r="AJ37" s="102">
        <v>175</v>
      </c>
      <c r="AK37" s="102">
        <v>175</v>
      </c>
      <c r="AL37" s="102">
        <v>200</v>
      </c>
      <c r="AM37" s="102"/>
      <c r="AN37" s="102">
        <v>350</v>
      </c>
      <c r="AO37" s="102">
        <v>275</v>
      </c>
      <c r="AP37" s="102"/>
      <c r="AQ37" s="102">
        <v>250</v>
      </c>
      <c r="AR37" s="102">
        <v>306.25</v>
      </c>
      <c r="AS37" s="102">
        <v>325</v>
      </c>
      <c r="AT37" s="102">
        <v>175</v>
      </c>
      <c r="AU37" s="102">
        <v>180</v>
      </c>
      <c r="AV37" s="102">
        <v>200</v>
      </c>
      <c r="AW37" s="102"/>
      <c r="AX37" s="102">
        <v>350</v>
      </c>
      <c r="AY37" s="102">
        <v>275</v>
      </c>
      <c r="AZ37" s="102"/>
      <c r="BA37" s="102">
        <v>250</v>
      </c>
      <c r="BB37" s="102">
        <v>331.25</v>
      </c>
      <c r="BC37" s="104"/>
      <c r="BD37" s="104">
        <v>225</v>
      </c>
      <c r="BE37" s="104">
        <v>188.75</v>
      </c>
      <c r="BF37" s="104">
        <v>200</v>
      </c>
      <c r="BG37" s="104"/>
      <c r="BH37" s="104">
        <v>350</v>
      </c>
      <c r="BI37" s="104">
        <v>275</v>
      </c>
      <c r="BJ37" s="104"/>
      <c r="BK37" s="152">
        <v>253.33333333333334</v>
      </c>
      <c r="BL37" s="102">
        <v>400</v>
      </c>
      <c r="BM37" s="104"/>
      <c r="BN37" s="104">
        <v>175</v>
      </c>
      <c r="BO37" s="104">
        <v>200</v>
      </c>
      <c r="BP37" s="104">
        <v>200</v>
      </c>
      <c r="BQ37" s="104"/>
      <c r="BR37" s="104">
        <v>350</v>
      </c>
      <c r="BS37" s="104">
        <v>275</v>
      </c>
      <c r="BT37" s="104"/>
      <c r="BU37" s="152">
        <v>265</v>
      </c>
      <c r="BV37" s="102">
        <v>512.5</v>
      </c>
      <c r="BW37" s="104">
        <v>525</v>
      </c>
      <c r="BX37" s="104">
        <v>182.5</v>
      </c>
      <c r="BY37" s="104">
        <v>200</v>
      </c>
      <c r="BZ37" s="104">
        <v>200</v>
      </c>
      <c r="CA37" s="104" t="s">
        <v>105</v>
      </c>
      <c r="CB37" s="104">
        <v>350</v>
      </c>
      <c r="CC37" s="104">
        <v>280</v>
      </c>
      <c r="CD37" s="104" t="s">
        <v>105</v>
      </c>
      <c r="CE37" s="152">
        <v>270</v>
      </c>
      <c r="CF37" s="102">
        <v>462.5</v>
      </c>
      <c r="CG37" s="104">
        <v>512.5</v>
      </c>
      <c r="CH37" s="104">
        <v>180</v>
      </c>
      <c r="CI37" s="104">
        <v>196.25</v>
      </c>
      <c r="CJ37" s="104">
        <v>200</v>
      </c>
      <c r="CK37" s="104" t="s">
        <v>105</v>
      </c>
      <c r="CL37" s="104">
        <v>350</v>
      </c>
      <c r="CM37" s="104">
        <v>287.5</v>
      </c>
      <c r="CN37" s="104" t="s">
        <v>105</v>
      </c>
      <c r="CO37" s="152">
        <v>265</v>
      </c>
      <c r="CP37" s="102">
        <v>400</v>
      </c>
      <c r="CQ37" s="104">
        <v>466.66666666666669</v>
      </c>
      <c r="CR37" s="104">
        <v>175</v>
      </c>
      <c r="CS37" s="104">
        <v>185</v>
      </c>
      <c r="CT37" s="104">
        <v>200</v>
      </c>
      <c r="CU37" s="104"/>
      <c r="CV37" s="104">
        <v>350</v>
      </c>
      <c r="CW37" s="104">
        <v>276.66666666666669</v>
      </c>
      <c r="CX37" s="104"/>
      <c r="CY37" s="152">
        <v>260</v>
      </c>
      <c r="CZ37" s="102"/>
      <c r="DA37" s="104">
        <v>360</v>
      </c>
      <c r="DB37" s="104">
        <v>165</v>
      </c>
      <c r="DC37" s="104">
        <v>185</v>
      </c>
      <c r="DD37" s="104">
        <v>200</v>
      </c>
      <c r="DE37" s="104"/>
      <c r="DF37" s="104">
        <v>350</v>
      </c>
      <c r="DG37" s="104">
        <v>297.5</v>
      </c>
      <c r="DH37" s="104"/>
      <c r="DI37" s="152">
        <v>253.33333333333334</v>
      </c>
      <c r="DJ37" s="102"/>
      <c r="DK37" s="104">
        <v>466.66666666666669</v>
      </c>
      <c r="DL37" s="104">
        <v>150</v>
      </c>
      <c r="DM37" s="104">
        <v>187.5</v>
      </c>
      <c r="DN37" s="104">
        <v>200</v>
      </c>
      <c r="DO37" s="104"/>
      <c r="DP37" s="104">
        <v>350</v>
      </c>
      <c r="DQ37" s="104">
        <v>300</v>
      </c>
      <c r="DR37" s="104"/>
      <c r="DS37" s="152"/>
      <c r="DT37" s="102"/>
      <c r="DU37" s="104">
        <v>487.5</v>
      </c>
      <c r="DV37" s="104">
        <v>175</v>
      </c>
      <c r="DW37" s="104">
        <v>175</v>
      </c>
      <c r="DX37" s="104">
        <v>200</v>
      </c>
      <c r="DY37" s="104"/>
      <c r="DZ37" s="104">
        <v>350</v>
      </c>
      <c r="EA37" s="104">
        <v>225</v>
      </c>
      <c r="EB37" s="104"/>
      <c r="EC37" s="152">
        <v>275</v>
      </c>
    </row>
    <row r="38" spans="1:133" x14ac:dyDescent="0.25">
      <c r="A38" s="95">
        <v>40756</v>
      </c>
      <c r="B38" s="75">
        <v>305.303</v>
      </c>
      <c r="C38" s="75">
        <v>375</v>
      </c>
      <c r="D38" s="75">
        <v>220.15199999999999</v>
      </c>
      <c r="E38" s="75">
        <v>230.75800000000001</v>
      </c>
      <c r="F38" s="75">
        <v>221.06100000000001</v>
      </c>
      <c r="G38" s="75">
        <v>400</v>
      </c>
      <c r="H38" s="75">
        <v>336.81799999999998</v>
      </c>
      <c r="I38" s="75">
        <v>300.303</v>
      </c>
      <c r="J38" s="75">
        <v>300</v>
      </c>
      <c r="K38" s="75">
        <v>288.51900000000001</v>
      </c>
      <c r="N38" s="102"/>
      <c r="O38" s="102">
        <v>350</v>
      </c>
      <c r="P38" s="102">
        <v>190</v>
      </c>
      <c r="Q38" s="102">
        <v>200</v>
      </c>
      <c r="R38" s="102">
        <v>187.5</v>
      </c>
      <c r="S38" s="102"/>
      <c r="T38" s="102">
        <v>350</v>
      </c>
      <c r="U38" s="102">
        <v>275</v>
      </c>
      <c r="V38" s="102"/>
      <c r="W38" s="102">
        <v>243.75</v>
      </c>
      <c r="X38" s="102">
        <v>300</v>
      </c>
      <c r="Y38" s="102">
        <v>400</v>
      </c>
      <c r="Z38" s="102">
        <v>195</v>
      </c>
      <c r="AA38" s="102">
        <v>200</v>
      </c>
      <c r="AB38" s="102">
        <v>190</v>
      </c>
      <c r="AC38" s="102"/>
      <c r="AD38" s="102">
        <v>350</v>
      </c>
      <c r="AE38" s="102">
        <v>275</v>
      </c>
      <c r="AF38" s="102"/>
      <c r="AG38" s="102">
        <v>250</v>
      </c>
      <c r="AH38" s="102">
        <v>300</v>
      </c>
      <c r="AI38" s="102">
        <v>375</v>
      </c>
      <c r="AJ38" s="102">
        <v>200</v>
      </c>
      <c r="AK38" s="102">
        <v>200</v>
      </c>
      <c r="AL38" s="102">
        <v>186.66666666666666</v>
      </c>
      <c r="AM38" s="102"/>
      <c r="AN38" s="102">
        <v>350</v>
      </c>
      <c r="AO38" s="102">
        <v>275</v>
      </c>
      <c r="AP38" s="102"/>
      <c r="AQ38" s="102">
        <v>250</v>
      </c>
      <c r="AR38" s="102">
        <v>300</v>
      </c>
      <c r="AS38" s="102"/>
      <c r="AT38" s="102">
        <v>200</v>
      </c>
      <c r="AU38" s="102">
        <v>200</v>
      </c>
      <c r="AV38" s="102">
        <v>200</v>
      </c>
      <c r="AW38" s="102"/>
      <c r="AX38" s="102">
        <v>343.75</v>
      </c>
      <c r="AY38" s="102">
        <v>275</v>
      </c>
      <c r="AZ38" s="102"/>
      <c r="BA38" s="102">
        <v>250</v>
      </c>
      <c r="BB38" s="102">
        <v>312.5</v>
      </c>
      <c r="BC38" s="104"/>
      <c r="BD38" s="104">
        <v>200</v>
      </c>
      <c r="BE38" s="104">
        <v>200</v>
      </c>
      <c r="BF38" s="104">
        <v>200</v>
      </c>
      <c r="BG38" s="104"/>
      <c r="BH38" s="104">
        <v>325</v>
      </c>
      <c r="BI38" s="104">
        <v>275</v>
      </c>
      <c r="BJ38" s="104"/>
      <c r="BK38" s="152">
        <v>250</v>
      </c>
      <c r="BL38" s="102">
        <v>400</v>
      </c>
      <c r="BM38" s="104"/>
      <c r="BN38" s="104">
        <v>200</v>
      </c>
      <c r="BO38" s="104">
        <v>200</v>
      </c>
      <c r="BP38" s="104">
        <v>200</v>
      </c>
      <c r="BQ38" s="104"/>
      <c r="BR38" s="104">
        <v>325</v>
      </c>
      <c r="BS38" s="104">
        <v>275</v>
      </c>
      <c r="BT38" s="104"/>
      <c r="BU38" s="152">
        <v>256.25</v>
      </c>
      <c r="BV38" s="102">
        <v>431.25</v>
      </c>
      <c r="BW38" s="104">
        <v>550</v>
      </c>
      <c r="BX38" s="104">
        <v>200</v>
      </c>
      <c r="BY38" s="104">
        <v>200</v>
      </c>
      <c r="BZ38" s="104">
        <v>200</v>
      </c>
      <c r="CA38" s="104" t="s">
        <v>105</v>
      </c>
      <c r="CB38" s="104">
        <v>337.5</v>
      </c>
      <c r="CC38" s="104">
        <v>287.5</v>
      </c>
      <c r="CD38" s="104" t="s">
        <v>105</v>
      </c>
      <c r="CE38" s="152">
        <v>250</v>
      </c>
      <c r="CF38" s="102">
        <v>450</v>
      </c>
      <c r="CG38" s="104">
        <v>525</v>
      </c>
      <c r="CH38" s="104">
        <v>200</v>
      </c>
      <c r="CI38" s="104">
        <v>200</v>
      </c>
      <c r="CJ38" s="104">
        <v>200</v>
      </c>
      <c r="CK38" s="104" t="s">
        <v>105</v>
      </c>
      <c r="CL38" s="104">
        <v>350</v>
      </c>
      <c r="CM38" s="104">
        <v>275</v>
      </c>
      <c r="CN38" s="104" t="s">
        <v>105</v>
      </c>
      <c r="CO38" s="152">
        <v>250</v>
      </c>
      <c r="CP38" s="102"/>
      <c r="CQ38" s="104">
        <v>458.33333333333331</v>
      </c>
      <c r="CR38" s="104">
        <v>200</v>
      </c>
      <c r="CS38" s="104">
        <v>200</v>
      </c>
      <c r="CT38" s="104">
        <v>200</v>
      </c>
      <c r="CU38" s="104"/>
      <c r="CV38" s="104">
        <v>350</v>
      </c>
      <c r="CW38" s="104">
        <v>275</v>
      </c>
      <c r="CX38" s="104"/>
      <c r="CY38" s="152">
        <v>250</v>
      </c>
      <c r="CZ38" s="102"/>
      <c r="DA38" s="104">
        <v>360</v>
      </c>
      <c r="DB38" s="104">
        <v>174</v>
      </c>
      <c r="DC38" s="104">
        <v>196.25</v>
      </c>
      <c r="DD38" s="104">
        <v>200</v>
      </c>
      <c r="DE38" s="104"/>
      <c r="DF38" s="104">
        <v>350</v>
      </c>
      <c r="DG38" s="104">
        <v>300</v>
      </c>
      <c r="DH38" s="104"/>
      <c r="DI38" s="152">
        <v>300</v>
      </c>
      <c r="DJ38" s="102"/>
      <c r="DK38" s="104">
        <v>433.33333333333331</v>
      </c>
      <c r="DL38" s="104">
        <v>165</v>
      </c>
      <c r="DM38" s="104"/>
      <c r="DN38" s="104">
        <v>187.5</v>
      </c>
      <c r="DO38" s="104"/>
      <c r="DP38" s="104">
        <v>350</v>
      </c>
      <c r="DQ38" s="104">
        <v>300</v>
      </c>
      <c r="DR38" s="104"/>
      <c r="DS38" s="152">
        <v>283.33333333333331</v>
      </c>
      <c r="DT38" s="102"/>
      <c r="DU38" s="104">
        <v>450</v>
      </c>
      <c r="DV38" s="104">
        <v>177.5</v>
      </c>
      <c r="DW38" s="104">
        <v>200</v>
      </c>
      <c r="DX38" s="104">
        <v>193.75</v>
      </c>
      <c r="DY38" s="104"/>
      <c r="DZ38" s="104">
        <v>350</v>
      </c>
      <c r="EA38" s="104">
        <v>300</v>
      </c>
      <c r="EB38" s="104"/>
      <c r="EC38" s="152">
        <v>275</v>
      </c>
    </row>
    <row r="39" spans="1:133" x14ac:dyDescent="0.25">
      <c r="A39" s="95">
        <v>40787</v>
      </c>
      <c r="B39" s="75">
        <v>493</v>
      </c>
      <c r="C39" s="75">
        <v>519</v>
      </c>
      <c r="D39" s="75">
        <v>196</v>
      </c>
      <c r="E39" s="75">
        <v>209</v>
      </c>
      <c r="F39" s="75">
        <v>193</v>
      </c>
      <c r="G39" s="75">
        <v>408</v>
      </c>
      <c r="H39" s="75">
        <v>351</v>
      </c>
      <c r="I39" s="75">
        <v>290</v>
      </c>
      <c r="J39" s="75">
        <v>250</v>
      </c>
      <c r="K39" s="75">
        <v>272</v>
      </c>
      <c r="N39" s="102"/>
      <c r="O39" s="102">
        <v>400</v>
      </c>
      <c r="P39" s="102">
        <v>287.5</v>
      </c>
      <c r="Q39" s="102">
        <v>250</v>
      </c>
      <c r="R39" s="102">
        <v>243.75</v>
      </c>
      <c r="S39" s="102">
        <v>400</v>
      </c>
      <c r="T39" s="102">
        <v>375</v>
      </c>
      <c r="U39" s="102">
        <v>300</v>
      </c>
      <c r="V39" s="102"/>
      <c r="W39" s="102">
        <v>250</v>
      </c>
      <c r="X39" s="102">
        <v>300</v>
      </c>
      <c r="Y39" s="102">
        <v>400</v>
      </c>
      <c r="Z39" s="102">
        <v>300</v>
      </c>
      <c r="AA39" s="102">
        <v>250</v>
      </c>
      <c r="AB39" s="102">
        <v>250</v>
      </c>
      <c r="AC39" s="102"/>
      <c r="AD39" s="102">
        <v>400</v>
      </c>
      <c r="AE39" s="102">
        <v>300</v>
      </c>
      <c r="AF39" s="102"/>
      <c r="AG39" s="102">
        <v>250</v>
      </c>
      <c r="AH39" s="102">
        <v>283.33333333333331</v>
      </c>
      <c r="AI39" s="102">
        <v>400</v>
      </c>
      <c r="AJ39" s="102">
        <v>283.33333333333331</v>
      </c>
      <c r="AK39" s="102">
        <v>233.33333333333334</v>
      </c>
      <c r="AL39" s="102">
        <v>216.66666666666666</v>
      </c>
      <c r="AM39" s="102"/>
      <c r="AN39" s="102">
        <v>400</v>
      </c>
      <c r="AO39" s="102">
        <v>300</v>
      </c>
      <c r="AP39" s="102"/>
      <c r="AQ39" s="102">
        <v>250</v>
      </c>
      <c r="AR39" s="102">
        <v>287.5</v>
      </c>
      <c r="AS39" s="102">
        <v>375</v>
      </c>
      <c r="AT39" s="102">
        <v>250</v>
      </c>
      <c r="AU39" s="102">
        <v>200</v>
      </c>
      <c r="AV39" s="102">
        <v>156.25</v>
      </c>
      <c r="AW39" s="102"/>
      <c r="AX39" s="102">
        <v>400</v>
      </c>
      <c r="AY39" s="102">
        <v>300</v>
      </c>
      <c r="AZ39" s="102"/>
      <c r="BA39" s="102">
        <v>250</v>
      </c>
      <c r="BB39" s="102">
        <v>300</v>
      </c>
      <c r="BC39" s="104"/>
      <c r="BD39" s="104">
        <v>250</v>
      </c>
      <c r="BE39" s="104">
        <v>225</v>
      </c>
      <c r="BF39" s="104">
        <v>175</v>
      </c>
      <c r="BG39" s="104"/>
      <c r="BH39" s="104">
        <v>400</v>
      </c>
      <c r="BI39" s="104">
        <v>300</v>
      </c>
      <c r="BJ39" s="104"/>
      <c r="BK39" s="152">
        <v>250</v>
      </c>
      <c r="BL39" s="102">
        <v>325</v>
      </c>
      <c r="BM39" s="104"/>
      <c r="BN39" s="104">
        <v>250</v>
      </c>
      <c r="BO39" s="104">
        <v>237.5</v>
      </c>
      <c r="BP39" s="104">
        <v>175</v>
      </c>
      <c r="BQ39" s="104"/>
      <c r="BR39" s="104">
        <v>400</v>
      </c>
      <c r="BS39" s="104">
        <v>300</v>
      </c>
      <c r="BT39" s="104"/>
      <c r="BU39" s="152">
        <v>281.25</v>
      </c>
      <c r="BV39" s="102">
        <v>487.5</v>
      </c>
      <c r="BW39" s="104">
        <v>666.66666666666663</v>
      </c>
      <c r="BX39" s="104">
        <v>262.5</v>
      </c>
      <c r="BY39" s="104">
        <v>300</v>
      </c>
      <c r="BZ39" s="104">
        <v>187.5</v>
      </c>
      <c r="CA39" s="104" t="s">
        <v>105</v>
      </c>
      <c r="CB39" s="104">
        <v>400</v>
      </c>
      <c r="CC39" s="104">
        <v>300</v>
      </c>
      <c r="CD39" s="104" t="s">
        <v>105</v>
      </c>
      <c r="CE39" s="152">
        <v>300</v>
      </c>
      <c r="CF39" s="102">
        <v>437.5</v>
      </c>
      <c r="CG39" s="104">
        <v>550</v>
      </c>
      <c r="CH39" s="104">
        <v>262.5</v>
      </c>
      <c r="CI39" s="104">
        <v>275</v>
      </c>
      <c r="CJ39" s="104">
        <v>206.25</v>
      </c>
      <c r="CK39" s="104" t="s">
        <v>105</v>
      </c>
      <c r="CL39" s="104">
        <v>400</v>
      </c>
      <c r="CM39" s="104">
        <v>300</v>
      </c>
      <c r="CN39" s="104" t="s">
        <v>105</v>
      </c>
      <c r="CO39" s="152">
        <v>300</v>
      </c>
      <c r="CP39" s="102">
        <v>500</v>
      </c>
      <c r="CQ39" s="104">
        <v>600</v>
      </c>
      <c r="CR39" s="104">
        <v>250</v>
      </c>
      <c r="CS39" s="104">
        <v>266.66666666666669</v>
      </c>
      <c r="CT39" s="104">
        <v>200</v>
      </c>
      <c r="CU39" s="104"/>
      <c r="CV39" s="104">
        <v>400</v>
      </c>
      <c r="CW39" s="104">
        <v>300</v>
      </c>
      <c r="CX39" s="104"/>
      <c r="CY39" s="152">
        <v>300</v>
      </c>
      <c r="CZ39" s="102"/>
      <c r="DA39" s="104">
        <v>480</v>
      </c>
      <c r="DB39" s="104">
        <v>250</v>
      </c>
      <c r="DC39" s="104">
        <v>250</v>
      </c>
      <c r="DD39" s="104">
        <v>200</v>
      </c>
      <c r="DE39" s="104">
        <v>400</v>
      </c>
      <c r="DF39" s="104">
        <v>400</v>
      </c>
      <c r="DG39" s="104">
        <v>300</v>
      </c>
      <c r="DH39" s="104"/>
      <c r="DI39" s="152">
        <v>280</v>
      </c>
      <c r="DJ39" s="102"/>
      <c r="DK39" s="104">
        <v>466.66666666666669</v>
      </c>
      <c r="DL39" s="104">
        <v>250</v>
      </c>
      <c r="DM39" s="104">
        <v>266.66666666666669</v>
      </c>
      <c r="DN39" s="104">
        <v>183.33333333333334</v>
      </c>
      <c r="DO39" s="104"/>
      <c r="DP39" s="104">
        <v>400</v>
      </c>
      <c r="DQ39" s="104">
        <v>300</v>
      </c>
      <c r="DR39" s="104"/>
      <c r="DS39" s="152">
        <v>275</v>
      </c>
      <c r="DT39" s="102"/>
      <c r="DU39" s="104">
        <v>500</v>
      </c>
      <c r="DV39" s="104">
        <v>212.5</v>
      </c>
      <c r="DW39" s="104">
        <v>237.5</v>
      </c>
      <c r="DX39" s="104">
        <v>200</v>
      </c>
      <c r="DY39" s="104"/>
      <c r="DZ39" s="104">
        <v>387.5</v>
      </c>
      <c r="EA39" s="104">
        <v>300</v>
      </c>
      <c r="EB39" s="104"/>
      <c r="EC39" s="152">
        <v>275</v>
      </c>
    </row>
    <row r="40" spans="1:133" x14ac:dyDescent="0.25">
      <c r="A40" s="95">
        <v>40817</v>
      </c>
      <c r="B40" s="75">
        <v>329.16666666666669</v>
      </c>
      <c r="C40" s="75">
        <v>321.81818181818181</v>
      </c>
      <c r="D40" s="75">
        <v>224.81818181818181</v>
      </c>
      <c r="E40" s="75">
        <v>237.22727272727272</v>
      </c>
      <c r="F40" s="75">
        <v>221.8</v>
      </c>
      <c r="G40" s="75">
        <v>396.25</v>
      </c>
      <c r="H40" s="75">
        <v>345</v>
      </c>
      <c r="I40" s="75">
        <v>311.18181818181819</v>
      </c>
      <c r="J40" s="75">
        <v>300</v>
      </c>
      <c r="K40" s="75">
        <v>299.030303030303</v>
      </c>
      <c r="N40" s="102"/>
      <c r="O40" s="102">
        <v>350</v>
      </c>
      <c r="P40" s="102">
        <v>250</v>
      </c>
      <c r="Q40" s="102">
        <v>250</v>
      </c>
      <c r="R40" s="102">
        <v>250</v>
      </c>
      <c r="S40" s="102"/>
      <c r="T40" s="102">
        <v>350</v>
      </c>
      <c r="U40" s="102">
        <v>262.5</v>
      </c>
      <c r="V40" s="102"/>
      <c r="W40" s="102">
        <v>250</v>
      </c>
      <c r="X40" s="102"/>
      <c r="Y40" s="102">
        <v>400</v>
      </c>
      <c r="Z40" s="102">
        <v>250</v>
      </c>
      <c r="AA40" s="102">
        <v>250</v>
      </c>
      <c r="AB40" s="102">
        <v>225</v>
      </c>
      <c r="AC40" s="102"/>
      <c r="AD40" s="102">
        <v>362.5</v>
      </c>
      <c r="AE40" s="102">
        <v>275</v>
      </c>
      <c r="AF40" s="102"/>
      <c r="AG40" s="102">
        <v>262.5</v>
      </c>
      <c r="AH40" s="102">
        <v>266.66666666666669</v>
      </c>
      <c r="AI40" s="102">
        <v>350</v>
      </c>
      <c r="AJ40" s="102">
        <v>250</v>
      </c>
      <c r="AK40" s="102">
        <v>250</v>
      </c>
      <c r="AL40" s="102">
        <v>237.5</v>
      </c>
      <c r="AM40" s="102"/>
      <c r="AN40" s="102">
        <v>325</v>
      </c>
      <c r="AO40" s="102">
        <v>183.33333333333334</v>
      </c>
      <c r="AP40" s="102"/>
      <c r="AQ40" s="102">
        <v>275</v>
      </c>
      <c r="AR40" s="102">
        <v>275</v>
      </c>
      <c r="AS40" s="102">
        <v>350</v>
      </c>
      <c r="AT40" s="102">
        <v>250</v>
      </c>
      <c r="AU40" s="102">
        <v>243.75</v>
      </c>
      <c r="AV40" s="102">
        <v>225</v>
      </c>
      <c r="AW40" s="102"/>
      <c r="AX40" s="102">
        <v>350</v>
      </c>
      <c r="AY40" s="102">
        <v>262.5</v>
      </c>
      <c r="AZ40" s="102"/>
      <c r="BA40" s="102">
        <v>250</v>
      </c>
      <c r="BB40" s="102">
        <v>362.5</v>
      </c>
      <c r="BC40" s="104"/>
      <c r="BD40" s="104">
        <v>250</v>
      </c>
      <c r="BE40" s="104">
        <v>250</v>
      </c>
      <c r="BF40" s="104">
        <v>233.33333333333334</v>
      </c>
      <c r="BG40" s="104"/>
      <c r="BH40" s="104">
        <v>350</v>
      </c>
      <c r="BI40" s="104">
        <v>268.75</v>
      </c>
      <c r="BJ40" s="104"/>
      <c r="BK40" s="152">
        <v>187.5</v>
      </c>
      <c r="BL40" s="102">
        <v>450</v>
      </c>
      <c r="BM40" s="104"/>
      <c r="BN40" s="104">
        <v>250</v>
      </c>
      <c r="BO40" s="104">
        <v>250</v>
      </c>
      <c r="BP40" s="104">
        <v>225</v>
      </c>
      <c r="BQ40" s="104"/>
      <c r="BR40" s="104">
        <v>350</v>
      </c>
      <c r="BS40" s="104">
        <v>275</v>
      </c>
      <c r="BT40" s="104"/>
      <c r="BU40" s="152">
        <v>258.33333333333331</v>
      </c>
      <c r="BV40" s="102">
        <v>600</v>
      </c>
      <c r="BW40" s="104">
        <v>700</v>
      </c>
      <c r="BX40" s="104">
        <v>250</v>
      </c>
      <c r="BY40" s="104">
        <v>250</v>
      </c>
      <c r="BZ40" s="104">
        <v>225</v>
      </c>
      <c r="CA40" s="104" t="s">
        <v>105</v>
      </c>
      <c r="CB40" s="104">
        <v>350</v>
      </c>
      <c r="CC40" s="104">
        <v>300</v>
      </c>
      <c r="CD40" s="104" t="s">
        <v>105</v>
      </c>
      <c r="CE40" s="152">
        <v>268.75</v>
      </c>
      <c r="CF40" s="102">
        <v>525</v>
      </c>
      <c r="CG40" s="104">
        <v>550</v>
      </c>
      <c r="CH40" s="104">
        <v>237.5</v>
      </c>
      <c r="CI40" s="104">
        <v>243.75</v>
      </c>
      <c r="CJ40" s="104">
        <v>218.75</v>
      </c>
      <c r="CK40" s="104" t="s">
        <v>105</v>
      </c>
      <c r="CL40" s="104">
        <v>350</v>
      </c>
      <c r="CM40" s="104">
        <v>300</v>
      </c>
      <c r="CN40" s="104" t="s">
        <v>105</v>
      </c>
      <c r="CO40" s="152">
        <v>275</v>
      </c>
      <c r="CP40" s="102">
        <v>500</v>
      </c>
      <c r="CQ40" s="104">
        <v>483.33333333333331</v>
      </c>
      <c r="CR40" s="104">
        <v>250</v>
      </c>
      <c r="CS40" s="104">
        <v>250</v>
      </c>
      <c r="CT40" s="104">
        <v>216.66666666666666</v>
      </c>
      <c r="CU40" s="104"/>
      <c r="CV40" s="104">
        <v>350</v>
      </c>
      <c r="CW40" s="104">
        <v>300</v>
      </c>
      <c r="CX40" s="104"/>
      <c r="CY40" s="152">
        <v>283.33333333333331</v>
      </c>
      <c r="CZ40" s="102"/>
      <c r="DA40" s="104">
        <v>410</v>
      </c>
      <c r="DB40" s="104">
        <v>250</v>
      </c>
      <c r="DC40" s="104">
        <v>250</v>
      </c>
      <c r="DD40" s="104">
        <v>225</v>
      </c>
      <c r="DE40" s="104">
        <v>350</v>
      </c>
      <c r="DF40" s="104">
        <v>350</v>
      </c>
      <c r="DG40" s="104">
        <v>300</v>
      </c>
      <c r="DH40" s="104"/>
      <c r="DI40" s="152">
        <v>300</v>
      </c>
      <c r="DJ40" s="102"/>
      <c r="DK40" s="104">
        <v>450</v>
      </c>
      <c r="DL40" s="104">
        <v>250</v>
      </c>
      <c r="DM40" s="104">
        <v>250</v>
      </c>
      <c r="DN40" s="104">
        <v>233.33333333333334</v>
      </c>
      <c r="DO40" s="104"/>
      <c r="DP40" s="104">
        <v>375</v>
      </c>
      <c r="DQ40" s="104">
        <v>300</v>
      </c>
      <c r="DR40" s="104"/>
      <c r="DS40" s="152">
        <v>300</v>
      </c>
      <c r="DT40" s="102"/>
      <c r="DU40" s="104">
        <v>475</v>
      </c>
      <c r="DV40" s="104">
        <v>250</v>
      </c>
      <c r="DW40" s="104">
        <v>243.75</v>
      </c>
      <c r="DX40" s="104">
        <v>231.25</v>
      </c>
      <c r="DY40" s="104">
        <v>366.66666666666669</v>
      </c>
      <c r="DZ40" s="104">
        <v>350</v>
      </c>
      <c r="EA40" s="104">
        <v>300</v>
      </c>
      <c r="EB40" s="104"/>
      <c r="EC40" s="152">
        <v>287.5</v>
      </c>
    </row>
    <row r="41" spans="1:133" x14ac:dyDescent="0.25">
      <c r="A41" s="95">
        <v>40848</v>
      </c>
      <c r="B41" s="75" t="s">
        <v>105</v>
      </c>
      <c r="C41" s="75">
        <v>295</v>
      </c>
      <c r="D41" s="75">
        <v>223</v>
      </c>
      <c r="E41" s="75">
        <v>231</v>
      </c>
      <c r="F41" s="75">
        <v>215</v>
      </c>
      <c r="G41" s="75">
        <v>372</v>
      </c>
      <c r="H41" s="75">
        <v>347</v>
      </c>
      <c r="I41" s="75">
        <v>311</v>
      </c>
      <c r="J41" s="75" t="s">
        <v>105</v>
      </c>
      <c r="K41" s="75">
        <v>288</v>
      </c>
      <c r="N41" s="102"/>
      <c r="O41" s="102">
        <v>387.5</v>
      </c>
      <c r="P41" s="102">
        <v>200</v>
      </c>
      <c r="Q41" s="102">
        <v>200</v>
      </c>
      <c r="R41" s="102">
        <v>200</v>
      </c>
      <c r="S41" s="102"/>
      <c r="T41" s="102">
        <v>350</v>
      </c>
      <c r="U41" s="102">
        <v>262.5</v>
      </c>
      <c r="V41" s="102"/>
      <c r="W41" s="102"/>
      <c r="X41" s="102">
        <v>200</v>
      </c>
      <c r="Y41" s="102">
        <v>400</v>
      </c>
      <c r="Z41" s="102">
        <v>200</v>
      </c>
      <c r="AA41" s="102">
        <v>200</v>
      </c>
      <c r="AB41" s="102">
        <v>200</v>
      </c>
      <c r="AC41" s="102"/>
      <c r="AD41" s="102">
        <v>350</v>
      </c>
      <c r="AE41" s="102">
        <v>275</v>
      </c>
      <c r="AF41" s="102"/>
      <c r="AG41" s="102"/>
      <c r="AH41" s="102">
        <v>333.33333333333331</v>
      </c>
      <c r="AI41" s="102">
        <v>400</v>
      </c>
      <c r="AJ41" s="102">
        <v>200</v>
      </c>
      <c r="AK41" s="102">
        <v>200</v>
      </c>
      <c r="AL41" s="102">
        <v>200</v>
      </c>
      <c r="AM41" s="102"/>
      <c r="AN41" s="102">
        <v>350</v>
      </c>
      <c r="AO41" s="102">
        <v>275</v>
      </c>
      <c r="AP41" s="102"/>
      <c r="AQ41" s="102"/>
      <c r="AR41" s="102">
        <v>337.5</v>
      </c>
      <c r="AS41" s="102">
        <v>466.66666666666669</v>
      </c>
      <c r="AT41" s="102">
        <v>200</v>
      </c>
      <c r="AU41" s="102">
        <v>212.5</v>
      </c>
      <c r="AV41" s="102">
        <v>200</v>
      </c>
      <c r="AW41" s="102"/>
      <c r="AX41" s="102">
        <v>356.25</v>
      </c>
      <c r="AY41" s="102">
        <v>275</v>
      </c>
      <c r="AZ41" s="102"/>
      <c r="BA41" s="102">
        <v>275</v>
      </c>
      <c r="BB41" s="102">
        <v>337.5</v>
      </c>
      <c r="BC41" s="104">
        <v>400</v>
      </c>
      <c r="BD41" s="104">
        <v>200</v>
      </c>
      <c r="BE41" s="104">
        <v>225</v>
      </c>
      <c r="BF41" s="104">
        <v>200</v>
      </c>
      <c r="BG41" s="104"/>
      <c r="BH41" s="104">
        <v>350</v>
      </c>
      <c r="BI41" s="104">
        <v>275</v>
      </c>
      <c r="BJ41" s="104"/>
      <c r="BK41" s="152">
        <v>275</v>
      </c>
      <c r="BL41" s="102">
        <v>437.5</v>
      </c>
      <c r="BM41" s="104"/>
      <c r="BN41" s="104">
        <v>200</v>
      </c>
      <c r="BO41" s="104">
        <v>225</v>
      </c>
      <c r="BP41" s="104">
        <v>200</v>
      </c>
      <c r="BQ41" s="104"/>
      <c r="BR41" s="104">
        <v>350</v>
      </c>
      <c r="BS41" s="104">
        <v>275</v>
      </c>
      <c r="BT41" s="104"/>
      <c r="BU41" s="152">
        <v>275</v>
      </c>
      <c r="BV41" s="102">
        <v>562.5</v>
      </c>
      <c r="BW41" s="104">
        <v>625</v>
      </c>
      <c r="BX41" s="104">
        <v>200</v>
      </c>
      <c r="BY41" s="104">
        <v>225</v>
      </c>
      <c r="BZ41" s="104">
        <v>200</v>
      </c>
      <c r="CA41" s="104" t="s">
        <v>105</v>
      </c>
      <c r="CB41" s="104">
        <v>350</v>
      </c>
      <c r="CC41" s="104">
        <v>275</v>
      </c>
      <c r="CD41" s="104" t="s">
        <v>105</v>
      </c>
      <c r="CE41" s="152">
        <v>275</v>
      </c>
      <c r="CF41" s="102">
        <v>500</v>
      </c>
      <c r="CG41" s="104">
        <v>600</v>
      </c>
      <c r="CH41" s="104">
        <v>200</v>
      </c>
      <c r="CI41" s="104">
        <v>218.75</v>
      </c>
      <c r="CJ41" s="104">
        <v>200</v>
      </c>
      <c r="CK41" s="104" t="s">
        <v>105</v>
      </c>
      <c r="CL41" s="104">
        <v>350</v>
      </c>
      <c r="CM41" s="104">
        <v>293.75</v>
      </c>
      <c r="CN41" s="104" t="s">
        <v>105</v>
      </c>
      <c r="CO41" s="104" t="s">
        <v>105</v>
      </c>
      <c r="CP41" s="102">
        <v>400</v>
      </c>
      <c r="CQ41" s="104">
        <v>500</v>
      </c>
      <c r="CR41" s="104">
        <v>187.5</v>
      </c>
      <c r="CS41" s="104">
        <v>212.5</v>
      </c>
      <c r="CT41" s="104">
        <v>200</v>
      </c>
      <c r="CU41" s="104"/>
      <c r="CV41" s="104">
        <v>350</v>
      </c>
      <c r="CW41" s="104">
        <v>287.5</v>
      </c>
      <c r="CX41" s="104"/>
      <c r="CY41" s="152"/>
      <c r="CZ41" s="102"/>
      <c r="DA41" s="104">
        <v>430</v>
      </c>
      <c r="DB41" s="104">
        <v>185</v>
      </c>
      <c r="DC41" s="104">
        <v>225</v>
      </c>
      <c r="DD41" s="104"/>
      <c r="DE41" s="104"/>
      <c r="DF41" s="104">
        <v>350</v>
      </c>
      <c r="DG41" s="104">
        <v>300</v>
      </c>
      <c r="DH41" s="104"/>
      <c r="DI41" s="152"/>
      <c r="DJ41" s="102"/>
      <c r="DK41" s="104">
        <v>450</v>
      </c>
      <c r="DL41" s="104">
        <v>166.66666666666666</v>
      </c>
      <c r="DM41" s="104">
        <v>208.33333333333334</v>
      </c>
      <c r="DN41" s="104">
        <v>200</v>
      </c>
      <c r="DO41" s="104"/>
      <c r="DP41" s="104">
        <v>350</v>
      </c>
      <c r="DQ41" s="104">
        <v>300</v>
      </c>
      <c r="DR41" s="104"/>
      <c r="DS41" s="152"/>
      <c r="DT41" s="102"/>
      <c r="DU41" s="104">
        <v>550</v>
      </c>
      <c r="DV41" s="104">
        <v>200</v>
      </c>
      <c r="DW41" s="104">
        <v>200</v>
      </c>
      <c r="DX41" s="104">
        <v>200</v>
      </c>
      <c r="DY41" s="104"/>
      <c r="DZ41" s="104">
        <v>350</v>
      </c>
      <c r="EA41" s="104">
        <v>300</v>
      </c>
      <c r="EB41" s="104"/>
      <c r="EC41" s="152"/>
    </row>
    <row r="42" spans="1:133" x14ac:dyDescent="0.25">
      <c r="A42" s="95">
        <v>40878</v>
      </c>
      <c r="B42" s="75" t="s">
        <v>105</v>
      </c>
      <c r="C42" s="75">
        <v>296</v>
      </c>
      <c r="D42" s="75">
        <v>224</v>
      </c>
      <c r="E42" s="75">
        <v>240</v>
      </c>
      <c r="F42" s="75">
        <v>227</v>
      </c>
      <c r="G42" s="75">
        <v>406</v>
      </c>
      <c r="H42" s="75">
        <v>361</v>
      </c>
      <c r="I42" s="75">
        <v>313</v>
      </c>
      <c r="J42" s="75" t="s">
        <v>105</v>
      </c>
      <c r="K42" s="75">
        <v>292</v>
      </c>
      <c r="N42" s="102"/>
      <c r="O42" s="102">
        <v>343.75</v>
      </c>
      <c r="P42" s="102">
        <v>145</v>
      </c>
      <c r="Q42" s="102">
        <v>157.5</v>
      </c>
      <c r="R42" s="102">
        <v>157.5</v>
      </c>
      <c r="S42" s="102">
        <v>416.66666666666669</v>
      </c>
      <c r="T42" s="102">
        <v>337.5</v>
      </c>
      <c r="U42" s="102">
        <v>262.5</v>
      </c>
      <c r="V42" s="102"/>
      <c r="W42" s="102">
        <v>247.5</v>
      </c>
      <c r="X42" s="102">
        <v>275</v>
      </c>
      <c r="Y42" s="102">
        <v>350</v>
      </c>
      <c r="Z42" s="102">
        <v>140</v>
      </c>
      <c r="AA42" s="102">
        <v>150</v>
      </c>
      <c r="AB42" s="102">
        <v>155</v>
      </c>
      <c r="AC42" s="102">
        <v>425</v>
      </c>
      <c r="AD42" s="102">
        <v>325</v>
      </c>
      <c r="AE42" s="102">
        <v>262.5</v>
      </c>
      <c r="AF42" s="102"/>
      <c r="AG42" s="102">
        <v>245</v>
      </c>
      <c r="AH42" s="102">
        <v>283.33333333333331</v>
      </c>
      <c r="AI42" s="102">
        <v>350</v>
      </c>
      <c r="AJ42" s="102">
        <v>141.66666666666666</v>
      </c>
      <c r="AK42" s="102">
        <v>156.66666666666666</v>
      </c>
      <c r="AL42" s="102">
        <v>156.66666666666666</v>
      </c>
      <c r="AM42" s="102">
        <v>396.66666666666669</v>
      </c>
      <c r="AN42" s="102">
        <v>325</v>
      </c>
      <c r="AO42" s="102">
        <v>255</v>
      </c>
      <c r="AP42" s="102"/>
      <c r="AQ42" s="102">
        <v>240</v>
      </c>
      <c r="AR42" s="102">
        <v>287.5</v>
      </c>
      <c r="AS42" s="102">
        <v>350</v>
      </c>
      <c r="AT42" s="102">
        <v>146.25</v>
      </c>
      <c r="AU42" s="102">
        <v>172.5</v>
      </c>
      <c r="AV42" s="102">
        <v>158.75</v>
      </c>
      <c r="AW42" s="102">
        <v>397.5</v>
      </c>
      <c r="AX42" s="102">
        <v>325</v>
      </c>
      <c r="AY42" s="102">
        <v>250</v>
      </c>
      <c r="AZ42" s="102"/>
      <c r="BA42" s="102">
        <v>240</v>
      </c>
      <c r="BB42" s="102">
        <v>293.75</v>
      </c>
      <c r="BC42" s="104"/>
      <c r="BD42" s="104">
        <v>153.75</v>
      </c>
      <c r="BE42" s="104">
        <v>178.75</v>
      </c>
      <c r="BF42" s="104">
        <v>176.25</v>
      </c>
      <c r="BG42" s="104">
        <v>400</v>
      </c>
      <c r="BH42" s="104">
        <v>343.75</v>
      </c>
      <c r="BI42" s="104">
        <v>256.25</v>
      </c>
      <c r="BJ42" s="104"/>
      <c r="BK42" s="152">
        <v>230</v>
      </c>
      <c r="BL42" s="102">
        <v>393.75</v>
      </c>
      <c r="BM42" s="104"/>
      <c r="BN42" s="104">
        <v>157.5</v>
      </c>
      <c r="BO42" s="104">
        <v>187.5</v>
      </c>
      <c r="BP42" s="104">
        <v>180</v>
      </c>
      <c r="BQ42" s="104">
        <v>400</v>
      </c>
      <c r="BR42" s="104">
        <v>350</v>
      </c>
      <c r="BS42" s="104">
        <v>262.5</v>
      </c>
      <c r="BT42" s="104"/>
      <c r="BU42" s="152">
        <v>235</v>
      </c>
      <c r="BV42" s="102">
        <v>450</v>
      </c>
      <c r="BW42" s="104">
        <v>537.5</v>
      </c>
      <c r="BX42" s="104">
        <v>158.75</v>
      </c>
      <c r="BY42" s="104">
        <v>192.5</v>
      </c>
      <c r="BZ42" s="104">
        <v>172.5</v>
      </c>
      <c r="CA42" s="104">
        <v>400</v>
      </c>
      <c r="CB42" s="104">
        <v>350</v>
      </c>
      <c r="CC42" s="104">
        <v>277.5</v>
      </c>
      <c r="CD42" s="104" t="s">
        <v>105</v>
      </c>
      <c r="CE42" s="152">
        <v>265</v>
      </c>
      <c r="CF42" s="102">
        <v>431.25</v>
      </c>
      <c r="CG42" s="104">
        <v>525</v>
      </c>
      <c r="CH42" s="104">
        <v>146.25</v>
      </c>
      <c r="CI42" s="104">
        <v>191.25</v>
      </c>
      <c r="CJ42" s="104">
        <v>163.75</v>
      </c>
      <c r="CK42" s="104">
        <v>400</v>
      </c>
      <c r="CL42" s="104">
        <v>341.25</v>
      </c>
      <c r="CM42" s="104">
        <v>293.75</v>
      </c>
      <c r="CN42" s="104" t="s">
        <v>105</v>
      </c>
      <c r="CO42" s="152">
        <v>275</v>
      </c>
      <c r="CP42" s="102">
        <v>500</v>
      </c>
      <c r="CQ42" s="104">
        <v>483.33333333333331</v>
      </c>
      <c r="CR42" s="104">
        <v>121.66666666666667</v>
      </c>
      <c r="CS42" s="104">
        <v>173.33333333333334</v>
      </c>
      <c r="CT42" s="104">
        <v>151.66666666666666</v>
      </c>
      <c r="CU42" s="104">
        <v>400</v>
      </c>
      <c r="CV42" s="104">
        <v>323.33333333333331</v>
      </c>
      <c r="CW42" s="104">
        <v>296.66666666666669</v>
      </c>
      <c r="CX42" s="104"/>
      <c r="CY42" s="152">
        <v>272.5</v>
      </c>
      <c r="CZ42" s="102"/>
      <c r="DA42" s="104">
        <v>400</v>
      </c>
      <c r="DB42" s="104">
        <v>116</v>
      </c>
      <c r="DC42" s="104">
        <v>174</v>
      </c>
      <c r="DD42" s="104">
        <v>156</v>
      </c>
      <c r="DE42" s="104">
        <v>400</v>
      </c>
      <c r="DF42" s="104">
        <v>334</v>
      </c>
      <c r="DG42" s="104">
        <v>296</v>
      </c>
      <c r="DH42" s="104"/>
      <c r="DI42" s="152">
        <v>272</v>
      </c>
      <c r="DJ42" s="102"/>
      <c r="DK42" s="104">
        <v>425</v>
      </c>
      <c r="DL42" s="104">
        <v>130</v>
      </c>
      <c r="DM42" s="104">
        <v>178.33333333333334</v>
      </c>
      <c r="DN42" s="104">
        <v>141.66666666666666</v>
      </c>
      <c r="DO42" s="104">
        <v>396.66666666666669</v>
      </c>
      <c r="DP42" s="104">
        <v>340</v>
      </c>
      <c r="DQ42" s="104">
        <v>303.33333333333331</v>
      </c>
      <c r="DR42" s="104"/>
      <c r="DS42" s="152">
        <v>260</v>
      </c>
      <c r="DT42" s="102"/>
      <c r="DU42" s="104">
        <v>462.5</v>
      </c>
      <c r="DV42" s="104">
        <v>155</v>
      </c>
      <c r="DW42" s="104">
        <v>166.25</v>
      </c>
      <c r="DX42" s="104">
        <v>151.25</v>
      </c>
      <c r="DY42" s="104">
        <v>400</v>
      </c>
      <c r="DZ42" s="104">
        <v>340</v>
      </c>
      <c r="EA42" s="104">
        <v>300</v>
      </c>
      <c r="EB42" s="104"/>
      <c r="EC42" s="152">
        <v>267.5</v>
      </c>
    </row>
    <row r="43" spans="1:133" x14ac:dyDescent="0.25">
      <c r="A43" s="95">
        <v>40909</v>
      </c>
      <c r="B43" s="75" t="s">
        <v>105</v>
      </c>
      <c r="C43" s="75">
        <v>293.75</v>
      </c>
      <c r="D43" s="75">
        <v>224.31818181818181</v>
      </c>
      <c r="E43" s="75">
        <v>236.59090909090909</v>
      </c>
      <c r="F43" s="75">
        <v>228.75</v>
      </c>
      <c r="G43" s="75">
        <v>422.91666666666669</v>
      </c>
      <c r="H43" s="75">
        <v>391.81818181818181</v>
      </c>
      <c r="I43" s="75">
        <v>311.89393939393938</v>
      </c>
      <c r="J43" s="75">
        <v>311.5</v>
      </c>
      <c r="K43" s="75">
        <v>294.65909090909093</v>
      </c>
      <c r="N43" s="102"/>
      <c r="O43" s="102">
        <v>362.5</v>
      </c>
      <c r="P43" s="102">
        <v>177.5</v>
      </c>
      <c r="Q43" s="102">
        <v>171.25</v>
      </c>
      <c r="R43" s="102">
        <v>171.25</v>
      </c>
      <c r="S43" s="102"/>
      <c r="T43" s="102">
        <v>350</v>
      </c>
      <c r="U43" s="102">
        <v>281.25</v>
      </c>
      <c r="V43" s="102"/>
      <c r="W43" s="102">
        <v>275</v>
      </c>
      <c r="X43" s="102"/>
      <c r="Y43" s="102">
        <v>400</v>
      </c>
      <c r="Z43" s="102"/>
      <c r="AA43" s="102">
        <v>150</v>
      </c>
      <c r="AB43" s="102">
        <v>150</v>
      </c>
      <c r="AC43" s="102">
        <v>400</v>
      </c>
      <c r="AD43" s="102">
        <v>350</v>
      </c>
      <c r="AE43" s="102">
        <v>0</v>
      </c>
      <c r="AF43" s="102"/>
      <c r="AG43" s="102"/>
      <c r="AH43" s="102">
        <v>350</v>
      </c>
      <c r="AI43" s="102">
        <v>400</v>
      </c>
      <c r="AJ43" s="102">
        <v>175</v>
      </c>
      <c r="AK43" s="102">
        <v>166.66666666666666</v>
      </c>
      <c r="AL43" s="102">
        <v>166.66666666666666</v>
      </c>
      <c r="AM43" s="102">
        <v>400</v>
      </c>
      <c r="AN43" s="102">
        <v>350</v>
      </c>
      <c r="AO43" s="102"/>
      <c r="AP43" s="102"/>
      <c r="AQ43" s="102">
        <v>300</v>
      </c>
      <c r="AR43" s="102">
        <v>350</v>
      </c>
      <c r="AS43" s="102">
        <v>400</v>
      </c>
      <c r="AT43" s="102">
        <v>175</v>
      </c>
      <c r="AU43" s="102">
        <v>150</v>
      </c>
      <c r="AV43" s="102">
        <v>150</v>
      </c>
      <c r="AW43" s="102">
        <v>400</v>
      </c>
      <c r="AX43" s="102">
        <v>350</v>
      </c>
      <c r="AY43" s="102">
        <v>300</v>
      </c>
      <c r="AZ43" s="102"/>
      <c r="BA43" s="102">
        <v>300</v>
      </c>
      <c r="BB43" s="102">
        <v>350</v>
      </c>
      <c r="BC43" s="104"/>
      <c r="BD43" s="104">
        <v>175</v>
      </c>
      <c r="BE43" s="104">
        <v>150</v>
      </c>
      <c r="BF43" s="104">
        <v>150</v>
      </c>
      <c r="BG43" s="104">
        <v>400</v>
      </c>
      <c r="BH43" s="104">
        <v>350</v>
      </c>
      <c r="BI43" s="104">
        <v>300</v>
      </c>
      <c r="BJ43" s="104"/>
      <c r="BK43" s="152">
        <v>300</v>
      </c>
      <c r="BL43" s="102">
        <v>437.5</v>
      </c>
      <c r="BM43" s="104"/>
      <c r="BN43" s="104">
        <v>175</v>
      </c>
      <c r="BO43" s="104">
        <v>150</v>
      </c>
      <c r="BP43" s="104">
        <v>150</v>
      </c>
      <c r="BQ43" s="104">
        <v>400</v>
      </c>
      <c r="BR43" s="104">
        <v>350</v>
      </c>
      <c r="BS43" s="104">
        <v>300</v>
      </c>
      <c r="BT43" s="104"/>
      <c r="BU43" s="152">
        <v>300</v>
      </c>
      <c r="BV43" s="102">
        <v>500</v>
      </c>
      <c r="BW43" s="104">
        <v>600</v>
      </c>
      <c r="BX43" s="104">
        <v>175</v>
      </c>
      <c r="BY43" s="104">
        <v>150</v>
      </c>
      <c r="BZ43" s="104">
        <v>150</v>
      </c>
      <c r="CA43" s="104">
        <v>400</v>
      </c>
      <c r="CB43" s="104">
        <v>350</v>
      </c>
      <c r="CC43" s="104">
        <v>300</v>
      </c>
      <c r="CD43" s="104" t="s">
        <v>105</v>
      </c>
      <c r="CE43" s="152">
        <v>300</v>
      </c>
      <c r="CF43" s="102">
        <v>466.66666666666669</v>
      </c>
      <c r="CG43" s="104">
        <v>550</v>
      </c>
      <c r="CH43" s="104">
        <v>175</v>
      </c>
      <c r="CI43" s="104">
        <v>150</v>
      </c>
      <c r="CJ43" s="104">
        <v>150</v>
      </c>
      <c r="CK43" s="104">
        <v>400</v>
      </c>
      <c r="CL43" s="104">
        <v>350</v>
      </c>
      <c r="CM43" s="104">
        <v>300</v>
      </c>
      <c r="CN43" s="104" t="s">
        <v>105</v>
      </c>
      <c r="CO43" s="152">
        <v>300</v>
      </c>
      <c r="CP43" s="102"/>
      <c r="CQ43" s="104">
        <v>566.66666666666663</v>
      </c>
      <c r="CR43" s="104">
        <v>175</v>
      </c>
      <c r="CS43" s="104">
        <v>150</v>
      </c>
      <c r="CT43" s="104">
        <v>150</v>
      </c>
      <c r="CU43" s="104"/>
      <c r="CV43" s="104">
        <v>350</v>
      </c>
      <c r="CW43" s="104">
        <v>300</v>
      </c>
      <c r="CX43" s="104">
        <v>250</v>
      </c>
      <c r="CY43" s="152"/>
      <c r="CZ43" s="102"/>
      <c r="DA43" s="104">
        <v>340</v>
      </c>
      <c r="DB43" s="104">
        <v>165</v>
      </c>
      <c r="DC43" s="104">
        <v>150</v>
      </c>
      <c r="DD43" s="104">
        <v>140</v>
      </c>
      <c r="DE43" s="104"/>
      <c r="DF43" s="104">
        <v>380</v>
      </c>
      <c r="DG43" s="104">
        <v>300</v>
      </c>
      <c r="DH43" s="104">
        <v>250</v>
      </c>
      <c r="DI43" s="152">
        <v>275</v>
      </c>
      <c r="DJ43" s="102"/>
      <c r="DK43" s="104">
        <v>466.66666666666669</v>
      </c>
      <c r="DL43" s="104">
        <v>150</v>
      </c>
      <c r="DM43" s="104">
        <v>125</v>
      </c>
      <c r="DN43" s="104">
        <v>125</v>
      </c>
      <c r="DO43" s="104"/>
      <c r="DP43" s="104">
        <v>366.66666666666669</v>
      </c>
      <c r="DQ43" s="104">
        <v>300</v>
      </c>
      <c r="DR43" s="104">
        <v>275</v>
      </c>
      <c r="DS43" s="152">
        <v>275</v>
      </c>
      <c r="DT43" s="102"/>
      <c r="DU43" s="104">
        <v>500</v>
      </c>
      <c r="DV43" s="104">
        <v>131.25</v>
      </c>
      <c r="DW43" s="104">
        <v>125</v>
      </c>
      <c r="DX43" s="104">
        <v>125</v>
      </c>
      <c r="DY43" s="104"/>
      <c r="DZ43" s="104">
        <v>350</v>
      </c>
      <c r="EA43" s="104">
        <v>300</v>
      </c>
      <c r="EB43" s="104"/>
      <c r="EC43" s="152">
        <v>275</v>
      </c>
    </row>
    <row r="44" spans="1:133" x14ac:dyDescent="0.25">
      <c r="A44" s="95">
        <v>40940</v>
      </c>
      <c r="B44" s="75">
        <v>302</v>
      </c>
      <c r="C44" s="75">
        <v>342</v>
      </c>
      <c r="D44" s="75">
        <v>223</v>
      </c>
      <c r="E44" s="75">
        <v>240</v>
      </c>
      <c r="F44" s="75">
        <v>229</v>
      </c>
      <c r="G44" s="75">
        <v>452</v>
      </c>
      <c r="H44" s="75">
        <v>432</v>
      </c>
      <c r="I44" s="75">
        <v>319</v>
      </c>
      <c r="J44" s="75">
        <v>315</v>
      </c>
      <c r="K44" s="75">
        <v>299</v>
      </c>
      <c r="N44" s="102"/>
      <c r="O44" s="102">
        <v>400</v>
      </c>
      <c r="P44" s="102">
        <v>175</v>
      </c>
      <c r="Q44" s="102">
        <v>150</v>
      </c>
      <c r="R44" s="102">
        <v>152.5</v>
      </c>
      <c r="S44" s="102"/>
      <c r="T44" s="102">
        <v>350</v>
      </c>
      <c r="U44" s="102">
        <v>275</v>
      </c>
      <c r="V44" s="102"/>
      <c r="W44" s="102"/>
      <c r="X44" s="102"/>
      <c r="Y44" s="102">
        <v>400</v>
      </c>
      <c r="Z44" s="102">
        <v>175</v>
      </c>
      <c r="AA44" s="102">
        <v>150</v>
      </c>
      <c r="AB44" s="102">
        <v>162.5</v>
      </c>
      <c r="AC44" s="102"/>
      <c r="AD44" s="102">
        <v>350</v>
      </c>
      <c r="AE44" s="102">
        <v>275</v>
      </c>
      <c r="AF44" s="102"/>
      <c r="AG44" s="102"/>
      <c r="AH44" s="102">
        <v>350</v>
      </c>
      <c r="AI44" s="102">
        <v>433.33333333333331</v>
      </c>
      <c r="AJ44" s="102">
        <v>175</v>
      </c>
      <c r="AK44" s="102">
        <v>150</v>
      </c>
      <c r="AL44" s="102">
        <v>150</v>
      </c>
      <c r="AM44" s="102"/>
      <c r="AN44" s="102">
        <v>350</v>
      </c>
      <c r="AO44" s="102">
        <v>275</v>
      </c>
      <c r="AP44" s="102"/>
      <c r="AQ44" s="102"/>
      <c r="AR44" s="102">
        <v>350</v>
      </c>
      <c r="AS44" s="102">
        <v>437.5</v>
      </c>
      <c r="AT44" s="102">
        <v>175</v>
      </c>
      <c r="AU44" s="102">
        <v>150</v>
      </c>
      <c r="AV44" s="102">
        <v>150</v>
      </c>
      <c r="AW44" s="102"/>
      <c r="AX44" s="102">
        <v>350</v>
      </c>
      <c r="AY44" s="102">
        <v>275</v>
      </c>
      <c r="AZ44" s="102"/>
      <c r="BA44" s="102"/>
      <c r="BB44" s="102">
        <v>400</v>
      </c>
      <c r="BC44" s="104"/>
      <c r="BD44" s="104">
        <v>175</v>
      </c>
      <c r="BE44" s="104">
        <v>156.25</v>
      </c>
      <c r="BF44" s="104">
        <v>156.25</v>
      </c>
      <c r="BG44" s="104"/>
      <c r="BH44" s="104">
        <v>350</v>
      </c>
      <c r="BI44" s="104">
        <v>275</v>
      </c>
      <c r="BJ44" s="104"/>
      <c r="BK44" s="152"/>
      <c r="BL44" s="102">
        <v>475</v>
      </c>
      <c r="BM44" s="104"/>
      <c r="BN44" s="104">
        <v>181.25</v>
      </c>
      <c r="BO44" s="104">
        <v>175</v>
      </c>
      <c r="BP44" s="104">
        <v>168.75</v>
      </c>
      <c r="BQ44" s="104"/>
      <c r="BR44" s="104">
        <v>350</v>
      </c>
      <c r="BS44" s="104">
        <v>275</v>
      </c>
      <c r="BT44" s="104"/>
      <c r="BU44" s="152"/>
      <c r="BV44" s="102">
        <v>650</v>
      </c>
      <c r="BW44" s="104">
        <v>650</v>
      </c>
      <c r="BX44" s="104">
        <v>200</v>
      </c>
      <c r="BY44" s="104">
        <v>187.5</v>
      </c>
      <c r="BZ44" s="104">
        <v>175</v>
      </c>
      <c r="CA44" s="104"/>
      <c r="CB44" s="104">
        <v>350</v>
      </c>
      <c r="CC44" s="104">
        <v>286.25</v>
      </c>
      <c r="CD44" s="104" t="s">
        <v>105</v>
      </c>
      <c r="CE44" s="152">
        <v>285</v>
      </c>
      <c r="CF44" s="102">
        <v>525</v>
      </c>
      <c r="CG44" s="104">
        <v>550</v>
      </c>
      <c r="CH44" s="104">
        <v>200</v>
      </c>
      <c r="CI44" s="104">
        <v>200</v>
      </c>
      <c r="CJ44" s="104">
        <v>175</v>
      </c>
      <c r="CK44" s="104"/>
      <c r="CL44" s="104">
        <v>350</v>
      </c>
      <c r="CM44" s="104">
        <v>290</v>
      </c>
      <c r="CN44" s="104" t="s">
        <v>105</v>
      </c>
      <c r="CO44" s="104" t="s">
        <v>105</v>
      </c>
      <c r="CP44" s="102">
        <v>600</v>
      </c>
      <c r="CQ44" s="104">
        <v>633.33333333333337</v>
      </c>
      <c r="CR44" s="104">
        <v>191.66666666666666</v>
      </c>
      <c r="CS44" s="104">
        <v>191.66666666666666</v>
      </c>
      <c r="CT44" s="104">
        <v>175</v>
      </c>
      <c r="CU44" s="104"/>
      <c r="CV44" s="104">
        <v>350</v>
      </c>
      <c r="CW44" s="104">
        <v>290</v>
      </c>
      <c r="CX44" s="104"/>
      <c r="CY44" s="152">
        <v>280</v>
      </c>
      <c r="CZ44" s="102"/>
      <c r="DA44" s="104">
        <v>520</v>
      </c>
      <c r="DB44" s="104">
        <v>175</v>
      </c>
      <c r="DC44" s="104">
        <v>175</v>
      </c>
      <c r="DD44" s="104">
        <v>175</v>
      </c>
      <c r="DE44" s="104"/>
      <c r="DF44" s="104">
        <v>350</v>
      </c>
      <c r="DG44" s="104">
        <v>300</v>
      </c>
      <c r="DH44" s="104"/>
      <c r="DI44" s="152"/>
      <c r="DJ44" s="102"/>
      <c r="DK44" s="104">
        <v>533.33333333333337</v>
      </c>
      <c r="DL44" s="104">
        <v>175</v>
      </c>
      <c r="DM44" s="104">
        <v>250</v>
      </c>
      <c r="DN44" s="104">
        <v>166.66666666666666</v>
      </c>
      <c r="DO44" s="104"/>
      <c r="DP44" s="104">
        <v>350</v>
      </c>
      <c r="DQ44" s="104">
        <v>303.33333333333331</v>
      </c>
      <c r="DR44" s="104"/>
      <c r="DS44" s="152"/>
      <c r="DT44" s="102"/>
      <c r="DU44" s="104">
        <v>537.5</v>
      </c>
      <c r="DV44" s="104">
        <v>156.25</v>
      </c>
      <c r="DW44" s="104">
        <v>150</v>
      </c>
      <c r="DX44" s="104">
        <v>150</v>
      </c>
      <c r="DY44" s="104"/>
      <c r="DZ44" s="104">
        <v>337.5</v>
      </c>
      <c r="EA44" s="104">
        <v>300</v>
      </c>
      <c r="EB44" s="104">
        <v>290</v>
      </c>
      <c r="EC44" s="152">
        <v>300</v>
      </c>
    </row>
    <row r="45" spans="1:133" x14ac:dyDescent="0.25">
      <c r="A45" s="95">
        <v>40969</v>
      </c>
      <c r="B45" s="75">
        <v>348.63636363636363</v>
      </c>
      <c r="C45" s="75">
        <v>450.22727272727275</v>
      </c>
      <c r="D45" s="75">
        <v>223</v>
      </c>
      <c r="E45" s="75">
        <v>239.8</v>
      </c>
      <c r="F45" s="75">
        <v>232.44444444444446</v>
      </c>
      <c r="G45" s="75">
        <v>520</v>
      </c>
      <c r="H45" s="75">
        <v>490.46296296296288</v>
      </c>
      <c r="I45" s="75">
        <v>318.81818181818181</v>
      </c>
      <c r="J45" s="75">
        <v>311</v>
      </c>
      <c r="K45" s="75">
        <v>296.2</v>
      </c>
      <c r="N45" s="102"/>
      <c r="O45" s="102">
        <v>375</v>
      </c>
      <c r="P45" s="102">
        <v>200</v>
      </c>
      <c r="Q45" s="102">
        <v>231.25</v>
      </c>
      <c r="R45" s="102">
        <v>200</v>
      </c>
      <c r="S45" s="102">
        <v>437.5</v>
      </c>
      <c r="T45" s="102">
        <v>362.5</v>
      </c>
      <c r="U45" s="102">
        <v>300</v>
      </c>
      <c r="V45" s="102"/>
      <c r="W45" s="102"/>
      <c r="X45" s="102"/>
      <c r="Y45" s="102">
        <v>375</v>
      </c>
      <c r="Z45" s="102">
        <v>200</v>
      </c>
      <c r="AA45" s="102">
        <v>200</v>
      </c>
      <c r="AB45" s="102">
        <v>200</v>
      </c>
      <c r="AC45" s="102">
        <v>450</v>
      </c>
      <c r="AD45" s="102">
        <v>350</v>
      </c>
      <c r="AE45" s="102">
        <v>300</v>
      </c>
      <c r="AF45" s="102"/>
      <c r="AG45" s="102"/>
      <c r="AH45" s="102">
        <v>333.33333333333331</v>
      </c>
      <c r="AI45" s="102">
        <v>366.66666666666669</v>
      </c>
      <c r="AJ45" s="102">
        <v>200</v>
      </c>
      <c r="AK45" s="102">
        <v>200</v>
      </c>
      <c r="AL45" s="102">
        <v>200</v>
      </c>
      <c r="AM45" s="102">
        <v>441.66666666666669</v>
      </c>
      <c r="AN45" s="102">
        <v>350</v>
      </c>
      <c r="AO45" s="102">
        <v>300</v>
      </c>
      <c r="AP45" s="102"/>
      <c r="AQ45" s="102"/>
      <c r="AR45" s="102">
        <v>337.5</v>
      </c>
      <c r="AS45" s="102">
        <v>400</v>
      </c>
      <c r="AT45" s="102">
        <v>200</v>
      </c>
      <c r="AU45" s="102">
        <v>200</v>
      </c>
      <c r="AV45" s="102">
        <v>200</v>
      </c>
      <c r="AW45" s="102">
        <v>443.75</v>
      </c>
      <c r="AX45" s="102">
        <v>350</v>
      </c>
      <c r="AY45" s="102">
        <v>300</v>
      </c>
      <c r="AZ45" s="102"/>
      <c r="BA45" s="102">
        <v>300</v>
      </c>
      <c r="BB45" s="102">
        <v>350</v>
      </c>
      <c r="BC45" s="104"/>
      <c r="BD45" s="104">
        <v>200</v>
      </c>
      <c r="BE45" s="104">
        <v>200</v>
      </c>
      <c r="BF45" s="104">
        <v>200</v>
      </c>
      <c r="BG45" s="104">
        <v>450</v>
      </c>
      <c r="BH45" s="104">
        <v>343.75</v>
      </c>
      <c r="BI45" s="104">
        <v>281.25</v>
      </c>
      <c r="BJ45" s="104"/>
      <c r="BK45" s="152">
        <v>300</v>
      </c>
      <c r="BL45" s="102">
        <v>412.5</v>
      </c>
      <c r="BM45" s="104"/>
      <c r="BN45" s="104">
        <v>206.25</v>
      </c>
      <c r="BO45" s="104">
        <v>231.25</v>
      </c>
      <c r="BP45" s="104">
        <v>218.75</v>
      </c>
      <c r="BQ45" s="104">
        <v>450</v>
      </c>
      <c r="BR45" s="104">
        <v>350</v>
      </c>
      <c r="BS45" s="104">
        <v>300</v>
      </c>
      <c r="BT45" s="104"/>
      <c r="BU45" s="152"/>
      <c r="BV45" s="102">
        <v>600</v>
      </c>
      <c r="BW45" s="104">
        <v>400</v>
      </c>
      <c r="BX45" s="104">
        <v>225</v>
      </c>
      <c r="BY45" s="104">
        <v>225</v>
      </c>
      <c r="BZ45" s="104">
        <v>225</v>
      </c>
      <c r="CA45" s="104">
        <v>437.5</v>
      </c>
      <c r="CB45" s="104">
        <v>350</v>
      </c>
      <c r="CC45" s="104">
        <v>300</v>
      </c>
      <c r="CD45" s="104" t="s">
        <v>105</v>
      </c>
      <c r="CE45" s="152"/>
      <c r="CF45" s="102">
        <v>525</v>
      </c>
      <c r="CG45" s="104">
        <v>550</v>
      </c>
      <c r="CH45" s="104">
        <v>218.75</v>
      </c>
      <c r="CI45" s="104">
        <v>225</v>
      </c>
      <c r="CJ45" s="104">
        <v>225</v>
      </c>
      <c r="CK45" s="104">
        <v>437.5</v>
      </c>
      <c r="CL45" s="104">
        <v>350</v>
      </c>
      <c r="CM45" s="104">
        <v>293.75</v>
      </c>
      <c r="CN45" s="104" t="s">
        <v>105</v>
      </c>
      <c r="CO45" s="104" t="s">
        <v>105</v>
      </c>
      <c r="CP45" s="102">
        <v>566.66666666666663</v>
      </c>
      <c r="CQ45" s="104">
        <v>566.66666666666663</v>
      </c>
      <c r="CR45" s="104">
        <v>208.33333333333334</v>
      </c>
      <c r="CS45" s="104">
        <v>233.33333333333334</v>
      </c>
      <c r="CT45" s="104">
        <v>225</v>
      </c>
      <c r="CU45" s="104">
        <v>433.33333333333331</v>
      </c>
      <c r="CV45" s="104">
        <v>350</v>
      </c>
      <c r="CW45" s="104">
        <v>300</v>
      </c>
      <c r="CX45" s="104"/>
      <c r="CY45" s="152"/>
      <c r="CZ45" s="102">
        <v>500</v>
      </c>
      <c r="DA45" s="104">
        <v>430</v>
      </c>
      <c r="DB45" s="104">
        <v>200</v>
      </c>
      <c r="DC45" s="104">
        <v>230</v>
      </c>
      <c r="DD45" s="104">
        <v>215</v>
      </c>
      <c r="DE45" s="104">
        <v>425</v>
      </c>
      <c r="DF45" s="104">
        <v>350</v>
      </c>
      <c r="DG45" s="104">
        <v>300</v>
      </c>
      <c r="DH45" s="104">
        <v>300</v>
      </c>
      <c r="DI45" s="152"/>
      <c r="DJ45" s="102"/>
      <c r="DK45" s="104">
        <v>416.66666666666669</v>
      </c>
      <c r="DL45" s="104">
        <v>200</v>
      </c>
      <c r="DM45" s="104">
        <v>233.33333333333334</v>
      </c>
      <c r="DN45" s="104">
        <v>225</v>
      </c>
      <c r="DO45" s="104">
        <v>425</v>
      </c>
      <c r="DP45" s="104">
        <v>350</v>
      </c>
      <c r="DQ45" s="104">
        <v>300</v>
      </c>
      <c r="DR45" s="104"/>
      <c r="DS45" s="152"/>
      <c r="DT45" s="102"/>
      <c r="DU45" s="104">
        <v>500</v>
      </c>
      <c r="DV45" s="104">
        <v>200</v>
      </c>
      <c r="DW45" s="104">
        <v>237.5</v>
      </c>
      <c r="DX45" s="104">
        <v>218.75</v>
      </c>
      <c r="DY45" s="104">
        <v>425</v>
      </c>
      <c r="DZ45" s="104">
        <v>350</v>
      </c>
      <c r="EA45" s="104">
        <v>300</v>
      </c>
      <c r="EB45" s="104"/>
      <c r="EC45" s="152"/>
    </row>
    <row r="46" spans="1:133" ht="15.75" thickBot="1" x14ac:dyDescent="0.3">
      <c r="A46" s="95">
        <v>41000</v>
      </c>
      <c r="B46" s="75">
        <v>257</v>
      </c>
      <c r="C46" s="75">
        <v>346</v>
      </c>
      <c r="D46" s="75">
        <v>226</v>
      </c>
      <c r="E46" s="75">
        <v>245</v>
      </c>
      <c r="F46" s="75">
        <v>232</v>
      </c>
      <c r="G46" s="75">
        <v>550</v>
      </c>
      <c r="H46" s="75">
        <v>475</v>
      </c>
      <c r="I46" s="75">
        <v>307</v>
      </c>
      <c r="J46" s="75">
        <v>305</v>
      </c>
      <c r="K46" s="75">
        <v>292</v>
      </c>
      <c r="N46" s="161"/>
      <c r="O46" s="161">
        <v>364.77272727272725</v>
      </c>
      <c r="P46" s="161">
        <v>201.13636363636363</v>
      </c>
      <c r="Q46" s="161">
        <v>201.47727272727272</v>
      </c>
      <c r="R46" s="161">
        <v>196.13636363636363</v>
      </c>
      <c r="S46" s="161">
        <v>410.83333333333337</v>
      </c>
      <c r="T46" s="161">
        <v>350.56818181818181</v>
      </c>
      <c r="U46" s="161">
        <v>272.5</v>
      </c>
      <c r="V46" s="161">
        <v>300</v>
      </c>
      <c r="W46" s="161">
        <v>252.8125</v>
      </c>
      <c r="X46" s="161">
        <v>282.14285714285717</v>
      </c>
      <c r="Y46" s="161">
        <v>378.40909090909093</v>
      </c>
      <c r="Z46" s="161">
        <v>203.5</v>
      </c>
      <c r="AA46" s="161">
        <v>194.31818181818181</v>
      </c>
      <c r="AB46" s="161">
        <v>195</v>
      </c>
      <c r="AC46" s="161">
        <v>415</v>
      </c>
      <c r="AD46" s="161">
        <v>353.40909090909093</v>
      </c>
      <c r="AE46" s="161">
        <v>249.54545454545453</v>
      </c>
      <c r="AF46" s="161">
        <v>250</v>
      </c>
      <c r="AG46" s="161">
        <v>251.07142857142858</v>
      </c>
      <c r="AH46" s="161">
        <v>306.81818181818187</v>
      </c>
      <c r="AI46" s="161">
        <v>375</v>
      </c>
      <c r="AJ46" s="161">
        <v>200.75757575757572</v>
      </c>
      <c r="AK46" s="161">
        <v>196.06060606060609</v>
      </c>
      <c r="AL46" s="161">
        <v>194.469696969697</v>
      </c>
      <c r="AM46" s="161">
        <v>407.66666666666669</v>
      </c>
      <c r="AN46" s="161">
        <v>349.24242424242425</v>
      </c>
      <c r="AO46" s="161">
        <v>265.83333333333331</v>
      </c>
      <c r="AP46" s="161">
        <v>250</v>
      </c>
      <c r="AQ46" s="161">
        <v>260.20833333333337</v>
      </c>
      <c r="AR46" s="161">
        <v>311.36363636363637</v>
      </c>
      <c r="AS46" s="161">
        <v>382.91666666666663</v>
      </c>
      <c r="AT46" s="161">
        <v>199.09090909090909</v>
      </c>
      <c r="AU46" s="161">
        <v>193.97727272727272</v>
      </c>
      <c r="AV46" s="161">
        <v>187.15909090909091</v>
      </c>
      <c r="AW46" s="161">
        <v>408.25</v>
      </c>
      <c r="AX46" s="161">
        <v>350</v>
      </c>
      <c r="AY46" s="161">
        <v>276.13636363636363</v>
      </c>
      <c r="AZ46" s="161">
        <v>250</v>
      </c>
      <c r="BA46" s="161">
        <v>262.75</v>
      </c>
      <c r="BB46" s="161">
        <v>331.25</v>
      </c>
      <c r="BC46" s="162">
        <v>400</v>
      </c>
      <c r="BD46" s="162">
        <v>202.04545454545453</v>
      </c>
      <c r="BE46" s="162">
        <v>201.02272727272728</v>
      </c>
      <c r="BF46" s="162">
        <v>190.64393939393938</v>
      </c>
      <c r="BG46" s="162">
        <v>410</v>
      </c>
      <c r="BH46" s="162">
        <v>349.43181818181819</v>
      </c>
      <c r="BI46" s="162">
        <v>275</v>
      </c>
      <c r="BJ46" s="162">
        <v>250</v>
      </c>
      <c r="BK46" s="163">
        <v>256.45833333333337</v>
      </c>
      <c r="BL46" s="161">
        <v>410.22727272727275</v>
      </c>
      <c r="BM46" s="162"/>
      <c r="BN46" s="162">
        <v>201.25</v>
      </c>
      <c r="BO46" s="162">
        <v>207.95454545454547</v>
      </c>
      <c r="BP46" s="162">
        <v>193.06818181818181</v>
      </c>
      <c r="BQ46" s="162">
        <v>410</v>
      </c>
      <c r="BR46" s="162">
        <v>350</v>
      </c>
      <c r="BS46" s="162">
        <v>277.84090909090907</v>
      </c>
      <c r="BT46" s="162">
        <v>256.25</v>
      </c>
      <c r="BU46" s="163">
        <v>264.81481481481478</v>
      </c>
      <c r="BV46" s="161">
        <v>519.31818181818187</v>
      </c>
      <c r="BW46" s="162">
        <v>580.68181818181813</v>
      </c>
      <c r="BX46" s="162">
        <v>206.02272727272728</v>
      </c>
      <c r="BY46" s="162">
        <v>214.65909090909091</v>
      </c>
      <c r="BZ46" s="162">
        <v>195.22727272727272</v>
      </c>
      <c r="CA46" s="162">
        <v>407.5</v>
      </c>
      <c r="CB46" s="162">
        <v>351.70454545454544</v>
      </c>
      <c r="CC46" s="162">
        <v>285.22727272727275</v>
      </c>
      <c r="CD46" s="162">
        <v>262.5</v>
      </c>
      <c r="CE46" s="163">
        <v>273.875</v>
      </c>
      <c r="CF46" s="161">
        <v>465.15151515151507</v>
      </c>
      <c r="CG46" s="162">
        <v>534.09090909090912</v>
      </c>
      <c r="CH46" s="162">
        <v>203.52272727272728</v>
      </c>
      <c r="CI46" s="162">
        <v>212.5</v>
      </c>
      <c r="CJ46" s="162">
        <v>196.13636363636363</v>
      </c>
      <c r="CK46" s="162">
        <v>407.5</v>
      </c>
      <c r="CL46" s="162">
        <v>352.04545454545456</v>
      </c>
      <c r="CM46" s="162">
        <v>289.43181818181819</v>
      </c>
      <c r="CN46" s="162">
        <v>275</v>
      </c>
      <c r="CO46" s="163">
        <v>277.14285714285717</v>
      </c>
      <c r="CP46" s="161">
        <v>492.70833333333331</v>
      </c>
      <c r="CQ46" s="162">
        <v>518.93939393939399</v>
      </c>
      <c r="CR46" s="162">
        <v>196.13636363636368</v>
      </c>
      <c r="CS46" s="162">
        <v>208.71212121212122</v>
      </c>
      <c r="CT46" s="162">
        <v>193.33333333333337</v>
      </c>
      <c r="CU46" s="162">
        <v>408.33333333333331</v>
      </c>
      <c r="CV46" s="162">
        <v>351.36363636363643</v>
      </c>
      <c r="CW46" s="162">
        <v>290.22727272727275</v>
      </c>
      <c r="CX46" s="162">
        <v>250</v>
      </c>
      <c r="CY46" s="163">
        <v>272.02380952380952</v>
      </c>
      <c r="CZ46" s="161">
        <v>500</v>
      </c>
      <c r="DA46" s="162">
        <v>400.90909090909093</v>
      </c>
      <c r="DB46" s="162">
        <v>186.36363636363637</v>
      </c>
      <c r="DC46" s="162">
        <v>205.47727272727272</v>
      </c>
      <c r="DD46" s="162">
        <v>192.6</v>
      </c>
      <c r="DE46" s="162">
        <v>395.83333333333331</v>
      </c>
      <c r="DF46" s="162">
        <v>353.54545454545456</v>
      </c>
      <c r="DG46" s="162">
        <v>297.13636363636363</v>
      </c>
      <c r="DH46" s="162">
        <v>287.5</v>
      </c>
      <c r="DI46" s="163">
        <v>280.76190476190476</v>
      </c>
      <c r="DJ46" s="161"/>
      <c r="DK46" s="162">
        <v>444.69696969696975</v>
      </c>
      <c r="DL46" s="162">
        <v>184.69696969696972</v>
      </c>
      <c r="DM46" s="162">
        <v>209.91666666666666</v>
      </c>
      <c r="DN46" s="162">
        <v>189.01515151515153</v>
      </c>
      <c r="DO46" s="162">
        <v>405.41666666666669</v>
      </c>
      <c r="DP46" s="162">
        <v>355.90909090909088</v>
      </c>
      <c r="DQ46" s="162">
        <v>298.33333333333337</v>
      </c>
      <c r="DR46" s="162">
        <v>287.5</v>
      </c>
      <c r="DS46" s="163">
        <v>280.83333333333331</v>
      </c>
      <c r="DT46" s="161"/>
      <c r="DU46" s="162">
        <v>481.81818181818181</v>
      </c>
      <c r="DV46" s="162">
        <v>184.54545454545453</v>
      </c>
      <c r="DW46" s="162">
        <v>195</v>
      </c>
      <c r="DX46" s="162">
        <v>189.88636363636363</v>
      </c>
      <c r="DY46" s="162">
        <v>398.33333333333337</v>
      </c>
      <c r="DZ46" s="162">
        <v>349.09090909090907</v>
      </c>
      <c r="EA46" s="162">
        <v>291.25</v>
      </c>
      <c r="EB46" s="162">
        <v>295</v>
      </c>
      <c r="EC46" s="163">
        <v>281.875</v>
      </c>
    </row>
    <row r="47" spans="1:133" x14ac:dyDescent="0.25">
      <c r="A47" s="95">
        <v>41030</v>
      </c>
      <c r="B47" s="75">
        <v>234.09090909090909</v>
      </c>
      <c r="C47" s="75">
        <v>330.55555555555554</v>
      </c>
      <c r="D47" s="75">
        <v>230.22727272727272</v>
      </c>
      <c r="E47" s="75">
        <v>251.5</v>
      </c>
      <c r="F47" s="75">
        <v>236.11111111111111</v>
      </c>
      <c r="G47" s="75">
        <v>462.5</v>
      </c>
      <c r="H47" s="75">
        <v>448.5</v>
      </c>
      <c r="I47" s="75">
        <v>294.25</v>
      </c>
      <c r="J47" s="75">
        <v>295.71428571428572</v>
      </c>
      <c r="K47" s="75">
        <v>286.5625</v>
      </c>
    </row>
    <row r="48" spans="1:133" x14ac:dyDescent="0.25">
      <c r="A48" s="95">
        <v>41061</v>
      </c>
      <c r="B48" s="75">
        <v>232.38636363636363</v>
      </c>
      <c r="C48" s="75">
        <v>500</v>
      </c>
      <c r="D48" s="75">
        <v>235</v>
      </c>
      <c r="E48" s="75">
        <v>261.25</v>
      </c>
      <c r="F48" s="75">
        <v>241.25</v>
      </c>
      <c r="G48" s="75">
        <v>456.25</v>
      </c>
      <c r="H48" s="75">
        <v>449.88636363636363</v>
      </c>
      <c r="I48" s="75">
        <v>293.75</v>
      </c>
      <c r="J48" s="75">
        <v>293.09523809523807</v>
      </c>
      <c r="K48" s="75">
        <v>278.88888888888891</v>
      </c>
    </row>
    <row r="49" spans="1:133" ht="15.75" thickBot="1" x14ac:dyDescent="0.3">
      <c r="A49" s="95">
        <v>41091</v>
      </c>
      <c r="B49" s="75">
        <v>331.36363636363637</v>
      </c>
      <c r="C49" s="75" t="s">
        <v>105</v>
      </c>
      <c r="D49" s="75">
        <v>248.63636363636363</v>
      </c>
      <c r="E49" s="75">
        <v>270</v>
      </c>
      <c r="F49" s="75">
        <v>249.80555555555554</v>
      </c>
      <c r="G49" s="75">
        <v>458.75</v>
      </c>
      <c r="H49" s="75">
        <v>448.45454545454544</v>
      </c>
      <c r="I49" s="75">
        <v>297.54545454545456</v>
      </c>
      <c r="J49" s="75">
        <v>293.375</v>
      </c>
      <c r="K49" s="75">
        <v>290.62962962962962</v>
      </c>
      <c r="N49" s="172">
        <v>2011</v>
      </c>
    </row>
    <row r="50" spans="1:133" x14ac:dyDescent="0.25">
      <c r="A50" s="95">
        <v>41122</v>
      </c>
      <c r="B50" s="75">
        <v>432.95454545454544</v>
      </c>
      <c r="C50" s="75">
        <v>496.21212121212119</v>
      </c>
      <c r="D50" s="75">
        <v>263.06818181818181</v>
      </c>
      <c r="E50" s="75">
        <v>282.38636363636363</v>
      </c>
      <c r="F50" s="75">
        <v>250.55555555555554</v>
      </c>
      <c r="G50" s="75">
        <v>475</v>
      </c>
      <c r="H50" s="75">
        <v>447.72727272727275</v>
      </c>
      <c r="I50" s="75">
        <v>295</v>
      </c>
      <c r="J50" s="75">
        <v>293.57142857142856</v>
      </c>
      <c r="K50" s="75">
        <v>283.21428571428572</v>
      </c>
      <c r="N50" s="108"/>
      <c r="O50" s="109"/>
      <c r="P50" s="109"/>
      <c r="Q50" s="109"/>
      <c r="R50" s="110"/>
      <c r="S50" s="111" t="s">
        <v>165</v>
      </c>
      <c r="T50" s="111"/>
      <c r="U50" s="109"/>
      <c r="V50" s="109"/>
      <c r="W50" s="112"/>
      <c r="X50" s="118"/>
      <c r="Y50" s="109"/>
      <c r="Z50" s="109"/>
      <c r="AA50" s="109"/>
      <c r="AB50" s="109"/>
      <c r="AC50" s="109"/>
      <c r="AD50" s="110"/>
      <c r="AE50" s="111" t="s">
        <v>165</v>
      </c>
      <c r="AF50" s="111"/>
      <c r="AG50" s="112"/>
      <c r="AH50" s="118"/>
      <c r="AI50" s="109"/>
      <c r="AJ50" s="109"/>
      <c r="AK50" s="109"/>
      <c r="AL50" s="109"/>
      <c r="AM50" s="109"/>
      <c r="AN50" s="110"/>
      <c r="AO50" s="111" t="s">
        <v>165</v>
      </c>
      <c r="AP50" s="111"/>
      <c r="AQ50" s="112"/>
      <c r="AR50" s="118"/>
      <c r="AS50" s="109"/>
      <c r="AT50" s="109"/>
      <c r="AU50" s="109"/>
      <c r="AV50" s="109"/>
      <c r="AW50" s="109"/>
      <c r="AX50" s="110"/>
      <c r="AY50" s="111" t="s">
        <v>165</v>
      </c>
      <c r="AZ50" s="111"/>
      <c r="BA50" s="112"/>
      <c r="BB50" s="118"/>
      <c r="BC50" s="109"/>
      <c r="BD50" s="109"/>
      <c r="BE50" s="109"/>
      <c r="BF50" s="109"/>
      <c r="BG50" s="109"/>
      <c r="BH50" s="110"/>
      <c r="BI50" s="111" t="s">
        <v>165</v>
      </c>
      <c r="BJ50" s="111"/>
      <c r="BK50" s="112"/>
      <c r="BL50" s="118"/>
      <c r="BM50" s="109"/>
      <c r="BN50" s="109"/>
      <c r="BO50" s="109"/>
      <c r="BP50" s="109"/>
      <c r="BQ50" s="109"/>
      <c r="BR50" s="110"/>
      <c r="BS50" s="111" t="s">
        <v>165</v>
      </c>
      <c r="BT50" s="111"/>
      <c r="BU50" s="112"/>
      <c r="BV50" s="118"/>
      <c r="BW50" s="109"/>
      <c r="BX50" s="109"/>
      <c r="BY50" s="109"/>
      <c r="BZ50" s="109"/>
      <c r="CA50" s="109"/>
      <c r="CB50" s="110"/>
      <c r="CC50" s="111" t="s">
        <v>165</v>
      </c>
      <c r="CD50" s="111"/>
      <c r="CE50" s="112"/>
      <c r="CF50" s="118"/>
      <c r="CG50" s="109"/>
      <c r="CH50" s="109"/>
      <c r="CI50" s="109"/>
      <c r="CJ50" s="109"/>
      <c r="CK50" s="109"/>
      <c r="CL50" s="110"/>
      <c r="CM50" s="111" t="s">
        <v>165</v>
      </c>
      <c r="CN50" s="111"/>
      <c r="CO50" s="112"/>
      <c r="CP50" s="118"/>
      <c r="CQ50" s="109"/>
      <c r="CR50" s="109"/>
      <c r="CS50" s="109"/>
      <c r="CT50" s="109"/>
      <c r="CU50" s="109"/>
      <c r="CV50" s="110"/>
      <c r="CW50" s="111" t="s">
        <v>165</v>
      </c>
      <c r="CX50" s="111"/>
      <c r="CY50" s="112"/>
      <c r="CZ50" s="118"/>
      <c r="DA50" s="109"/>
      <c r="DB50" s="109"/>
      <c r="DC50" s="109"/>
      <c r="DD50" s="109"/>
      <c r="DE50" s="109"/>
      <c r="DF50" s="110"/>
      <c r="DG50" s="111" t="s">
        <v>165</v>
      </c>
      <c r="DH50" s="111"/>
      <c r="DI50" s="112"/>
      <c r="DJ50" s="109"/>
      <c r="DK50" s="109"/>
      <c r="DL50" s="109"/>
      <c r="DM50" s="109"/>
      <c r="DN50" s="110"/>
      <c r="DO50" s="111" t="s">
        <v>165</v>
      </c>
      <c r="DP50" s="111"/>
      <c r="DQ50" s="109"/>
      <c r="DR50" s="109"/>
      <c r="DS50" s="109"/>
      <c r="DT50" s="109"/>
      <c r="DU50" s="109"/>
      <c r="DV50" s="109"/>
      <c r="DW50" s="109"/>
      <c r="DX50" s="110"/>
      <c r="DY50" s="111" t="s">
        <v>165</v>
      </c>
      <c r="DZ50" s="111"/>
      <c r="EA50" s="109"/>
      <c r="EB50" s="109"/>
      <c r="EC50" s="109"/>
    </row>
    <row r="51" spans="1:133" ht="15.75" thickBot="1" x14ac:dyDescent="0.3">
      <c r="A51" s="95">
        <v>41153</v>
      </c>
      <c r="B51" s="75">
        <v>323.375</v>
      </c>
      <c r="C51" s="75">
        <v>396.81818181818181</v>
      </c>
      <c r="D51" s="75">
        <v>272.38636363636363</v>
      </c>
      <c r="E51" s="75">
        <v>287.63636363636363</v>
      </c>
      <c r="F51" s="75">
        <v>261.5</v>
      </c>
      <c r="G51" s="75">
        <v>472.91666666666669</v>
      </c>
      <c r="H51" s="75">
        <v>448.72727272727275</v>
      </c>
      <c r="I51" s="75">
        <v>295.72727272727275</v>
      </c>
      <c r="J51" s="75">
        <v>295.16666666666669</v>
      </c>
      <c r="K51" s="75">
        <v>279.28571428571428</v>
      </c>
      <c r="N51" s="121"/>
      <c r="O51" s="122"/>
      <c r="P51" s="122"/>
      <c r="Q51" s="122"/>
      <c r="R51" s="123"/>
      <c r="S51" s="124" t="s">
        <v>192</v>
      </c>
      <c r="T51" s="124"/>
      <c r="U51" s="122"/>
      <c r="V51" s="122"/>
      <c r="W51" s="125"/>
      <c r="X51" s="121"/>
      <c r="Y51" s="122"/>
      <c r="Z51" s="122"/>
      <c r="AA51" s="122"/>
      <c r="AB51" s="122"/>
      <c r="AC51" s="122"/>
      <c r="AD51" s="123"/>
      <c r="AE51" s="124" t="s">
        <v>193</v>
      </c>
      <c r="AF51" s="124"/>
      <c r="AG51" s="125"/>
      <c r="AH51" s="121"/>
      <c r="AI51" s="122"/>
      <c r="AJ51" s="122"/>
      <c r="AK51" s="122"/>
      <c r="AL51" s="122"/>
      <c r="AM51" s="122"/>
      <c r="AN51" s="123"/>
      <c r="AO51" s="124" t="s">
        <v>194</v>
      </c>
      <c r="AP51" s="124"/>
      <c r="AQ51" s="125"/>
      <c r="AR51" s="121"/>
      <c r="AS51" s="122"/>
      <c r="AT51" s="122"/>
      <c r="AU51" s="122"/>
      <c r="AV51" s="122"/>
      <c r="AW51" s="122"/>
      <c r="AX51" s="123"/>
      <c r="AY51" s="124" t="s">
        <v>195</v>
      </c>
      <c r="AZ51" s="124"/>
      <c r="BA51" s="125"/>
      <c r="BB51" s="121"/>
      <c r="BC51" s="122"/>
      <c r="BD51" s="122"/>
      <c r="BE51" s="122"/>
      <c r="BF51" s="122"/>
      <c r="BG51" s="122"/>
      <c r="BH51" s="123"/>
      <c r="BI51" s="124" t="s">
        <v>196</v>
      </c>
      <c r="BJ51" s="124"/>
      <c r="BK51" s="125"/>
      <c r="BL51" s="121"/>
      <c r="BM51" s="122"/>
      <c r="BN51" s="122"/>
      <c r="BO51" s="122"/>
      <c r="BP51" s="122"/>
      <c r="BQ51" s="122"/>
      <c r="BR51" s="123"/>
      <c r="BS51" s="124" t="s">
        <v>197</v>
      </c>
      <c r="BT51" s="124"/>
      <c r="BU51" s="125"/>
      <c r="BV51" s="121"/>
      <c r="BW51" s="122"/>
      <c r="BX51" s="122"/>
      <c r="BY51" s="122"/>
      <c r="BZ51" s="122"/>
      <c r="CA51" s="122"/>
      <c r="CB51" s="123"/>
      <c r="CC51" s="124" t="s">
        <v>198</v>
      </c>
      <c r="CD51" s="124"/>
      <c r="CE51" s="125"/>
      <c r="CF51" s="121"/>
      <c r="CG51" s="122"/>
      <c r="CH51" s="122"/>
      <c r="CI51" s="122"/>
      <c r="CJ51" s="122"/>
      <c r="CK51" s="122"/>
      <c r="CL51" s="123"/>
      <c r="CM51" s="124" t="s">
        <v>199</v>
      </c>
      <c r="CN51" s="124"/>
      <c r="CO51" s="125"/>
      <c r="CP51" s="121"/>
      <c r="CQ51" s="122"/>
      <c r="CR51" s="122"/>
      <c r="CS51" s="122"/>
      <c r="CT51" s="122"/>
      <c r="CU51" s="122"/>
      <c r="CV51" s="123"/>
      <c r="CW51" s="124" t="s">
        <v>200</v>
      </c>
      <c r="CX51" s="124"/>
      <c r="CY51" s="125"/>
      <c r="CZ51" s="121"/>
      <c r="DA51" s="122"/>
      <c r="DB51" s="122"/>
      <c r="DC51" s="122"/>
      <c r="DD51" s="122"/>
      <c r="DE51" s="122"/>
      <c r="DF51" s="123"/>
      <c r="DG51" s="124" t="s">
        <v>201</v>
      </c>
      <c r="DH51" s="124"/>
      <c r="DI51" s="125"/>
      <c r="DJ51" s="122"/>
      <c r="DK51" s="122"/>
      <c r="DL51" s="122"/>
      <c r="DM51" s="122"/>
      <c r="DN51" s="123"/>
      <c r="DO51" s="124" t="s">
        <v>202</v>
      </c>
      <c r="DP51" s="124"/>
      <c r="DQ51" s="122"/>
      <c r="DR51" s="122"/>
      <c r="DS51" s="122"/>
      <c r="DT51" s="122"/>
      <c r="DU51" s="122"/>
      <c r="DV51" s="122"/>
      <c r="DW51" s="122"/>
      <c r="DX51" s="123"/>
      <c r="DY51" s="124" t="s">
        <v>203</v>
      </c>
      <c r="DZ51" s="124"/>
      <c r="EA51" s="122"/>
      <c r="EB51" s="122"/>
      <c r="EC51" s="122"/>
    </row>
    <row r="52" spans="1:133" x14ac:dyDescent="0.25">
      <c r="A52" s="95">
        <v>41183</v>
      </c>
      <c r="B52" s="75" t="s">
        <v>105</v>
      </c>
      <c r="C52" s="75">
        <v>401.89393939393938</v>
      </c>
      <c r="D52" s="75">
        <v>265.45454545454544</v>
      </c>
      <c r="E52" s="75">
        <v>293.125</v>
      </c>
      <c r="F52" s="75">
        <v>235.22727272727272</v>
      </c>
      <c r="G52" s="75">
        <v>486.25</v>
      </c>
      <c r="H52" s="75">
        <v>449.20454545454544</v>
      </c>
      <c r="I52" s="75">
        <v>297.27272727272725</v>
      </c>
      <c r="J52" s="75">
        <v>285</v>
      </c>
      <c r="K52" s="75">
        <v>285.11904761904759</v>
      </c>
      <c r="N52" s="473" t="s">
        <v>152</v>
      </c>
      <c r="O52" s="474"/>
      <c r="P52" s="475" t="s">
        <v>153</v>
      </c>
      <c r="Q52" s="476"/>
      <c r="R52" s="474"/>
      <c r="S52" s="475" t="s">
        <v>290</v>
      </c>
      <c r="T52" s="476"/>
      <c r="U52" s="476"/>
      <c r="V52" s="476"/>
      <c r="W52" s="477"/>
      <c r="X52" s="473" t="s">
        <v>152</v>
      </c>
      <c r="Y52" s="474"/>
      <c r="Z52" s="475" t="s">
        <v>153</v>
      </c>
      <c r="AA52" s="476"/>
      <c r="AB52" s="474"/>
      <c r="AC52" s="475" t="s">
        <v>290</v>
      </c>
      <c r="AD52" s="476"/>
      <c r="AE52" s="476"/>
      <c r="AF52" s="476"/>
      <c r="AG52" s="477"/>
      <c r="AH52" s="473" t="s">
        <v>152</v>
      </c>
      <c r="AI52" s="474"/>
      <c r="AJ52" s="475" t="s">
        <v>153</v>
      </c>
      <c r="AK52" s="476"/>
      <c r="AL52" s="474"/>
      <c r="AM52" s="475" t="s">
        <v>290</v>
      </c>
      <c r="AN52" s="476"/>
      <c r="AO52" s="476"/>
      <c r="AP52" s="476"/>
      <c r="AQ52" s="477"/>
      <c r="AR52" s="455" t="s">
        <v>152</v>
      </c>
      <c r="AS52" s="456"/>
      <c r="AT52" s="457" t="s">
        <v>153</v>
      </c>
      <c r="AU52" s="458"/>
      <c r="AV52" s="456"/>
      <c r="AW52" s="457" t="s">
        <v>290</v>
      </c>
      <c r="AX52" s="458"/>
      <c r="AY52" s="458"/>
      <c r="AZ52" s="458"/>
      <c r="BA52" s="459"/>
      <c r="BB52" s="455" t="s">
        <v>152</v>
      </c>
      <c r="BC52" s="456"/>
      <c r="BD52" s="457" t="s">
        <v>153</v>
      </c>
      <c r="BE52" s="458"/>
      <c r="BF52" s="456"/>
      <c r="BG52" s="457" t="s">
        <v>290</v>
      </c>
      <c r="BH52" s="458"/>
      <c r="BI52" s="458"/>
      <c r="BJ52" s="458"/>
      <c r="BK52" s="459"/>
      <c r="BL52" s="455" t="s">
        <v>152</v>
      </c>
      <c r="BM52" s="456"/>
      <c r="BN52" s="457" t="s">
        <v>153</v>
      </c>
      <c r="BO52" s="458"/>
      <c r="BP52" s="456"/>
      <c r="BQ52" s="457" t="s">
        <v>290</v>
      </c>
      <c r="BR52" s="458"/>
      <c r="BS52" s="458"/>
      <c r="BT52" s="458"/>
      <c r="BU52" s="459"/>
      <c r="BV52" s="455" t="s">
        <v>152</v>
      </c>
      <c r="BW52" s="456"/>
      <c r="BX52" s="457" t="s">
        <v>153</v>
      </c>
      <c r="BY52" s="458"/>
      <c r="BZ52" s="456"/>
      <c r="CA52" s="457" t="s">
        <v>290</v>
      </c>
      <c r="CB52" s="458"/>
      <c r="CC52" s="458"/>
      <c r="CD52" s="458"/>
      <c r="CE52" s="459"/>
      <c r="CF52" s="455" t="s">
        <v>152</v>
      </c>
      <c r="CG52" s="456"/>
      <c r="CH52" s="457" t="s">
        <v>153</v>
      </c>
      <c r="CI52" s="458"/>
      <c r="CJ52" s="456"/>
      <c r="CK52" s="457" t="s">
        <v>290</v>
      </c>
      <c r="CL52" s="458"/>
      <c r="CM52" s="458"/>
      <c r="CN52" s="458"/>
      <c r="CO52" s="459"/>
      <c r="CP52" s="455" t="s">
        <v>152</v>
      </c>
      <c r="CQ52" s="456"/>
      <c r="CR52" s="457" t="s">
        <v>153</v>
      </c>
      <c r="CS52" s="458"/>
      <c r="CT52" s="456"/>
      <c r="CU52" s="457" t="s">
        <v>290</v>
      </c>
      <c r="CV52" s="458"/>
      <c r="CW52" s="458"/>
      <c r="CX52" s="458"/>
      <c r="CY52" s="459"/>
      <c r="CZ52" s="455" t="s">
        <v>152</v>
      </c>
      <c r="DA52" s="456"/>
      <c r="DB52" s="457" t="s">
        <v>153</v>
      </c>
      <c r="DC52" s="458"/>
      <c r="DD52" s="456"/>
      <c r="DE52" s="457" t="s">
        <v>290</v>
      </c>
      <c r="DF52" s="458"/>
      <c r="DG52" s="458"/>
      <c r="DH52" s="458"/>
      <c r="DI52" s="459"/>
      <c r="DJ52" s="455" t="s">
        <v>152</v>
      </c>
      <c r="DK52" s="456"/>
      <c r="DL52" s="457" t="s">
        <v>153</v>
      </c>
      <c r="DM52" s="458"/>
      <c r="DN52" s="456"/>
      <c r="DO52" s="457" t="s">
        <v>290</v>
      </c>
      <c r="DP52" s="458"/>
      <c r="DQ52" s="458"/>
      <c r="DR52" s="458"/>
      <c r="DS52" s="459"/>
      <c r="DT52" s="455" t="s">
        <v>152</v>
      </c>
      <c r="DU52" s="456"/>
      <c r="DV52" s="457" t="s">
        <v>153</v>
      </c>
      <c r="DW52" s="458"/>
      <c r="DX52" s="456"/>
      <c r="DY52" s="457" t="s">
        <v>290</v>
      </c>
      <c r="DZ52" s="458"/>
      <c r="EA52" s="458"/>
      <c r="EB52" s="458"/>
      <c r="EC52" s="459"/>
    </row>
    <row r="53" spans="1:133" x14ac:dyDescent="0.25">
      <c r="A53" s="95">
        <v>41214</v>
      </c>
      <c r="B53" s="75" t="s">
        <v>105</v>
      </c>
      <c r="C53" s="75">
        <v>385.45454545454544</v>
      </c>
      <c r="D53" s="75">
        <v>245</v>
      </c>
      <c r="E53" s="75">
        <v>272.5</v>
      </c>
      <c r="F53" s="75">
        <v>238.36666666666665</v>
      </c>
      <c r="G53" s="75">
        <v>473</v>
      </c>
      <c r="H53" s="75">
        <v>450.36363636363637</v>
      </c>
      <c r="I53" s="75">
        <v>297.72727272727275</v>
      </c>
      <c r="J53" s="75">
        <v>296.66666666666669</v>
      </c>
      <c r="K53" s="75">
        <v>284.75</v>
      </c>
      <c r="N53" s="451" t="s">
        <v>291</v>
      </c>
      <c r="O53" s="452"/>
      <c r="P53" s="453" t="s">
        <v>291</v>
      </c>
      <c r="Q53" s="454"/>
      <c r="R53" s="452"/>
      <c r="S53" s="453" t="s">
        <v>291</v>
      </c>
      <c r="T53" s="454"/>
      <c r="U53" s="454"/>
      <c r="V53" s="454"/>
      <c r="W53" s="460"/>
      <c r="X53" s="451" t="s">
        <v>291</v>
      </c>
      <c r="Y53" s="452"/>
      <c r="Z53" s="453" t="s">
        <v>291</v>
      </c>
      <c r="AA53" s="454"/>
      <c r="AB53" s="452"/>
      <c r="AC53" s="453" t="s">
        <v>291</v>
      </c>
      <c r="AD53" s="454"/>
      <c r="AE53" s="454"/>
      <c r="AF53" s="454"/>
      <c r="AG53" s="460"/>
      <c r="AH53" s="466" t="s">
        <v>291</v>
      </c>
      <c r="AI53" s="450"/>
      <c r="AJ53" s="449" t="s">
        <v>291</v>
      </c>
      <c r="AK53" s="461"/>
      <c r="AL53" s="450"/>
      <c r="AM53" s="449" t="s">
        <v>291</v>
      </c>
      <c r="AN53" s="461"/>
      <c r="AO53" s="461"/>
      <c r="AP53" s="461"/>
      <c r="AQ53" s="462"/>
      <c r="AR53" s="466" t="s">
        <v>291</v>
      </c>
      <c r="AS53" s="450"/>
      <c r="AT53" s="449" t="s">
        <v>291</v>
      </c>
      <c r="AU53" s="461"/>
      <c r="AV53" s="450"/>
      <c r="AW53" s="140" t="s">
        <v>291</v>
      </c>
      <c r="AX53" s="141"/>
      <c r="AY53" s="141"/>
      <c r="AZ53" s="141"/>
      <c r="BA53" s="142"/>
      <c r="BB53" s="466" t="s">
        <v>291</v>
      </c>
      <c r="BC53" s="450"/>
      <c r="BD53" s="449" t="s">
        <v>291</v>
      </c>
      <c r="BE53" s="461"/>
      <c r="BF53" s="450"/>
      <c r="BG53" s="449" t="s">
        <v>291</v>
      </c>
      <c r="BH53" s="461"/>
      <c r="BI53" s="461"/>
      <c r="BJ53" s="461"/>
      <c r="BK53" s="462"/>
      <c r="BL53" s="466" t="s">
        <v>291</v>
      </c>
      <c r="BM53" s="450"/>
      <c r="BN53" s="449" t="s">
        <v>291</v>
      </c>
      <c r="BO53" s="461"/>
      <c r="BP53" s="450"/>
      <c r="BQ53" s="449" t="s">
        <v>291</v>
      </c>
      <c r="BR53" s="461"/>
      <c r="BS53" s="461"/>
      <c r="BT53" s="461"/>
      <c r="BU53" s="462"/>
      <c r="BV53" s="466" t="s">
        <v>291</v>
      </c>
      <c r="BW53" s="450"/>
      <c r="BX53" s="449" t="s">
        <v>291</v>
      </c>
      <c r="BY53" s="461"/>
      <c r="BZ53" s="450"/>
      <c r="CA53" s="449" t="s">
        <v>291</v>
      </c>
      <c r="CB53" s="461"/>
      <c r="CC53" s="461"/>
      <c r="CD53" s="461"/>
      <c r="CE53" s="462"/>
      <c r="CF53" s="466" t="s">
        <v>291</v>
      </c>
      <c r="CG53" s="450"/>
      <c r="CH53" s="449" t="s">
        <v>291</v>
      </c>
      <c r="CI53" s="461"/>
      <c r="CJ53" s="450"/>
      <c r="CK53" s="449" t="s">
        <v>291</v>
      </c>
      <c r="CL53" s="461"/>
      <c r="CM53" s="461"/>
      <c r="CN53" s="461"/>
      <c r="CO53" s="462"/>
      <c r="CP53" s="466" t="s">
        <v>291</v>
      </c>
      <c r="CQ53" s="450"/>
      <c r="CR53" s="449" t="s">
        <v>291</v>
      </c>
      <c r="CS53" s="461"/>
      <c r="CT53" s="450"/>
      <c r="CU53" s="449" t="s">
        <v>291</v>
      </c>
      <c r="CV53" s="461"/>
      <c r="CW53" s="461"/>
      <c r="CX53" s="461"/>
      <c r="CY53" s="462"/>
      <c r="CZ53" s="466" t="s">
        <v>291</v>
      </c>
      <c r="DA53" s="450"/>
      <c r="DB53" s="449" t="s">
        <v>291</v>
      </c>
      <c r="DC53" s="461"/>
      <c r="DD53" s="450"/>
      <c r="DE53" s="449" t="s">
        <v>291</v>
      </c>
      <c r="DF53" s="461"/>
      <c r="DG53" s="461"/>
      <c r="DH53" s="461"/>
      <c r="DI53" s="462"/>
      <c r="DJ53" s="466" t="s">
        <v>291</v>
      </c>
      <c r="DK53" s="450"/>
      <c r="DL53" s="449" t="s">
        <v>291</v>
      </c>
      <c r="DM53" s="461"/>
      <c r="DN53" s="450"/>
      <c r="DO53" s="449" t="s">
        <v>291</v>
      </c>
      <c r="DP53" s="461"/>
      <c r="DQ53" s="461"/>
      <c r="DR53" s="461"/>
      <c r="DS53" s="462"/>
      <c r="DT53" s="466" t="s">
        <v>291</v>
      </c>
      <c r="DU53" s="450"/>
      <c r="DV53" s="449" t="s">
        <v>291</v>
      </c>
      <c r="DW53" s="461"/>
      <c r="DX53" s="450"/>
      <c r="DY53" s="449" t="s">
        <v>291</v>
      </c>
      <c r="DZ53" s="461"/>
      <c r="EA53" s="461"/>
      <c r="EB53" s="461"/>
      <c r="EC53" s="462"/>
    </row>
    <row r="54" spans="1:133" x14ac:dyDescent="0.25">
      <c r="A54" s="95">
        <v>41244</v>
      </c>
      <c r="B54" s="75" t="s">
        <v>105</v>
      </c>
      <c r="C54" s="75">
        <v>377.27272727272725</v>
      </c>
      <c r="D54" s="75">
        <v>234.31818181818181</v>
      </c>
      <c r="E54" s="75">
        <v>249.375</v>
      </c>
      <c r="F54" s="75">
        <v>231.125</v>
      </c>
      <c r="G54" s="75">
        <v>481.25</v>
      </c>
      <c r="H54" s="75">
        <v>449.20454545454544</v>
      </c>
      <c r="I54" s="75">
        <v>297.72727272727275</v>
      </c>
      <c r="J54" s="75">
        <v>295.95238095238102</v>
      </c>
      <c r="K54" s="75">
        <v>269.58333333333337</v>
      </c>
      <c r="N54" s="430" t="s">
        <v>163</v>
      </c>
      <c r="O54" s="422" t="s">
        <v>155</v>
      </c>
      <c r="P54" s="422" t="s">
        <v>293</v>
      </c>
      <c r="Q54" s="422" t="s">
        <v>294</v>
      </c>
      <c r="R54" s="422" t="s">
        <v>295</v>
      </c>
      <c r="S54" s="424" t="s">
        <v>296</v>
      </c>
      <c r="T54" s="425"/>
      <c r="U54" s="426" t="s">
        <v>297</v>
      </c>
      <c r="V54" s="426" t="s">
        <v>162</v>
      </c>
      <c r="W54" s="428" t="s">
        <v>163</v>
      </c>
      <c r="X54" s="430" t="s">
        <v>163</v>
      </c>
      <c r="Y54" s="422" t="s">
        <v>155</v>
      </c>
      <c r="Z54" s="422" t="s">
        <v>293</v>
      </c>
      <c r="AA54" s="422" t="s">
        <v>294</v>
      </c>
      <c r="AB54" s="422" t="s">
        <v>295</v>
      </c>
      <c r="AC54" s="424" t="s">
        <v>296</v>
      </c>
      <c r="AD54" s="425"/>
      <c r="AE54" s="426" t="s">
        <v>297</v>
      </c>
      <c r="AF54" s="426" t="s">
        <v>162</v>
      </c>
      <c r="AG54" s="428" t="s">
        <v>163</v>
      </c>
      <c r="AH54" s="430" t="s">
        <v>163</v>
      </c>
      <c r="AI54" s="422" t="s">
        <v>155</v>
      </c>
      <c r="AJ54" s="422" t="s">
        <v>293</v>
      </c>
      <c r="AK54" s="422" t="s">
        <v>294</v>
      </c>
      <c r="AL54" s="422" t="s">
        <v>295</v>
      </c>
      <c r="AM54" s="424" t="s">
        <v>296</v>
      </c>
      <c r="AN54" s="425"/>
      <c r="AO54" s="426" t="s">
        <v>297</v>
      </c>
      <c r="AP54" s="426" t="s">
        <v>162</v>
      </c>
      <c r="AQ54" s="428" t="s">
        <v>163</v>
      </c>
      <c r="AR54" s="430" t="s">
        <v>163</v>
      </c>
      <c r="AS54" s="422" t="s">
        <v>155</v>
      </c>
      <c r="AT54" s="422" t="s">
        <v>293</v>
      </c>
      <c r="AU54" s="422" t="s">
        <v>294</v>
      </c>
      <c r="AV54" s="422" t="s">
        <v>295</v>
      </c>
      <c r="AW54" s="424" t="s">
        <v>296</v>
      </c>
      <c r="AX54" s="425"/>
      <c r="AY54" s="426" t="s">
        <v>297</v>
      </c>
      <c r="AZ54" s="426" t="s">
        <v>162</v>
      </c>
      <c r="BA54" s="428" t="s">
        <v>163</v>
      </c>
      <c r="BB54" s="430" t="s">
        <v>163</v>
      </c>
      <c r="BC54" s="422" t="s">
        <v>155</v>
      </c>
      <c r="BD54" s="422" t="s">
        <v>293</v>
      </c>
      <c r="BE54" s="422" t="s">
        <v>294</v>
      </c>
      <c r="BF54" s="422" t="s">
        <v>295</v>
      </c>
      <c r="BG54" s="424" t="s">
        <v>296</v>
      </c>
      <c r="BH54" s="425"/>
      <c r="BI54" s="426" t="s">
        <v>297</v>
      </c>
      <c r="BJ54" s="426" t="s">
        <v>162</v>
      </c>
      <c r="BK54" s="428" t="s">
        <v>163</v>
      </c>
      <c r="BL54" s="430" t="s">
        <v>163</v>
      </c>
      <c r="BM54" s="422" t="s">
        <v>155</v>
      </c>
      <c r="BN54" s="422" t="s">
        <v>293</v>
      </c>
      <c r="BO54" s="422" t="s">
        <v>294</v>
      </c>
      <c r="BP54" s="422" t="s">
        <v>295</v>
      </c>
      <c r="BQ54" s="424" t="s">
        <v>296</v>
      </c>
      <c r="BR54" s="425"/>
      <c r="BS54" s="426" t="s">
        <v>297</v>
      </c>
      <c r="BT54" s="426" t="s">
        <v>162</v>
      </c>
      <c r="BU54" s="428" t="s">
        <v>163</v>
      </c>
      <c r="BV54" s="430" t="s">
        <v>163</v>
      </c>
      <c r="BW54" s="422" t="s">
        <v>155</v>
      </c>
      <c r="BX54" s="422" t="s">
        <v>293</v>
      </c>
      <c r="BY54" s="422" t="s">
        <v>294</v>
      </c>
      <c r="BZ54" s="422" t="s">
        <v>295</v>
      </c>
      <c r="CA54" s="424" t="s">
        <v>296</v>
      </c>
      <c r="CB54" s="425"/>
      <c r="CC54" s="426" t="s">
        <v>297</v>
      </c>
      <c r="CD54" s="426" t="s">
        <v>162</v>
      </c>
      <c r="CE54" s="428" t="s">
        <v>163</v>
      </c>
      <c r="CF54" s="430" t="s">
        <v>163</v>
      </c>
      <c r="CG54" s="422" t="s">
        <v>155</v>
      </c>
      <c r="CH54" s="422" t="s">
        <v>293</v>
      </c>
      <c r="CI54" s="422" t="s">
        <v>294</v>
      </c>
      <c r="CJ54" s="422" t="s">
        <v>295</v>
      </c>
      <c r="CK54" s="424" t="s">
        <v>296</v>
      </c>
      <c r="CL54" s="425"/>
      <c r="CM54" s="426" t="s">
        <v>297</v>
      </c>
      <c r="CN54" s="426" t="s">
        <v>162</v>
      </c>
      <c r="CO54" s="428" t="s">
        <v>163</v>
      </c>
      <c r="CP54" s="430" t="s">
        <v>163</v>
      </c>
      <c r="CQ54" s="422" t="s">
        <v>155</v>
      </c>
      <c r="CR54" s="422" t="s">
        <v>293</v>
      </c>
      <c r="CS54" s="422" t="s">
        <v>294</v>
      </c>
      <c r="CT54" s="422" t="s">
        <v>295</v>
      </c>
      <c r="CU54" s="424" t="s">
        <v>296</v>
      </c>
      <c r="CV54" s="425"/>
      <c r="CW54" s="426" t="s">
        <v>297</v>
      </c>
      <c r="CX54" s="426" t="s">
        <v>162</v>
      </c>
      <c r="CY54" s="428" t="s">
        <v>163</v>
      </c>
      <c r="CZ54" s="430" t="s">
        <v>163</v>
      </c>
      <c r="DA54" s="422" t="s">
        <v>155</v>
      </c>
      <c r="DB54" s="422" t="s">
        <v>293</v>
      </c>
      <c r="DC54" s="422" t="s">
        <v>294</v>
      </c>
      <c r="DD54" s="422" t="s">
        <v>295</v>
      </c>
      <c r="DE54" s="424" t="s">
        <v>296</v>
      </c>
      <c r="DF54" s="425"/>
      <c r="DG54" s="426" t="s">
        <v>297</v>
      </c>
      <c r="DH54" s="426" t="s">
        <v>162</v>
      </c>
      <c r="DI54" s="428" t="s">
        <v>163</v>
      </c>
      <c r="DJ54" s="430" t="s">
        <v>163</v>
      </c>
      <c r="DK54" s="422" t="s">
        <v>155</v>
      </c>
      <c r="DL54" s="422" t="s">
        <v>293</v>
      </c>
      <c r="DM54" s="422" t="s">
        <v>294</v>
      </c>
      <c r="DN54" s="422" t="s">
        <v>295</v>
      </c>
      <c r="DO54" s="424" t="s">
        <v>296</v>
      </c>
      <c r="DP54" s="425"/>
      <c r="DQ54" s="426" t="s">
        <v>297</v>
      </c>
      <c r="DR54" s="426" t="s">
        <v>162</v>
      </c>
      <c r="DS54" s="428" t="s">
        <v>163</v>
      </c>
      <c r="DT54" s="430" t="s">
        <v>163</v>
      </c>
      <c r="DU54" s="422" t="s">
        <v>155</v>
      </c>
      <c r="DV54" s="422" t="s">
        <v>293</v>
      </c>
      <c r="DW54" s="422" t="s">
        <v>294</v>
      </c>
      <c r="DX54" s="422" t="s">
        <v>295</v>
      </c>
      <c r="DY54" s="424" t="s">
        <v>296</v>
      </c>
      <c r="DZ54" s="425"/>
      <c r="EA54" s="426" t="s">
        <v>297</v>
      </c>
      <c r="EB54" s="426" t="s">
        <v>162</v>
      </c>
      <c r="EC54" s="428" t="s">
        <v>163</v>
      </c>
    </row>
    <row r="55" spans="1:133" x14ac:dyDescent="0.25">
      <c r="A55" s="95">
        <v>41275</v>
      </c>
      <c r="B55" s="75">
        <v>300</v>
      </c>
      <c r="C55" s="75">
        <v>421.21212121212119</v>
      </c>
      <c r="D55" s="75">
        <v>236.06060606060603</v>
      </c>
      <c r="E55" s="75">
        <v>249.24242424242422</v>
      </c>
      <c r="F55" s="75">
        <v>232.5</v>
      </c>
      <c r="G55" s="75">
        <v>481.25</v>
      </c>
      <c r="H55" s="75">
        <v>449.09090909090907</v>
      </c>
      <c r="I55" s="75">
        <v>297.72727272727275</v>
      </c>
      <c r="J55" s="75">
        <v>297.14285714285717</v>
      </c>
      <c r="K55" s="75">
        <v>271.45833333333331</v>
      </c>
      <c r="N55" s="431"/>
      <c r="O55" s="423"/>
      <c r="P55" s="423"/>
      <c r="Q55" s="423"/>
      <c r="R55" s="423"/>
      <c r="S55" s="146" t="s">
        <v>159</v>
      </c>
      <c r="T55" s="146" t="s">
        <v>160</v>
      </c>
      <c r="U55" s="427"/>
      <c r="V55" s="427"/>
      <c r="W55" s="429"/>
      <c r="X55" s="431"/>
      <c r="Y55" s="423"/>
      <c r="Z55" s="423"/>
      <c r="AA55" s="423"/>
      <c r="AB55" s="423"/>
      <c r="AC55" s="146" t="s">
        <v>159</v>
      </c>
      <c r="AD55" s="146" t="s">
        <v>160</v>
      </c>
      <c r="AE55" s="427"/>
      <c r="AF55" s="427"/>
      <c r="AG55" s="429"/>
      <c r="AH55" s="431"/>
      <c r="AI55" s="423"/>
      <c r="AJ55" s="423"/>
      <c r="AK55" s="423"/>
      <c r="AL55" s="423"/>
      <c r="AM55" s="146" t="s">
        <v>159</v>
      </c>
      <c r="AN55" s="146" t="s">
        <v>160</v>
      </c>
      <c r="AO55" s="427"/>
      <c r="AP55" s="427"/>
      <c r="AQ55" s="429"/>
      <c r="AR55" s="431"/>
      <c r="AS55" s="423"/>
      <c r="AT55" s="423"/>
      <c r="AU55" s="423"/>
      <c r="AV55" s="423"/>
      <c r="AW55" s="146" t="s">
        <v>159</v>
      </c>
      <c r="AX55" s="146" t="s">
        <v>160</v>
      </c>
      <c r="AY55" s="427"/>
      <c r="AZ55" s="427"/>
      <c r="BA55" s="429"/>
      <c r="BB55" s="431"/>
      <c r="BC55" s="423"/>
      <c r="BD55" s="423"/>
      <c r="BE55" s="423"/>
      <c r="BF55" s="423"/>
      <c r="BG55" s="146" t="s">
        <v>159</v>
      </c>
      <c r="BH55" s="146" t="s">
        <v>160</v>
      </c>
      <c r="BI55" s="427"/>
      <c r="BJ55" s="427"/>
      <c r="BK55" s="429"/>
      <c r="BL55" s="431"/>
      <c r="BM55" s="423"/>
      <c r="BN55" s="423"/>
      <c r="BO55" s="423"/>
      <c r="BP55" s="423"/>
      <c r="BQ55" s="146" t="s">
        <v>159</v>
      </c>
      <c r="BR55" s="146" t="s">
        <v>160</v>
      </c>
      <c r="BS55" s="427"/>
      <c r="BT55" s="427"/>
      <c r="BU55" s="429"/>
      <c r="BV55" s="431"/>
      <c r="BW55" s="423"/>
      <c r="BX55" s="423"/>
      <c r="BY55" s="423"/>
      <c r="BZ55" s="423"/>
      <c r="CA55" s="146" t="s">
        <v>159</v>
      </c>
      <c r="CB55" s="146" t="s">
        <v>160</v>
      </c>
      <c r="CC55" s="427"/>
      <c r="CD55" s="427"/>
      <c r="CE55" s="429"/>
      <c r="CF55" s="431"/>
      <c r="CG55" s="423"/>
      <c r="CH55" s="423"/>
      <c r="CI55" s="423"/>
      <c r="CJ55" s="423"/>
      <c r="CK55" s="146" t="s">
        <v>159</v>
      </c>
      <c r="CL55" s="146" t="s">
        <v>160</v>
      </c>
      <c r="CM55" s="427"/>
      <c r="CN55" s="427"/>
      <c r="CO55" s="429"/>
      <c r="CP55" s="431"/>
      <c r="CQ55" s="423"/>
      <c r="CR55" s="423"/>
      <c r="CS55" s="423"/>
      <c r="CT55" s="423"/>
      <c r="CU55" s="146" t="s">
        <v>159</v>
      </c>
      <c r="CV55" s="146" t="s">
        <v>160</v>
      </c>
      <c r="CW55" s="427"/>
      <c r="CX55" s="427"/>
      <c r="CY55" s="429"/>
      <c r="CZ55" s="431"/>
      <c r="DA55" s="423"/>
      <c r="DB55" s="423"/>
      <c r="DC55" s="423"/>
      <c r="DD55" s="423"/>
      <c r="DE55" s="146" t="s">
        <v>159</v>
      </c>
      <c r="DF55" s="146" t="s">
        <v>160</v>
      </c>
      <c r="DG55" s="427"/>
      <c r="DH55" s="427"/>
      <c r="DI55" s="429"/>
      <c r="DJ55" s="431"/>
      <c r="DK55" s="423"/>
      <c r="DL55" s="423"/>
      <c r="DM55" s="423"/>
      <c r="DN55" s="423"/>
      <c r="DO55" s="146" t="s">
        <v>159</v>
      </c>
      <c r="DP55" s="146" t="s">
        <v>160</v>
      </c>
      <c r="DQ55" s="427"/>
      <c r="DR55" s="427"/>
      <c r="DS55" s="429"/>
      <c r="DT55" s="431"/>
      <c r="DU55" s="423"/>
      <c r="DV55" s="423"/>
      <c r="DW55" s="423"/>
      <c r="DX55" s="423"/>
      <c r="DY55" s="146" t="s">
        <v>159</v>
      </c>
      <c r="DZ55" s="146" t="s">
        <v>160</v>
      </c>
      <c r="EA55" s="427"/>
      <c r="EB55" s="427"/>
      <c r="EC55" s="429"/>
    </row>
    <row r="56" spans="1:133" x14ac:dyDescent="0.25">
      <c r="A56" s="95">
        <v>41306</v>
      </c>
      <c r="B56" s="75">
        <v>348.1018518518519</v>
      </c>
      <c r="C56" s="75">
        <v>393.18181818181819</v>
      </c>
      <c r="D56" s="75">
        <v>242.61363636363637</v>
      </c>
      <c r="E56" s="75">
        <v>255.68181818181819</v>
      </c>
      <c r="F56" s="75">
        <v>238.63636363636363</v>
      </c>
      <c r="G56" s="75">
        <v>481.25</v>
      </c>
      <c r="H56" s="75">
        <v>450</v>
      </c>
      <c r="I56" s="75">
        <v>297.72727272727275</v>
      </c>
      <c r="J56" s="75">
        <v>297.5</v>
      </c>
      <c r="K56" s="75">
        <v>285.97222222222223</v>
      </c>
      <c r="N56" s="102"/>
      <c r="O56" s="104">
        <v>400</v>
      </c>
      <c r="P56" s="104">
        <v>218.75</v>
      </c>
      <c r="Q56" s="104">
        <v>225</v>
      </c>
      <c r="R56" s="104">
        <v>225</v>
      </c>
      <c r="S56" s="104">
        <v>400</v>
      </c>
      <c r="T56" s="104">
        <v>350</v>
      </c>
      <c r="U56" s="104">
        <v>300</v>
      </c>
      <c r="V56" s="104">
        <v>312.5</v>
      </c>
      <c r="W56" s="152">
        <v>268.75</v>
      </c>
      <c r="X56" s="102">
        <v>400</v>
      </c>
      <c r="Y56" s="153">
        <v>437.5</v>
      </c>
      <c r="Z56" s="153">
        <v>225</v>
      </c>
      <c r="AA56" s="153">
        <v>225</v>
      </c>
      <c r="AB56" s="153">
        <v>225</v>
      </c>
      <c r="AC56" s="153">
        <v>400</v>
      </c>
      <c r="AD56" s="153">
        <v>350</v>
      </c>
      <c r="AE56" s="153">
        <v>300</v>
      </c>
      <c r="AF56" s="153">
        <v>262.5</v>
      </c>
      <c r="AG56" s="154">
        <v>300</v>
      </c>
      <c r="AH56" s="102">
        <v>337.5</v>
      </c>
      <c r="AI56" s="153">
        <v>400</v>
      </c>
      <c r="AJ56" s="153">
        <v>200</v>
      </c>
      <c r="AK56" s="153">
        <v>237.5</v>
      </c>
      <c r="AL56" s="153">
        <v>225</v>
      </c>
      <c r="AM56" s="153">
        <v>400</v>
      </c>
      <c r="AN56" s="153">
        <v>350</v>
      </c>
      <c r="AO56" s="153">
        <v>300</v>
      </c>
      <c r="AP56" s="153">
        <v>280</v>
      </c>
      <c r="AQ56" s="154">
        <v>288.75</v>
      </c>
      <c r="AR56" s="102">
        <v>266.66666666666669</v>
      </c>
      <c r="AS56" s="153">
        <v>400</v>
      </c>
      <c r="AT56" s="153">
        <v>200</v>
      </c>
      <c r="AU56" s="153">
        <v>225</v>
      </c>
      <c r="AV56" s="153">
        <v>216.66666666666666</v>
      </c>
      <c r="AW56" s="153">
        <v>400</v>
      </c>
      <c r="AX56" s="153">
        <v>350</v>
      </c>
      <c r="AY56" s="153">
        <v>300</v>
      </c>
      <c r="AZ56" s="153">
        <v>286.66666666666669</v>
      </c>
      <c r="BA56" s="154">
        <v>283.33333333333331</v>
      </c>
      <c r="BB56" s="102">
        <v>225</v>
      </c>
      <c r="BC56" s="153">
        <v>337.5</v>
      </c>
      <c r="BD56" s="153">
        <v>243.75</v>
      </c>
      <c r="BE56" s="153">
        <v>250</v>
      </c>
      <c r="BF56" s="153">
        <v>225</v>
      </c>
      <c r="BG56" s="153">
        <v>400</v>
      </c>
      <c r="BH56" s="153">
        <v>350</v>
      </c>
      <c r="BI56" s="153">
        <v>300</v>
      </c>
      <c r="BJ56" s="153">
        <v>285</v>
      </c>
      <c r="BK56" s="154">
        <v>300</v>
      </c>
      <c r="BL56" s="102">
        <v>237.5</v>
      </c>
      <c r="BM56" s="153">
        <v>325</v>
      </c>
      <c r="BN56" s="153">
        <v>250</v>
      </c>
      <c r="BO56" s="153">
        <v>237.5</v>
      </c>
      <c r="BP56" s="153">
        <v>225</v>
      </c>
      <c r="BQ56" s="153">
        <v>400</v>
      </c>
      <c r="BR56" s="153">
        <v>350</v>
      </c>
      <c r="BS56" s="153">
        <v>300</v>
      </c>
      <c r="BT56" s="153">
        <v>300</v>
      </c>
      <c r="BU56" s="154">
        <v>300</v>
      </c>
      <c r="BV56" s="102">
        <v>280</v>
      </c>
      <c r="BW56" s="153">
        <v>400</v>
      </c>
      <c r="BX56" s="153">
        <v>240</v>
      </c>
      <c r="BY56" s="153">
        <v>230</v>
      </c>
      <c r="BZ56" s="153">
        <v>225</v>
      </c>
      <c r="CA56" s="153">
        <v>400</v>
      </c>
      <c r="CB56" s="153">
        <v>350</v>
      </c>
      <c r="CC56" s="153">
        <v>300</v>
      </c>
      <c r="CD56" s="153">
        <v>300</v>
      </c>
      <c r="CE56" s="154">
        <v>305</v>
      </c>
      <c r="CF56" s="102">
        <v>300</v>
      </c>
      <c r="CG56" s="153"/>
      <c r="CH56" s="153">
        <v>241.66666666666666</v>
      </c>
      <c r="CI56" s="153">
        <v>250</v>
      </c>
      <c r="CJ56" s="153">
        <v>233.33333333333334</v>
      </c>
      <c r="CK56" s="153">
        <v>400</v>
      </c>
      <c r="CL56" s="153">
        <v>350</v>
      </c>
      <c r="CM56" s="153">
        <v>300</v>
      </c>
      <c r="CN56" s="153">
        <v>300</v>
      </c>
      <c r="CO56" s="154">
        <v>300</v>
      </c>
      <c r="CP56" s="102">
        <v>350</v>
      </c>
      <c r="CQ56" s="153">
        <v>375</v>
      </c>
      <c r="CR56" s="153">
        <v>250</v>
      </c>
      <c r="CS56" s="153">
        <v>250</v>
      </c>
      <c r="CT56" s="153">
        <v>237.5</v>
      </c>
      <c r="CU56" s="153">
        <v>400</v>
      </c>
      <c r="CV56" s="153">
        <v>350</v>
      </c>
      <c r="CW56" s="153">
        <v>300</v>
      </c>
      <c r="CX56" s="153">
        <v>300</v>
      </c>
      <c r="CY56" s="154">
        <v>293.75</v>
      </c>
      <c r="CZ56" s="102"/>
      <c r="DA56" s="153">
        <v>300</v>
      </c>
      <c r="DB56" s="153">
        <v>245</v>
      </c>
      <c r="DC56" s="153">
        <v>245</v>
      </c>
      <c r="DD56" s="153">
        <v>235</v>
      </c>
      <c r="DE56" s="153">
        <v>400</v>
      </c>
      <c r="DF56" s="153">
        <v>350</v>
      </c>
      <c r="DG56" s="153">
        <v>300</v>
      </c>
      <c r="DH56" s="153">
        <v>300</v>
      </c>
      <c r="DI56" s="154">
        <v>295</v>
      </c>
      <c r="DJ56" s="102"/>
      <c r="DK56" s="153">
        <v>250</v>
      </c>
      <c r="DL56" s="153">
        <v>250</v>
      </c>
      <c r="DM56" s="153">
        <v>250</v>
      </c>
      <c r="DN56" s="153">
        <v>243.75</v>
      </c>
      <c r="DO56" s="153">
        <v>400</v>
      </c>
      <c r="DP56" s="153">
        <v>350</v>
      </c>
      <c r="DQ56" s="153">
        <v>300</v>
      </c>
      <c r="DR56" s="153"/>
      <c r="DS56" s="154">
        <v>300</v>
      </c>
      <c r="DT56" s="102"/>
      <c r="DU56" s="153">
        <v>250</v>
      </c>
      <c r="DV56" s="153">
        <v>250</v>
      </c>
      <c r="DW56" s="153">
        <v>250</v>
      </c>
      <c r="DX56" s="153">
        <v>250</v>
      </c>
      <c r="DY56" s="153">
        <v>400</v>
      </c>
      <c r="DZ56" s="153">
        <v>356.25</v>
      </c>
      <c r="EA56" s="153">
        <v>300</v>
      </c>
      <c r="EB56" s="153"/>
      <c r="EC56" s="154">
        <v>300</v>
      </c>
    </row>
    <row r="57" spans="1:133" x14ac:dyDescent="0.25">
      <c r="A57" s="95">
        <v>41334</v>
      </c>
      <c r="B57" s="75">
        <v>284.54545454545456</v>
      </c>
      <c r="C57" s="75">
        <v>345.45454545454544</v>
      </c>
      <c r="D57" s="75">
        <v>244.81818181818181</v>
      </c>
      <c r="E57" s="75">
        <v>251.13636363636363</v>
      </c>
      <c r="F57" s="75">
        <v>240</v>
      </c>
      <c r="G57" s="75">
        <v>472</v>
      </c>
      <c r="H57" s="75">
        <v>449.81818181818181</v>
      </c>
      <c r="I57" s="75">
        <v>299.45454545454544</v>
      </c>
      <c r="J57" s="75">
        <v>299.66666666666669</v>
      </c>
      <c r="K57" s="75">
        <v>284.125</v>
      </c>
      <c r="N57" s="102"/>
      <c r="O57" s="104">
        <v>400</v>
      </c>
      <c r="P57" s="104">
        <v>193.75</v>
      </c>
      <c r="Q57" s="104">
        <v>173.75</v>
      </c>
      <c r="R57" s="104">
        <v>200</v>
      </c>
      <c r="S57" s="104">
        <v>400</v>
      </c>
      <c r="T57" s="104">
        <v>350</v>
      </c>
      <c r="U57" s="104">
        <v>300</v>
      </c>
      <c r="V57" s="104"/>
      <c r="W57" s="152"/>
      <c r="X57" s="102">
        <v>375</v>
      </c>
      <c r="Y57" s="153">
        <v>400</v>
      </c>
      <c r="Z57" s="153">
        <v>193.75</v>
      </c>
      <c r="AA57" s="153">
        <v>193.75</v>
      </c>
      <c r="AB57" s="153">
        <v>200</v>
      </c>
      <c r="AC57" s="153">
        <v>400</v>
      </c>
      <c r="AD57" s="153">
        <v>325</v>
      </c>
      <c r="AE57" s="153">
        <v>280</v>
      </c>
      <c r="AF57" s="153"/>
      <c r="AG57" s="154"/>
      <c r="AH57" s="102">
        <v>337.5</v>
      </c>
      <c r="AI57" s="153">
        <v>400</v>
      </c>
      <c r="AJ57" s="153">
        <v>181.25</v>
      </c>
      <c r="AK57" s="153">
        <v>175</v>
      </c>
      <c r="AL57" s="153">
        <v>193.75</v>
      </c>
      <c r="AM57" s="153">
        <v>400</v>
      </c>
      <c r="AN57" s="153">
        <v>325</v>
      </c>
      <c r="AO57" s="153">
        <v>290</v>
      </c>
      <c r="AP57" s="153"/>
      <c r="AQ57" s="154"/>
      <c r="AR57" s="102">
        <v>208.33333333333334</v>
      </c>
      <c r="AS57" s="153">
        <v>375</v>
      </c>
      <c r="AT57" s="153">
        <v>200</v>
      </c>
      <c r="AU57" s="153">
        <v>200</v>
      </c>
      <c r="AV57" s="153">
        <v>183.33333333333334</v>
      </c>
      <c r="AW57" s="153">
        <v>400</v>
      </c>
      <c r="AX57" s="153">
        <v>321.66666666666669</v>
      </c>
      <c r="AY57" s="153">
        <v>290</v>
      </c>
      <c r="AZ57" s="153"/>
      <c r="BA57" s="154"/>
      <c r="BB57" s="102">
        <v>175</v>
      </c>
      <c r="BC57" s="153"/>
      <c r="BD57" s="153">
        <v>200</v>
      </c>
      <c r="BE57" s="153">
        <v>225</v>
      </c>
      <c r="BF57" s="153">
        <v>193.75</v>
      </c>
      <c r="BG57" s="153">
        <v>397.5</v>
      </c>
      <c r="BH57" s="153">
        <v>320</v>
      </c>
      <c r="BI57" s="153">
        <v>290</v>
      </c>
      <c r="BJ57" s="153"/>
      <c r="BK57" s="154">
        <v>290</v>
      </c>
      <c r="BL57" s="102">
        <v>187.5</v>
      </c>
      <c r="BM57" s="153"/>
      <c r="BN57" s="153">
        <v>205</v>
      </c>
      <c r="BO57" s="153">
        <v>205</v>
      </c>
      <c r="BP57" s="153">
        <v>200</v>
      </c>
      <c r="BQ57" s="153">
        <v>393.75</v>
      </c>
      <c r="BR57" s="153">
        <v>320</v>
      </c>
      <c r="BS57" s="153">
        <v>290</v>
      </c>
      <c r="BT57" s="153"/>
      <c r="BU57" s="154"/>
      <c r="BV57" s="102">
        <v>235</v>
      </c>
      <c r="BW57" s="153"/>
      <c r="BX57" s="153">
        <v>200</v>
      </c>
      <c r="BY57" s="153">
        <v>215</v>
      </c>
      <c r="BZ57" s="153">
        <v>205</v>
      </c>
      <c r="CA57" s="153">
        <v>400</v>
      </c>
      <c r="CB57" s="153">
        <v>320</v>
      </c>
      <c r="CC57" s="153">
        <v>290</v>
      </c>
      <c r="CD57" s="153"/>
      <c r="CE57" s="154"/>
      <c r="CF57" s="102">
        <v>300</v>
      </c>
      <c r="CG57" s="153"/>
      <c r="CH57" s="153">
        <v>200</v>
      </c>
      <c r="CI57" s="153">
        <v>225</v>
      </c>
      <c r="CJ57" s="153">
        <v>200</v>
      </c>
      <c r="CK57" s="153">
        <v>400</v>
      </c>
      <c r="CL57" s="153">
        <v>320</v>
      </c>
      <c r="CM57" s="153">
        <v>293.33333333333331</v>
      </c>
      <c r="CN57" s="153"/>
      <c r="CO57" s="154"/>
      <c r="CP57" s="102">
        <v>375</v>
      </c>
      <c r="CQ57" s="153">
        <v>387.5</v>
      </c>
      <c r="CR57" s="153">
        <v>218.75</v>
      </c>
      <c r="CS57" s="153">
        <v>218.75</v>
      </c>
      <c r="CT57" s="153">
        <v>200</v>
      </c>
      <c r="CU57" s="153">
        <v>400</v>
      </c>
      <c r="CV57" s="153">
        <v>325</v>
      </c>
      <c r="CW57" s="153">
        <v>297.5</v>
      </c>
      <c r="CX57" s="153"/>
      <c r="CY57" s="154"/>
      <c r="CZ57" s="102"/>
      <c r="DA57" s="153">
        <v>270</v>
      </c>
      <c r="DB57" s="153">
        <v>225</v>
      </c>
      <c r="DC57" s="153">
        <v>225</v>
      </c>
      <c r="DD57" s="153"/>
      <c r="DE57" s="153">
        <v>400</v>
      </c>
      <c r="DF57" s="153">
        <v>325</v>
      </c>
      <c r="DG57" s="153">
        <v>300</v>
      </c>
      <c r="DH57" s="153"/>
      <c r="DI57" s="154">
        <v>278.33333333333331</v>
      </c>
      <c r="DJ57" s="102"/>
      <c r="DK57" s="153">
        <v>250</v>
      </c>
      <c r="DL57" s="153">
        <v>225</v>
      </c>
      <c r="DM57" s="153">
        <v>225</v>
      </c>
      <c r="DN57" s="153">
        <v>200</v>
      </c>
      <c r="DO57" s="153">
        <v>400</v>
      </c>
      <c r="DP57" s="153">
        <v>325</v>
      </c>
      <c r="DQ57" s="153">
        <v>300</v>
      </c>
      <c r="DR57" s="153"/>
      <c r="DS57" s="154">
        <v>212.5</v>
      </c>
      <c r="DT57" s="102"/>
      <c r="DU57" s="153">
        <v>250</v>
      </c>
      <c r="DV57" s="153">
        <v>231.25</v>
      </c>
      <c r="DW57" s="153">
        <v>225</v>
      </c>
      <c r="DX57" s="153">
        <v>200</v>
      </c>
      <c r="DY57" s="153">
        <v>400</v>
      </c>
      <c r="DZ57" s="153">
        <v>341.25</v>
      </c>
      <c r="EA57" s="153">
        <v>300</v>
      </c>
      <c r="EB57" s="153"/>
      <c r="EC57" s="154"/>
    </row>
    <row r="58" spans="1:133" x14ac:dyDescent="0.25">
      <c r="A58" s="95">
        <v>41365</v>
      </c>
      <c r="B58" s="75">
        <v>215.34090909090909</v>
      </c>
      <c r="C58" s="75">
        <v>296.02272727272725</v>
      </c>
      <c r="D58" s="75">
        <v>244.88636363636363</v>
      </c>
      <c r="E58" s="75">
        <v>256.25</v>
      </c>
      <c r="F58" s="75">
        <v>240.56818181818181</v>
      </c>
      <c r="G58" s="75">
        <v>470</v>
      </c>
      <c r="H58" s="75">
        <v>451.47727272727275</v>
      </c>
      <c r="I58" s="75">
        <v>297.27272727272725</v>
      </c>
      <c r="J58" s="75">
        <v>294.28571428571428</v>
      </c>
      <c r="K58" s="75">
        <v>283.75</v>
      </c>
      <c r="N58" s="102"/>
      <c r="O58" s="104">
        <v>450</v>
      </c>
      <c r="P58" s="104">
        <v>175</v>
      </c>
      <c r="Q58" s="104">
        <v>177.5</v>
      </c>
      <c r="R58" s="104">
        <v>200</v>
      </c>
      <c r="S58" s="104">
        <v>400</v>
      </c>
      <c r="T58" s="104">
        <v>350</v>
      </c>
      <c r="U58" s="104">
        <v>308.33333333333331</v>
      </c>
      <c r="V58" s="104"/>
      <c r="W58" s="152">
        <v>281.25</v>
      </c>
      <c r="X58" s="102">
        <v>350</v>
      </c>
      <c r="Y58" s="153">
        <v>450</v>
      </c>
      <c r="Z58" s="153">
        <v>175</v>
      </c>
      <c r="AA58" s="153">
        <v>185</v>
      </c>
      <c r="AB58" s="153">
        <v>218.75</v>
      </c>
      <c r="AC58" s="153"/>
      <c r="AD58" s="153">
        <v>350</v>
      </c>
      <c r="AE58" s="153">
        <v>300</v>
      </c>
      <c r="AF58" s="153"/>
      <c r="AG58" s="154">
        <v>275</v>
      </c>
      <c r="AH58" s="102">
        <v>337.5</v>
      </c>
      <c r="AI58" s="153">
        <v>443.75</v>
      </c>
      <c r="AJ58" s="153">
        <v>175</v>
      </c>
      <c r="AK58" s="153">
        <v>175</v>
      </c>
      <c r="AL58" s="153">
        <v>231.25</v>
      </c>
      <c r="AM58" s="153"/>
      <c r="AN58" s="153">
        <v>325</v>
      </c>
      <c r="AO58" s="153">
        <v>296.66666666666669</v>
      </c>
      <c r="AP58" s="153"/>
      <c r="AQ58" s="154">
        <v>275</v>
      </c>
      <c r="AR58" s="102">
        <v>233.33333333333334</v>
      </c>
      <c r="AS58" s="153">
        <v>366.66666666666669</v>
      </c>
      <c r="AT58" s="153">
        <v>175</v>
      </c>
      <c r="AU58" s="153">
        <v>191.66666666666666</v>
      </c>
      <c r="AV58" s="153">
        <v>216.66666666666666</v>
      </c>
      <c r="AW58" s="153"/>
      <c r="AX58" s="153">
        <v>325</v>
      </c>
      <c r="AY58" s="153">
        <v>293.33333333333331</v>
      </c>
      <c r="AZ58" s="153"/>
      <c r="BA58" s="154">
        <v>278.33333333333331</v>
      </c>
      <c r="BB58" s="102">
        <v>187.5</v>
      </c>
      <c r="BC58" s="153">
        <v>312.5</v>
      </c>
      <c r="BD58" s="153">
        <v>180</v>
      </c>
      <c r="BE58" s="153">
        <v>200</v>
      </c>
      <c r="BF58" s="153">
        <v>225</v>
      </c>
      <c r="BG58" s="153"/>
      <c r="BH58" s="153">
        <v>325</v>
      </c>
      <c r="BI58" s="153">
        <v>300</v>
      </c>
      <c r="BJ58" s="153"/>
      <c r="BK58" s="154">
        <v>277.5</v>
      </c>
      <c r="BL58" s="102">
        <v>212.5</v>
      </c>
      <c r="BM58" s="153"/>
      <c r="BN58" s="153">
        <v>182.5</v>
      </c>
      <c r="BO58" s="153">
        <v>200</v>
      </c>
      <c r="BP58" s="153">
        <v>225</v>
      </c>
      <c r="BQ58" s="153"/>
      <c r="BR58" s="153">
        <v>325</v>
      </c>
      <c r="BS58" s="153">
        <v>300</v>
      </c>
      <c r="BT58" s="153"/>
      <c r="BU58" s="154">
        <v>275</v>
      </c>
      <c r="BV58" s="102">
        <v>285</v>
      </c>
      <c r="BW58" s="153"/>
      <c r="BX58" s="153">
        <v>191</v>
      </c>
      <c r="BY58" s="153">
        <v>200</v>
      </c>
      <c r="BZ58" s="153">
        <v>225</v>
      </c>
      <c r="CA58" s="153"/>
      <c r="CB58" s="153">
        <v>325</v>
      </c>
      <c r="CC58" s="153">
        <v>300</v>
      </c>
      <c r="CD58" s="153"/>
      <c r="CE58" s="154">
        <v>280</v>
      </c>
      <c r="CF58" s="102">
        <v>300</v>
      </c>
      <c r="CG58" s="153"/>
      <c r="CH58" s="153">
        <v>200</v>
      </c>
      <c r="CI58" s="153">
        <v>225</v>
      </c>
      <c r="CJ58" s="153">
        <v>225</v>
      </c>
      <c r="CK58" s="153"/>
      <c r="CL58" s="153">
        <v>325</v>
      </c>
      <c r="CM58" s="153">
        <v>300</v>
      </c>
      <c r="CN58" s="153"/>
      <c r="CO58" s="154">
        <v>275</v>
      </c>
      <c r="CP58" s="102">
        <v>287.5</v>
      </c>
      <c r="CQ58" s="153">
        <v>362.5</v>
      </c>
      <c r="CR58" s="153">
        <v>200</v>
      </c>
      <c r="CS58" s="153">
        <v>225</v>
      </c>
      <c r="CT58" s="153">
        <v>225</v>
      </c>
      <c r="CU58" s="153"/>
      <c r="CV58" s="153">
        <v>337.5</v>
      </c>
      <c r="CW58" s="153">
        <v>300</v>
      </c>
      <c r="CX58" s="153"/>
      <c r="CY58" s="154">
        <v>281.25</v>
      </c>
      <c r="CZ58" s="102"/>
      <c r="DA58" s="153">
        <v>300</v>
      </c>
      <c r="DB58" s="153">
        <v>190</v>
      </c>
      <c r="DC58" s="153">
        <v>217</v>
      </c>
      <c r="DD58" s="153">
        <v>218</v>
      </c>
      <c r="DE58" s="153"/>
      <c r="DF58" s="153">
        <v>350</v>
      </c>
      <c r="DG58" s="153">
        <v>317</v>
      </c>
      <c r="DH58" s="153"/>
      <c r="DI58" s="154">
        <v>343.75</v>
      </c>
      <c r="DJ58" s="102"/>
      <c r="DK58" s="153">
        <v>287.5</v>
      </c>
      <c r="DL58" s="153">
        <v>190</v>
      </c>
      <c r="DM58" s="153">
        <v>206.25</v>
      </c>
      <c r="DN58" s="153">
        <v>225</v>
      </c>
      <c r="DO58" s="153"/>
      <c r="DP58" s="153">
        <v>350</v>
      </c>
      <c r="DQ58" s="153">
        <v>325</v>
      </c>
      <c r="DR58" s="153"/>
      <c r="DS58" s="154">
        <v>275</v>
      </c>
      <c r="DT58" s="102"/>
      <c r="DU58" s="153">
        <v>300</v>
      </c>
      <c r="DV58" s="153">
        <v>206.25</v>
      </c>
      <c r="DW58" s="153">
        <v>218.75</v>
      </c>
      <c r="DX58" s="153">
        <v>233.33333333333334</v>
      </c>
      <c r="DY58" s="153"/>
      <c r="DZ58" s="153">
        <v>368.75</v>
      </c>
      <c r="EA58" s="153">
        <v>322.5</v>
      </c>
      <c r="EB58" s="153"/>
      <c r="EC58" s="154">
        <v>275</v>
      </c>
    </row>
    <row r="59" spans="1:133" x14ac:dyDescent="0.25">
      <c r="A59" s="95">
        <v>41395</v>
      </c>
      <c r="B59" s="75">
        <v>220.45454545454547</v>
      </c>
      <c r="C59" s="75">
        <v>309.16666666666663</v>
      </c>
      <c r="D59" s="75">
        <v>242.57575757575754</v>
      </c>
      <c r="E59" s="75">
        <v>259.09090909090907</v>
      </c>
      <c r="F59" s="75">
        <v>241.33333333333331</v>
      </c>
      <c r="G59" s="75">
        <v>475</v>
      </c>
      <c r="H59" s="75">
        <v>450</v>
      </c>
      <c r="I59" s="75">
        <v>296.21212121212119</v>
      </c>
      <c r="J59" s="75">
        <v>294.27083333333331</v>
      </c>
      <c r="K59" s="75">
        <v>276.42857142857144</v>
      </c>
      <c r="N59" s="102"/>
      <c r="O59" s="104">
        <v>412.5</v>
      </c>
      <c r="P59" s="104">
        <v>175</v>
      </c>
      <c r="Q59" s="104">
        <v>200</v>
      </c>
      <c r="R59" s="104">
        <v>192.5</v>
      </c>
      <c r="S59" s="104"/>
      <c r="T59" s="104">
        <v>350</v>
      </c>
      <c r="U59" s="104">
        <v>300</v>
      </c>
      <c r="V59" s="104"/>
      <c r="W59" s="152">
        <v>293.75</v>
      </c>
      <c r="X59" s="102">
        <v>300</v>
      </c>
      <c r="Y59" s="153">
        <v>412.5</v>
      </c>
      <c r="Z59" s="153">
        <v>175</v>
      </c>
      <c r="AA59" s="153">
        <v>200</v>
      </c>
      <c r="AB59" s="153">
        <v>197.5</v>
      </c>
      <c r="AC59" s="153"/>
      <c r="AD59" s="153">
        <v>350</v>
      </c>
      <c r="AE59" s="153">
        <v>300</v>
      </c>
      <c r="AF59" s="153"/>
      <c r="AG59" s="154">
        <v>275</v>
      </c>
      <c r="AH59" s="102">
        <v>308.33333333333331</v>
      </c>
      <c r="AI59" s="153">
        <v>400</v>
      </c>
      <c r="AJ59" s="153">
        <v>190</v>
      </c>
      <c r="AK59" s="153">
        <v>200</v>
      </c>
      <c r="AL59" s="153">
        <v>200</v>
      </c>
      <c r="AM59" s="153"/>
      <c r="AN59" s="153">
        <v>323.75</v>
      </c>
      <c r="AO59" s="153">
        <v>297.5</v>
      </c>
      <c r="AP59" s="153"/>
      <c r="AQ59" s="154">
        <v>275</v>
      </c>
      <c r="AR59" s="102">
        <v>216.66666666666666</v>
      </c>
      <c r="AS59" s="153">
        <v>387.5</v>
      </c>
      <c r="AT59" s="153">
        <v>190</v>
      </c>
      <c r="AU59" s="153">
        <v>200</v>
      </c>
      <c r="AV59" s="153">
        <v>200</v>
      </c>
      <c r="AW59" s="153"/>
      <c r="AX59" s="153">
        <v>320</v>
      </c>
      <c r="AY59" s="153">
        <v>293.33333333333331</v>
      </c>
      <c r="AZ59" s="153"/>
      <c r="BA59" s="154">
        <v>275</v>
      </c>
      <c r="BB59" s="102">
        <v>193.75</v>
      </c>
      <c r="BC59" s="153"/>
      <c r="BD59" s="153">
        <v>205</v>
      </c>
      <c r="BE59" s="153">
        <v>207.5</v>
      </c>
      <c r="BF59" s="153">
        <v>200</v>
      </c>
      <c r="BG59" s="153"/>
      <c r="BH59" s="153">
        <v>322.5</v>
      </c>
      <c r="BI59" s="153">
        <v>297.5</v>
      </c>
      <c r="BJ59" s="153"/>
      <c r="BK59" s="154">
        <v>275</v>
      </c>
      <c r="BL59" s="102">
        <v>193.75</v>
      </c>
      <c r="BM59" s="153"/>
      <c r="BN59" s="153">
        <v>217.5</v>
      </c>
      <c r="BO59" s="153">
        <v>211.25</v>
      </c>
      <c r="BP59" s="153">
        <v>200</v>
      </c>
      <c r="BQ59" s="153"/>
      <c r="BR59" s="153">
        <v>325</v>
      </c>
      <c r="BS59" s="153">
        <v>300</v>
      </c>
      <c r="BT59" s="153"/>
      <c r="BU59" s="154">
        <v>275</v>
      </c>
      <c r="BV59" s="102">
        <v>230</v>
      </c>
      <c r="BW59" s="153"/>
      <c r="BX59" s="153">
        <v>225</v>
      </c>
      <c r="BY59" s="153">
        <v>220</v>
      </c>
      <c r="BZ59" s="153">
        <v>200</v>
      </c>
      <c r="CA59" s="153"/>
      <c r="CB59" s="153">
        <v>325</v>
      </c>
      <c r="CC59" s="153">
        <v>296</v>
      </c>
      <c r="CD59" s="153"/>
      <c r="CE59" s="154">
        <v>275</v>
      </c>
      <c r="CF59" s="102">
        <v>258.33333333333331</v>
      </c>
      <c r="CG59" s="153"/>
      <c r="CH59" s="153">
        <v>225</v>
      </c>
      <c r="CI59" s="153">
        <v>221.66666666666666</v>
      </c>
      <c r="CJ59" s="153">
        <v>225</v>
      </c>
      <c r="CK59" s="153"/>
      <c r="CL59" s="153">
        <v>330</v>
      </c>
      <c r="CM59" s="153">
        <v>293.33333333333331</v>
      </c>
      <c r="CN59" s="153"/>
      <c r="CO59" s="154">
        <v>275</v>
      </c>
      <c r="CP59" s="102">
        <v>362.5</v>
      </c>
      <c r="CQ59" s="153">
        <v>350</v>
      </c>
      <c r="CR59" s="153">
        <v>225</v>
      </c>
      <c r="CS59" s="153">
        <v>215</v>
      </c>
      <c r="CT59" s="153">
        <v>225</v>
      </c>
      <c r="CU59" s="153"/>
      <c r="CV59" s="153">
        <v>350</v>
      </c>
      <c r="CW59" s="153">
        <v>300</v>
      </c>
      <c r="CX59" s="153"/>
      <c r="CY59" s="154">
        <v>275</v>
      </c>
      <c r="CZ59" s="102"/>
      <c r="DA59" s="153">
        <v>300</v>
      </c>
      <c r="DB59" s="153">
        <v>225</v>
      </c>
      <c r="DC59" s="153">
        <v>215</v>
      </c>
      <c r="DD59" s="153">
        <v>225</v>
      </c>
      <c r="DE59" s="153"/>
      <c r="DF59" s="153">
        <v>350</v>
      </c>
      <c r="DG59" s="153">
        <v>300</v>
      </c>
      <c r="DH59" s="153"/>
      <c r="DI59" s="154">
        <v>275</v>
      </c>
      <c r="DJ59" s="102"/>
      <c r="DK59" s="153">
        <v>262.5</v>
      </c>
      <c r="DL59" s="153">
        <v>225</v>
      </c>
      <c r="DM59" s="153">
        <v>215</v>
      </c>
      <c r="DN59" s="153">
        <v>225</v>
      </c>
      <c r="DO59" s="153"/>
      <c r="DP59" s="153">
        <v>350</v>
      </c>
      <c r="DQ59" s="153">
        <v>300</v>
      </c>
      <c r="DR59" s="153"/>
      <c r="DS59" s="154">
        <v>275</v>
      </c>
      <c r="DT59" s="102"/>
      <c r="DU59" s="153">
        <v>250</v>
      </c>
      <c r="DV59" s="153">
        <v>225</v>
      </c>
      <c r="DW59" s="153">
        <v>215</v>
      </c>
      <c r="DX59" s="153">
        <v>225</v>
      </c>
      <c r="DY59" s="153"/>
      <c r="DZ59" s="153">
        <v>356.25</v>
      </c>
      <c r="EA59" s="153">
        <v>300</v>
      </c>
      <c r="EB59" s="153"/>
      <c r="EC59" s="154">
        <v>275</v>
      </c>
    </row>
    <row r="60" spans="1:133" x14ac:dyDescent="0.25">
      <c r="A60" s="95">
        <v>41426</v>
      </c>
      <c r="B60" s="75">
        <v>348.63636363636363</v>
      </c>
      <c r="C60" s="75">
        <v>325</v>
      </c>
      <c r="D60" s="75">
        <v>244.72727272727272</v>
      </c>
      <c r="E60" s="75">
        <v>259.09090909090907</v>
      </c>
      <c r="F60" s="75">
        <v>242.63636363636363</v>
      </c>
      <c r="G60" s="75">
        <v>481.25</v>
      </c>
      <c r="H60" s="75">
        <v>449.18181818181819</v>
      </c>
      <c r="I60" s="75">
        <v>272.36363636363637</v>
      </c>
      <c r="J60" s="75">
        <v>271.07142857142856</v>
      </c>
      <c r="K60" s="75">
        <v>272.32142857142856</v>
      </c>
      <c r="N60" s="102"/>
      <c r="O60" s="104">
        <v>475</v>
      </c>
      <c r="P60" s="104">
        <v>200</v>
      </c>
      <c r="Q60" s="104">
        <v>237.5</v>
      </c>
      <c r="R60" s="104">
        <v>200</v>
      </c>
      <c r="S60" s="104"/>
      <c r="T60" s="104">
        <v>400</v>
      </c>
      <c r="U60" s="104">
        <v>300</v>
      </c>
      <c r="V60" s="104"/>
      <c r="W60" s="152">
        <v>268.75</v>
      </c>
      <c r="X60" s="102">
        <v>300</v>
      </c>
      <c r="Y60" s="153">
        <v>400</v>
      </c>
      <c r="Z60" s="153">
        <v>200</v>
      </c>
      <c r="AA60" s="153">
        <v>200</v>
      </c>
      <c r="AB60" s="153">
        <v>200</v>
      </c>
      <c r="AC60" s="153"/>
      <c r="AD60" s="153">
        <v>343.75</v>
      </c>
      <c r="AE60" s="153">
        <v>300</v>
      </c>
      <c r="AF60" s="153"/>
      <c r="AG60" s="154">
        <v>281.25</v>
      </c>
      <c r="AH60" s="102">
        <v>293.75</v>
      </c>
      <c r="AI60" s="153">
        <v>400</v>
      </c>
      <c r="AJ60" s="153">
        <v>200</v>
      </c>
      <c r="AK60" s="153">
        <v>200</v>
      </c>
      <c r="AL60" s="153">
        <v>200</v>
      </c>
      <c r="AM60" s="153"/>
      <c r="AN60" s="153">
        <v>350</v>
      </c>
      <c r="AO60" s="153">
        <v>300</v>
      </c>
      <c r="AP60" s="153"/>
      <c r="AQ60" s="154">
        <v>300</v>
      </c>
      <c r="AR60" s="102">
        <v>241.66666666666666</v>
      </c>
      <c r="AS60" s="153">
        <v>400</v>
      </c>
      <c r="AT60" s="153">
        <v>216.66666666666666</v>
      </c>
      <c r="AU60" s="153">
        <v>233.33333333333334</v>
      </c>
      <c r="AV60" s="153">
        <v>216.66666666666666</v>
      </c>
      <c r="AW60" s="153"/>
      <c r="AX60" s="153">
        <v>350</v>
      </c>
      <c r="AY60" s="153">
        <v>300</v>
      </c>
      <c r="AZ60" s="153"/>
      <c r="BA60" s="154">
        <v>300</v>
      </c>
      <c r="BB60" s="102">
        <v>193.75</v>
      </c>
      <c r="BC60" s="153"/>
      <c r="BD60" s="153">
        <v>225</v>
      </c>
      <c r="BE60" s="153">
        <v>250</v>
      </c>
      <c r="BF60" s="153">
        <v>225</v>
      </c>
      <c r="BG60" s="153"/>
      <c r="BH60" s="153">
        <v>350</v>
      </c>
      <c r="BI60" s="153">
        <v>300</v>
      </c>
      <c r="BJ60" s="153"/>
      <c r="BK60" s="154">
        <v>300</v>
      </c>
      <c r="BL60" s="102">
        <v>206.25</v>
      </c>
      <c r="BM60" s="153">
        <v>500</v>
      </c>
      <c r="BN60" s="153">
        <v>225</v>
      </c>
      <c r="BO60" s="153">
        <v>275</v>
      </c>
      <c r="BP60" s="153">
        <v>225</v>
      </c>
      <c r="BQ60" s="153"/>
      <c r="BR60" s="153">
        <v>350</v>
      </c>
      <c r="BS60" s="153">
        <v>300</v>
      </c>
      <c r="BT60" s="153"/>
      <c r="BU60" s="154">
        <v>300</v>
      </c>
      <c r="BV60" s="102">
        <v>250</v>
      </c>
      <c r="BW60" s="153"/>
      <c r="BX60" s="153">
        <v>250</v>
      </c>
      <c r="BY60" s="153">
        <v>300</v>
      </c>
      <c r="BZ60" s="153">
        <v>225</v>
      </c>
      <c r="CA60" s="153"/>
      <c r="CB60" s="153">
        <v>350</v>
      </c>
      <c r="CC60" s="153">
        <v>300</v>
      </c>
      <c r="CD60" s="153"/>
      <c r="CE60" s="154">
        <v>300</v>
      </c>
      <c r="CF60" s="102">
        <v>275</v>
      </c>
      <c r="CG60" s="153"/>
      <c r="CH60" s="153">
        <v>250</v>
      </c>
      <c r="CI60" s="153">
        <v>275</v>
      </c>
      <c r="CJ60" s="153">
        <v>225</v>
      </c>
      <c r="CK60" s="153"/>
      <c r="CL60" s="153">
        <v>350</v>
      </c>
      <c r="CM60" s="153">
        <v>300</v>
      </c>
      <c r="CN60" s="153"/>
      <c r="CO60" s="154">
        <v>300</v>
      </c>
      <c r="CP60" s="102">
        <v>300</v>
      </c>
      <c r="CQ60" s="153">
        <v>475</v>
      </c>
      <c r="CR60" s="153">
        <v>247.5</v>
      </c>
      <c r="CS60" s="153">
        <v>262.5</v>
      </c>
      <c r="CT60" s="153">
        <v>237.5</v>
      </c>
      <c r="CU60" s="153"/>
      <c r="CV60" s="153">
        <v>375</v>
      </c>
      <c r="CW60" s="153">
        <v>300</v>
      </c>
      <c r="CX60" s="153"/>
      <c r="CY60" s="154">
        <v>300</v>
      </c>
      <c r="CZ60" s="102">
        <v>350</v>
      </c>
      <c r="DA60" s="153">
        <v>360</v>
      </c>
      <c r="DB60" s="153">
        <v>260</v>
      </c>
      <c r="DC60" s="153">
        <v>290</v>
      </c>
      <c r="DD60" s="153">
        <v>240</v>
      </c>
      <c r="DE60" s="153"/>
      <c r="DF60" s="153">
        <v>350</v>
      </c>
      <c r="DG60" s="153">
        <v>300</v>
      </c>
      <c r="DH60" s="153"/>
      <c r="DI60" s="154">
        <v>300</v>
      </c>
      <c r="DJ60" s="102"/>
      <c r="DK60" s="153">
        <v>337.5</v>
      </c>
      <c r="DL60" s="153">
        <v>287.5</v>
      </c>
      <c r="DM60" s="153">
        <v>287.5</v>
      </c>
      <c r="DN60" s="153">
        <v>262.5</v>
      </c>
      <c r="DO60" s="153"/>
      <c r="DP60" s="153">
        <v>362.5</v>
      </c>
      <c r="DQ60" s="153">
        <v>300</v>
      </c>
      <c r="DR60" s="153"/>
      <c r="DS60" s="154">
        <v>300</v>
      </c>
      <c r="DT60" s="102"/>
      <c r="DU60" s="153">
        <v>300</v>
      </c>
      <c r="DV60" s="153">
        <v>275</v>
      </c>
      <c r="DW60" s="153">
        <v>375</v>
      </c>
      <c r="DX60" s="153">
        <v>250</v>
      </c>
      <c r="DY60" s="153"/>
      <c r="DZ60" s="153">
        <v>362.5</v>
      </c>
      <c r="EA60" s="153">
        <v>300</v>
      </c>
      <c r="EB60" s="153"/>
      <c r="EC60" s="154">
        <v>300</v>
      </c>
    </row>
    <row r="61" spans="1:133" x14ac:dyDescent="0.25">
      <c r="A61" s="95">
        <v>41456</v>
      </c>
      <c r="B61" s="75">
        <v>416.47727272727275</v>
      </c>
      <c r="C61" s="75" t="s">
        <v>105</v>
      </c>
      <c r="D61" s="75">
        <v>251.70454545454547</v>
      </c>
      <c r="E61" s="75">
        <v>261.13636363636363</v>
      </c>
      <c r="F61" s="75">
        <v>244.31818181818181</v>
      </c>
      <c r="G61" s="75">
        <v>482.8125</v>
      </c>
      <c r="H61" s="75">
        <v>450</v>
      </c>
      <c r="I61" s="75">
        <v>271.47727272727275</v>
      </c>
      <c r="J61" s="75">
        <v>269.16666666666669</v>
      </c>
      <c r="K61" s="75">
        <v>289.375</v>
      </c>
      <c r="N61" s="102"/>
      <c r="O61" s="104">
        <v>487.5</v>
      </c>
      <c r="P61" s="104">
        <v>250</v>
      </c>
      <c r="Q61" s="104">
        <v>250</v>
      </c>
      <c r="R61" s="104">
        <v>225</v>
      </c>
      <c r="S61" s="104"/>
      <c r="T61" s="104">
        <v>350</v>
      </c>
      <c r="U61" s="104">
        <v>306.25</v>
      </c>
      <c r="V61" s="104"/>
      <c r="W61" s="152">
        <v>300</v>
      </c>
      <c r="X61" s="102"/>
      <c r="Y61" s="153">
        <v>412.5</v>
      </c>
      <c r="Z61" s="153">
        <v>250</v>
      </c>
      <c r="AA61" s="153">
        <v>250</v>
      </c>
      <c r="AB61" s="153">
        <v>225</v>
      </c>
      <c r="AC61" s="153"/>
      <c r="AD61" s="153">
        <v>335</v>
      </c>
      <c r="AE61" s="153">
        <v>300</v>
      </c>
      <c r="AF61" s="153"/>
      <c r="AG61" s="154">
        <v>281.25</v>
      </c>
      <c r="AH61" s="102">
        <v>275</v>
      </c>
      <c r="AI61" s="153">
        <v>400</v>
      </c>
      <c r="AJ61" s="153">
        <v>225</v>
      </c>
      <c r="AK61" s="153">
        <v>225</v>
      </c>
      <c r="AL61" s="153">
        <v>225</v>
      </c>
      <c r="AM61" s="153"/>
      <c r="AN61" s="153">
        <v>330</v>
      </c>
      <c r="AO61" s="153">
        <v>300</v>
      </c>
      <c r="AP61" s="153"/>
      <c r="AQ61" s="154">
        <v>281.25</v>
      </c>
      <c r="AR61" s="102">
        <v>216.66666666666666</v>
      </c>
      <c r="AS61" s="153">
        <v>400</v>
      </c>
      <c r="AT61" s="153">
        <v>241.66666666666666</v>
      </c>
      <c r="AU61" s="153">
        <v>225</v>
      </c>
      <c r="AV61" s="153">
        <v>225</v>
      </c>
      <c r="AW61" s="153"/>
      <c r="AX61" s="153">
        <v>326.66666666666669</v>
      </c>
      <c r="AY61" s="153">
        <v>300</v>
      </c>
      <c r="AZ61" s="153"/>
      <c r="BA61" s="154">
        <v>287.5</v>
      </c>
      <c r="BB61" s="102">
        <v>200</v>
      </c>
      <c r="BC61" s="153"/>
      <c r="BD61" s="153">
        <v>250</v>
      </c>
      <c r="BE61" s="153">
        <v>225</v>
      </c>
      <c r="BF61" s="153">
        <v>225</v>
      </c>
      <c r="BG61" s="153"/>
      <c r="BH61" s="153">
        <v>330</v>
      </c>
      <c r="BI61" s="153">
        <v>300</v>
      </c>
      <c r="BJ61" s="153"/>
      <c r="BK61" s="154"/>
      <c r="BL61" s="102">
        <v>200</v>
      </c>
      <c r="BM61" s="153">
        <v>200</v>
      </c>
      <c r="BN61" s="153">
        <v>250</v>
      </c>
      <c r="BO61" s="153">
        <v>225</v>
      </c>
      <c r="BP61" s="153">
        <v>225</v>
      </c>
      <c r="BQ61" s="153"/>
      <c r="BR61" s="153">
        <v>330</v>
      </c>
      <c r="BS61" s="153">
        <v>300</v>
      </c>
      <c r="BT61" s="153"/>
      <c r="BU61" s="154">
        <v>275</v>
      </c>
      <c r="BV61" s="102">
        <v>260</v>
      </c>
      <c r="BW61" s="153"/>
      <c r="BX61" s="153">
        <v>250</v>
      </c>
      <c r="BY61" s="153">
        <v>230</v>
      </c>
      <c r="BZ61" s="153">
        <v>225</v>
      </c>
      <c r="CA61" s="153">
        <v>400</v>
      </c>
      <c r="CB61" s="153">
        <v>330</v>
      </c>
      <c r="CC61" s="153">
        <v>300</v>
      </c>
      <c r="CD61" s="153"/>
      <c r="CE61" s="154">
        <v>283.33333333333331</v>
      </c>
      <c r="CF61" s="102">
        <v>300</v>
      </c>
      <c r="CG61" s="153"/>
      <c r="CH61" s="153">
        <v>250</v>
      </c>
      <c r="CI61" s="153">
        <v>225</v>
      </c>
      <c r="CJ61" s="153">
        <v>225</v>
      </c>
      <c r="CK61" s="153">
        <v>400</v>
      </c>
      <c r="CL61" s="153">
        <v>330</v>
      </c>
      <c r="CM61" s="153">
        <v>300</v>
      </c>
      <c r="CN61" s="153"/>
      <c r="CO61" s="154">
        <v>291.66666666666669</v>
      </c>
      <c r="CP61" s="102">
        <v>375</v>
      </c>
      <c r="CQ61" s="153">
        <v>437.5</v>
      </c>
      <c r="CR61" s="153">
        <v>250</v>
      </c>
      <c r="CS61" s="153">
        <v>262.5</v>
      </c>
      <c r="CT61" s="153">
        <v>225</v>
      </c>
      <c r="CU61" s="153">
        <v>400</v>
      </c>
      <c r="CV61" s="153">
        <v>340</v>
      </c>
      <c r="CW61" s="153">
        <v>318.75</v>
      </c>
      <c r="CX61" s="153"/>
      <c r="CY61" s="154">
        <v>300</v>
      </c>
      <c r="CZ61" s="102"/>
      <c r="DA61" s="153">
        <v>350</v>
      </c>
      <c r="DB61" s="153">
        <v>240</v>
      </c>
      <c r="DC61" s="153">
        <v>235</v>
      </c>
      <c r="DD61" s="153">
        <v>225</v>
      </c>
      <c r="DE61" s="153">
        <v>400</v>
      </c>
      <c r="DF61" s="153">
        <v>350</v>
      </c>
      <c r="DG61" s="153">
        <v>325</v>
      </c>
      <c r="DH61" s="153"/>
      <c r="DI61" s="154">
        <v>300</v>
      </c>
      <c r="DJ61" s="102"/>
      <c r="DK61" s="153">
        <v>312.5</v>
      </c>
      <c r="DL61" s="153">
        <v>250</v>
      </c>
      <c r="DM61" s="153">
        <v>237.5</v>
      </c>
      <c r="DN61" s="153">
        <v>225</v>
      </c>
      <c r="DO61" s="153"/>
      <c r="DP61" s="153">
        <v>350</v>
      </c>
      <c r="DQ61" s="153">
        <v>325</v>
      </c>
      <c r="DR61" s="153"/>
      <c r="DS61" s="154">
        <v>300</v>
      </c>
      <c r="DT61" s="102"/>
      <c r="DU61" s="153">
        <v>306.25</v>
      </c>
      <c r="DV61" s="153">
        <v>250</v>
      </c>
      <c r="DW61" s="153">
        <v>250</v>
      </c>
      <c r="DX61" s="153">
        <v>250</v>
      </c>
      <c r="DY61" s="153"/>
      <c r="DZ61" s="153">
        <v>375</v>
      </c>
      <c r="EA61" s="153">
        <v>325</v>
      </c>
      <c r="EB61" s="153"/>
      <c r="EC61" s="154">
        <v>300</v>
      </c>
    </row>
    <row r="62" spans="1:133" x14ac:dyDescent="0.25">
      <c r="A62" s="95">
        <v>41487</v>
      </c>
      <c r="B62" s="75">
        <v>504.92424242424244</v>
      </c>
      <c r="C62" s="75">
        <v>581.96969696969688</v>
      </c>
      <c r="D62" s="75">
        <v>253.06818181818181</v>
      </c>
      <c r="E62" s="75">
        <v>257.19696969696969</v>
      </c>
      <c r="F62" s="75">
        <v>242.5</v>
      </c>
      <c r="G62" s="75">
        <v>493.75</v>
      </c>
      <c r="H62" s="75">
        <v>450</v>
      </c>
      <c r="I62" s="75">
        <v>271.36363636363637</v>
      </c>
      <c r="J62" s="75">
        <v>269.72222222222223</v>
      </c>
      <c r="K62" s="75">
        <v>274.58333333333331</v>
      </c>
      <c r="N62" s="102"/>
      <c r="O62" s="104">
        <v>500</v>
      </c>
      <c r="P62" s="104">
        <v>200</v>
      </c>
      <c r="Q62" s="104">
        <v>200</v>
      </c>
      <c r="R62" s="104">
        <v>206.25</v>
      </c>
      <c r="S62" s="104"/>
      <c r="T62" s="104">
        <v>350</v>
      </c>
      <c r="U62" s="104">
        <v>300</v>
      </c>
      <c r="V62" s="104"/>
      <c r="W62" s="152"/>
      <c r="X62" s="102">
        <v>400</v>
      </c>
      <c r="Y62" s="153">
        <v>500</v>
      </c>
      <c r="Z62" s="153">
        <v>200</v>
      </c>
      <c r="AA62" s="153">
        <v>200</v>
      </c>
      <c r="AB62" s="153">
        <v>200</v>
      </c>
      <c r="AC62" s="153"/>
      <c r="AD62" s="153">
        <v>335</v>
      </c>
      <c r="AE62" s="153">
        <v>300</v>
      </c>
      <c r="AF62" s="153"/>
      <c r="AG62" s="154">
        <v>300</v>
      </c>
      <c r="AH62" s="102">
        <v>387.5</v>
      </c>
      <c r="AI62" s="153">
        <v>500</v>
      </c>
      <c r="AJ62" s="153">
        <v>200</v>
      </c>
      <c r="AK62" s="153">
        <v>200</v>
      </c>
      <c r="AL62" s="153">
        <v>218.75</v>
      </c>
      <c r="AM62" s="153"/>
      <c r="AN62" s="153">
        <v>325</v>
      </c>
      <c r="AO62" s="153">
        <v>290</v>
      </c>
      <c r="AP62" s="153"/>
      <c r="AQ62" s="154"/>
      <c r="AR62" s="102">
        <v>300</v>
      </c>
      <c r="AS62" s="153">
        <v>433.33333333333331</v>
      </c>
      <c r="AT62" s="153">
        <v>200</v>
      </c>
      <c r="AU62" s="153">
        <v>208.33333333333334</v>
      </c>
      <c r="AV62" s="153">
        <v>225</v>
      </c>
      <c r="AW62" s="153"/>
      <c r="AX62" s="153">
        <v>325</v>
      </c>
      <c r="AY62" s="153">
        <v>290</v>
      </c>
      <c r="AZ62" s="153"/>
      <c r="BA62" s="154"/>
      <c r="BB62" s="102">
        <v>237.5</v>
      </c>
      <c r="BC62" s="153">
        <v>400</v>
      </c>
      <c r="BD62" s="153">
        <v>200</v>
      </c>
      <c r="BE62" s="153">
        <v>225</v>
      </c>
      <c r="BF62" s="153">
        <v>225</v>
      </c>
      <c r="BG62" s="153"/>
      <c r="BH62" s="153">
        <v>325</v>
      </c>
      <c r="BI62" s="153">
        <v>290</v>
      </c>
      <c r="BJ62" s="153"/>
      <c r="BK62" s="154"/>
      <c r="BL62" s="102">
        <v>200</v>
      </c>
      <c r="BM62" s="153">
        <v>400</v>
      </c>
      <c r="BN62" s="153">
        <v>200</v>
      </c>
      <c r="BO62" s="153">
        <v>218.75</v>
      </c>
      <c r="BP62" s="153">
        <v>225</v>
      </c>
      <c r="BQ62" s="153"/>
      <c r="BR62" s="153">
        <v>325</v>
      </c>
      <c r="BS62" s="153">
        <v>292.5</v>
      </c>
      <c r="BT62" s="153"/>
      <c r="BU62" s="154"/>
      <c r="BV62" s="102">
        <v>300</v>
      </c>
      <c r="BW62" s="153"/>
      <c r="BX62" s="153">
        <v>218.75</v>
      </c>
      <c r="BY62" s="153">
        <v>225</v>
      </c>
      <c r="BZ62" s="153">
        <v>168.75</v>
      </c>
      <c r="CA62" s="153"/>
      <c r="CB62" s="153">
        <v>325</v>
      </c>
      <c r="CC62" s="153">
        <v>295</v>
      </c>
      <c r="CD62" s="153"/>
      <c r="CE62" s="154"/>
      <c r="CF62" s="102">
        <v>341.66666666666669</v>
      </c>
      <c r="CG62" s="153"/>
      <c r="CH62" s="153">
        <v>225</v>
      </c>
      <c r="CI62" s="153">
        <v>250</v>
      </c>
      <c r="CJ62" s="153">
        <v>225</v>
      </c>
      <c r="CK62" s="153"/>
      <c r="CL62" s="153">
        <v>325</v>
      </c>
      <c r="CM62" s="153">
        <v>300</v>
      </c>
      <c r="CN62" s="153"/>
      <c r="CO62" s="154">
        <v>275</v>
      </c>
      <c r="CP62" s="102">
        <v>350</v>
      </c>
      <c r="CQ62" s="153">
        <v>575</v>
      </c>
      <c r="CR62" s="153">
        <v>200</v>
      </c>
      <c r="CS62" s="153">
        <v>250</v>
      </c>
      <c r="CT62" s="153">
        <v>212.5</v>
      </c>
      <c r="CU62" s="153"/>
      <c r="CV62" s="153">
        <v>350</v>
      </c>
      <c r="CW62" s="153">
        <v>295</v>
      </c>
      <c r="CX62" s="153"/>
      <c r="CY62" s="154"/>
      <c r="CZ62" s="102">
        <v>337.5</v>
      </c>
      <c r="DA62" s="153">
        <v>340</v>
      </c>
      <c r="DB62" s="153">
        <v>215</v>
      </c>
      <c r="DC62" s="153">
        <v>270</v>
      </c>
      <c r="DD62" s="153">
        <v>225</v>
      </c>
      <c r="DE62" s="153"/>
      <c r="DF62" s="153">
        <v>325</v>
      </c>
      <c r="DG62" s="153">
        <v>299</v>
      </c>
      <c r="DH62" s="153"/>
      <c r="DI62" s="154">
        <v>275</v>
      </c>
      <c r="DJ62" s="102"/>
      <c r="DK62" s="153">
        <v>300</v>
      </c>
      <c r="DL62" s="153">
        <v>200</v>
      </c>
      <c r="DM62" s="153">
        <v>237.5</v>
      </c>
      <c r="DN62" s="153"/>
      <c r="DO62" s="153"/>
      <c r="DP62" s="153">
        <v>325</v>
      </c>
      <c r="DQ62" s="153">
        <v>300</v>
      </c>
      <c r="DR62" s="153"/>
      <c r="DS62" s="154">
        <v>275</v>
      </c>
      <c r="DT62" s="102"/>
      <c r="DU62" s="153">
        <v>300</v>
      </c>
      <c r="DV62" s="153">
        <v>200</v>
      </c>
      <c r="DW62" s="153">
        <v>250</v>
      </c>
      <c r="DX62" s="153">
        <v>275</v>
      </c>
      <c r="DY62" s="153"/>
      <c r="DZ62" s="153">
        <v>356.25</v>
      </c>
      <c r="EA62" s="153">
        <v>312.5</v>
      </c>
      <c r="EB62" s="153"/>
      <c r="EC62" s="154">
        <v>275</v>
      </c>
    </row>
    <row r="63" spans="1:133" x14ac:dyDescent="0.25">
      <c r="A63" s="95">
        <v>41518</v>
      </c>
      <c r="B63" s="75">
        <v>450</v>
      </c>
      <c r="C63" s="75">
        <v>406.81818181818181</v>
      </c>
      <c r="D63" s="75">
        <v>260</v>
      </c>
      <c r="E63" s="75">
        <v>262.66666666666669</v>
      </c>
      <c r="F63" s="75">
        <v>244.66666666666666</v>
      </c>
      <c r="G63" s="75">
        <v>487.5</v>
      </c>
      <c r="H63" s="75">
        <v>450.16666666666669</v>
      </c>
      <c r="I63" s="75">
        <v>276.16666666666663</v>
      </c>
      <c r="J63" s="75">
        <v>270</v>
      </c>
      <c r="K63" s="75">
        <v>274.58333333333331</v>
      </c>
      <c r="N63" s="102"/>
      <c r="O63" s="104">
        <v>400</v>
      </c>
      <c r="P63" s="104">
        <v>146.25</v>
      </c>
      <c r="Q63" s="104">
        <v>180</v>
      </c>
      <c r="R63" s="104">
        <v>156.25</v>
      </c>
      <c r="S63" s="104">
        <v>400</v>
      </c>
      <c r="T63" s="104">
        <v>330</v>
      </c>
      <c r="U63" s="104">
        <v>292.5</v>
      </c>
      <c r="V63" s="104"/>
      <c r="W63" s="152">
        <v>275</v>
      </c>
      <c r="X63" s="102">
        <v>400</v>
      </c>
      <c r="Y63" s="153">
        <v>418.75</v>
      </c>
      <c r="Z63" s="153">
        <v>143.75</v>
      </c>
      <c r="AA63" s="153">
        <v>193.75</v>
      </c>
      <c r="AB63" s="153">
        <v>155</v>
      </c>
      <c r="AC63" s="153">
        <v>400</v>
      </c>
      <c r="AD63" s="153">
        <v>331.25</v>
      </c>
      <c r="AE63" s="153">
        <v>280</v>
      </c>
      <c r="AF63" s="153"/>
      <c r="AG63" s="154">
        <v>276.25</v>
      </c>
      <c r="AH63" s="102">
        <v>343.75</v>
      </c>
      <c r="AI63" s="153">
        <v>425</v>
      </c>
      <c r="AJ63" s="153">
        <v>152.5</v>
      </c>
      <c r="AK63" s="153">
        <v>201.25</v>
      </c>
      <c r="AL63" s="153">
        <v>160</v>
      </c>
      <c r="AM63" s="153">
        <v>400</v>
      </c>
      <c r="AN63" s="153">
        <v>327.5</v>
      </c>
      <c r="AO63" s="153">
        <v>300</v>
      </c>
      <c r="AP63" s="153"/>
      <c r="AQ63" s="154">
        <v>277.5</v>
      </c>
      <c r="AR63" s="102">
        <v>216.66666666666666</v>
      </c>
      <c r="AS63" s="153">
        <v>400</v>
      </c>
      <c r="AT63" s="153">
        <v>160</v>
      </c>
      <c r="AU63" s="153">
        <v>190</v>
      </c>
      <c r="AV63" s="153">
        <v>186.66666666666666</v>
      </c>
      <c r="AW63" s="153">
        <v>400</v>
      </c>
      <c r="AX63" s="153">
        <v>325</v>
      </c>
      <c r="AY63" s="153">
        <v>293.33333333333331</v>
      </c>
      <c r="AZ63" s="153"/>
      <c r="BA63" s="154">
        <v>280</v>
      </c>
      <c r="BB63" s="102">
        <v>231.25</v>
      </c>
      <c r="BC63" s="153">
        <v>200</v>
      </c>
      <c r="BD63" s="153">
        <v>168.75</v>
      </c>
      <c r="BE63" s="153">
        <v>206.25</v>
      </c>
      <c r="BF63" s="153">
        <v>167.5</v>
      </c>
      <c r="BG63" s="153">
        <v>400</v>
      </c>
      <c r="BH63" s="153">
        <v>325</v>
      </c>
      <c r="BI63" s="153">
        <v>297.5</v>
      </c>
      <c r="BJ63" s="153"/>
      <c r="BK63" s="154">
        <v>280</v>
      </c>
      <c r="BL63" s="102">
        <v>218.75</v>
      </c>
      <c r="BM63" s="153"/>
      <c r="BN63" s="153">
        <v>166.25</v>
      </c>
      <c r="BO63" s="153">
        <v>207.5</v>
      </c>
      <c r="BP63" s="153">
        <v>181.66666666666666</v>
      </c>
      <c r="BQ63" s="153">
        <v>400</v>
      </c>
      <c r="BR63" s="153">
        <v>325</v>
      </c>
      <c r="BS63" s="153">
        <v>300</v>
      </c>
      <c r="BT63" s="153"/>
      <c r="BU63" s="154">
        <v>280</v>
      </c>
      <c r="BV63" s="102">
        <v>290</v>
      </c>
      <c r="BW63" s="153"/>
      <c r="BX63" s="153">
        <v>172</v>
      </c>
      <c r="BY63" s="153">
        <v>204</v>
      </c>
      <c r="BZ63" s="153">
        <v>200</v>
      </c>
      <c r="CA63" s="153">
        <v>400</v>
      </c>
      <c r="CB63" s="153">
        <v>325</v>
      </c>
      <c r="CC63" s="153">
        <v>300</v>
      </c>
      <c r="CD63" s="153"/>
      <c r="CE63" s="154"/>
      <c r="CF63" s="102">
        <v>300</v>
      </c>
      <c r="CG63" s="153">
        <v>375</v>
      </c>
      <c r="CH63" s="153">
        <v>180</v>
      </c>
      <c r="CI63" s="153">
        <v>208.33333333333334</v>
      </c>
      <c r="CJ63" s="153">
        <v>190</v>
      </c>
      <c r="CK63" s="153">
        <v>400</v>
      </c>
      <c r="CL63" s="153">
        <v>325</v>
      </c>
      <c r="CM63" s="153">
        <v>300</v>
      </c>
      <c r="CN63" s="153"/>
      <c r="CO63" s="154">
        <v>280</v>
      </c>
      <c r="CP63" s="102"/>
      <c r="CQ63" s="153">
        <v>400</v>
      </c>
      <c r="CR63" s="153">
        <v>191.25</v>
      </c>
      <c r="CS63" s="153">
        <v>245</v>
      </c>
      <c r="CT63" s="153">
        <v>207.5</v>
      </c>
      <c r="CU63" s="153">
        <v>400</v>
      </c>
      <c r="CV63" s="153">
        <v>325</v>
      </c>
      <c r="CW63" s="153">
        <v>300</v>
      </c>
      <c r="CX63" s="153"/>
      <c r="CY63" s="154">
        <v>295</v>
      </c>
      <c r="CZ63" s="102"/>
      <c r="DA63" s="153">
        <v>270</v>
      </c>
      <c r="DB63" s="153">
        <v>198</v>
      </c>
      <c r="DC63" s="153">
        <v>242.5</v>
      </c>
      <c r="DD63" s="153">
        <v>210</v>
      </c>
      <c r="DE63" s="153">
        <v>400</v>
      </c>
      <c r="DF63" s="153">
        <v>345</v>
      </c>
      <c r="DG63" s="153">
        <v>317</v>
      </c>
      <c r="DH63" s="153"/>
      <c r="DI63" s="154">
        <v>300</v>
      </c>
      <c r="DJ63" s="102"/>
      <c r="DK63" s="153">
        <v>300</v>
      </c>
      <c r="DL63" s="153">
        <v>176.25</v>
      </c>
      <c r="DM63" s="153">
        <v>235</v>
      </c>
      <c r="DN63" s="153">
        <v>173.75</v>
      </c>
      <c r="DO63" s="153">
        <v>400</v>
      </c>
      <c r="DP63" s="153">
        <v>350</v>
      </c>
      <c r="DQ63" s="153">
        <v>323.75</v>
      </c>
      <c r="DR63" s="153"/>
      <c r="DS63" s="154">
        <v>312.5</v>
      </c>
      <c r="DT63" s="102"/>
      <c r="DU63" s="153">
        <v>312.5</v>
      </c>
      <c r="DV63" s="153">
        <v>191.25</v>
      </c>
      <c r="DW63" s="153">
        <v>217.5</v>
      </c>
      <c r="DX63" s="153">
        <v>198.75</v>
      </c>
      <c r="DY63" s="153">
        <v>425</v>
      </c>
      <c r="DZ63" s="153">
        <v>356.25</v>
      </c>
      <c r="EA63" s="153">
        <v>325</v>
      </c>
      <c r="EB63" s="153"/>
      <c r="EC63" s="154">
        <v>297.5</v>
      </c>
    </row>
    <row r="64" spans="1:133" x14ac:dyDescent="0.25">
      <c r="A64" s="95">
        <v>41548</v>
      </c>
      <c r="B64" s="75" t="s">
        <v>105</v>
      </c>
      <c r="C64" s="75">
        <v>321.59090909090907</v>
      </c>
      <c r="D64" s="75">
        <v>189.77272727272728</v>
      </c>
      <c r="E64" s="75">
        <v>193.29545454545453</v>
      </c>
      <c r="F64" s="75">
        <v>140.34090909090909</v>
      </c>
      <c r="G64" s="75">
        <v>134.65909090909091</v>
      </c>
      <c r="H64" s="75">
        <v>327.27272727272725</v>
      </c>
      <c r="I64" s="75">
        <v>203.86363636363637</v>
      </c>
      <c r="J64" s="75">
        <v>128.78787878787878</v>
      </c>
      <c r="K64" s="75">
        <v>134.54545454545456</v>
      </c>
      <c r="N64" s="102"/>
      <c r="O64" s="104">
        <v>500</v>
      </c>
      <c r="P64" s="104">
        <v>162.5</v>
      </c>
      <c r="Q64" s="104">
        <v>137.5</v>
      </c>
      <c r="R64" s="104">
        <v>131.25</v>
      </c>
      <c r="S64" s="104"/>
      <c r="T64" s="104">
        <v>350</v>
      </c>
      <c r="U64" s="104">
        <v>300</v>
      </c>
      <c r="V64" s="104">
        <v>300</v>
      </c>
      <c r="W64" s="152">
        <v>283.33333333333331</v>
      </c>
      <c r="X64" s="102"/>
      <c r="Y64" s="153">
        <v>443.75</v>
      </c>
      <c r="Z64" s="153">
        <v>175</v>
      </c>
      <c r="AA64" s="153">
        <v>175</v>
      </c>
      <c r="AB64" s="153">
        <v>150</v>
      </c>
      <c r="AC64" s="153"/>
      <c r="AD64" s="153">
        <v>331.25</v>
      </c>
      <c r="AE64" s="153">
        <v>300</v>
      </c>
      <c r="AF64" s="153"/>
      <c r="AG64" s="154"/>
      <c r="AH64" s="102"/>
      <c r="AI64" s="153">
        <v>425</v>
      </c>
      <c r="AJ64" s="153">
        <v>175</v>
      </c>
      <c r="AK64" s="153">
        <v>175</v>
      </c>
      <c r="AL64" s="153">
        <v>150</v>
      </c>
      <c r="AM64" s="153"/>
      <c r="AN64" s="153">
        <v>331.25</v>
      </c>
      <c r="AO64" s="153">
        <v>300</v>
      </c>
      <c r="AP64" s="153"/>
      <c r="AQ64" s="154"/>
      <c r="AR64" s="102">
        <v>266.66666666666669</v>
      </c>
      <c r="AS64" s="153">
        <v>400</v>
      </c>
      <c r="AT64" s="153">
        <v>191.66666666666666</v>
      </c>
      <c r="AU64" s="153">
        <v>175</v>
      </c>
      <c r="AV64" s="153">
        <v>166.66666666666666</v>
      </c>
      <c r="AW64" s="153"/>
      <c r="AX64" s="153">
        <v>341.66666666666669</v>
      </c>
      <c r="AY64" s="153">
        <v>300</v>
      </c>
      <c r="AZ64" s="153">
        <v>275</v>
      </c>
      <c r="BA64" s="154"/>
      <c r="BB64" s="102">
        <v>250</v>
      </c>
      <c r="BC64" s="153"/>
      <c r="BD64" s="153">
        <v>200</v>
      </c>
      <c r="BE64" s="153">
        <v>175</v>
      </c>
      <c r="BF64" s="153">
        <v>162.5</v>
      </c>
      <c r="BG64" s="153"/>
      <c r="BH64" s="153">
        <v>350</v>
      </c>
      <c r="BI64" s="153">
        <v>300</v>
      </c>
      <c r="BJ64" s="153">
        <v>287.5</v>
      </c>
      <c r="BK64" s="154"/>
      <c r="BL64" s="102">
        <v>256.25</v>
      </c>
      <c r="BM64" s="153"/>
      <c r="BN64" s="153">
        <v>200</v>
      </c>
      <c r="BO64" s="153">
        <v>187.5</v>
      </c>
      <c r="BP64" s="153">
        <v>175</v>
      </c>
      <c r="BQ64" s="153"/>
      <c r="BR64" s="153">
        <v>350</v>
      </c>
      <c r="BS64" s="153">
        <v>300</v>
      </c>
      <c r="BT64" s="153"/>
      <c r="BU64" s="154">
        <v>300</v>
      </c>
      <c r="BV64" s="102">
        <v>300</v>
      </c>
      <c r="BW64" s="153"/>
      <c r="BX64" s="153">
        <v>200</v>
      </c>
      <c r="BY64" s="153">
        <v>190</v>
      </c>
      <c r="BZ64" s="153">
        <v>180</v>
      </c>
      <c r="CA64" s="153"/>
      <c r="CB64" s="153">
        <v>350</v>
      </c>
      <c r="CC64" s="153">
        <v>300</v>
      </c>
      <c r="CD64" s="153"/>
      <c r="CE64" s="154">
        <v>300</v>
      </c>
      <c r="CF64" s="102">
        <v>316.66666666666669</v>
      </c>
      <c r="CG64" s="153"/>
      <c r="CH64" s="153">
        <v>200</v>
      </c>
      <c r="CI64" s="153">
        <v>183.33333333333334</v>
      </c>
      <c r="CJ64" s="153">
        <v>183.33333333333334</v>
      </c>
      <c r="CK64" s="153"/>
      <c r="CL64" s="153">
        <v>350</v>
      </c>
      <c r="CM64" s="153">
        <v>300</v>
      </c>
      <c r="CN64" s="153"/>
      <c r="CO64" s="154">
        <v>300</v>
      </c>
      <c r="CP64" s="102">
        <v>362.5</v>
      </c>
      <c r="CQ64" s="153">
        <v>500</v>
      </c>
      <c r="CR64" s="153">
        <v>200</v>
      </c>
      <c r="CS64" s="153">
        <v>198.75</v>
      </c>
      <c r="CT64" s="153">
        <v>175</v>
      </c>
      <c r="CU64" s="153">
        <v>87.5</v>
      </c>
      <c r="CV64" s="153">
        <v>343.75</v>
      </c>
      <c r="CW64" s="153">
        <v>316.66666666666669</v>
      </c>
      <c r="CX64" s="153"/>
      <c r="CY64" s="154">
        <v>300</v>
      </c>
      <c r="CZ64" s="102">
        <v>300</v>
      </c>
      <c r="DA64" s="153">
        <v>360</v>
      </c>
      <c r="DB64" s="153">
        <v>200</v>
      </c>
      <c r="DC64" s="153">
        <v>180</v>
      </c>
      <c r="DD64" s="153">
        <v>170</v>
      </c>
      <c r="DE64" s="153"/>
      <c r="DF64" s="153">
        <v>350</v>
      </c>
      <c r="DG64" s="153">
        <v>325</v>
      </c>
      <c r="DH64" s="153"/>
      <c r="DI64" s="154">
        <v>300</v>
      </c>
      <c r="DJ64" s="102"/>
      <c r="DK64" s="153">
        <v>312.5</v>
      </c>
      <c r="DL64" s="153">
        <v>200</v>
      </c>
      <c r="DM64" s="153">
        <v>187.5</v>
      </c>
      <c r="DN64" s="153">
        <v>168.75</v>
      </c>
      <c r="DO64" s="153"/>
      <c r="DP64" s="153">
        <v>350</v>
      </c>
      <c r="DQ64" s="153">
        <v>325</v>
      </c>
      <c r="DR64" s="153"/>
      <c r="DS64" s="154">
        <v>300</v>
      </c>
      <c r="DT64" s="102"/>
      <c r="DU64" s="153">
        <v>300</v>
      </c>
      <c r="DV64" s="153">
        <v>200</v>
      </c>
      <c r="DW64" s="153">
        <v>181.25</v>
      </c>
      <c r="DX64" s="153">
        <v>175</v>
      </c>
      <c r="DY64" s="153"/>
      <c r="DZ64" s="153">
        <v>375</v>
      </c>
      <c r="EA64" s="153">
        <v>325</v>
      </c>
      <c r="EB64" s="153"/>
      <c r="EC64" s="154">
        <v>300</v>
      </c>
    </row>
    <row r="65" spans="1:133" x14ac:dyDescent="0.25">
      <c r="A65" s="95">
        <v>41579</v>
      </c>
      <c r="B65" s="75" t="s">
        <v>105</v>
      </c>
      <c r="C65" s="75">
        <v>393.93939393939399</v>
      </c>
      <c r="D65" s="75">
        <v>248.030303030303</v>
      </c>
      <c r="E65" s="75">
        <v>249.69696969696972</v>
      </c>
      <c r="F65" s="75">
        <v>235.18518518518516</v>
      </c>
      <c r="G65" s="75">
        <v>489.58333333333331</v>
      </c>
      <c r="H65" s="75">
        <v>449.39393939393938</v>
      </c>
      <c r="I65" s="75">
        <v>271.81818181818181</v>
      </c>
      <c r="J65" s="75">
        <v>267.38095238095235</v>
      </c>
      <c r="K65" s="75">
        <v>264.16666666666663</v>
      </c>
      <c r="N65" s="102"/>
      <c r="O65" s="104">
        <v>500</v>
      </c>
      <c r="P65" s="104">
        <v>175</v>
      </c>
      <c r="Q65" s="104">
        <v>150</v>
      </c>
      <c r="R65" s="104">
        <v>150</v>
      </c>
      <c r="S65" s="104"/>
      <c r="T65" s="104">
        <v>350</v>
      </c>
      <c r="U65" s="104">
        <v>300</v>
      </c>
      <c r="V65" s="104"/>
      <c r="W65" s="152"/>
      <c r="X65" s="102"/>
      <c r="Y65" s="153">
        <v>443.75</v>
      </c>
      <c r="Z65" s="153">
        <v>175</v>
      </c>
      <c r="AA65" s="153">
        <v>150</v>
      </c>
      <c r="AB65" s="153">
        <v>150</v>
      </c>
      <c r="AC65" s="153"/>
      <c r="AD65" s="153">
        <v>350</v>
      </c>
      <c r="AE65" s="153">
        <v>300</v>
      </c>
      <c r="AF65" s="153"/>
      <c r="AG65" s="154"/>
      <c r="AH65" s="102">
        <v>400</v>
      </c>
      <c r="AI65" s="153">
        <v>500</v>
      </c>
      <c r="AJ65" s="153">
        <v>187.5</v>
      </c>
      <c r="AK65" s="153">
        <v>175</v>
      </c>
      <c r="AL65" s="153">
        <v>175</v>
      </c>
      <c r="AM65" s="153"/>
      <c r="AN65" s="153">
        <v>350</v>
      </c>
      <c r="AO65" s="153">
        <v>300</v>
      </c>
      <c r="AP65" s="153"/>
      <c r="AQ65" s="154"/>
      <c r="AR65" s="102">
        <v>333.33333333333331</v>
      </c>
      <c r="AS65" s="153">
        <v>500</v>
      </c>
      <c r="AT65" s="153">
        <v>191.66666666666666</v>
      </c>
      <c r="AU65" s="153">
        <v>191.66666666666666</v>
      </c>
      <c r="AV65" s="153">
        <v>191.66666666666666</v>
      </c>
      <c r="AW65" s="153"/>
      <c r="AX65" s="153">
        <v>350</v>
      </c>
      <c r="AY65" s="153">
        <v>300</v>
      </c>
      <c r="AZ65" s="153"/>
      <c r="BA65" s="154"/>
      <c r="BB65" s="102">
        <v>350</v>
      </c>
      <c r="BC65" s="153">
        <v>462.5</v>
      </c>
      <c r="BD65" s="153">
        <v>243.75</v>
      </c>
      <c r="BE65" s="153">
        <v>225</v>
      </c>
      <c r="BF65" s="153">
        <v>243.75</v>
      </c>
      <c r="BG65" s="153"/>
      <c r="BH65" s="153">
        <v>350</v>
      </c>
      <c r="BI65" s="153">
        <v>300</v>
      </c>
      <c r="BJ65" s="153"/>
      <c r="BK65" s="154"/>
      <c r="BL65" s="102">
        <v>450</v>
      </c>
      <c r="BM65" s="153">
        <v>500</v>
      </c>
      <c r="BN65" s="153">
        <v>250</v>
      </c>
      <c r="BO65" s="153">
        <v>225</v>
      </c>
      <c r="BP65" s="153">
        <v>250</v>
      </c>
      <c r="BQ65" s="153"/>
      <c r="BR65" s="153">
        <v>350</v>
      </c>
      <c r="BS65" s="153">
        <v>300</v>
      </c>
      <c r="BT65" s="153"/>
      <c r="BU65" s="154"/>
      <c r="BV65" s="102">
        <v>350</v>
      </c>
      <c r="BW65" s="153"/>
      <c r="BX65" s="153">
        <v>250</v>
      </c>
      <c r="BY65" s="153">
        <v>225</v>
      </c>
      <c r="BZ65" s="153">
        <v>250</v>
      </c>
      <c r="CA65" s="153"/>
      <c r="CB65" s="153">
        <v>350</v>
      </c>
      <c r="CC65" s="153">
        <v>300</v>
      </c>
      <c r="CD65" s="153"/>
      <c r="CE65" s="154"/>
      <c r="CF65" s="102">
        <v>350</v>
      </c>
      <c r="CG65" s="153"/>
      <c r="CH65" s="153">
        <v>250</v>
      </c>
      <c r="CI65" s="153">
        <v>225</v>
      </c>
      <c r="CJ65" s="153">
        <v>250</v>
      </c>
      <c r="CK65" s="153"/>
      <c r="CL65" s="153">
        <v>350</v>
      </c>
      <c r="CM65" s="153">
        <v>300</v>
      </c>
      <c r="CN65" s="153"/>
      <c r="CO65" s="154">
        <v>300</v>
      </c>
      <c r="CP65" s="102"/>
      <c r="CQ65" s="153">
        <v>525</v>
      </c>
      <c r="CR65" s="153">
        <v>250</v>
      </c>
      <c r="CS65" s="153">
        <v>243.75</v>
      </c>
      <c r="CT65" s="153">
        <v>250</v>
      </c>
      <c r="CU65" s="153"/>
      <c r="CV65" s="153">
        <v>350</v>
      </c>
      <c r="CW65" s="153">
        <v>307.5</v>
      </c>
      <c r="CX65" s="153"/>
      <c r="CY65" s="154">
        <v>307.5</v>
      </c>
      <c r="CZ65" s="102"/>
      <c r="DA65" s="153">
        <v>380</v>
      </c>
      <c r="DB65" s="153">
        <v>240</v>
      </c>
      <c r="DC65" s="153">
        <v>240</v>
      </c>
      <c r="DD65" s="153">
        <v>220</v>
      </c>
      <c r="DE65" s="153"/>
      <c r="DF65" s="153">
        <v>350</v>
      </c>
      <c r="DG65" s="153">
        <v>310</v>
      </c>
      <c r="DH65" s="153"/>
      <c r="DI65" s="154">
        <v>316</v>
      </c>
      <c r="DJ65" s="102"/>
      <c r="DK65" s="153">
        <v>350</v>
      </c>
      <c r="DL65" s="153">
        <v>212.5</v>
      </c>
      <c r="DM65" s="153">
        <v>212.5</v>
      </c>
      <c r="DN65" s="153">
        <v>175</v>
      </c>
      <c r="DO65" s="153"/>
      <c r="DP65" s="153">
        <v>350</v>
      </c>
      <c r="DQ65" s="153">
        <v>305</v>
      </c>
      <c r="DR65" s="153"/>
      <c r="DS65" s="154">
        <v>316.25</v>
      </c>
      <c r="DT65" s="102"/>
      <c r="DU65" s="153">
        <v>387.5</v>
      </c>
      <c r="DV65" s="153">
        <v>200</v>
      </c>
      <c r="DW65" s="153">
        <v>187.5</v>
      </c>
      <c r="DX65" s="153">
        <v>187.5</v>
      </c>
      <c r="DY65" s="153"/>
      <c r="DZ65" s="153">
        <v>360</v>
      </c>
      <c r="EA65" s="153">
        <v>306.25</v>
      </c>
      <c r="EB65" s="153"/>
      <c r="EC65" s="154">
        <v>297.5</v>
      </c>
    </row>
    <row r="66" spans="1:133" x14ac:dyDescent="0.25">
      <c r="A66" s="95">
        <v>41609</v>
      </c>
      <c r="B66" s="75" t="s">
        <v>105</v>
      </c>
      <c r="C66" s="75">
        <v>442.42424242424244</v>
      </c>
      <c r="D66" s="75">
        <v>246.21212121212122</v>
      </c>
      <c r="E66" s="75">
        <v>245.30303030303031</v>
      </c>
      <c r="F66" s="75">
        <v>224.44444444444446</v>
      </c>
      <c r="G66" s="75">
        <v>487.5</v>
      </c>
      <c r="H66" s="75">
        <v>449.39393939393938</v>
      </c>
      <c r="I66" s="75">
        <v>272.42424242424244</v>
      </c>
      <c r="J66" s="75">
        <v>268.57142857142856</v>
      </c>
      <c r="K66" s="75">
        <v>265.71428571428572</v>
      </c>
      <c r="N66" s="102"/>
      <c r="O66" s="104">
        <v>437.5</v>
      </c>
      <c r="P66" s="104">
        <v>200</v>
      </c>
      <c r="Q66" s="104">
        <v>225</v>
      </c>
      <c r="R66" s="104">
        <v>225</v>
      </c>
      <c r="S66" s="104">
        <v>425</v>
      </c>
      <c r="T66" s="104">
        <v>350</v>
      </c>
      <c r="U66" s="104">
        <v>300</v>
      </c>
      <c r="V66" s="104"/>
      <c r="W66" s="152"/>
      <c r="X66" s="102"/>
      <c r="Y66" s="153">
        <v>500</v>
      </c>
      <c r="Z66" s="153">
        <v>200</v>
      </c>
      <c r="AA66" s="153">
        <v>250</v>
      </c>
      <c r="AB66" s="153">
        <v>200</v>
      </c>
      <c r="AC66" s="153">
        <v>425</v>
      </c>
      <c r="AD66" s="153">
        <v>350</v>
      </c>
      <c r="AE66" s="153">
        <v>325</v>
      </c>
      <c r="AF66" s="153"/>
      <c r="AG66" s="154"/>
      <c r="AH66" s="102">
        <v>475</v>
      </c>
      <c r="AI66" s="153">
        <v>487.5</v>
      </c>
      <c r="AJ66" s="153">
        <v>206.25</v>
      </c>
      <c r="AK66" s="153">
        <v>225</v>
      </c>
      <c r="AL66" s="153">
        <v>206.25</v>
      </c>
      <c r="AM66" s="153">
        <v>425</v>
      </c>
      <c r="AN66" s="153">
        <v>343.75</v>
      </c>
      <c r="AO66" s="153">
        <v>300</v>
      </c>
      <c r="AP66" s="153"/>
      <c r="AQ66" s="154"/>
      <c r="AR66" s="102">
        <v>350</v>
      </c>
      <c r="AS66" s="153">
        <v>416.66666666666669</v>
      </c>
      <c r="AT66" s="153">
        <v>200</v>
      </c>
      <c r="AU66" s="153">
        <v>241.66666666666666</v>
      </c>
      <c r="AV66" s="153">
        <v>208.33333333333334</v>
      </c>
      <c r="AW66" s="153">
        <v>425</v>
      </c>
      <c r="AX66" s="153">
        <v>525</v>
      </c>
      <c r="AY66" s="153">
        <v>300</v>
      </c>
      <c r="AZ66" s="153"/>
      <c r="BA66" s="154"/>
      <c r="BB66" s="102">
        <v>300</v>
      </c>
      <c r="BC66" s="153">
        <v>400</v>
      </c>
      <c r="BD66" s="153">
        <v>200</v>
      </c>
      <c r="BE66" s="153">
        <v>250</v>
      </c>
      <c r="BF66" s="153">
        <v>225</v>
      </c>
      <c r="BG66" s="153">
        <v>425</v>
      </c>
      <c r="BH66" s="153">
        <v>350</v>
      </c>
      <c r="BI66" s="153">
        <v>300</v>
      </c>
      <c r="BJ66" s="153"/>
      <c r="BK66" s="154"/>
      <c r="BL66" s="102">
        <v>275</v>
      </c>
      <c r="BM66" s="153">
        <v>400</v>
      </c>
      <c r="BN66" s="153">
        <v>200</v>
      </c>
      <c r="BO66" s="153">
        <v>250</v>
      </c>
      <c r="BP66" s="153">
        <v>250</v>
      </c>
      <c r="BQ66" s="153">
        <v>416.66666666666669</v>
      </c>
      <c r="BR66" s="153">
        <v>350</v>
      </c>
      <c r="BS66" s="153">
        <v>300</v>
      </c>
      <c r="BT66" s="153"/>
      <c r="BU66" s="154"/>
      <c r="BV66" s="102">
        <v>290</v>
      </c>
      <c r="BW66" s="153"/>
      <c r="BX66" s="153">
        <v>200</v>
      </c>
      <c r="BY66" s="153">
        <v>250</v>
      </c>
      <c r="BZ66" s="153">
        <v>245</v>
      </c>
      <c r="CA66" s="153">
        <v>410</v>
      </c>
      <c r="CB66" s="153">
        <v>350</v>
      </c>
      <c r="CC66" s="153">
        <v>300</v>
      </c>
      <c r="CD66" s="153"/>
      <c r="CE66" s="154"/>
      <c r="CF66" s="102">
        <v>316.66666666666669</v>
      </c>
      <c r="CG66" s="153"/>
      <c r="CH66" s="153">
        <v>200</v>
      </c>
      <c r="CI66" s="153">
        <v>250</v>
      </c>
      <c r="CJ66" s="153">
        <v>250</v>
      </c>
      <c r="CK66" s="153">
        <v>400</v>
      </c>
      <c r="CL66" s="153">
        <v>350</v>
      </c>
      <c r="CM66" s="153">
        <v>316.66666666666669</v>
      </c>
      <c r="CN66" s="153"/>
      <c r="CO66" s="154"/>
      <c r="CP66" s="102"/>
      <c r="CQ66" s="153">
        <v>487.5</v>
      </c>
      <c r="CR66" s="153">
        <v>225</v>
      </c>
      <c r="CS66" s="153">
        <v>250</v>
      </c>
      <c r="CT66" s="153">
        <v>250</v>
      </c>
      <c r="CU66" s="153">
        <v>293.75</v>
      </c>
      <c r="CV66" s="153">
        <v>350</v>
      </c>
      <c r="CW66" s="153">
        <v>325</v>
      </c>
      <c r="CX66" s="153"/>
      <c r="CY66" s="154">
        <v>310</v>
      </c>
      <c r="CZ66" s="102"/>
      <c r="DA66" s="153">
        <v>310</v>
      </c>
      <c r="DB66" s="153">
        <v>235</v>
      </c>
      <c r="DC66" s="153">
        <v>250</v>
      </c>
      <c r="DD66" s="153">
        <v>250</v>
      </c>
      <c r="DE66" s="153">
        <v>381.25</v>
      </c>
      <c r="DF66" s="153">
        <v>350</v>
      </c>
      <c r="DG66" s="153">
        <v>330</v>
      </c>
      <c r="DH66" s="153"/>
      <c r="DI66" s="154">
        <v>306.25</v>
      </c>
      <c r="DJ66" s="102"/>
      <c r="DK66" s="153">
        <v>287.5</v>
      </c>
      <c r="DL66" s="153">
        <v>231.25</v>
      </c>
      <c r="DM66" s="153">
        <v>250</v>
      </c>
      <c r="DN66" s="153">
        <v>250</v>
      </c>
      <c r="DO66" s="153">
        <v>287.5</v>
      </c>
      <c r="DP66" s="153">
        <v>350</v>
      </c>
      <c r="DQ66" s="153">
        <v>312.5</v>
      </c>
      <c r="DR66" s="153"/>
      <c r="DS66" s="154">
        <v>300</v>
      </c>
      <c r="DT66" s="102"/>
      <c r="DU66" s="153">
        <v>300</v>
      </c>
      <c r="DV66" s="153">
        <v>231.25</v>
      </c>
      <c r="DW66" s="153">
        <v>268.75</v>
      </c>
      <c r="DX66" s="153">
        <v>250</v>
      </c>
      <c r="DY66" s="153">
        <v>400</v>
      </c>
      <c r="DZ66" s="153">
        <v>368.75</v>
      </c>
      <c r="EA66" s="153">
        <v>325</v>
      </c>
      <c r="EB66" s="153"/>
      <c r="EC66" s="154">
        <v>300</v>
      </c>
    </row>
    <row r="67" spans="1:133" ht="15.75" thickBot="1" x14ac:dyDescent="0.3">
      <c r="A67" s="95">
        <v>41640</v>
      </c>
      <c r="B67" s="75" t="s">
        <v>105</v>
      </c>
      <c r="C67" s="75">
        <v>425.75757575757575</v>
      </c>
      <c r="D67" s="75">
        <v>249.39393939393938</v>
      </c>
      <c r="E67" s="75">
        <v>253.030303030303</v>
      </c>
      <c r="F67" s="75">
        <v>227.59259259259255</v>
      </c>
      <c r="G67" s="75">
        <v>483.33333333333331</v>
      </c>
      <c r="H67" s="75">
        <v>449.09090909090907</v>
      </c>
      <c r="I67" s="75">
        <v>271.21212121212119</v>
      </c>
      <c r="J67" s="75">
        <v>268.125</v>
      </c>
      <c r="K67" s="75">
        <v>260.625</v>
      </c>
      <c r="N67" s="161"/>
      <c r="O67" s="162">
        <v>451.13636363636363</v>
      </c>
      <c r="P67" s="162">
        <v>190.56818181818181</v>
      </c>
      <c r="Q67" s="162">
        <v>196.02272727272728</v>
      </c>
      <c r="R67" s="162">
        <v>191.93181818181819</v>
      </c>
      <c r="S67" s="162">
        <v>405</v>
      </c>
      <c r="T67" s="162">
        <v>352.72727272727275</v>
      </c>
      <c r="U67" s="162">
        <v>300.64393939393938</v>
      </c>
      <c r="V67" s="162">
        <v>306.25</v>
      </c>
      <c r="W67" s="163">
        <v>281.54761904761904</v>
      </c>
      <c r="X67" s="161">
        <v>360.71428571428572</v>
      </c>
      <c r="Y67" s="164">
        <v>438.06818181818181</v>
      </c>
      <c r="Z67" s="164">
        <v>192.04545454545453</v>
      </c>
      <c r="AA67" s="164">
        <v>202.04545454545453</v>
      </c>
      <c r="AB67" s="164">
        <v>192.84090909090909</v>
      </c>
      <c r="AC67" s="164">
        <v>406.25</v>
      </c>
      <c r="AD67" s="164">
        <v>341.02272727272725</v>
      </c>
      <c r="AE67" s="164">
        <v>298.63636363636363</v>
      </c>
      <c r="AF67" s="164">
        <v>262.5</v>
      </c>
      <c r="AG67" s="165">
        <v>284.10714285714283</v>
      </c>
      <c r="AH67" s="161">
        <v>349.58333333333331</v>
      </c>
      <c r="AI67" s="164">
        <v>434.65909090909093</v>
      </c>
      <c r="AJ67" s="164">
        <v>190.22727272727272</v>
      </c>
      <c r="AK67" s="164">
        <v>198.97727272727272</v>
      </c>
      <c r="AL67" s="164">
        <v>198.63636363636363</v>
      </c>
      <c r="AM67" s="164">
        <v>406.25</v>
      </c>
      <c r="AN67" s="164">
        <v>334.65909090909093</v>
      </c>
      <c r="AO67" s="164">
        <v>297.65151515151518</v>
      </c>
      <c r="AP67" s="164">
        <v>280</v>
      </c>
      <c r="AQ67" s="165">
        <v>282.91666666666669</v>
      </c>
      <c r="AR67" s="161">
        <v>259.09090909090912</v>
      </c>
      <c r="AS67" s="164">
        <v>407.19696969696975</v>
      </c>
      <c r="AT67" s="164">
        <v>196.969696969697</v>
      </c>
      <c r="AU67" s="164">
        <v>207.42424242424241</v>
      </c>
      <c r="AV67" s="164">
        <v>203.33333333333337</v>
      </c>
      <c r="AW67" s="164">
        <v>406.25</v>
      </c>
      <c r="AX67" s="164">
        <v>350.90909090909093</v>
      </c>
      <c r="AY67" s="164">
        <v>296.36363636363637</v>
      </c>
      <c r="AZ67" s="164">
        <v>280.83333333333337</v>
      </c>
      <c r="BA67" s="165">
        <v>284.02777777777777</v>
      </c>
      <c r="BB67" s="161">
        <v>231.25</v>
      </c>
      <c r="BC67" s="164">
        <v>352.08333333333331</v>
      </c>
      <c r="BD67" s="164">
        <v>210.56818181818181</v>
      </c>
      <c r="BE67" s="164">
        <v>221.70454545454547</v>
      </c>
      <c r="BF67" s="164">
        <v>210.68181818181819</v>
      </c>
      <c r="BG67" s="164">
        <v>405.625</v>
      </c>
      <c r="BH67" s="164">
        <v>336.13636363636363</v>
      </c>
      <c r="BI67" s="164">
        <v>297.72727272727275</v>
      </c>
      <c r="BJ67" s="164">
        <v>286.25</v>
      </c>
      <c r="BK67" s="165">
        <v>287.08333333333331</v>
      </c>
      <c r="BL67" s="161">
        <v>239.77272727272728</v>
      </c>
      <c r="BM67" s="164">
        <v>387.5</v>
      </c>
      <c r="BN67" s="164">
        <v>213.29545454545453</v>
      </c>
      <c r="BO67" s="164">
        <v>222.04545454545453</v>
      </c>
      <c r="BP67" s="164">
        <v>216.51515151515153</v>
      </c>
      <c r="BQ67" s="164">
        <v>402.60416666666669</v>
      </c>
      <c r="BR67" s="164">
        <v>336.36363636363637</v>
      </c>
      <c r="BS67" s="164">
        <v>298.40909090909093</v>
      </c>
      <c r="BT67" s="164">
        <v>300</v>
      </c>
      <c r="BU67" s="165">
        <v>286.42857142857144</v>
      </c>
      <c r="BV67" s="161">
        <v>279.09090909090907</v>
      </c>
      <c r="BW67" s="164">
        <v>400</v>
      </c>
      <c r="BX67" s="164">
        <v>217.88636363636363</v>
      </c>
      <c r="BY67" s="164">
        <v>226.27272727272728</v>
      </c>
      <c r="BZ67" s="164">
        <v>213.52272727272728</v>
      </c>
      <c r="CA67" s="164">
        <v>402</v>
      </c>
      <c r="CB67" s="164">
        <v>336.36363636363637</v>
      </c>
      <c r="CC67" s="164">
        <v>298.27272727272725</v>
      </c>
      <c r="CD67" s="164">
        <v>300</v>
      </c>
      <c r="CE67" s="165">
        <v>290.55555555555554</v>
      </c>
      <c r="CF67" s="161">
        <v>305.30303030303025</v>
      </c>
      <c r="CG67" s="164">
        <v>375</v>
      </c>
      <c r="CH67" s="164">
        <v>220.15151515151513</v>
      </c>
      <c r="CI67" s="164">
        <v>230.75757575757572</v>
      </c>
      <c r="CJ67" s="164">
        <v>221.06060606060609</v>
      </c>
      <c r="CK67" s="164">
        <v>400</v>
      </c>
      <c r="CL67" s="164">
        <v>336.81818181818181</v>
      </c>
      <c r="CM67" s="164">
        <v>300.30303030303025</v>
      </c>
      <c r="CN67" s="164">
        <v>300</v>
      </c>
      <c r="CO67" s="165">
        <v>288.51851851851853</v>
      </c>
      <c r="CP67" s="161">
        <v>345.3125</v>
      </c>
      <c r="CQ67" s="164">
        <v>443.18181818181819</v>
      </c>
      <c r="CR67" s="164">
        <v>223.40909090909091</v>
      </c>
      <c r="CS67" s="164">
        <v>238.29545454545453</v>
      </c>
      <c r="CT67" s="164">
        <v>222.27272727272728</v>
      </c>
      <c r="CU67" s="164">
        <v>330.20833333333331</v>
      </c>
      <c r="CV67" s="164">
        <v>345.11363636363637</v>
      </c>
      <c r="CW67" s="164">
        <v>305.49242424242425</v>
      </c>
      <c r="CX67" s="164">
        <v>300</v>
      </c>
      <c r="CY67" s="165">
        <v>295.83333333333331</v>
      </c>
      <c r="CZ67" s="161">
        <v>329.16666666666669</v>
      </c>
      <c r="DA67" s="164">
        <v>321.81818181818181</v>
      </c>
      <c r="DB67" s="164">
        <v>224.81818181818181</v>
      </c>
      <c r="DC67" s="164">
        <v>237.22727272727272</v>
      </c>
      <c r="DD67" s="164">
        <v>221.8</v>
      </c>
      <c r="DE67" s="164">
        <v>396.25</v>
      </c>
      <c r="DF67" s="164">
        <v>345</v>
      </c>
      <c r="DG67" s="164">
        <v>311.18181818181819</v>
      </c>
      <c r="DH67" s="164">
        <v>300</v>
      </c>
      <c r="DI67" s="165">
        <v>299.030303030303</v>
      </c>
      <c r="DJ67" s="161"/>
      <c r="DK67" s="164">
        <v>295.45454545454544</v>
      </c>
      <c r="DL67" s="164">
        <v>222.5</v>
      </c>
      <c r="DM67" s="164">
        <v>231.25</v>
      </c>
      <c r="DN67" s="164">
        <v>214.875</v>
      </c>
      <c r="DO67" s="164">
        <v>371.875</v>
      </c>
      <c r="DP67" s="164">
        <v>346.59090909090907</v>
      </c>
      <c r="DQ67" s="164">
        <v>310.56818181818181</v>
      </c>
      <c r="DR67" s="164"/>
      <c r="DS67" s="165">
        <v>287.84090909090907</v>
      </c>
      <c r="DT67" s="161"/>
      <c r="DU67" s="164">
        <v>296.02272727272725</v>
      </c>
      <c r="DV67" s="164">
        <v>223.63636363636363</v>
      </c>
      <c r="DW67" s="164">
        <v>239.88636363636363</v>
      </c>
      <c r="DX67" s="164">
        <v>226.78030303030303</v>
      </c>
      <c r="DY67" s="164">
        <v>406.25</v>
      </c>
      <c r="DZ67" s="164">
        <v>361.47727272727275</v>
      </c>
      <c r="EA67" s="164">
        <v>312.84090909090907</v>
      </c>
      <c r="EB67" s="164"/>
      <c r="EC67" s="165">
        <v>292</v>
      </c>
    </row>
    <row r="68" spans="1:133" x14ac:dyDescent="0.25">
      <c r="A68" s="95">
        <v>41671</v>
      </c>
      <c r="B68" s="75">
        <v>437.08333333333337</v>
      </c>
      <c r="C68" s="75">
        <v>525.75757575757586</v>
      </c>
      <c r="D68" s="75">
        <v>250.45454545454547</v>
      </c>
      <c r="E68" s="75">
        <v>249.16666666666669</v>
      </c>
      <c r="F68" s="75">
        <v>227.83333333333334</v>
      </c>
      <c r="G68" s="75">
        <v>472.66666666666663</v>
      </c>
      <c r="H68" s="75">
        <v>447.42424242424244</v>
      </c>
      <c r="I68" s="75">
        <v>271.81818181818181</v>
      </c>
      <c r="J68" s="75">
        <v>269.04761904761904</v>
      </c>
      <c r="K68" s="75">
        <v>265.23809523809524</v>
      </c>
    </row>
    <row r="69" spans="1:133" x14ac:dyDescent="0.25">
      <c r="A69" s="95">
        <v>41699</v>
      </c>
      <c r="B69" s="75">
        <v>455.30303030303025</v>
      </c>
      <c r="C69" s="75">
        <v>580.30303030303025</v>
      </c>
      <c r="D69" s="75">
        <v>252.57575757575759</v>
      </c>
      <c r="E69" s="75">
        <v>251.66666666666666</v>
      </c>
      <c r="F69" s="75">
        <v>232.66666666666666</v>
      </c>
      <c r="G69" s="75">
        <v>475</v>
      </c>
      <c r="H69" s="75">
        <v>447.72727272727275</v>
      </c>
      <c r="I69" s="75">
        <v>271.51515151515156</v>
      </c>
      <c r="J69" s="75">
        <v>269.04761904761904</v>
      </c>
      <c r="K69" s="75">
        <v>265.71428571428572</v>
      </c>
    </row>
    <row r="70" spans="1:133" ht="15.75" thickBot="1" x14ac:dyDescent="0.3">
      <c r="A70" s="95">
        <v>41730</v>
      </c>
      <c r="B70" s="75">
        <v>343.18181818181819</v>
      </c>
      <c r="C70" s="75">
        <v>513.19444444444446</v>
      </c>
      <c r="D70" s="75">
        <v>252.95454545454547</v>
      </c>
      <c r="E70" s="75">
        <v>252.5</v>
      </c>
      <c r="F70" s="75">
        <v>231.81818181818181</v>
      </c>
      <c r="G70" s="75">
        <v>475</v>
      </c>
      <c r="H70" s="75">
        <v>444.43181818181819</v>
      </c>
      <c r="I70" s="75">
        <v>271.47727272727275</v>
      </c>
      <c r="J70" s="75">
        <v>267.32142857142856</v>
      </c>
      <c r="K70" s="75">
        <v>282.8125</v>
      </c>
      <c r="N70" s="172">
        <v>2012</v>
      </c>
    </row>
    <row r="71" spans="1:133" ht="15.75" thickBot="1" x14ac:dyDescent="0.3">
      <c r="A71" s="95">
        <v>41760</v>
      </c>
      <c r="B71" s="75">
        <v>291.47727272727275</v>
      </c>
      <c r="C71" s="75" t="s">
        <v>105</v>
      </c>
      <c r="D71" s="75">
        <v>252.61363636363637</v>
      </c>
      <c r="E71" s="75">
        <v>259.375</v>
      </c>
      <c r="F71" s="75">
        <v>231.625</v>
      </c>
      <c r="G71" s="75">
        <v>475</v>
      </c>
      <c r="H71" s="75">
        <v>442.5</v>
      </c>
      <c r="I71" s="75">
        <v>271.36363636363637</v>
      </c>
      <c r="J71" s="75">
        <v>267.32142857142856</v>
      </c>
      <c r="K71" s="75">
        <v>266.71875</v>
      </c>
      <c r="N71" s="109"/>
      <c r="O71" s="109"/>
      <c r="P71" s="109"/>
      <c r="Q71" s="109"/>
      <c r="R71" s="110"/>
      <c r="S71" s="111" t="s">
        <v>165</v>
      </c>
      <c r="T71" s="111"/>
      <c r="U71" s="109"/>
      <c r="V71" s="109"/>
      <c r="W71" s="109"/>
      <c r="X71" s="109"/>
      <c r="Y71" s="109"/>
      <c r="Z71" s="109"/>
      <c r="AA71" s="109"/>
      <c r="AB71" s="110"/>
      <c r="AC71" s="111" t="s">
        <v>165</v>
      </c>
      <c r="AD71" s="111"/>
      <c r="AE71" s="109"/>
      <c r="AF71" s="109"/>
      <c r="AG71" s="109"/>
      <c r="AH71" s="109"/>
      <c r="AI71" s="109"/>
      <c r="AJ71" s="109"/>
      <c r="AK71" s="109"/>
      <c r="AL71" s="110"/>
      <c r="AM71" s="111" t="s">
        <v>165</v>
      </c>
      <c r="AN71" s="111"/>
      <c r="AO71" s="109"/>
      <c r="AP71" s="109"/>
      <c r="AQ71" s="109"/>
      <c r="AR71" s="118"/>
      <c r="AS71" s="109"/>
      <c r="AT71" s="109"/>
      <c r="AU71" s="109"/>
      <c r="AV71" s="110"/>
      <c r="AW71" s="111" t="s">
        <v>165</v>
      </c>
      <c r="AX71" s="111"/>
      <c r="AY71" s="109"/>
      <c r="AZ71" s="109"/>
      <c r="BA71" s="112"/>
      <c r="BB71" s="118"/>
      <c r="BC71" s="109"/>
      <c r="BD71" s="109"/>
      <c r="BE71" s="115"/>
      <c r="BF71" s="109"/>
      <c r="BG71" s="111" t="s">
        <v>166</v>
      </c>
      <c r="BH71" s="109"/>
      <c r="BI71" s="109"/>
      <c r="BJ71" s="109"/>
      <c r="BK71" s="112"/>
      <c r="BL71" s="118"/>
      <c r="BM71" s="109"/>
      <c r="BN71" s="109"/>
      <c r="BO71" s="115"/>
      <c r="BP71" s="109"/>
      <c r="BQ71" s="111" t="s">
        <v>166</v>
      </c>
      <c r="BR71" s="109"/>
      <c r="BS71" s="109"/>
      <c r="BT71" s="109"/>
      <c r="BU71" s="112"/>
      <c r="BV71" s="118"/>
      <c r="BW71" s="109"/>
      <c r="BX71" s="109"/>
      <c r="BY71" s="115"/>
      <c r="BZ71" s="109"/>
      <c r="CA71" s="111" t="s">
        <v>166</v>
      </c>
      <c r="CB71" s="109"/>
      <c r="CC71" s="109"/>
      <c r="CD71" s="109"/>
      <c r="CE71" s="112"/>
      <c r="CF71" s="118"/>
      <c r="CG71" s="109"/>
      <c r="CH71" s="109"/>
      <c r="CI71" s="115"/>
      <c r="CJ71" s="109"/>
      <c r="CK71" s="111" t="s">
        <v>166</v>
      </c>
      <c r="CL71" s="109"/>
      <c r="CM71" s="109"/>
      <c r="CN71" s="109"/>
      <c r="CO71" s="112"/>
      <c r="CP71" s="118"/>
      <c r="CQ71" s="109"/>
      <c r="CR71" s="109"/>
      <c r="CS71" s="115"/>
      <c r="CT71" s="109"/>
      <c r="CU71" s="111" t="s">
        <v>166</v>
      </c>
      <c r="CV71" s="109"/>
      <c r="CW71" s="109"/>
      <c r="CX71" s="109"/>
      <c r="CY71" s="112"/>
      <c r="CZ71" s="118"/>
      <c r="DA71" s="109"/>
      <c r="DB71" s="109"/>
      <c r="DC71" s="115"/>
      <c r="DD71" s="109"/>
      <c r="DE71" s="111" t="s">
        <v>166</v>
      </c>
      <c r="DF71" s="109"/>
      <c r="DG71" s="109"/>
      <c r="DH71" s="109"/>
      <c r="DI71" s="112"/>
      <c r="DJ71" s="118"/>
      <c r="DK71" s="109"/>
      <c r="DL71" s="109"/>
      <c r="DM71" s="115"/>
      <c r="DN71" s="109"/>
      <c r="DO71" s="111" t="s">
        <v>166</v>
      </c>
      <c r="DP71" s="109"/>
      <c r="DQ71" s="109"/>
      <c r="DR71" s="109"/>
      <c r="DS71" s="112"/>
      <c r="DT71" s="118"/>
      <c r="DU71" s="109"/>
      <c r="DV71" s="109"/>
      <c r="DW71" s="115"/>
      <c r="DX71" s="109"/>
      <c r="DY71" s="111" t="s">
        <v>166</v>
      </c>
      <c r="DZ71" s="109"/>
      <c r="EA71" s="109"/>
      <c r="EB71" s="109"/>
      <c r="EC71" s="112"/>
    </row>
    <row r="72" spans="1:133" ht="15.75" thickBot="1" x14ac:dyDescent="0.3">
      <c r="A72" s="95">
        <v>41791</v>
      </c>
      <c r="B72" s="75">
        <v>357.00757575757575</v>
      </c>
      <c r="C72" s="75" t="s">
        <v>105</v>
      </c>
      <c r="D72" s="75">
        <v>249.39393939393938</v>
      </c>
      <c r="E72" s="75">
        <v>257.29166666666669</v>
      </c>
      <c r="F72" s="75">
        <v>232.40740740740745</v>
      </c>
      <c r="G72" s="75">
        <v>475</v>
      </c>
      <c r="H72" s="75">
        <v>440.22727272727275</v>
      </c>
      <c r="I72" s="75">
        <v>271.25</v>
      </c>
      <c r="J72" s="75">
        <v>265.89285714285717</v>
      </c>
      <c r="K72" s="75">
        <v>262.1875</v>
      </c>
      <c r="N72" s="122"/>
      <c r="O72" s="122"/>
      <c r="P72" s="122"/>
      <c r="Q72" s="122"/>
      <c r="R72" s="123"/>
      <c r="S72" s="124" t="s">
        <v>204</v>
      </c>
      <c r="T72" s="124"/>
      <c r="U72" s="122"/>
      <c r="V72" s="122"/>
      <c r="W72" s="122"/>
      <c r="X72" s="122"/>
      <c r="Y72" s="122"/>
      <c r="Z72" s="122"/>
      <c r="AA72" s="122"/>
      <c r="AB72" s="123"/>
      <c r="AC72" s="124" t="s">
        <v>205</v>
      </c>
      <c r="AD72" s="124"/>
      <c r="AE72" s="122"/>
      <c r="AF72" s="122"/>
      <c r="AG72" s="122"/>
      <c r="AH72" s="122"/>
      <c r="AI72" s="122"/>
      <c r="AJ72" s="122"/>
      <c r="AK72" s="122"/>
      <c r="AL72" s="123"/>
      <c r="AM72" s="124" t="s">
        <v>206</v>
      </c>
      <c r="AN72" s="124"/>
      <c r="AO72" s="122"/>
      <c r="AP72" s="122"/>
      <c r="AQ72" s="122"/>
      <c r="AR72" s="121"/>
      <c r="AS72" s="122"/>
      <c r="AT72" s="122"/>
      <c r="AU72" s="122"/>
      <c r="AV72" s="123"/>
      <c r="AW72" s="124" t="s">
        <v>207</v>
      </c>
      <c r="AX72" s="124"/>
      <c r="AY72" s="122"/>
      <c r="AZ72" s="122"/>
      <c r="BA72" s="122"/>
      <c r="BB72" s="137"/>
      <c r="BC72" s="138"/>
      <c r="BD72" s="138"/>
      <c r="BE72" s="129"/>
      <c r="BF72" s="138"/>
      <c r="BG72" s="131" t="s">
        <v>208</v>
      </c>
      <c r="BH72" s="138"/>
      <c r="BI72" s="138"/>
      <c r="BJ72" s="138"/>
      <c r="BK72" s="139"/>
      <c r="BL72" s="137"/>
      <c r="BM72" s="138"/>
      <c r="BN72" s="138"/>
      <c r="BO72" s="129"/>
      <c r="BP72" s="138"/>
      <c r="BQ72" s="131" t="s">
        <v>209</v>
      </c>
      <c r="BR72" s="138"/>
      <c r="BS72" s="138"/>
      <c r="BT72" s="138"/>
      <c r="BU72" s="139"/>
      <c r="BV72" s="137"/>
      <c r="BW72" s="138"/>
      <c r="BX72" s="138"/>
      <c r="BY72" s="129"/>
      <c r="BZ72" s="138"/>
      <c r="CA72" s="131" t="s">
        <v>210</v>
      </c>
      <c r="CB72" s="138"/>
      <c r="CC72" s="138"/>
      <c r="CD72" s="138"/>
      <c r="CE72" s="139"/>
      <c r="CF72" s="137"/>
      <c r="CG72" s="138"/>
      <c r="CH72" s="138"/>
      <c r="CI72" s="129"/>
      <c r="CJ72" s="138"/>
      <c r="CK72" s="131" t="s">
        <v>211</v>
      </c>
      <c r="CL72" s="138"/>
      <c r="CM72" s="138"/>
      <c r="CN72" s="138"/>
      <c r="CO72" s="139"/>
      <c r="CP72" s="137"/>
      <c r="CQ72" s="138"/>
      <c r="CR72" s="138"/>
      <c r="CS72" s="129"/>
      <c r="CT72" s="138"/>
      <c r="CU72" s="131" t="s">
        <v>212</v>
      </c>
      <c r="CV72" s="138"/>
      <c r="CW72" s="138"/>
      <c r="CX72" s="138"/>
      <c r="CY72" s="139"/>
      <c r="CZ72" s="137"/>
      <c r="DA72" s="138"/>
      <c r="DB72" s="138"/>
      <c r="DC72" s="129"/>
      <c r="DD72" s="138"/>
      <c r="DE72" s="131" t="s">
        <v>213</v>
      </c>
      <c r="DF72" s="138"/>
      <c r="DG72" s="138"/>
      <c r="DH72" s="138"/>
      <c r="DI72" s="139"/>
      <c r="DJ72" s="137"/>
      <c r="DK72" s="138"/>
      <c r="DL72" s="138"/>
      <c r="DM72" s="129"/>
      <c r="DN72" s="138"/>
      <c r="DO72" s="131" t="s">
        <v>214</v>
      </c>
      <c r="DP72" s="138"/>
      <c r="DQ72" s="138"/>
      <c r="DR72" s="138"/>
      <c r="DS72" s="139"/>
      <c r="DT72" s="137"/>
      <c r="DU72" s="138"/>
      <c r="DV72" s="138"/>
      <c r="DW72" s="129"/>
      <c r="DX72" s="138"/>
      <c r="DY72" s="131" t="s">
        <v>215</v>
      </c>
      <c r="DZ72" s="138"/>
      <c r="EA72" s="138"/>
      <c r="EB72" s="138"/>
      <c r="EC72" s="139"/>
    </row>
    <row r="73" spans="1:133" x14ac:dyDescent="0.25">
      <c r="A73" s="95">
        <v>41821</v>
      </c>
      <c r="B73" s="75">
        <v>375</v>
      </c>
      <c r="C73" s="75" t="s">
        <v>105</v>
      </c>
      <c r="D73" s="75">
        <v>251.81818181818181</v>
      </c>
      <c r="E73" s="75">
        <v>257.5</v>
      </c>
      <c r="F73" s="75">
        <v>233.5185185185185</v>
      </c>
      <c r="G73" s="75">
        <v>469</v>
      </c>
      <c r="H73" s="75">
        <v>428.48484848484856</v>
      </c>
      <c r="I73" s="75">
        <v>271.36363636363637</v>
      </c>
      <c r="J73" s="75">
        <v>266.42857142857144</v>
      </c>
      <c r="K73" s="75">
        <v>268.95833333333337</v>
      </c>
      <c r="N73" s="455" t="s">
        <v>152</v>
      </c>
      <c r="O73" s="456"/>
      <c r="P73" s="457" t="s">
        <v>153</v>
      </c>
      <c r="Q73" s="458"/>
      <c r="R73" s="456"/>
      <c r="S73" s="457" t="s">
        <v>290</v>
      </c>
      <c r="T73" s="458"/>
      <c r="U73" s="458"/>
      <c r="V73" s="458"/>
      <c r="W73" s="459"/>
      <c r="X73" s="455" t="s">
        <v>152</v>
      </c>
      <c r="Y73" s="456"/>
      <c r="Z73" s="457" t="s">
        <v>153</v>
      </c>
      <c r="AA73" s="458"/>
      <c r="AB73" s="456"/>
      <c r="AC73" s="457" t="s">
        <v>290</v>
      </c>
      <c r="AD73" s="458"/>
      <c r="AE73" s="458"/>
      <c r="AF73" s="458"/>
      <c r="AG73" s="459"/>
      <c r="AH73" s="455" t="s">
        <v>152</v>
      </c>
      <c r="AI73" s="456"/>
      <c r="AJ73" s="457" t="s">
        <v>153</v>
      </c>
      <c r="AK73" s="458"/>
      <c r="AL73" s="456"/>
      <c r="AM73" s="457" t="s">
        <v>290</v>
      </c>
      <c r="AN73" s="458"/>
      <c r="AO73" s="458"/>
      <c r="AP73" s="458"/>
      <c r="AQ73" s="459"/>
      <c r="AR73" s="455" t="s">
        <v>152</v>
      </c>
      <c r="AS73" s="456"/>
      <c r="AT73" s="457" t="s">
        <v>153</v>
      </c>
      <c r="AU73" s="458"/>
      <c r="AV73" s="456"/>
      <c r="AW73" s="457" t="s">
        <v>290</v>
      </c>
      <c r="AX73" s="458"/>
      <c r="AY73" s="458"/>
      <c r="AZ73" s="458"/>
      <c r="BA73" s="458"/>
      <c r="BB73" s="455" t="s">
        <v>152</v>
      </c>
      <c r="BC73" s="456"/>
      <c r="BD73" s="457" t="s">
        <v>153</v>
      </c>
      <c r="BE73" s="458"/>
      <c r="BF73" s="456"/>
      <c r="BG73" s="457" t="s">
        <v>290</v>
      </c>
      <c r="BH73" s="458"/>
      <c r="BI73" s="458"/>
      <c r="BJ73" s="458"/>
      <c r="BK73" s="459"/>
      <c r="BL73" s="455" t="s">
        <v>152</v>
      </c>
      <c r="BM73" s="456"/>
      <c r="BN73" s="457" t="s">
        <v>153</v>
      </c>
      <c r="BO73" s="458"/>
      <c r="BP73" s="456"/>
      <c r="BQ73" s="457" t="s">
        <v>290</v>
      </c>
      <c r="BR73" s="458"/>
      <c r="BS73" s="458"/>
      <c r="BT73" s="458"/>
      <c r="BU73" s="459"/>
      <c r="BV73" s="455" t="s">
        <v>152</v>
      </c>
      <c r="BW73" s="456"/>
      <c r="BX73" s="457" t="s">
        <v>153</v>
      </c>
      <c r="BY73" s="458"/>
      <c r="BZ73" s="456"/>
      <c r="CA73" s="457" t="s">
        <v>290</v>
      </c>
      <c r="CB73" s="458"/>
      <c r="CC73" s="458"/>
      <c r="CD73" s="458"/>
      <c r="CE73" s="459"/>
      <c r="CF73" s="455" t="s">
        <v>152</v>
      </c>
      <c r="CG73" s="456"/>
      <c r="CH73" s="457" t="s">
        <v>153</v>
      </c>
      <c r="CI73" s="458"/>
      <c r="CJ73" s="456"/>
      <c r="CK73" s="457" t="s">
        <v>290</v>
      </c>
      <c r="CL73" s="458"/>
      <c r="CM73" s="458"/>
      <c r="CN73" s="458"/>
      <c r="CO73" s="459"/>
      <c r="CP73" s="455" t="s">
        <v>152</v>
      </c>
      <c r="CQ73" s="456"/>
      <c r="CR73" s="457" t="s">
        <v>153</v>
      </c>
      <c r="CS73" s="458"/>
      <c r="CT73" s="456"/>
      <c r="CU73" s="457" t="s">
        <v>290</v>
      </c>
      <c r="CV73" s="458"/>
      <c r="CW73" s="458"/>
      <c r="CX73" s="458"/>
      <c r="CY73" s="459"/>
      <c r="CZ73" s="455" t="s">
        <v>152</v>
      </c>
      <c r="DA73" s="456"/>
      <c r="DB73" s="457" t="s">
        <v>153</v>
      </c>
      <c r="DC73" s="458"/>
      <c r="DD73" s="456"/>
      <c r="DE73" s="457" t="s">
        <v>290</v>
      </c>
      <c r="DF73" s="458"/>
      <c r="DG73" s="458"/>
      <c r="DH73" s="458"/>
      <c r="DI73" s="459"/>
      <c r="DJ73" s="455" t="s">
        <v>152</v>
      </c>
      <c r="DK73" s="456"/>
      <c r="DL73" s="457" t="s">
        <v>153</v>
      </c>
      <c r="DM73" s="458"/>
      <c r="DN73" s="456"/>
      <c r="DO73" s="457" t="s">
        <v>290</v>
      </c>
      <c r="DP73" s="458"/>
      <c r="DQ73" s="458"/>
      <c r="DR73" s="458"/>
      <c r="DS73" s="459"/>
      <c r="DT73" s="455" t="s">
        <v>152</v>
      </c>
      <c r="DU73" s="456"/>
      <c r="DV73" s="457" t="s">
        <v>153</v>
      </c>
      <c r="DW73" s="467"/>
      <c r="DX73" s="463"/>
      <c r="DY73" s="457" t="s">
        <v>290</v>
      </c>
      <c r="DZ73" s="467"/>
      <c r="EA73" s="467"/>
      <c r="EB73" s="467"/>
      <c r="EC73" s="468"/>
    </row>
    <row r="74" spans="1:133" x14ac:dyDescent="0.25">
      <c r="A74" s="95">
        <v>41852</v>
      </c>
      <c r="B74" s="75">
        <v>428.86363636363637</v>
      </c>
      <c r="C74" s="75">
        <v>454.54545454545456</v>
      </c>
      <c r="D74" s="75">
        <v>256.36363636363637</v>
      </c>
      <c r="E74" s="75">
        <v>269.5</v>
      </c>
      <c r="F74" s="75">
        <v>237.81818181818181</v>
      </c>
      <c r="G74" s="75">
        <v>468.75</v>
      </c>
      <c r="H74" s="75">
        <v>423.72727272727275</v>
      </c>
      <c r="I74" s="75">
        <v>266.81818181818181</v>
      </c>
      <c r="J74" s="75">
        <v>267.42857142857144</v>
      </c>
      <c r="K74" s="75">
        <v>276.33333333333331</v>
      </c>
      <c r="N74" s="466" t="s">
        <v>291</v>
      </c>
      <c r="O74" s="450"/>
      <c r="P74" s="449" t="s">
        <v>291</v>
      </c>
      <c r="Q74" s="461"/>
      <c r="R74" s="450"/>
      <c r="S74" s="449" t="s">
        <v>291</v>
      </c>
      <c r="T74" s="461"/>
      <c r="U74" s="461"/>
      <c r="V74" s="461"/>
      <c r="W74" s="462"/>
      <c r="X74" s="466" t="s">
        <v>291</v>
      </c>
      <c r="Y74" s="450"/>
      <c r="Z74" s="449" t="s">
        <v>291</v>
      </c>
      <c r="AA74" s="461"/>
      <c r="AB74" s="450"/>
      <c r="AC74" s="449" t="s">
        <v>291</v>
      </c>
      <c r="AD74" s="461"/>
      <c r="AE74" s="461"/>
      <c r="AF74" s="461"/>
      <c r="AG74" s="462"/>
      <c r="AH74" s="466" t="s">
        <v>291</v>
      </c>
      <c r="AI74" s="450"/>
      <c r="AJ74" s="449" t="s">
        <v>291</v>
      </c>
      <c r="AK74" s="461"/>
      <c r="AL74" s="450"/>
      <c r="AM74" s="449" t="s">
        <v>291</v>
      </c>
      <c r="AN74" s="461"/>
      <c r="AO74" s="461"/>
      <c r="AP74" s="461"/>
      <c r="AQ74" s="462"/>
      <c r="AR74" s="466" t="s">
        <v>291</v>
      </c>
      <c r="AS74" s="450"/>
      <c r="AT74" s="449" t="s">
        <v>291</v>
      </c>
      <c r="AU74" s="461"/>
      <c r="AV74" s="450"/>
      <c r="AW74" s="449" t="s">
        <v>291</v>
      </c>
      <c r="AX74" s="461"/>
      <c r="AY74" s="461"/>
      <c r="AZ74" s="461"/>
      <c r="BA74" s="461"/>
      <c r="BB74" s="466" t="s">
        <v>291</v>
      </c>
      <c r="BC74" s="450"/>
      <c r="BD74" s="449" t="s">
        <v>291</v>
      </c>
      <c r="BE74" s="461"/>
      <c r="BF74" s="450"/>
      <c r="BG74" s="449" t="s">
        <v>291</v>
      </c>
      <c r="BH74" s="461"/>
      <c r="BI74" s="461"/>
      <c r="BJ74" s="461"/>
      <c r="BK74" s="462"/>
      <c r="BL74" s="466" t="s">
        <v>291</v>
      </c>
      <c r="BM74" s="450"/>
      <c r="BN74" s="449" t="s">
        <v>291</v>
      </c>
      <c r="BO74" s="461"/>
      <c r="BP74" s="450"/>
      <c r="BQ74" s="449" t="s">
        <v>291</v>
      </c>
      <c r="BR74" s="461"/>
      <c r="BS74" s="461"/>
      <c r="BT74" s="461"/>
      <c r="BU74" s="462"/>
      <c r="BV74" s="466" t="s">
        <v>291</v>
      </c>
      <c r="BW74" s="450"/>
      <c r="BX74" s="449" t="s">
        <v>291</v>
      </c>
      <c r="BY74" s="461"/>
      <c r="BZ74" s="450"/>
      <c r="CA74" s="449" t="s">
        <v>291</v>
      </c>
      <c r="CB74" s="461"/>
      <c r="CC74" s="461"/>
      <c r="CD74" s="461"/>
      <c r="CE74" s="462"/>
      <c r="CF74" s="466" t="s">
        <v>291</v>
      </c>
      <c r="CG74" s="450"/>
      <c r="CH74" s="449" t="s">
        <v>291</v>
      </c>
      <c r="CI74" s="461"/>
      <c r="CJ74" s="450"/>
      <c r="CK74" s="449" t="s">
        <v>291</v>
      </c>
      <c r="CL74" s="461"/>
      <c r="CM74" s="461"/>
      <c r="CN74" s="461"/>
      <c r="CO74" s="462"/>
      <c r="CP74" s="466" t="s">
        <v>291</v>
      </c>
      <c r="CQ74" s="450"/>
      <c r="CR74" s="449" t="s">
        <v>291</v>
      </c>
      <c r="CS74" s="461"/>
      <c r="CT74" s="450"/>
      <c r="CU74" s="449" t="s">
        <v>291</v>
      </c>
      <c r="CV74" s="461"/>
      <c r="CW74" s="461"/>
      <c r="CX74" s="461"/>
      <c r="CY74" s="462"/>
      <c r="CZ74" s="466" t="s">
        <v>291</v>
      </c>
      <c r="DA74" s="450"/>
      <c r="DB74" s="449" t="s">
        <v>291</v>
      </c>
      <c r="DC74" s="461"/>
      <c r="DD74" s="450"/>
      <c r="DE74" s="449" t="s">
        <v>291</v>
      </c>
      <c r="DF74" s="461"/>
      <c r="DG74" s="461"/>
      <c r="DH74" s="461"/>
      <c r="DI74" s="462"/>
      <c r="DJ74" s="466" t="s">
        <v>291</v>
      </c>
      <c r="DK74" s="450"/>
      <c r="DL74" s="449" t="s">
        <v>291</v>
      </c>
      <c r="DM74" s="461"/>
      <c r="DN74" s="450"/>
      <c r="DO74" s="449" t="s">
        <v>291</v>
      </c>
      <c r="DP74" s="461"/>
      <c r="DQ74" s="461"/>
      <c r="DR74" s="461"/>
      <c r="DS74" s="462"/>
      <c r="DT74" s="466" t="s">
        <v>291</v>
      </c>
      <c r="DU74" s="450"/>
      <c r="DV74" s="449" t="s">
        <v>291</v>
      </c>
      <c r="DW74" s="461"/>
      <c r="DX74" s="450"/>
      <c r="DY74" s="449" t="s">
        <v>291</v>
      </c>
      <c r="DZ74" s="461"/>
      <c r="EA74" s="461"/>
      <c r="EB74" s="461"/>
      <c r="EC74" s="462"/>
    </row>
    <row r="75" spans="1:133" x14ac:dyDescent="0.25">
      <c r="A75" s="95">
        <v>41883</v>
      </c>
      <c r="B75" s="75">
        <v>337.5</v>
      </c>
      <c r="C75" s="75">
        <v>370.45454545454544</v>
      </c>
      <c r="D75" s="75">
        <v>254.88636363636363</v>
      </c>
      <c r="E75" s="75">
        <v>266.25</v>
      </c>
      <c r="F75" s="75">
        <v>234.5</v>
      </c>
      <c r="G75" s="75">
        <v>457.29166666666669</v>
      </c>
      <c r="H75" s="75">
        <v>415.79545454545456</v>
      </c>
      <c r="I75" s="75">
        <v>271.47727272727275</v>
      </c>
      <c r="J75" s="75">
        <v>269.375</v>
      </c>
      <c r="K75" s="75">
        <v>272.91666666666669</v>
      </c>
      <c r="N75" s="430" t="s">
        <v>163</v>
      </c>
      <c r="O75" s="422" t="s">
        <v>155</v>
      </c>
      <c r="P75" s="422" t="s">
        <v>293</v>
      </c>
      <c r="Q75" s="422" t="s">
        <v>294</v>
      </c>
      <c r="R75" s="422" t="s">
        <v>295</v>
      </c>
      <c r="S75" s="424" t="s">
        <v>296</v>
      </c>
      <c r="T75" s="425"/>
      <c r="U75" s="426" t="s">
        <v>297</v>
      </c>
      <c r="V75" s="426" t="s">
        <v>162</v>
      </c>
      <c r="W75" s="428" t="s">
        <v>163</v>
      </c>
      <c r="X75" s="430" t="s">
        <v>163</v>
      </c>
      <c r="Y75" s="422" t="s">
        <v>155</v>
      </c>
      <c r="Z75" s="422" t="s">
        <v>293</v>
      </c>
      <c r="AA75" s="422" t="s">
        <v>294</v>
      </c>
      <c r="AB75" s="422" t="s">
        <v>295</v>
      </c>
      <c r="AC75" s="424" t="s">
        <v>296</v>
      </c>
      <c r="AD75" s="425"/>
      <c r="AE75" s="426" t="s">
        <v>297</v>
      </c>
      <c r="AF75" s="426" t="s">
        <v>162</v>
      </c>
      <c r="AG75" s="428" t="s">
        <v>163</v>
      </c>
      <c r="AH75" s="430" t="s">
        <v>163</v>
      </c>
      <c r="AI75" s="422" t="s">
        <v>155</v>
      </c>
      <c r="AJ75" s="422" t="s">
        <v>293</v>
      </c>
      <c r="AK75" s="422" t="s">
        <v>294</v>
      </c>
      <c r="AL75" s="422" t="s">
        <v>295</v>
      </c>
      <c r="AM75" s="424" t="s">
        <v>296</v>
      </c>
      <c r="AN75" s="425"/>
      <c r="AO75" s="426" t="s">
        <v>297</v>
      </c>
      <c r="AP75" s="426" t="s">
        <v>162</v>
      </c>
      <c r="AQ75" s="428" t="s">
        <v>163</v>
      </c>
      <c r="AR75" s="430" t="s">
        <v>163</v>
      </c>
      <c r="AS75" s="422" t="s">
        <v>155</v>
      </c>
      <c r="AT75" s="422" t="s">
        <v>293</v>
      </c>
      <c r="AU75" s="422" t="s">
        <v>294</v>
      </c>
      <c r="AV75" s="422" t="s">
        <v>295</v>
      </c>
      <c r="AW75" s="424" t="s">
        <v>296</v>
      </c>
      <c r="AX75" s="425"/>
      <c r="AY75" s="426" t="s">
        <v>297</v>
      </c>
      <c r="AZ75" s="426" t="s">
        <v>162</v>
      </c>
      <c r="BA75" s="428" t="s">
        <v>163</v>
      </c>
      <c r="BB75" s="430" t="s">
        <v>163</v>
      </c>
      <c r="BC75" s="422" t="s">
        <v>155</v>
      </c>
      <c r="BD75" s="422" t="s">
        <v>293</v>
      </c>
      <c r="BE75" s="422" t="s">
        <v>294</v>
      </c>
      <c r="BF75" s="422" t="s">
        <v>295</v>
      </c>
      <c r="BG75" s="424" t="s">
        <v>296</v>
      </c>
      <c r="BH75" s="425"/>
      <c r="BI75" s="426" t="s">
        <v>297</v>
      </c>
      <c r="BJ75" s="426" t="s">
        <v>162</v>
      </c>
      <c r="BK75" s="428" t="s">
        <v>163</v>
      </c>
      <c r="BL75" s="430" t="s">
        <v>163</v>
      </c>
      <c r="BM75" s="422" t="s">
        <v>155</v>
      </c>
      <c r="BN75" s="422" t="s">
        <v>293</v>
      </c>
      <c r="BO75" s="422" t="s">
        <v>294</v>
      </c>
      <c r="BP75" s="422" t="s">
        <v>295</v>
      </c>
      <c r="BQ75" s="424" t="s">
        <v>296</v>
      </c>
      <c r="BR75" s="425"/>
      <c r="BS75" s="426" t="s">
        <v>297</v>
      </c>
      <c r="BT75" s="426" t="s">
        <v>162</v>
      </c>
      <c r="BU75" s="428" t="s">
        <v>163</v>
      </c>
      <c r="BV75" s="430" t="s">
        <v>163</v>
      </c>
      <c r="BW75" s="422" t="s">
        <v>155</v>
      </c>
      <c r="BX75" s="422" t="s">
        <v>293</v>
      </c>
      <c r="BY75" s="422" t="s">
        <v>294</v>
      </c>
      <c r="BZ75" s="422" t="s">
        <v>295</v>
      </c>
      <c r="CA75" s="424" t="s">
        <v>296</v>
      </c>
      <c r="CB75" s="425"/>
      <c r="CC75" s="426" t="s">
        <v>297</v>
      </c>
      <c r="CD75" s="426" t="s">
        <v>162</v>
      </c>
      <c r="CE75" s="428" t="s">
        <v>163</v>
      </c>
      <c r="CF75" s="430" t="s">
        <v>163</v>
      </c>
      <c r="CG75" s="422" t="s">
        <v>155</v>
      </c>
      <c r="CH75" s="422" t="s">
        <v>293</v>
      </c>
      <c r="CI75" s="422" t="s">
        <v>294</v>
      </c>
      <c r="CJ75" s="422" t="s">
        <v>295</v>
      </c>
      <c r="CK75" s="424" t="s">
        <v>296</v>
      </c>
      <c r="CL75" s="425"/>
      <c r="CM75" s="426" t="s">
        <v>297</v>
      </c>
      <c r="CN75" s="426" t="s">
        <v>162</v>
      </c>
      <c r="CO75" s="428" t="s">
        <v>163</v>
      </c>
      <c r="CP75" s="430" t="s">
        <v>163</v>
      </c>
      <c r="CQ75" s="422" t="s">
        <v>155</v>
      </c>
      <c r="CR75" s="422" t="s">
        <v>293</v>
      </c>
      <c r="CS75" s="422" t="s">
        <v>294</v>
      </c>
      <c r="CT75" s="422" t="s">
        <v>295</v>
      </c>
      <c r="CU75" s="424" t="s">
        <v>296</v>
      </c>
      <c r="CV75" s="425"/>
      <c r="CW75" s="426" t="s">
        <v>297</v>
      </c>
      <c r="CX75" s="426" t="s">
        <v>162</v>
      </c>
      <c r="CY75" s="428" t="s">
        <v>163</v>
      </c>
      <c r="CZ75" s="430" t="s">
        <v>163</v>
      </c>
      <c r="DA75" s="422" t="s">
        <v>155</v>
      </c>
      <c r="DB75" s="422" t="s">
        <v>293</v>
      </c>
      <c r="DC75" s="422" t="s">
        <v>294</v>
      </c>
      <c r="DD75" s="422" t="s">
        <v>295</v>
      </c>
      <c r="DE75" s="424" t="s">
        <v>296</v>
      </c>
      <c r="DF75" s="425"/>
      <c r="DG75" s="426" t="s">
        <v>297</v>
      </c>
      <c r="DH75" s="426" t="s">
        <v>162</v>
      </c>
      <c r="DI75" s="428" t="s">
        <v>163</v>
      </c>
      <c r="DJ75" s="430" t="s">
        <v>163</v>
      </c>
      <c r="DK75" s="422" t="s">
        <v>155</v>
      </c>
      <c r="DL75" s="422" t="s">
        <v>293</v>
      </c>
      <c r="DM75" s="422" t="s">
        <v>294</v>
      </c>
      <c r="DN75" s="422" t="s">
        <v>295</v>
      </c>
      <c r="DO75" s="424" t="s">
        <v>296</v>
      </c>
      <c r="DP75" s="425"/>
      <c r="DQ75" s="426" t="s">
        <v>297</v>
      </c>
      <c r="DR75" s="426" t="s">
        <v>162</v>
      </c>
      <c r="DS75" s="428" t="s">
        <v>163</v>
      </c>
      <c r="DT75" s="430" t="s">
        <v>163</v>
      </c>
      <c r="DU75" s="422" t="s">
        <v>155</v>
      </c>
      <c r="DV75" s="422" t="s">
        <v>293</v>
      </c>
      <c r="DW75" s="422" t="s">
        <v>294</v>
      </c>
      <c r="DX75" s="422" t="s">
        <v>295</v>
      </c>
      <c r="DY75" s="424" t="s">
        <v>296</v>
      </c>
      <c r="DZ75" s="425"/>
      <c r="EA75" s="426" t="s">
        <v>297</v>
      </c>
      <c r="EB75" s="426" t="s">
        <v>162</v>
      </c>
      <c r="EC75" s="428" t="s">
        <v>163</v>
      </c>
    </row>
    <row r="76" spans="1:133" x14ac:dyDescent="0.25">
      <c r="A76" s="95">
        <v>41913</v>
      </c>
      <c r="B76" s="75">
        <v>258.33333333333331</v>
      </c>
      <c r="C76" s="75">
        <v>344.31818181818181</v>
      </c>
      <c r="D76" s="75">
        <v>255.68181818181819</v>
      </c>
      <c r="E76" s="75">
        <v>263.75</v>
      </c>
      <c r="F76" s="75">
        <v>234.25</v>
      </c>
      <c r="G76" s="75">
        <v>462.5</v>
      </c>
      <c r="H76" s="75">
        <v>407.15909090909093</v>
      </c>
      <c r="I76" s="75">
        <v>272.38636363636363</v>
      </c>
      <c r="J76" s="75">
        <v>268.8095238095238</v>
      </c>
      <c r="K76" s="75">
        <v>268.75</v>
      </c>
      <c r="N76" s="431"/>
      <c r="O76" s="423"/>
      <c r="P76" s="423"/>
      <c r="Q76" s="423"/>
      <c r="R76" s="423"/>
      <c r="S76" s="146" t="s">
        <v>159</v>
      </c>
      <c r="T76" s="146" t="s">
        <v>160</v>
      </c>
      <c r="U76" s="427"/>
      <c r="V76" s="427"/>
      <c r="W76" s="429"/>
      <c r="X76" s="431"/>
      <c r="Y76" s="423"/>
      <c r="Z76" s="423"/>
      <c r="AA76" s="423"/>
      <c r="AB76" s="423"/>
      <c r="AC76" s="146" t="s">
        <v>159</v>
      </c>
      <c r="AD76" s="146" t="s">
        <v>160</v>
      </c>
      <c r="AE76" s="427"/>
      <c r="AF76" s="427"/>
      <c r="AG76" s="429"/>
      <c r="AH76" s="431"/>
      <c r="AI76" s="423"/>
      <c r="AJ76" s="423"/>
      <c r="AK76" s="423"/>
      <c r="AL76" s="423"/>
      <c r="AM76" s="146" t="s">
        <v>159</v>
      </c>
      <c r="AN76" s="146" t="s">
        <v>160</v>
      </c>
      <c r="AO76" s="427"/>
      <c r="AP76" s="427"/>
      <c r="AQ76" s="429"/>
      <c r="AR76" s="431"/>
      <c r="AS76" s="423"/>
      <c r="AT76" s="423"/>
      <c r="AU76" s="423"/>
      <c r="AV76" s="423"/>
      <c r="AW76" s="146" t="s">
        <v>159</v>
      </c>
      <c r="AX76" s="146" t="s">
        <v>160</v>
      </c>
      <c r="AY76" s="427"/>
      <c r="AZ76" s="427"/>
      <c r="BA76" s="429"/>
      <c r="BB76" s="431"/>
      <c r="BC76" s="423"/>
      <c r="BD76" s="423"/>
      <c r="BE76" s="423"/>
      <c r="BF76" s="423"/>
      <c r="BG76" s="146" t="s">
        <v>159</v>
      </c>
      <c r="BH76" s="146" t="s">
        <v>160</v>
      </c>
      <c r="BI76" s="427"/>
      <c r="BJ76" s="427"/>
      <c r="BK76" s="429"/>
      <c r="BL76" s="431"/>
      <c r="BM76" s="423"/>
      <c r="BN76" s="423"/>
      <c r="BO76" s="423"/>
      <c r="BP76" s="423"/>
      <c r="BQ76" s="146" t="s">
        <v>159</v>
      </c>
      <c r="BR76" s="146" t="s">
        <v>160</v>
      </c>
      <c r="BS76" s="427"/>
      <c r="BT76" s="427"/>
      <c r="BU76" s="429"/>
      <c r="BV76" s="431"/>
      <c r="BW76" s="423"/>
      <c r="BX76" s="423"/>
      <c r="BY76" s="423"/>
      <c r="BZ76" s="423"/>
      <c r="CA76" s="146" t="s">
        <v>159</v>
      </c>
      <c r="CB76" s="146" t="s">
        <v>160</v>
      </c>
      <c r="CC76" s="427"/>
      <c r="CD76" s="427"/>
      <c r="CE76" s="429"/>
      <c r="CF76" s="431"/>
      <c r="CG76" s="423"/>
      <c r="CH76" s="423"/>
      <c r="CI76" s="423"/>
      <c r="CJ76" s="423"/>
      <c r="CK76" s="146" t="s">
        <v>159</v>
      </c>
      <c r="CL76" s="146" t="s">
        <v>160</v>
      </c>
      <c r="CM76" s="427"/>
      <c r="CN76" s="427"/>
      <c r="CO76" s="429"/>
      <c r="CP76" s="431"/>
      <c r="CQ76" s="423"/>
      <c r="CR76" s="423"/>
      <c r="CS76" s="423"/>
      <c r="CT76" s="423"/>
      <c r="CU76" s="146" t="s">
        <v>159</v>
      </c>
      <c r="CV76" s="146" t="s">
        <v>160</v>
      </c>
      <c r="CW76" s="427"/>
      <c r="CX76" s="427"/>
      <c r="CY76" s="429"/>
      <c r="CZ76" s="431"/>
      <c r="DA76" s="423"/>
      <c r="DB76" s="423"/>
      <c r="DC76" s="423"/>
      <c r="DD76" s="423"/>
      <c r="DE76" s="146" t="s">
        <v>159</v>
      </c>
      <c r="DF76" s="146" t="s">
        <v>160</v>
      </c>
      <c r="DG76" s="427"/>
      <c r="DH76" s="427"/>
      <c r="DI76" s="429"/>
      <c r="DJ76" s="431"/>
      <c r="DK76" s="423"/>
      <c r="DL76" s="423"/>
      <c r="DM76" s="423"/>
      <c r="DN76" s="423"/>
      <c r="DO76" s="146" t="s">
        <v>159</v>
      </c>
      <c r="DP76" s="146" t="s">
        <v>160</v>
      </c>
      <c r="DQ76" s="427"/>
      <c r="DR76" s="427"/>
      <c r="DS76" s="429"/>
      <c r="DT76" s="431"/>
      <c r="DU76" s="423"/>
      <c r="DV76" s="423"/>
      <c r="DW76" s="423"/>
      <c r="DX76" s="423"/>
      <c r="DY76" s="146" t="s">
        <v>159</v>
      </c>
      <c r="DZ76" s="146" t="s">
        <v>160</v>
      </c>
      <c r="EA76" s="427"/>
      <c r="EB76" s="427"/>
      <c r="EC76" s="429"/>
    </row>
    <row r="77" spans="1:133" x14ac:dyDescent="0.25">
      <c r="A77" s="95">
        <v>41944</v>
      </c>
      <c r="B77" s="75" t="s">
        <v>105</v>
      </c>
      <c r="C77" s="75">
        <v>325</v>
      </c>
      <c r="D77" s="75">
        <v>247.3</v>
      </c>
      <c r="E77" s="75">
        <v>258.88888888888891</v>
      </c>
      <c r="F77" s="75">
        <v>229.2</v>
      </c>
      <c r="G77" s="75">
        <v>492</v>
      </c>
      <c r="H77" s="75">
        <v>377.5</v>
      </c>
      <c r="I77" s="75">
        <v>271.89999999999998</v>
      </c>
      <c r="J77" s="75">
        <v>266.875</v>
      </c>
      <c r="K77" s="75">
        <v>265.625</v>
      </c>
      <c r="N77" s="102"/>
      <c r="O77" s="153">
        <v>250</v>
      </c>
      <c r="P77" s="153">
        <v>250</v>
      </c>
      <c r="Q77" s="153">
        <v>250</v>
      </c>
      <c r="R77" s="153">
        <v>243.75</v>
      </c>
      <c r="S77" s="153">
        <v>400</v>
      </c>
      <c r="T77" s="153">
        <v>381.25</v>
      </c>
      <c r="U77" s="153">
        <v>306.25</v>
      </c>
      <c r="V77" s="153">
        <v>300</v>
      </c>
      <c r="W77" s="154">
        <v>300</v>
      </c>
      <c r="X77" s="102">
        <v>275</v>
      </c>
      <c r="Y77" s="153">
        <v>325</v>
      </c>
      <c r="Z77" s="153">
        <v>250</v>
      </c>
      <c r="AA77" s="153">
        <v>250</v>
      </c>
      <c r="AB77" s="153">
        <v>250</v>
      </c>
      <c r="AC77" s="153">
        <v>462.5</v>
      </c>
      <c r="AD77" s="153">
        <v>425</v>
      </c>
      <c r="AE77" s="153">
        <v>331.25</v>
      </c>
      <c r="AF77" s="153">
        <v>306.25</v>
      </c>
      <c r="AG77" s="154">
        <v>300</v>
      </c>
      <c r="AH77" s="102">
        <v>340</v>
      </c>
      <c r="AI77" s="153">
        <v>420</v>
      </c>
      <c r="AJ77" s="153">
        <v>250</v>
      </c>
      <c r="AK77" s="153">
        <v>250</v>
      </c>
      <c r="AL77" s="153">
        <v>250</v>
      </c>
      <c r="AM77" s="153">
        <v>580</v>
      </c>
      <c r="AN77" s="153">
        <v>510</v>
      </c>
      <c r="AO77" s="153">
        <v>330</v>
      </c>
      <c r="AP77" s="153">
        <v>300</v>
      </c>
      <c r="AQ77" s="154">
        <v>305</v>
      </c>
      <c r="AR77" s="102">
        <v>250</v>
      </c>
      <c r="AS77" s="153">
        <v>300</v>
      </c>
      <c r="AT77" s="153">
        <v>250</v>
      </c>
      <c r="AU77" s="153">
        <v>266.66666666666669</v>
      </c>
      <c r="AV77" s="153">
        <v>250</v>
      </c>
      <c r="AW77" s="153">
        <v>550</v>
      </c>
      <c r="AX77" s="153">
        <v>466.66666666666669</v>
      </c>
      <c r="AY77" s="153">
        <v>300</v>
      </c>
      <c r="AZ77" s="153">
        <v>308.33333333333331</v>
      </c>
      <c r="BA77" s="155">
        <v>300</v>
      </c>
      <c r="BB77" s="102">
        <v>225</v>
      </c>
      <c r="BC77" s="104">
        <v>300</v>
      </c>
      <c r="BD77" s="104">
        <v>250</v>
      </c>
      <c r="BE77" s="104">
        <v>262.5</v>
      </c>
      <c r="BF77" s="104">
        <v>250</v>
      </c>
      <c r="BG77" s="104">
        <v>450</v>
      </c>
      <c r="BH77" s="104">
        <v>450</v>
      </c>
      <c r="BI77" s="104">
        <v>300</v>
      </c>
      <c r="BJ77" s="104">
        <v>300</v>
      </c>
      <c r="BK77" s="152">
        <v>300</v>
      </c>
      <c r="BL77" s="102">
        <v>237.5</v>
      </c>
      <c r="BM77" s="104"/>
      <c r="BN77" s="104">
        <v>250</v>
      </c>
      <c r="BO77" s="104">
        <v>287.5</v>
      </c>
      <c r="BP77" s="104">
        <v>256.25</v>
      </c>
      <c r="BQ77" s="104">
        <v>450</v>
      </c>
      <c r="BR77" s="104">
        <v>438.75</v>
      </c>
      <c r="BS77" s="104">
        <v>285</v>
      </c>
      <c r="BT77" s="104">
        <v>280</v>
      </c>
      <c r="BU77" s="152">
        <v>300</v>
      </c>
      <c r="BV77" s="102">
        <v>330</v>
      </c>
      <c r="BW77" s="104"/>
      <c r="BX77" s="104">
        <v>250</v>
      </c>
      <c r="BY77" s="104">
        <v>295</v>
      </c>
      <c r="BZ77" s="104">
        <v>250</v>
      </c>
      <c r="CA77" s="104">
        <v>450</v>
      </c>
      <c r="CB77" s="104">
        <v>441</v>
      </c>
      <c r="CC77" s="104">
        <v>288</v>
      </c>
      <c r="CD77" s="104">
        <v>284</v>
      </c>
      <c r="CE77" s="152">
        <v>296</v>
      </c>
      <c r="CF77" s="102">
        <v>425</v>
      </c>
      <c r="CG77" s="104">
        <v>475</v>
      </c>
      <c r="CH77" s="104">
        <v>262.5</v>
      </c>
      <c r="CI77" s="104">
        <v>287.5</v>
      </c>
      <c r="CJ77" s="104">
        <v>250</v>
      </c>
      <c r="CK77" s="104">
        <v>450</v>
      </c>
      <c r="CL77" s="104">
        <v>438.75</v>
      </c>
      <c r="CM77" s="104">
        <v>290</v>
      </c>
      <c r="CN77" s="104">
        <v>285</v>
      </c>
      <c r="CO77" s="152">
        <v>290</v>
      </c>
      <c r="CP77" s="102">
        <v>275</v>
      </c>
      <c r="CQ77" s="104">
        <v>360</v>
      </c>
      <c r="CR77" s="104">
        <v>275</v>
      </c>
      <c r="CS77" s="104">
        <v>295</v>
      </c>
      <c r="CT77" s="104">
        <v>255</v>
      </c>
      <c r="CU77" s="104">
        <v>450</v>
      </c>
      <c r="CV77" s="104">
        <v>435</v>
      </c>
      <c r="CW77" s="104">
        <v>300</v>
      </c>
      <c r="CX77" s="104">
        <v>296</v>
      </c>
      <c r="CY77" s="152">
        <v>300</v>
      </c>
      <c r="CZ77" s="102" t="s">
        <v>105</v>
      </c>
      <c r="DA77" s="104">
        <v>387.5</v>
      </c>
      <c r="DB77" s="104">
        <v>300</v>
      </c>
      <c r="DC77" s="104">
        <v>325</v>
      </c>
      <c r="DD77" s="104">
        <v>281.25</v>
      </c>
      <c r="DE77" s="104">
        <v>456.25</v>
      </c>
      <c r="DF77" s="104">
        <v>446.25</v>
      </c>
      <c r="DG77" s="104">
        <v>300</v>
      </c>
      <c r="DH77" s="104">
        <v>300</v>
      </c>
      <c r="DI77" s="152">
        <v>300</v>
      </c>
      <c r="DJ77" s="102" t="s">
        <v>105</v>
      </c>
      <c r="DK77" s="104">
        <v>370</v>
      </c>
      <c r="DL77" s="104">
        <v>275</v>
      </c>
      <c r="DM77" s="104">
        <v>290</v>
      </c>
      <c r="DN77" s="104">
        <v>260</v>
      </c>
      <c r="DO77" s="104">
        <v>450</v>
      </c>
      <c r="DP77" s="104">
        <v>444</v>
      </c>
      <c r="DQ77" s="104">
        <v>300</v>
      </c>
      <c r="DR77" s="104">
        <v>300</v>
      </c>
      <c r="DS77" s="152">
        <v>300</v>
      </c>
      <c r="DT77" s="102" t="s">
        <v>105</v>
      </c>
      <c r="DU77" s="104">
        <v>362.5</v>
      </c>
      <c r="DV77" s="104">
        <v>250</v>
      </c>
      <c r="DW77" s="104">
        <v>287.5</v>
      </c>
      <c r="DX77" s="104">
        <v>250</v>
      </c>
      <c r="DY77" s="104">
        <v>450</v>
      </c>
      <c r="DZ77" s="104">
        <v>446.25</v>
      </c>
      <c r="EA77" s="104">
        <v>300</v>
      </c>
      <c r="EB77" s="104">
        <v>300</v>
      </c>
      <c r="EC77" s="152">
        <v>300</v>
      </c>
    </row>
    <row r="78" spans="1:133" x14ac:dyDescent="0.25">
      <c r="A78" s="95">
        <v>41974</v>
      </c>
      <c r="B78" s="75" t="s">
        <v>105</v>
      </c>
      <c r="C78" s="75">
        <v>363.63636363636363</v>
      </c>
      <c r="D78" s="75">
        <v>246.93181818181819</v>
      </c>
      <c r="E78" s="75">
        <v>250.625</v>
      </c>
      <c r="F78" s="75">
        <v>236.66666666666669</v>
      </c>
      <c r="G78" s="75">
        <v>453.125</v>
      </c>
      <c r="H78" s="75">
        <v>370.45454545454544</v>
      </c>
      <c r="I78" s="75">
        <v>270.22727272727275</v>
      </c>
      <c r="J78" s="75">
        <v>264.70238095238096</v>
      </c>
      <c r="K78" s="75">
        <v>259.9537037037037</v>
      </c>
      <c r="N78" s="102"/>
      <c r="O78" s="153">
        <v>250</v>
      </c>
      <c r="P78" s="153">
        <v>237.5</v>
      </c>
      <c r="Q78" s="153">
        <v>231.25</v>
      </c>
      <c r="R78" s="153">
        <v>218.75</v>
      </c>
      <c r="S78" s="153">
        <v>400</v>
      </c>
      <c r="T78" s="153">
        <v>387.5</v>
      </c>
      <c r="U78" s="153">
        <v>300</v>
      </c>
      <c r="V78" s="153"/>
      <c r="W78" s="154">
        <v>300</v>
      </c>
      <c r="X78" s="102"/>
      <c r="Y78" s="153">
        <v>300</v>
      </c>
      <c r="Z78" s="153">
        <v>231.25</v>
      </c>
      <c r="AA78" s="153">
        <v>225</v>
      </c>
      <c r="AB78" s="153">
        <v>200</v>
      </c>
      <c r="AC78" s="153">
        <v>431.25</v>
      </c>
      <c r="AD78" s="153">
        <v>431.25</v>
      </c>
      <c r="AE78" s="153">
        <v>311.25</v>
      </c>
      <c r="AF78" s="153"/>
      <c r="AG78" s="154">
        <v>300</v>
      </c>
      <c r="AH78" s="102">
        <v>340</v>
      </c>
      <c r="AI78" s="153">
        <v>450</v>
      </c>
      <c r="AJ78" s="153">
        <v>225</v>
      </c>
      <c r="AK78" s="153">
        <v>225</v>
      </c>
      <c r="AL78" s="153">
        <v>200</v>
      </c>
      <c r="AM78" s="153">
        <v>500</v>
      </c>
      <c r="AN78" s="153">
        <v>475</v>
      </c>
      <c r="AO78" s="153">
        <v>305</v>
      </c>
      <c r="AP78" s="153">
        <v>290</v>
      </c>
      <c r="AQ78" s="154">
        <v>292</v>
      </c>
      <c r="AR78" s="102">
        <v>208.33333333333334</v>
      </c>
      <c r="AS78" s="153">
        <v>266.66666666666669</v>
      </c>
      <c r="AT78" s="153">
        <v>225</v>
      </c>
      <c r="AU78" s="153">
        <v>241.66666666666666</v>
      </c>
      <c r="AV78" s="153">
        <v>216.66666666666666</v>
      </c>
      <c r="AW78" s="153"/>
      <c r="AX78" s="153">
        <v>446.66666666666669</v>
      </c>
      <c r="AY78" s="153">
        <v>293.33333333333331</v>
      </c>
      <c r="AZ78" s="153"/>
      <c r="BA78" s="155">
        <v>283.33333333333331</v>
      </c>
      <c r="BB78" s="102">
        <v>175</v>
      </c>
      <c r="BC78" s="104"/>
      <c r="BD78" s="104">
        <v>225</v>
      </c>
      <c r="BE78" s="104">
        <v>237.5</v>
      </c>
      <c r="BF78" s="104">
        <v>225</v>
      </c>
      <c r="BG78" s="104"/>
      <c r="BH78" s="104">
        <v>440</v>
      </c>
      <c r="BI78" s="104">
        <v>282.5</v>
      </c>
      <c r="BJ78" s="104"/>
      <c r="BK78" s="152">
        <v>280</v>
      </c>
      <c r="BL78" s="102">
        <v>175</v>
      </c>
      <c r="BM78" s="104"/>
      <c r="BN78" s="104">
        <v>225</v>
      </c>
      <c r="BO78" s="104">
        <v>231.25</v>
      </c>
      <c r="BP78" s="104">
        <v>206.25</v>
      </c>
      <c r="BQ78" s="104">
        <v>450</v>
      </c>
      <c r="BR78" s="104">
        <v>435</v>
      </c>
      <c r="BS78" s="104">
        <v>283.75</v>
      </c>
      <c r="BT78" s="104"/>
      <c r="BU78" s="152">
        <v>283.75</v>
      </c>
      <c r="BV78" s="102">
        <v>290</v>
      </c>
      <c r="BW78" s="104"/>
      <c r="BX78" s="104">
        <v>230</v>
      </c>
      <c r="BY78" s="104">
        <v>250</v>
      </c>
      <c r="BZ78" s="104">
        <v>226.25</v>
      </c>
      <c r="CA78" s="104"/>
      <c r="CB78" s="104">
        <v>440</v>
      </c>
      <c r="CC78" s="104">
        <v>285</v>
      </c>
      <c r="CD78" s="104"/>
      <c r="CE78" s="152">
        <v>280</v>
      </c>
      <c r="CF78" s="102">
        <v>400</v>
      </c>
      <c r="CG78" s="104">
        <v>433.33333333333331</v>
      </c>
      <c r="CH78" s="104">
        <v>243.75</v>
      </c>
      <c r="CI78" s="104">
        <v>268.75</v>
      </c>
      <c r="CJ78" s="104">
        <v>250</v>
      </c>
      <c r="CK78" s="104"/>
      <c r="CL78" s="104">
        <v>438.75</v>
      </c>
      <c r="CM78" s="104">
        <v>285</v>
      </c>
      <c r="CN78" s="104"/>
      <c r="CO78" s="152">
        <v>280</v>
      </c>
      <c r="CP78" s="102">
        <v>375</v>
      </c>
      <c r="CQ78" s="104">
        <v>370</v>
      </c>
      <c r="CR78" s="104">
        <v>250</v>
      </c>
      <c r="CS78" s="104">
        <v>290</v>
      </c>
      <c r="CT78" s="104">
        <v>250</v>
      </c>
      <c r="CU78" s="104">
        <v>466.66666666666669</v>
      </c>
      <c r="CV78" s="104">
        <v>440</v>
      </c>
      <c r="CW78" s="104">
        <v>285</v>
      </c>
      <c r="CX78" s="104"/>
      <c r="CY78" s="152">
        <v>280</v>
      </c>
      <c r="CZ78" s="102" t="s">
        <v>105</v>
      </c>
      <c r="DA78" s="104">
        <v>362.5</v>
      </c>
      <c r="DB78" s="104">
        <v>250</v>
      </c>
      <c r="DC78" s="104">
        <v>293.75</v>
      </c>
      <c r="DD78" s="104">
        <v>118.75</v>
      </c>
      <c r="DE78" s="104">
        <v>500</v>
      </c>
      <c r="DF78" s="104">
        <v>440</v>
      </c>
      <c r="DG78" s="104">
        <v>285</v>
      </c>
      <c r="DH78" s="104"/>
      <c r="DI78" s="152">
        <v>281.25</v>
      </c>
      <c r="DJ78" s="102" t="s">
        <v>105</v>
      </c>
      <c r="DK78" s="104">
        <v>330</v>
      </c>
      <c r="DL78" s="104">
        <v>250</v>
      </c>
      <c r="DM78" s="104">
        <v>260</v>
      </c>
      <c r="DN78" s="104">
        <v>241.66666666666666</v>
      </c>
      <c r="DO78" s="104">
        <v>500</v>
      </c>
      <c r="DP78" s="104">
        <v>440</v>
      </c>
      <c r="DQ78" s="104">
        <v>285</v>
      </c>
      <c r="DR78" s="104"/>
      <c r="DS78" s="152">
        <v>280</v>
      </c>
      <c r="DT78" s="102" t="s">
        <v>105</v>
      </c>
      <c r="DU78" s="104">
        <v>350</v>
      </c>
      <c r="DV78" s="104">
        <v>250</v>
      </c>
      <c r="DW78" s="104">
        <v>256.25</v>
      </c>
      <c r="DX78" s="104">
        <v>247.5</v>
      </c>
      <c r="DY78" s="104">
        <v>500</v>
      </c>
      <c r="DZ78" s="104">
        <v>445</v>
      </c>
      <c r="EA78" s="104">
        <v>285</v>
      </c>
      <c r="EB78" s="104"/>
      <c r="EC78" s="152">
        <v>280</v>
      </c>
    </row>
    <row r="79" spans="1:133" x14ac:dyDescent="0.25">
      <c r="A79" s="95">
        <v>42005</v>
      </c>
      <c r="B79" s="75" t="s">
        <v>105</v>
      </c>
      <c r="C79" s="75">
        <v>413.63636363636363</v>
      </c>
      <c r="D79" s="75">
        <v>245.30303030303031</v>
      </c>
      <c r="E79" s="75">
        <v>250</v>
      </c>
      <c r="F79" s="75">
        <v>230.45454545454541</v>
      </c>
      <c r="G79" s="75">
        <v>450</v>
      </c>
      <c r="H79" s="75">
        <v>358.33333333333331</v>
      </c>
      <c r="I79" s="75">
        <v>270</v>
      </c>
      <c r="J79" s="75">
        <v>266.42857142857144</v>
      </c>
      <c r="K79" s="75">
        <v>264.07407407407413</v>
      </c>
      <c r="N79" s="102"/>
      <c r="O79" s="153">
        <v>306.25</v>
      </c>
      <c r="P79" s="153">
        <v>200</v>
      </c>
      <c r="Q79" s="153">
        <v>231.25</v>
      </c>
      <c r="R79" s="153">
        <v>250</v>
      </c>
      <c r="S79" s="153"/>
      <c r="T79" s="153">
        <v>400</v>
      </c>
      <c r="U79" s="153">
        <v>318.33333333333331</v>
      </c>
      <c r="V79" s="153">
        <v>307.5</v>
      </c>
      <c r="W79" s="154">
        <v>281.25</v>
      </c>
      <c r="X79" s="102">
        <v>300</v>
      </c>
      <c r="Y79" s="153">
        <v>362.5</v>
      </c>
      <c r="Z79" s="153">
        <v>200</v>
      </c>
      <c r="AA79" s="153">
        <v>250</v>
      </c>
      <c r="AB79" s="153">
        <v>250</v>
      </c>
      <c r="AC79" s="153"/>
      <c r="AD79" s="153">
        <v>443.75</v>
      </c>
      <c r="AE79" s="153">
        <v>318.75</v>
      </c>
      <c r="AF79" s="153">
        <v>310</v>
      </c>
      <c r="AG79" s="154">
        <v>300</v>
      </c>
      <c r="AH79" s="102">
        <v>320</v>
      </c>
      <c r="AI79" s="153">
        <v>430</v>
      </c>
      <c r="AJ79" s="153">
        <v>200</v>
      </c>
      <c r="AK79" s="153">
        <v>250</v>
      </c>
      <c r="AL79" s="153">
        <v>250</v>
      </c>
      <c r="AM79" s="153"/>
      <c r="AN79" s="153">
        <v>516.66666666666663</v>
      </c>
      <c r="AO79" s="153">
        <v>325</v>
      </c>
      <c r="AP79" s="153">
        <v>302</v>
      </c>
      <c r="AQ79" s="154">
        <v>300</v>
      </c>
      <c r="AR79" s="102">
        <v>208.33333333333334</v>
      </c>
      <c r="AS79" s="153">
        <v>300</v>
      </c>
      <c r="AT79" s="153">
        <v>205</v>
      </c>
      <c r="AU79" s="153">
        <v>258.33333333333331</v>
      </c>
      <c r="AV79" s="153">
        <v>250</v>
      </c>
      <c r="AW79" s="153"/>
      <c r="AX79" s="153">
        <v>500</v>
      </c>
      <c r="AY79" s="153">
        <v>305</v>
      </c>
      <c r="AZ79" s="153">
        <v>293.33333333333331</v>
      </c>
      <c r="BA79" s="155">
        <v>300</v>
      </c>
      <c r="BB79" s="102">
        <v>187.5</v>
      </c>
      <c r="BC79" s="104">
        <v>300</v>
      </c>
      <c r="BD79" s="104">
        <v>215</v>
      </c>
      <c r="BE79" s="104">
        <v>275</v>
      </c>
      <c r="BF79" s="104">
        <v>250</v>
      </c>
      <c r="BG79" s="104"/>
      <c r="BH79" s="104">
        <v>475</v>
      </c>
      <c r="BI79" s="104">
        <v>290</v>
      </c>
      <c r="BJ79" s="104">
        <v>290</v>
      </c>
      <c r="BK79" s="152">
        <v>300</v>
      </c>
      <c r="BL79" s="102">
        <v>200</v>
      </c>
      <c r="BM79" s="104"/>
      <c r="BN79" s="104">
        <v>217.5</v>
      </c>
      <c r="BO79" s="104">
        <v>275</v>
      </c>
      <c r="BP79" s="104">
        <v>250</v>
      </c>
      <c r="BQ79" s="104"/>
      <c r="BR79" s="104">
        <v>475</v>
      </c>
      <c r="BS79" s="104">
        <v>290</v>
      </c>
      <c r="BT79" s="104">
        <v>293.33333333333331</v>
      </c>
      <c r="BU79" s="152">
        <v>225</v>
      </c>
      <c r="BV79" s="102">
        <v>335</v>
      </c>
      <c r="BW79" s="104"/>
      <c r="BX79" s="104">
        <v>240</v>
      </c>
      <c r="BY79" s="104">
        <v>275</v>
      </c>
      <c r="BZ79" s="104">
        <v>250</v>
      </c>
      <c r="CA79" s="104"/>
      <c r="CB79" s="104">
        <v>450</v>
      </c>
      <c r="CC79" s="104">
        <v>290</v>
      </c>
      <c r="CD79" s="104"/>
      <c r="CE79" s="152">
        <v>275</v>
      </c>
      <c r="CF79" s="102">
        <v>412.5</v>
      </c>
      <c r="CG79" s="104">
        <v>500</v>
      </c>
      <c r="CH79" s="104">
        <v>250</v>
      </c>
      <c r="CI79" s="104">
        <v>275</v>
      </c>
      <c r="CJ79" s="104">
        <v>250</v>
      </c>
      <c r="CK79" s="104"/>
      <c r="CL79" s="104">
        <v>450</v>
      </c>
      <c r="CM79" s="104">
        <v>297.5</v>
      </c>
      <c r="CN79" s="104">
        <v>290</v>
      </c>
      <c r="CO79" s="152">
        <v>275</v>
      </c>
      <c r="CP79" s="102">
        <v>270</v>
      </c>
      <c r="CQ79" s="104">
        <v>380</v>
      </c>
      <c r="CR79" s="104">
        <v>250</v>
      </c>
      <c r="CS79" s="104">
        <v>275</v>
      </c>
      <c r="CT79" s="104">
        <v>265</v>
      </c>
      <c r="CU79" s="104"/>
      <c r="CV79" s="104">
        <v>450</v>
      </c>
      <c r="CW79" s="104">
        <v>296</v>
      </c>
      <c r="CX79" s="104">
        <v>290</v>
      </c>
      <c r="CY79" s="152">
        <v>275</v>
      </c>
      <c r="CZ79" s="102" t="s">
        <v>105</v>
      </c>
      <c r="DA79" s="104">
        <v>387.5</v>
      </c>
      <c r="DB79" s="104">
        <v>218.75</v>
      </c>
      <c r="DC79" s="104">
        <v>200</v>
      </c>
      <c r="DD79" s="104">
        <v>225</v>
      </c>
      <c r="DE79" s="104">
        <v>500</v>
      </c>
      <c r="DF79" s="104">
        <v>450</v>
      </c>
      <c r="DG79" s="104">
        <v>300</v>
      </c>
      <c r="DH79" s="104">
        <v>290</v>
      </c>
      <c r="DI79" s="152">
        <v>275</v>
      </c>
      <c r="DJ79" s="102" t="s">
        <v>105</v>
      </c>
      <c r="DK79" s="104">
        <v>360</v>
      </c>
      <c r="DL79" s="104">
        <v>215</v>
      </c>
      <c r="DM79" s="104">
        <v>225</v>
      </c>
      <c r="DN79" s="104">
        <v>250</v>
      </c>
      <c r="DO79" s="104"/>
      <c r="DP79" s="104">
        <v>450</v>
      </c>
      <c r="DQ79" s="104">
        <v>300</v>
      </c>
      <c r="DR79" s="104">
        <v>290</v>
      </c>
      <c r="DS79" s="152">
        <v>275</v>
      </c>
      <c r="DT79" s="102" t="s">
        <v>105</v>
      </c>
      <c r="DU79" s="104">
        <v>387.5</v>
      </c>
      <c r="DV79" s="104">
        <v>225</v>
      </c>
      <c r="DW79" s="104">
        <v>200</v>
      </c>
      <c r="DX79" s="104">
        <v>231.25</v>
      </c>
      <c r="DY79" s="104"/>
      <c r="DZ79" s="104">
        <v>450</v>
      </c>
      <c r="EA79" s="104">
        <v>300</v>
      </c>
      <c r="EB79" s="104">
        <v>290</v>
      </c>
      <c r="EC79" s="152">
        <v>275</v>
      </c>
    </row>
    <row r="80" spans="1:133" x14ac:dyDescent="0.25">
      <c r="A80" s="95">
        <v>42036</v>
      </c>
      <c r="B80" s="75">
        <v>323.83333333333331</v>
      </c>
      <c r="C80" s="75">
        <v>417.27272727272725</v>
      </c>
      <c r="D80" s="75">
        <v>244.90909090909091</v>
      </c>
      <c r="E80" s="75">
        <v>244</v>
      </c>
      <c r="F80" s="75">
        <v>234.1</v>
      </c>
      <c r="G80" s="75">
        <v>447.5</v>
      </c>
      <c r="H80" s="75">
        <v>356.36363636363637</v>
      </c>
      <c r="I80" s="75">
        <v>272.45454545454544</v>
      </c>
      <c r="J80" s="75">
        <v>268.07142857142856</v>
      </c>
      <c r="K80" s="75">
        <v>248.46818181818182</v>
      </c>
      <c r="N80" s="102"/>
      <c r="O80" s="153">
        <v>300</v>
      </c>
      <c r="P80" s="153">
        <v>232.5</v>
      </c>
      <c r="Q80" s="153">
        <v>225</v>
      </c>
      <c r="R80" s="153">
        <v>225</v>
      </c>
      <c r="S80" s="153"/>
      <c r="T80" s="153">
        <v>381.25</v>
      </c>
      <c r="U80" s="153">
        <v>300</v>
      </c>
      <c r="V80" s="153"/>
      <c r="W80" s="154">
        <v>275</v>
      </c>
      <c r="X80" s="102"/>
      <c r="Y80" s="153">
        <v>337.5</v>
      </c>
      <c r="Z80" s="153">
        <v>235</v>
      </c>
      <c r="AA80" s="153"/>
      <c r="AB80" s="153"/>
      <c r="AC80" s="153"/>
      <c r="AD80" s="153">
        <v>450</v>
      </c>
      <c r="AE80" s="153">
        <v>312.5</v>
      </c>
      <c r="AF80" s="153"/>
      <c r="AG80" s="154">
        <v>275</v>
      </c>
      <c r="AH80" s="102">
        <v>330</v>
      </c>
      <c r="AI80" s="153">
        <v>412.5</v>
      </c>
      <c r="AJ80" s="153">
        <v>231</v>
      </c>
      <c r="AK80" s="153"/>
      <c r="AL80" s="153"/>
      <c r="AM80" s="153"/>
      <c r="AN80" s="153"/>
      <c r="AO80" s="153">
        <v>300</v>
      </c>
      <c r="AP80" s="153"/>
      <c r="AQ80" s="154">
        <v>275</v>
      </c>
      <c r="AR80" s="102">
        <v>200</v>
      </c>
      <c r="AS80" s="153">
        <v>266.66666666666669</v>
      </c>
      <c r="AT80" s="153">
        <v>226.66666666666666</v>
      </c>
      <c r="AU80" s="153">
        <v>230</v>
      </c>
      <c r="AV80" s="153"/>
      <c r="AW80" s="153"/>
      <c r="AX80" s="153"/>
      <c r="AY80" s="153">
        <v>300</v>
      </c>
      <c r="AZ80" s="153"/>
      <c r="BA80" s="155">
        <v>287.5</v>
      </c>
      <c r="BB80" s="102">
        <v>200</v>
      </c>
      <c r="BC80" s="104">
        <v>250</v>
      </c>
      <c r="BD80" s="104">
        <v>230</v>
      </c>
      <c r="BE80" s="104"/>
      <c r="BF80" s="104"/>
      <c r="BG80" s="104"/>
      <c r="BH80" s="104"/>
      <c r="BI80" s="104">
        <v>290</v>
      </c>
      <c r="BJ80" s="104"/>
      <c r="BK80" s="152">
        <v>285</v>
      </c>
      <c r="BL80" s="102">
        <v>212.5</v>
      </c>
      <c r="BM80" s="104"/>
      <c r="BN80" s="104">
        <v>236.25</v>
      </c>
      <c r="BO80" s="104">
        <v>230</v>
      </c>
      <c r="BP80" s="104">
        <v>250</v>
      </c>
      <c r="BQ80" s="104"/>
      <c r="BR80" s="104">
        <v>450</v>
      </c>
      <c r="BS80" s="104">
        <v>290</v>
      </c>
      <c r="BT80" s="104"/>
      <c r="BU80" s="152">
        <v>217.5</v>
      </c>
      <c r="BV80" s="102">
        <v>285</v>
      </c>
      <c r="BW80" s="104"/>
      <c r="BX80" s="104">
        <v>250</v>
      </c>
      <c r="BY80" s="104">
        <v>230</v>
      </c>
      <c r="BZ80" s="104"/>
      <c r="CA80" s="104"/>
      <c r="CB80" s="104">
        <v>450</v>
      </c>
      <c r="CC80" s="104">
        <v>290</v>
      </c>
      <c r="CD80" s="104"/>
      <c r="CE80" s="152">
        <v>288</v>
      </c>
      <c r="CF80" s="102">
        <v>337.5</v>
      </c>
      <c r="CG80" s="104">
        <v>450</v>
      </c>
      <c r="CH80" s="104">
        <v>262.5</v>
      </c>
      <c r="CI80" s="104">
        <v>243.75</v>
      </c>
      <c r="CJ80" s="104"/>
      <c r="CK80" s="104"/>
      <c r="CL80" s="104">
        <v>450</v>
      </c>
      <c r="CM80" s="104">
        <v>292.5</v>
      </c>
      <c r="CN80" s="104"/>
      <c r="CO80" s="152">
        <v>262.5</v>
      </c>
      <c r="CP80" s="102">
        <v>283.33333333333331</v>
      </c>
      <c r="CQ80" s="104">
        <v>385</v>
      </c>
      <c r="CR80" s="104">
        <v>336.25</v>
      </c>
      <c r="CS80" s="104">
        <v>217</v>
      </c>
      <c r="CT80" s="104">
        <v>275</v>
      </c>
      <c r="CU80" s="104"/>
      <c r="CV80" s="104">
        <v>451</v>
      </c>
      <c r="CW80" s="104">
        <v>298</v>
      </c>
      <c r="CX80" s="104"/>
      <c r="CY80" s="152">
        <v>265</v>
      </c>
      <c r="CZ80" s="102" t="s">
        <v>105</v>
      </c>
      <c r="DA80" s="104">
        <v>375</v>
      </c>
      <c r="DB80" s="104">
        <v>268.75</v>
      </c>
      <c r="DC80" s="104"/>
      <c r="DD80" s="104">
        <v>250</v>
      </c>
      <c r="DE80" s="104"/>
      <c r="DF80" s="104">
        <v>450</v>
      </c>
      <c r="DG80" s="104">
        <v>300</v>
      </c>
      <c r="DH80" s="104"/>
      <c r="DI80" s="152">
        <v>283.33333333333331</v>
      </c>
      <c r="DJ80" s="102" t="s">
        <v>105</v>
      </c>
      <c r="DK80" s="104">
        <v>360</v>
      </c>
      <c r="DL80" s="104">
        <v>265</v>
      </c>
      <c r="DM80" s="104"/>
      <c r="DN80" s="104">
        <v>240</v>
      </c>
      <c r="DO80" s="104"/>
      <c r="DP80" s="104">
        <v>452</v>
      </c>
      <c r="DQ80" s="104">
        <v>300</v>
      </c>
      <c r="DR80" s="104"/>
      <c r="DS80" s="152">
        <v>275</v>
      </c>
      <c r="DT80" s="102" t="s">
        <v>105</v>
      </c>
      <c r="DU80" s="104">
        <v>350</v>
      </c>
      <c r="DV80" s="104">
        <v>240</v>
      </c>
      <c r="DW80" s="104"/>
      <c r="DX80" s="104">
        <v>226.25</v>
      </c>
      <c r="DY80" s="104"/>
      <c r="DZ80" s="104">
        <v>440</v>
      </c>
      <c r="EA80" s="104">
        <v>300</v>
      </c>
      <c r="EB80" s="104"/>
      <c r="EC80" s="152">
        <v>275</v>
      </c>
    </row>
    <row r="81" spans="1:133" x14ac:dyDescent="0.25">
      <c r="A81" s="95">
        <v>42064</v>
      </c>
      <c r="B81" s="75">
        <v>338.63636363636363</v>
      </c>
      <c r="C81" s="75">
        <v>485.71428571428572</v>
      </c>
      <c r="D81" s="75">
        <v>245.90909090909091</v>
      </c>
      <c r="E81" s="75">
        <v>250</v>
      </c>
      <c r="F81" s="75">
        <v>233.33333333333334</v>
      </c>
      <c r="G81" s="75">
        <v>450</v>
      </c>
      <c r="H81" s="75">
        <v>368.18181818181819</v>
      </c>
      <c r="I81" s="75">
        <v>273.18181818181819</v>
      </c>
      <c r="J81" s="75">
        <v>270.71428571428572</v>
      </c>
      <c r="K81" s="75">
        <v>271.38888888888891</v>
      </c>
      <c r="N81" s="102"/>
      <c r="O81" s="153">
        <v>312.5</v>
      </c>
      <c r="P81" s="153">
        <v>262.5</v>
      </c>
      <c r="Q81" s="153">
        <v>293.75</v>
      </c>
      <c r="R81" s="153">
        <v>243.75</v>
      </c>
      <c r="S81" s="153"/>
      <c r="T81" s="153">
        <v>400</v>
      </c>
      <c r="U81" s="153">
        <v>300</v>
      </c>
      <c r="V81" s="153"/>
      <c r="W81" s="154">
        <v>300</v>
      </c>
      <c r="X81" s="102">
        <v>266.66666666666669</v>
      </c>
      <c r="Y81" s="153">
        <v>337.5</v>
      </c>
      <c r="Z81" s="153">
        <v>250</v>
      </c>
      <c r="AA81" s="153">
        <v>300</v>
      </c>
      <c r="AB81" s="153">
        <v>231.25</v>
      </c>
      <c r="AC81" s="153"/>
      <c r="AD81" s="153">
        <v>400</v>
      </c>
      <c r="AE81" s="153">
        <v>300</v>
      </c>
      <c r="AF81" s="153"/>
      <c r="AG81" s="154">
        <v>300</v>
      </c>
      <c r="AH81" s="102">
        <v>300</v>
      </c>
      <c r="AI81" s="153">
        <v>440</v>
      </c>
      <c r="AJ81" s="153">
        <v>250</v>
      </c>
      <c r="AK81" s="153">
        <v>275</v>
      </c>
      <c r="AL81" s="153">
        <v>219</v>
      </c>
      <c r="AM81" s="153"/>
      <c r="AN81" s="153">
        <v>500</v>
      </c>
      <c r="AO81" s="153">
        <v>330</v>
      </c>
      <c r="AP81" s="153"/>
      <c r="AQ81" s="154">
        <v>300</v>
      </c>
      <c r="AR81" s="102">
        <v>250</v>
      </c>
      <c r="AS81" s="153">
        <v>400</v>
      </c>
      <c r="AT81" s="153">
        <v>266.66666666666669</v>
      </c>
      <c r="AU81" s="153">
        <v>266.66666666666669</v>
      </c>
      <c r="AV81" s="153">
        <v>225</v>
      </c>
      <c r="AW81" s="153"/>
      <c r="AX81" s="153"/>
      <c r="AY81" s="153">
        <v>300</v>
      </c>
      <c r="AZ81" s="153"/>
      <c r="BA81" s="155">
        <v>300</v>
      </c>
      <c r="BB81" s="102">
        <v>200</v>
      </c>
      <c r="BC81" s="104">
        <v>400</v>
      </c>
      <c r="BD81" s="104">
        <v>250</v>
      </c>
      <c r="BE81" s="104">
        <v>275</v>
      </c>
      <c r="BF81" s="104">
        <v>225</v>
      </c>
      <c r="BG81" s="104"/>
      <c r="BH81" s="104">
        <v>450</v>
      </c>
      <c r="BI81" s="104">
        <v>300</v>
      </c>
      <c r="BJ81" s="104"/>
      <c r="BK81" s="152">
        <v>300</v>
      </c>
      <c r="BL81" s="102">
        <v>206.25</v>
      </c>
      <c r="BM81" s="104"/>
      <c r="BN81" s="104">
        <v>250</v>
      </c>
      <c r="BO81" s="104">
        <v>300</v>
      </c>
      <c r="BP81" s="104">
        <v>225</v>
      </c>
      <c r="BQ81" s="104"/>
      <c r="BR81" s="104">
        <v>450</v>
      </c>
      <c r="BS81" s="104">
        <v>300</v>
      </c>
      <c r="BT81" s="104"/>
      <c r="BU81" s="152">
        <v>325</v>
      </c>
      <c r="BV81" s="102">
        <v>285</v>
      </c>
      <c r="BW81" s="104"/>
      <c r="BX81" s="104">
        <v>255</v>
      </c>
      <c r="BY81" s="104">
        <v>310</v>
      </c>
      <c r="BZ81" s="104">
        <v>230</v>
      </c>
      <c r="CA81" s="104"/>
      <c r="CB81" s="104">
        <v>450</v>
      </c>
      <c r="CC81" s="104">
        <v>300</v>
      </c>
      <c r="CD81" s="104"/>
      <c r="CE81" s="152">
        <v>325</v>
      </c>
      <c r="CF81" s="102">
        <v>400</v>
      </c>
      <c r="CG81" s="104">
        <v>500</v>
      </c>
      <c r="CH81" s="104">
        <v>337.5</v>
      </c>
      <c r="CI81" s="104">
        <v>387.5</v>
      </c>
      <c r="CJ81" s="104">
        <v>250</v>
      </c>
      <c r="CK81" s="104"/>
      <c r="CL81" s="104">
        <v>437.5</v>
      </c>
      <c r="CM81" s="104">
        <v>300</v>
      </c>
      <c r="CN81" s="104"/>
      <c r="CO81" s="152">
        <v>300</v>
      </c>
      <c r="CP81" s="102">
        <v>270</v>
      </c>
      <c r="CQ81" s="104">
        <v>310</v>
      </c>
      <c r="CR81" s="104">
        <v>320</v>
      </c>
      <c r="CS81" s="104">
        <v>400</v>
      </c>
      <c r="CT81" s="104">
        <v>275</v>
      </c>
      <c r="CU81" s="104"/>
      <c r="CV81" s="104">
        <v>450</v>
      </c>
      <c r="CW81" s="104">
        <v>292</v>
      </c>
      <c r="CX81" s="104"/>
      <c r="CY81" s="152">
        <v>260</v>
      </c>
      <c r="CZ81" s="102" t="s">
        <v>105</v>
      </c>
      <c r="DA81" s="104">
        <v>383.33333333333331</v>
      </c>
      <c r="DB81" s="104">
        <v>300</v>
      </c>
      <c r="DC81" s="104">
        <v>368.75</v>
      </c>
      <c r="DD81" s="104">
        <v>275</v>
      </c>
      <c r="DE81" s="104"/>
      <c r="DF81" s="104">
        <v>450</v>
      </c>
      <c r="DG81" s="104">
        <v>292.5</v>
      </c>
      <c r="DH81" s="104"/>
      <c r="DI81" s="152">
        <v>281.25</v>
      </c>
      <c r="DJ81" s="102" t="s">
        <v>105</v>
      </c>
      <c r="DK81" s="104">
        <v>380</v>
      </c>
      <c r="DL81" s="104">
        <v>300</v>
      </c>
      <c r="DM81" s="104">
        <v>390</v>
      </c>
      <c r="DN81" s="104">
        <v>257</v>
      </c>
      <c r="DO81" s="104"/>
      <c r="DP81" s="104">
        <v>450</v>
      </c>
      <c r="DQ81" s="104">
        <v>300</v>
      </c>
      <c r="DR81" s="104"/>
      <c r="DS81" s="152">
        <v>270</v>
      </c>
      <c r="DT81" s="102" t="s">
        <v>105</v>
      </c>
      <c r="DU81" s="104">
        <v>337.5</v>
      </c>
      <c r="DV81" s="104">
        <v>250</v>
      </c>
      <c r="DW81" s="104">
        <v>337.5</v>
      </c>
      <c r="DX81" s="104">
        <v>237.5</v>
      </c>
      <c r="DY81" s="104"/>
      <c r="DZ81" s="104">
        <v>450</v>
      </c>
      <c r="EA81" s="104">
        <v>300</v>
      </c>
      <c r="EB81" s="104"/>
      <c r="EC81" s="152">
        <v>300</v>
      </c>
    </row>
    <row r="82" spans="1:133" x14ac:dyDescent="0.25">
      <c r="A82" s="95">
        <v>42095</v>
      </c>
      <c r="B82" s="75">
        <v>259.09090909090907</v>
      </c>
      <c r="C82" s="75">
        <v>400</v>
      </c>
      <c r="D82" s="75">
        <v>250.22727272727272</v>
      </c>
      <c r="E82" s="75">
        <v>250</v>
      </c>
      <c r="F82" s="75">
        <v>235.5</v>
      </c>
      <c r="G82" s="75">
        <v>462.5</v>
      </c>
      <c r="H82" s="75">
        <v>371.59090909090907</v>
      </c>
      <c r="I82" s="75">
        <v>273.40909090909093</v>
      </c>
      <c r="J82" s="75">
        <v>271.96428571428572</v>
      </c>
      <c r="K82" s="75">
        <v>270.18518518518516</v>
      </c>
      <c r="N82" s="102"/>
      <c r="O82" s="153">
        <v>300</v>
      </c>
      <c r="P82" s="153">
        <v>250</v>
      </c>
      <c r="Q82" s="153">
        <v>250</v>
      </c>
      <c r="R82" s="153"/>
      <c r="S82" s="153"/>
      <c r="T82" s="153">
        <v>425</v>
      </c>
      <c r="U82" s="153">
        <v>325</v>
      </c>
      <c r="V82" s="153">
        <v>325</v>
      </c>
      <c r="W82" s="154">
        <v>300</v>
      </c>
      <c r="X82" s="102">
        <v>300</v>
      </c>
      <c r="Y82" s="153">
        <v>350</v>
      </c>
      <c r="Z82" s="153">
        <v>256.25</v>
      </c>
      <c r="AA82" s="153">
        <v>256.25</v>
      </c>
      <c r="AB82" s="153"/>
      <c r="AC82" s="153">
        <v>450</v>
      </c>
      <c r="AD82" s="153">
        <v>450</v>
      </c>
      <c r="AE82" s="153">
        <v>325</v>
      </c>
      <c r="AF82" s="153">
        <v>318.75</v>
      </c>
      <c r="AG82" s="154">
        <v>312.5</v>
      </c>
      <c r="AH82" s="102">
        <v>300</v>
      </c>
      <c r="AI82" s="153">
        <v>380</v>
      </c>
      <c r="AJ82" s="153">
        <v>275</v>
      </c>
      <c r="AK82" s="153">
        <v>275</v>
      </c>
      <c r="AL82" s="153">
        <v>275</v>
      </c>
      <c r="AM82" s="153"/>
      <c r="AN82" s="153">
        <v>460</v>
      </c>
      <c r="AO82" s="153">
        <v>325</v>
      </c>
      <c r="AP82" s="153">
        <v>325</v>
      </c>
      <c r="AQ82" s="154">
        <v>310</v>
      </c>
      <c r="AR82" s="102">
        <v>233.33333333333334</v>
      </c>
      <c r="AS82" s="153">
        <v>350</v>
      </c>
      <c r="AT82" s="153">
        <v>275</v>
      </c>
      <c r="AU82" s="153">
        <v>275</v>
      </c>
      <c r="AV82" s="153"/>
      <c r="AW82" s="153"/>
      <c r="AX82" s="153">
        <v>483.33333333333331</v>
      </c>
      <c r="AY82" s="153">
        <v>337.5</v>
      </c>
      <c r="AZ82" s="153">
        <v>312.5</v>
      </c>
      <c r="BA82" s="155">
        <v>291.66666666666669</v>
      </c>
      <c r="BB82" s="102">
        <v>250</v>
      </c>
      <c r="BC82" s="104">
        <v>300</v>
      </c>
      <c r="BD82" s="104">
        <v>275</v>
      </c>
      <c r="BE82" s="104">
        <v>275</v>
      </c>
      <c r="BF82" s="104">
        <v>275</v>
      </c>
      <c r="BG82" s="104"/>
      <c r="BH82" s="104">
        <v>450</v>
      </c>
      <c r="BI82" s="104"/>
      <c r="BJ82" s="104">
        <v>300</v>
      </c>
      <c r="BK82" s="152">
        <v>300</v>
      </c>
      <c r="BL82" s="102">
        <v>225</v>
      </c>
      <c r="BM82" s="104"/>
      <c r="BN82" s="104">
        <v>275</v>
      </c>
      <c r="BO82" s="104">
        <v>275</v>
      </c>
      <c r="BP82" s="104">
        <v>275</v>
      </c>
      <c r="BQ82" s="104"/>
      <c r="BR82" s="104">
        <v>450</v>
      </c>
      <c r="BS82" s="104">
        <v>300</v>
      </c>
      <c r="BT82" s="104">
        <v>300</v>
      </c>
      <c r="BU82" s="152">
        <v>300</v>
      </c>
      <c r="BV82" s="102">
        <v>340</v>
      </c>
      <c r="BW82" s="104"/>
      <c r="BX82" s="104">
        <v>285</v>
      </c>
      <c r="BY82" s="104">
        <v>290</v>
      </c>
      <c r="BZ82" s="104">
        <v>275</v>
      </c>
      <c r="CA82" s="104">
        <v>450</v>
      </c>
      <c r="CB82" s="104">
        <v>450</v>
      </c>
      <c r="CC82" s="104">
        <v>300</v>
      </c>
      <c r="CD82" s="104">
        <v>300</v>
      </c>
      <c r="CE82" s="152">
        <v>300</v>
      </c>
      <c r="CF82" s="102">
        <v>475</v>
      </c>
      <c r="CG82" s="104">
        <v>566.66666666666663</v>
      </c>
      <c r="CH82" s="104">
        <v>293.75</v>
      </c>
      <c r="CI82" s="104">
        <v>300</v>
      </c>
      <c r="CJ82" s="104"/>
      <c r="CK82" s="104"/>
      <c r="CL82" s="104">
        <v>450</v>
      </c>
      <c r="CM82" s="104">
        <v>300</v>
      </c>
      <c r="CN82" s="104">
        <v>300</v>
      </c>
      <c r="CO82" s="152">
        <v>300</v>
      </c>
      <c r="CP82" s="102">
        <v>366.66666666666669</v>
      </c>
      <c r="CQ82" s="104">
        <v>430</v>
      </c>
      <c r="CR82" s="104">
        <v>300</v>
      </c>
      <c r="CS82" s="104">
        <v>300</v>
      </c>
      <c r="CT82" s="104">
        <v>287.5</v>
      </c>
      <c r="CU82" s="104"/>
      <c r="CV82" s="104">
        <v>450</v>
      </c>
      <c r="CW82" s="104">
        <v>300</v>
      </c>
      <c r="CX82" s="104"/>
      <c r="CY82" s="152">
        <v>300</v>
      </c>
      <c r="CZ82" s="102" t="s">
        <v>105</v>
      </c>
      <c r="DA82" s="104">
        <v>400</v>
      </c>
      <c r="DB82" s="104">
        <v>300</v>
      </c>
      <c r="DC82" s="104">
        <v>300</v>
      </c>
      <c r="DD82" s="104">
        <v>225</v>
      </c>
      <c r="DE82" s="104"/>
      <c r="DF82" s="104">
        <v>450</v>
      </c>
      <c r="DG82" s="104">
        <v>300</v>
      </c>
      <c r="DH82" s="104">
        <v>300</v>
      </c>
      <c r="DI82" s="152">
        <v>300</v>
      </c>
      <c r="DJ82" s="102" t="s">
        <v>105</v>
      </c>
      <c r="DK82" s="104">
        <v>400</v>
      </c>
      <c r="DL82" s="104">
        <v>300</v>
      </c>
      <c r="DM82" s="104">
        <v>300</v>
      </c>
      <c r="DN82" s="104"/>
      <c r="DO82" s="104"/>
      <c r="DP82" s="104">
        <v>450</v>
      </c>
      <c r="DQ82" s="104">
        <v>300</v>
      </c>
      <c r="DR82" s="104">
        <v>300</v>
      </c>
      <c r="DS82" s="152">
        <v>295</v>
      </c>
      <c r="DT82" s="102" t="s">
        <v>105</v>
      </c>
      <c r="DU82" s="104">
        <v>400</v>
      </c>
      <c r="DV82" s="104">
        <v>250</v>
      </c>
      <c r="DW82" s="104">
        <v>250</v>
      </c>
      <c r="DX82" s="104"/>
      <c r="DY82" s="104"/>
      <c r="DZ82" s="104">
        <v>450</v>
      </c>
      <c r="EA82" s="104">
        <v>300</v>
      </c>
      <c r="EB82" s="104">
        <v>296.66666666666669</v>
      </c>
      <c r="EC82" s="152">
        <v>291.66666666666669</v>
      </c>
    </row>
    <row r="83" spans="1:133" x14ac:dyDescent="0.25">
      <c r="A83" s="95">
        <v>42125</v>
      </c>
      <c r="B83" s="75">
        <v>219.25</v>
      </c>
      <c r="C83" s="75"/>
      <c r="D83" s="75">
        <v>250.68181818181819</v>
      </c>
      <c r="E83" s="75">
        <v>255</v>
      </c>
      <c r="F83" s="75">
        <v>235</v>
      </c>
      <c r="G83" s="75">
        <v>475</v>
      </c>
      <c r="H83" s="75">
        <v>372.15909090909093</v>
      </c>
      <c r="I83" s="75">
        <v>273.63636363636363</v>
      </c>
      <c r="J83" s="75">
        <v>272.08333333333331</v>
      </c>
      <c r="K83" s="75">
        <v>273.45833333333331</v>
      </c>
      <c r="N83" s="102"/>
      <c r="O83" s="153">
        <v>300</v>
      </c>
      <c r="P83" s="153">
        <v>200</v>
      </c>
      <c r="Q83" s="153">
        <v>225</v>
      </c>
      <c r="R83" s="153">
        <v>250</v>
      </c>
      <c r="S83" s="153"/>
      <c r="T83" s="153">
        <v>387.5</v>
      </c>
      <c r="U83" s="153">
        <v>300</v>
      </c>
      <c r="V83" s="153">
        <v>300</v>
      </c>
      <c r="W83" s="154">
        <v>275</v>
      </c>
      <c r="X83" s="102">
        <v>300</v>
      </c>
      <c r="Y83" s="153">
        <v>362.5</v>
      </c>
      <c r="Z83" s="153">
        <v>200</v>
      </c>
      <c r="AA83" s="153">
        <v>218.75</v>
      </c>
      <c r="AB83" s="153">
        <v>250</v>
      </c>
      <c r="AC83" s="153"/>
      <c r="AD83" s="153">
        <v>418.75</v>
      </c>
      <c r="AE83" s="153">
        <v>300</v>
      </c>
      <c r="AF83" s="153">
        <v>300</v>
      </c>
      <c r="AG83" s="154">
        <v>275</v>
      </c>
      <c r="AH83" s="102">
        <v>390</v>
      </c>
      <c r="AI83" s="153">
        <v>520</v>
      </c>
      <c r="AJ83" s="153">
        <v>200</v>
      </c>
      <c r="AK83" s="153">
        <v>225</v>
      </c>
      <c r="AL83" s="153"/>
      <c r="AM83" s="153"/>
      <c r="AN83" s="153">
        <v>490</v>
      </c>
      <c r="AO83" s="153">
        <v>300</v>
      </c>
      <c r="AP83" s="153">
        <v>300</v>
      </c>
      <c r="AQ83" s="154">
        <v>280</v>
      </c>
      <c r="AR83" s="102">
        <v>266.66666666666669</v>
      </c>
      <c r="AS83" s="153">
        <v>366.66666666666669</v>
      </c>
      <c r="AT83" s="153">
        <v>208.33333333333334</v>
      </c>
      <c r="AU83" s="153">
        <v>233.33333333333334</v>
      </c>
      <c r="AV83" s="153"/>
      <c r="AW83" s="153"/>
      <c r="AX83" s="153">
        <v>458.33333333333331</v>
      </c>
      <c r="AY83" s="153">
        <v>288.33333333333331</v>
      </c>
      <c r="AZ83" s="153">
        <v>290</v>
      </c>
      <c r="BA83" s="155">
        <v>275</v>
      </c>
      <c r="BB83" s="102">
        <v>275</v>
      </c>
      <c r="BC83" s="104">
        <v>325</v>
      </c>
      <c r="BD83" s="104">
        <v>225</v>
      </c>
      <c r="BE83" s="104">
        <v>250</v>
      </c>
      <c r="BF83" s="104"/>
      <c r="BG83" s="104"/>
      <c r="BH83" s="104">
        <v>440</v>
      </c>
      <c r="BI83" s="104">
        <v>290</v>
      </c>
      <c r="BJ83" s="104">
        <v>290</v>
      </c>
      <c r="BK83" s="152">
        <v>277.5</v>
      </c>
      <c r="BL83" s="102">
        <v>250</v>
      </c>
      <c r="BM83" s="104"/>
      <c r="BN83" s="104">
        <v>225</v>
      </c>
      <c r="BO83" s="104">
        <v>250</v>
      </c>
      <c r="BP83" s="104"/>
      <c r="BQ83" s="104"/>
      <c r="BR83" s="104">
        <v>440</v>
      </c>
      <c r="BS83" s="104">
        <v>290</v>
      </c>
      <c r="BT83" s="104">
        <v>290</v>
      </c>
      <c r="BU83" s="152">
        <v>283.75</v>
      </c>
      <c r="BV83" s="102">
        <v>370</v>
      </c>
      <c r="BW83" s="104"/>
      <c r="BX83" s="104">
        <v>245</v>
      </c>
      <c r="BY83" s="104">
        <v>250</v>
      </c>
      <c r="BZ83" s="104"/>
      <c r="CA83" s="104"/>
      <c r="CB83" s="104">
        <v>442</v>
      </c>
      <c r="CC83" s="104">
        <v>290</v>
      </c>
      <c r="CD83" s="104">
        <v>286.25</v>
      </c>
      <c r="CE83" s="152">
        <v>285</v>
      </c>
      <c r="CF83" s="102">
        <v>487.5</v>
      </c>
      <c r="CG83" s="104">
        <v>500</v>
      </c>
      <c r="CH83" s="104">
        <v>243.75</v>
      </c>
      <c r="CI83" s="104">
        <v>250</v>
      </c>
      <c r="CJ83" s="104">
        <v>230</v>
      </c>
      <c r="CK83" s="104"/>
      <c r="CL83" s="104">
        <v>450</v>
      </c>
      <c r="CM83" s="104">
        <v>290</v>
      </c>
      <c r="CN83" s="104">
        <v>290</v>
      </c>
      <c r="CO83" s="152"/>
      <c r="CP83" s="102">
        <v>350</v>
      </c>
      <c r="CQ83" s="104">
        <v>420</v>
      </c>
      <c r="CR83" s="104">
        <v>245</v>
      </c>
      <c r="CS83" s="104">
        <v>260</v>
      </c>
      <c r="CT83" s="104">
        <v>275</v>
      </c>
      <c r="CU83" s="104"/>
      <c r="CV83" s="104">
        <v>450</v>
      </c>
      <c r="CW83" s="104">
        <v>290</v>
      </c>
      <c r="CX83" s="104">
        <v>290</v>
      </c>
      <c r="CY83" s="152"/>
      <c r="CZ83" s="102" t="s">
        <v>105</v>
      </c>
      <c r="DA83" s="104">
        <v>425</v>
      </c>
      <c r="DB83" s="104">
        <v>237.5</v>
      </c>
      <c r="DC83" s="104">
        <v>250</v>
      </c>
      <c r="DD83" s="104">
        <v>275</v>
      </c>
      <c r="DE83" s="104"/>
      <c r="DF83" s="104">
        <v>450</v>
      </c>
      <c r="DG83" s="104">
        <v>292.5</v>
      </c>
      <c r="DH83" s="104">
        <v>220</v>
      </c>
      <c r="DI83" s="152"/>
      <c r="DJ83" s="102" t="s">
        <v>105</v>
      </c>
      <c r="DK83" s="104">
        <v>410</v>
      </c>
      <c r="DL83" s="104">
        <v>220</v>
      </c>
      <c r="DM83" s="104">
        <v>250</v>
      </c>
      <c r="DN83" s="104">
        <v>250</v>
      </c>
      <c r="DO83" s="104"/>
      <c r="DP83" s="104">
        <v>450</v>
      </c>
      <c r="DQ83" s="104">
        <v>290</v>
      </c>
      <c r="DR83" s="104">
        <v>290</v>
      </c>
      <c r="DS83" s="152"/>
      <c r="DT83" s="102" t="s">
        <v>105</v>
      </c>
      <c r="DU83" s="104">
        <v>412.5</v>
      </c>
      <c r="DV83" s="104">
        <v>225</v>
      </c>
      <c r="DW83" s="104">
        <v>231.25</v>
      </c>
      <c r="DX83" s="104">
        <v>243.75</v>
      </c>
      <c r="DY83" s="104"/>
      <c r="DZ83" s="104">
        <v>450</v>
      </c>
      <c r="EA83" s="104">
        <v>290</v>
      </c>
      <c r="EB83" s="104">
        <v>290</v>
      </c>
      <c r="EC83" s="152"/>
    </row>
    <row r="84" spans="1:133" x14ac:dyDescent="0.25">
      <c r="A84" s="95">
        <v>42156</v>
      </c>
      <c r="B84" s="75">
        <v>239.70454545454547</v>
      </c>
      <c r="C84" s="75"/>
      <c r="D84" s="75">
        <v>249.77272727272728</v>
      </c>
      <c r="E84" s="75">
        <v>251</v>
      </c>
      <c r="F84" s="75">
        <v>233.33333333333334</v>
      </c>
      <c r="G84" s="75">
        <v>475</v>
      </c>
      <c r="H84" s="75">
        <v>372.72727272727275</v>
      </c>
      <c r="I84" s="75">
        <v>274.20454545454544</v>
      </c>
      <c r="J84" s="75">
        <v>272.08333333333331</v>
      </c>
      <c r="K84" s="75">
        <v>270.5</v>
      </c>
      <c r="N84" s="102"/>
      <c r="O84" s="153">
        <v>287.5</v>
      </c>
      <c r="P84" s="153">
        <v>178.75</v>
      </c>
      <c r="Q84" s="153">
        <v>208.75</v>
      </c>
      <c r="R84" s="153">
        <v>200</v>
      </c>
      <c r="S84" s="153">
        <v>450</v>
      </c>
      <c r="T84" s="153">
        <v>377.5</v>
      </c>
      <c r="U84" s="153">
        <v>325</v>
      </c>
      <c r="V84" s="153"/>
      <c r="W84" s="154">
        <v>297.5</v>
      </c>
      <c r="X84" s="102"/>
      <c r="Y84" s="153">
        <v>300</v>
      </c>
      <c r="Z84" s="153">
        <v>160</v>
      </c>
      <c r="AA84" s="153">
        <v>220</v>
      </c>
      <c r="AB84" s="153">
        <v>202.5</v>
      </c>
      <c r="AC84" s="153">
        <v>450</v>
      </c>
      <c r="AD84" s="153">
        <v>431.25</v>
      </c>
      <c r="AE84" s="153">
        <v>325</v>
      </c>
      <c r="AF84" s="153">
        <v>318.75</v>
      </c>
      <c r="AG84" s="154">
        <v>300</v>
      </c>
      <c r="AH84" s="102">
        <v>345</v>
      </c>
      <c r="AI84" s="153">
        <v>390</v>
      </c>
      <c r="AJ84" s="153">
        <v>172</v>
      </c>
      <c r="AK84" s="153">
        <v>223</v>
      </c>
      <c r="AL84" s="153">
        <v>203</v>
      </c>
      <c r="AM84" s="153">
        <v>500</v>
      </c>
      <c r="AN84" s="153">
        <v>462.5</v>
      </c>
      <c r="AO84" s="153">
        <v>325</v>
      </c>
      <c r="AP84" s="153">
        <v>320</v>
      </c>
      <c r="AQ84" s="154">
        <v>300</v>
      </c>
      <c r="AR84" s="102">
        <v>241.66666666666666</v>
      </c>
      <c r="AS84" s="153">
        <v>475</v>
      </c>
      <c r="AT84" s="153">
        <v>170</v>
      </c>
      <c r="AU84" s="153">
        <v>238.33333333333334</v>
      </c>
      <c r="AV84" s="153">
        <v>225</v>
      </c>
      <c r="AW84" s="153">
        <v>550</v>
      </c>
      <c r="AX84" s="153">
        <v>470</v>
      </c>
      <c r="AY84" s="153">
        <v>301.66666666666669</v>
      </c>
      <c r="AZ84" s="153">
        <v>301.66666666666669</v>
      </c>
      <c r="BA84" s="155">
        <v>300</v>
      </c>
      <c r="BB84" s="102">
        <v>212.5</v>
      </c>
      <c r="BC84" s="104">
        <v>350</v>
      </c>
      <c r="BD84" s="104">
        <v>200</v>
      </c>
      <c r="BE84" s="104">
        <v>265</v>
      </c>
      <c r="BF84" s="104">
        <v>225</v>
      </c>
      <c r="BG84" s="104">
        <v>487.5</v>
      </c>
      <c r="BH84" s="104">
        <v>450</v>
      </c>
      <c r="BI84" s="104">
        <v>290</v>
      </c>
      <c r="BJ84" s="104">
        <v>290</v>
      </c>
      <c r="BK84" s="152">
        <v>250</v>
      </c>
      <c r="BL84" s="102">
        <v>200</v>
      </c>
      <c r="BM84" s="104"/>
      <c r="BN84" s="104">
        <v>206.25</v>
      </c>
      <c r="BO84" s="104">
        <v>300</v>
      </c>
      <c r="BP84" s="104">
        <v>225</v>
      </c>
      <c r="BQ84" s="104">
        <v>475</v>
      </c>
      <c r="BR84" s="104">
        <v>450</v>
      </c>
      <c r="BS84" s="104">
        <v>292.5</v>
      </c>
      <c r="BT84" s="104">
        <v>288.33333333333331</v>
      </c>
      <c r="BU84" s="152">
        <v>275</v>
      </c>
      <c r="BV84" s="102">
        <v>320</v>
      </c>
      <c r="BW84" s="104"/>
      <c r="BX84" s="104">
        <v>230</v>
      </c>
      <c r="BY84" s="104">
        <v>285</v>
      </c>
      <c r="BZ84" s="104">
        <v>242</v>
      </c>
      <c r="CA84" s="104">
        <v>475</v>
      </c>
      <c r="CB84" s="104">
        <v>450</v>
      </c>
      <c r="CC84" s="104">
        <v>290</v>
      </c>
      <c r="CD84" s="104">
        <v>290</v>
      </c>
      <c r="CE84" s="152">
        <v>266.66666666666669</v>
      </c>
      <c r="CF84" s="102">
        <v>387.5</v>
      </c>
      <c r="CG84" s="104">
        <v>416.66666666666669</v>
      </c>
      <c r="CH84" s="104">
        <v>250</v>
      </c>
      <c r="CI84" s="104">
        <v>300</v>
      </c>
      <c r="CJ84" s="104">
        <v>250</v>
      </c>
      <c r="CK84" s="104">
        <v>475</v>
      </c>
      <c r="CL84" s="104">
        <v>450</v>
      </c>
      <c r="CM84" s="104">
        <v>290</v>
      </c>
      <c r="CN84" s="104">
        <v>290</v>
      </c>
      <c r="CO84" s="152">
        <v>275</v>
      </c>
      <c r="CP84" s="102">
        <v>300</v>
      </c>
      <c r="CQ84" s="104">
        <v>355</v>
      </c>
      <c r="CR84" s="104">
        <v>260</v>
      </c>
      <c r="CS84" s="104">
        <v>327</v>
      </c>
      <c r="CT84" s="104">
        <v>250</v>
      </c>
      <c r="CU84" s="104">
        <v>475</v>
      </c>
      <c r="CV84" s="104">
        <v>450</v>
      </c>
      <c r="CW84" s="104">
        <v>292</v>
      </c>
      <c r="CX84" s="104">
        <v>295</v>
      </c>
      <c r="CY84" s="152">
        <v>275</v>
      </c>
      <c r="CZ84" s="102" t="s">
        <v>105</v>
      </c>
      <c r="DA84" s="104">
        <v>337.5</v>
      </c>
      <c r="DB84" s="104">
        <v>262.5</v>
      </c>
      <c r="DC84" s="104">
        <v>331.25</v>
      </c>
      <c r="DD84" s="104">
        <v>262.5</v>
      </c>
      <c r="DE84" s="104">
        <v>475</v>
      </c>
      <c r="DF84" s="104">
        <v>450</v>
      </c>
      <c r="DG84" s="104">
        <v>300</v>
      </c>
      <c r="DH84" s="104">
        <v>300</v>
      </c>
      <c r="DI84" s="152">
        <v>275</v>
      </c>
      <c r="DJ84" s="102" t="s">
        <v>105</v>
      </c>
      <c r="DK84" s="104">
        <v>340</v>
      </c>
      <c r="DL84" s="104">
        <v>190</v>
      </c>
      <c r="DM84" s="104">
        <v>250</v>
      </c>
      <c r="DN84" s="104">
        <v>230</v>
      </c>
      <c r="DO84" s="104">
        <v>475</v>
      </c>
      <c r="DP84" s="104">
        <v>450</v>
      </c>
      <c r="DQ84" s="104">
        <v>300</v>
      </c>
      <c r="DR84" s="104">
        <v>300</v>
      </c>
      <c r="DS84" s="152">
        <v>283</v>
      </c>
      <c r="DT84" s="102" t="s">
        <v>105</v>
      </c>
      <c r="DU84" s="104">
        <v>325</v>
      </c>
      <c r="DV84" s="104">
        <v>200</v>
      </c>
      <c r="DW84" s="104">
        <v>231.25</v>
      </c>
      <c r="DX84" s="104">
        <v>218.75</v>
      </c>
      <c r="DY84" s="104">
        <v>475</v>
      </c>
      <c r="DZ84" s="104">
        <v>450</v>
      </c>
      <c r="EA84" s="104">
        <v>300</v>
      </c>
      <c r="EB84" s="104">
        <v>295</v>
      </c>
      <c r="EC84" s="152">
        <v>285</v>
      </c>
    </row>
    <row r="85" spans="1:133" x14ac:dyDescent="0.25">
      <c r="A85" s="95">
        <v>42186</v>
      </c>
      <c r="B85" s="75">
        <v>298.40909090909093</v>
      </c>
      <c r="C85" s="75"/>
      <c r="D85" s="75">
        <v>250.56818181818181</v>
      </c>
      <c r="E85" s="75">
        <v>253.33333333333331</v>
      </c>
      <c r="F85" s="75">
        <v>235.83333333333334</v>
      </c>
      <c r="G85" s="75">
        <v>475</v>
      </c>
      <c r="H85" s="75">
        <v>372.72727272727275</v>
      </c>
      <c r="I85" s="75">
        <v>274.09090909090907</v>
      </c>
      <c r="J85" s="75">
        <v>273.33333333333331</v>
      </c>
      <c r="K85" s="75">
        <v>268.75</v>
      </c>
      <c r="N85" s="102"/>
      <c r="O85" s="153">
        <v>300</v>
      </c>
      <c r="P85" s="153">
        <v>231.25</v>
      </c>
      <c r="Q85" s="153">
        <v>231.25</v>
      </c>
      <c r="R85" s="153">
        <v>206.25</v>
      </c>
      <c r="S85" s="153"/>
      <c r="T85" s="153">
        <v>400</v>
      </c>
      <c r="U85" s="153">
        <v>325</v>
      </c>
      <c r="V85" s="153"/>
      <c r="W85" s="154">
        <v>300</v>
      </c>
      <c r="X85" s="102">
        <v>350</v>
      </c>
      <c r="Y85" s="153">
        <v>350</v>
      </c>
      <c r="Z85" s="153">
        <v>231.25</v>
      </c>
      <c r="AA85" s="153">
        <v>231.25</v>
      </c>
      <c r="AB85" s="153">
        <v>225</v>
      </c>
      <c r="AC85" s="153">
        <v>450</v>
      </c>
      <c r="AD85" s="153">
        <v>450</v>
      </c>
      <c r="AE85" s="153">
        <v>325</v>
      </c>
      <c r="AF85" s="153">
        <v>325</v>
      </c>
      <c r="AG85" s="154">
        <v>300</v>
      </c>
      <c r="AH85" s="102">
        <v>360</v>
      </c>
      <c r="AI85" s="153">
        <v>500</v>
      </c>
      <c r="AJ85" s="153">
        <v>225</v>
      </c>
      <c r="AK85" s="153">
        <v>225</v>
      </c>
      <c r="AL85" s="153">
        <v>225</v>
      </c>
      <c r="AM85" s="153"/>
      <c r="AN85" s="153">
        <v>500</v>
      </c>
      <c r="AO85" s="153">
        <v>325</v>
      </c>
      <c r="AP85" s="153">
        <v>325</v>
      </c>
      <c r="AQ85" s="154">
        <v>300</v>
      </c>
      <c r="AR85" s="102">
        <v>300</v>
      </c>
      <c r="AS85" s="153">
        <v>316.66666666666669</v>
      </c>
      <c r="AT85" s="153">
        <v>233.33333333333334</v>
      </c>
      <c r="AU85" s="153">
        <v>233.33333333333334</v>
      </c>
      <c r="AV85" s="153">
        <v>233.33333333333334</v>
      </c>
      <c r="AW85" s="153"/>
      <c r="AX85" s="153">
        <v>483.33333333333331</v>
      </c>
      <c r="AY85" s="153">
        <v>316.66666666666669</v>
      </c>
      <c r="AZ85" s="153">
        <v>325</v>
      </c>
      <c r="BA85" s="155"/>
      <c r="BB85" s="102">
        <v>275</v>
      </c>
      <c r="BC85" s="104"/>
      <c r="BD85" s="104">
        <v>237.5</v>
      </c>
      <c r="BE85" s="104">
        <v>225</v>
      </c>
      <c r="BF85" s="104">
        <v>225</v>
      </c>
      <c r="BG85" s="104"/>
      <c r="BH85" s="104">
        <v>450</v>
      </c>
      <c r="BI85" s="104">
        <v>300</v>
      </c>
      <c r="BJ85" s="104">
        <v>300</v>
      </c>
      <c r="BK85" s="152"/>
      <c r="BL85" s="102">
        <v>300</v>
      </c>
      <c r="BM85" s="104"/>
      <c r="BN85" s="104">
        <v>250</v>
      </c>
      <c r="BO85" s="104">
        <v>250</v>
      </c>
      <c r="BP85" s="104">
        <v>250</v>
      </c>
      <c r="BQ85" s="104"/>
      <c r="BR85" s="104">
        <v>450</v>
      </c>
      <c r="BS85" s="104">
        <v>300</v>
      </c>
      <c r="BT85" s="104">
        <v>300</v>
      </c>
      <c r="BU85" s="152">
        <v>300</v>
      </c>
      <c r="BV85" s="102">
        <v>370</v>
      </c>
      <c r="BW85" s="104"/>
      <c r="BX85" s="104">
        <v>250</v>
      </c>
      <c r="BY85" s="104">
        <v>250</v>
      </c>
      <c r="BZ85" s="104">
        <v>250</v>
      </c>
      <c r="CA85" s="104"/>
      <c r="CB85" s="104">
        <v>450</v>
      </c>
      <c r="CC85" s="104">
        <v>340</v>
      </c>
      <c r="CD85" s="104">
        <v>300</v>
      </c>
      <c r="CE85" s="152">
        <v>300</v>
      </c>
      <c r="CF85" s="102">
        <v>487.5</v>
      </c>
      <c r="CG85" s="104">
        <v>566.66666666666663</v>
      </c>
      <c r="CH85" s="104">
        <v>243.75</v>
      </c>
      <c r="CI85" s="104">
        <v>243.75</v>
      </c>
      <c r="CJ85" s="104">
        <v>243.75</v>
      </c>
      <c r="CK85" s="104"/>
      <c r="CL85" s="104">
        <v>450</v>
      </c>
      <c r="CM85" s="104">
        <v>300</v>
      </c>
      <c r="CN85" s="104">
        <v>300</v>
      </c>
      <c r="CO85" s="152"/>
      <c r="CP85" s="102">
        <v>343.75</v>
      </c>
      <c r="CQ85" s="104">
        <v>425</v>
      </c>
      <c r="CR85" s="104">
        <v>250</v>
      </c>
      <c r="CS85" s="104">
        <v>250</v>
      </c>
      <c r="CT85" s="104">
        <v>214</v>
      </c>
      <c r="CU85" s="104"/>
      <c r="CV85" s="104">
        <v>450</v>
      </c>
      <c r="CW85" s="104">
        <v>300</v>
      </c>
      <c r="CX85" s="104">
        <v>300</v>
      </c>
      <c r="CY85" s="152"/>
      <c r="CZ85" s="102" t="s">
        <v>105</v>
      </c>
      <c r="DA85" s="104">
        <v>425</v>
      </c>
      <c r="DB85" s="104">
        <v>225</v>
      </c>
      <c r="DC85" s="104">
        <v>250</v>
      </c>
      <c r="DD85" s="104">
        <v>206.25</v>
      </c>
      <c r="DE85" s="104"/>
      <c r="DF85" s="104">
        <v>450</v>
      </c>
      <c r="DG85" s="104">
        <v>300</v>
      </c>
      <c r="DH85" s="104">
        <v>300</v>
      </c>
      <c r="DI85" s="152"/>
      <c r="DJ85" s="102" t="s">
        <v>105</v>
      </c>
      <c r="DK85" s="104">
        <v>410</v>
      </c>
      <c r="DL85" s="104">
        <v>175</v>
      </c>
      <c r="DM85" s="104">
        <v>200</v>
      </c>
      <c r="DN85" s="104">
        <v>155</v>
      </c>
      <c r="DO85" s="104">
        <v>450</v>
      </c>
      <c r="DP85" s="104">
        <v>450</v>
      </c>
      <c r="DQ85" s="104">
        <v>300</v>
      </c>
      <c r="DR85" s="104">
        <v>300</v>
      </c>
      <c r="DS85" s="152"/>
      <c r="DT85" s="102" t="s">
        <v>105</v>
      </c>
      <c r="DU85" s="104">
        <v>400</v>
      </c>
      <c r="DV85" s="104">
        <v>193.75</v>
      </c>
      <c r="DW85" s="104">
        <v>181.25</v>
      </c>
      <c r="DX85" s="104">
        <v>168.75</v>
      </c>
      <c r="DY85" s="104"/>
      <c r="DZ85" s="104">
        <v>450</v>
      </c>
      <c r="EA85" s="104">
        <v>300</v>
      </c>
      <c r="EB85" s="104">
        <v>300</v>
      </c>
      <c r="EC85" s="152"/>
    </row>
    <row r="86" spans="1:133" x14ac:dyDescent="0.25">
      <c r="A86" s="95">
        <v>42217</v>
      </c>
      <c r="B86" s="75">
        <v>339.20454545454544</v>
      </c>
      <c r="C86" s="75"/>
      <c r="D86" s="75">
        <v>252.27272727272728</v>
      </c>
      <c r="E86" s="75">
        <v>262.5</v>
      </c>
      <c r="F86" s="75">
        <v>238.61111111111111</v>
      </c>
      <c r="G86" s="75">
        <v>475</v>
      </c>
      <c r="H86" s="75">
        <v>379.54545454545456</v>
      </c>
      <c r="I86" s="75">
        <v>274.09090909090907</v>
      </c>
      <c r="J86" s="75">
        <v>273.54166666666669</v>
      </c>
      <c r="K86" s="75">
        <v>280.15625</v>
      </c>
      <c r="N86" s="102"/>
      <c r="O86" s="153">
        <v>350</v>
      </c>
      <c r="P86" s="153">
        <v>200</v>
      </c>
      <c r="Q86" s="153">
        <v>200</v>
      </c>
      <c r="R86" s="153">
        <v>200</v>
      </c>
      <c r="S86" s="153"/>
      <c r="T86" s="153">
        <v>376.25</v>
      </c>
      <c r="U86" s="153">
        <v>306.25</v>
      </c>
      <c r="V86" s="153">
        <v>325</v>
      </c>
      <c r="W86" s="154">
        <v>300</v>
      </c>
      <c r="X86" s="102">
        <v>325</v>
      </c>
      <c r="Y86" s="153">
        <v>425</v>
      </c>
      <c r="Z86" s="153">
        <v>200</v>
      </c>
      <c r="AA86" s="153">
        <v>200</v>
      </c>
      <c r="AB86" s="153">
        <v>200</v>
      </c>
      <c r="AC86" s="153" t="s">
        <v>309</v>
      </c>
      <c r="AD86" s="153">
        <v>416.66666666666669</v>
      </c>
      <c r="AE86" s="153">
        <v>331.25</v>
      </c>
      <c r="AF86" s="153">
        <v>325</v>
      </c>
      <c r="AG86" s="154">
        <v>300</v>
      </c>
      <c r="AH86" s="102">
        <v>420</v>
      </c>
      <c r="AI86" s="153">
        <v>540</v>
      </c>
      <c r="AJ86" s="153">
        <v>200</v>
      </c>
      <c r="AK86" s="153">
        <v>200</v>
      </c>
      <c r="AL86" s="153">
        <v>220</v>
      </c>
      <c r="AM86" s="153"/>
      <c r="AN86" s="153">
        <v>500</v>
      </c>
      <c r="AO86" s="153">
        <v>317</v>
      </c>
      <c r="AP86" s="153">
        <v>325</v>
      </c>
      <c r="AQ86" s="154">
        <v>300</v>
      </c>
      <c r="AR86" s="102">
        <v>366.66666666666669</v>
      </c>
      <c r="AS86" s="153">
        <v>450</v>
      </c>
      <c r="AT86" s="153">
        <v>200</v>
      </c>
      <c r="AU86" s="153">
        <v>200</v>
      </c>
      <c r="AV86" s="153">
        <v>208.33333333333334</v>
      </c>
      <c r="AW86" s="153"/>
      <c r="AX86" s="153">
        <v>483.33333333333331</v>
      </c>
      <c r="AY86" s="153">
        <v>316.66666666666669</v>
      </c>
      <c r="AZ86" s="153">
        <v>305</v>
      </c>
      <c r="BA86" s="155"/>
      <c r="BB86" s="102">
        <v>325</v>
      </c>
      <c r="BC86" s="104">
        <v>450</v>
      </c>
      <c r="BD86" s="104">
        <v>200</v>
      </c>
      <c r="BE86" s="104">
        <v>200</v>
      </c>
      <c r="BF86" s="104">
        <v>200</v>
      </c>
      <c r="BG86" s="104"/>
      <c r="BH86" s="104">
        <v>430</v>
      </c>
      <c r="BI86" s="104">
        <v>300</v>
      </c>
      <c r="BJ86" s="104">
        <v>300</v>
      </c>
      <c r="BK86" s="152"/>
      <c r="BL86" s="102">
        <v>300</v>
      </c>
      <c r="BM86" s="104">
        <v>500</v>
      </c>
      <c r="BN86" s="104">
        <v>225</v>
      </c>
      <c r="BO86" s="104">
        <v>225</v>
      </c>
      <c r="BP86" s="104">
        <v>225</v>
      </c>
      <c r="BQ86" s="104"/>
      <c r="BR86" s="104">
        <v>460</v>
      </c>
      <c r="BS86" s="104">
        <v>300</v>
      </c>
      <c r="BT86" s="104">
        <v>300</v>
      </c>
      <c r="BU86" s="152"/>
      <c r="BV86" s="102">
        <v>380</v>
      </c>
      <c r="BW86" s="104"/>
      <c r="BX86" s="104">
        <v>250</v>
      </c>
      <c r="BY86" s="104">
        <v>250</v>
      </c>
      <c r="BZ86" s="104">
        <v>250</v>
      </c>
      <c r="CA86" s="104"/>
      <c r="CB86" s="104">
        <v>460</v>
      </c>
      <c r="CC86" s="104">
        <v>300</v>
      </c>
      <c r="CD86" s="104">
        <v>300</v>
      </c>
      <c r="CE86" s="152"/>
      <c r="CF86" s="102">
        <v>450</v>
      </c>
      <c r="CG86" s="104">
        <v>550</v>
      </c>
      <c r="CH86" s="104">
        <v>250</v>
      </c>
      <c r="CI86" s="104">
        <v>250</v>
      </c>
      <c r="CJ86" s="104">
        <v>250</v>
      </c>
      <c r="CK86" s="104"/>
      <c r="CL86" s="104">
        <v>460</v>
      </c>
      <c r="CM86" s="104">
        <v>300</v>
      </c>
      <c r="CN86" s="104">
        <v>300</v>
      </c>
      <c r="CO86" s="152"/>
      <c r="CP86" s="102"/>
      <c r="CQ86" s="104">
        <v>500</v>
      </c>
      <c r="CR86" s="104">
        <v>250</v>
      </c>
      <c r="CS86" s="104">
        <v>250</v>
      </c>
      <c r="CT86" s="104">
        <v>250</v>
      </c>
      <c r="CU86" s="104"/>
      <c r="CV86" s="104">
        <v>460</v>
      </c>
      <c r="CW86" s="104">
        <v>300</v>
      </c>
      <c r="CX86" s="104">
        <v>300</v>
      </c>
      <c r="CY86" s="152"/>
      <c r="CZ86" s="102" t="s">
        <v>105</v>
      </c>
      <c r="DA86" s="104">
        <v>500</v>
      </c>
      <c r="DB86" s="104">
        <v>257.5</v>
      </c>
      <c r="DC86" s="104">
        <v>262.5</v>
      </c>
      <c r="DD86" s="104">
        <v>243.75</v>
      </c>
      <c r="DE86" s="104"/>
      <c r="DF86" s="104">
        <v>455</v>
      </c>
      <c r="DG86" s="104">
        <v>300</v>
      </c>
      <c r="DH86" s="104"/>
      <c r="DI86" s="152"/>
      <c r="DJ86" s="102" t="s">
        <v>105</v>
      </c>
      <c r="DK86" s="104">
        <v>500</v>
      </c>
      <c r="DL86" s="104">
        <v>225</v>
      </c>
      <c r="DM86" s="104">
        <v>240</v>
      </c>
      <c r="DN86" s="104">
        <v>205</v>
      </c>
      <c r="DO86" s="104"/>
      <c r="DP86" s="104">
        <v>458</v>
      </c>
      <c r="DQ86" s="104">
        <v>300</v>
      </c>
      <c r="DR86" s="104"/>
      <c r="DS86" s="152"/>
      <c r="DT86" s="102" t="s">
        <v>105</v>
      </c>
      <c r="DU86" s="104">
        <v>462.5</v>
      </c>
      <c r="DV86" s="104">
        <v>225</v>
      </c>
      <c r="DW86" s="104">
        <v>225</v>
      </c>
      <c r="DX86" s="104">
        <v>212.5</v>
      </c>
      <c r="DY86" s="104"/>
      <c r="DZ86" s="104">
        <v>460</v>
      </c>
      <c r="EA86" s="104">
        <v>300</v>
      </c>
      <c r="EB86" s="104">
        <v>300</v>
      </c>
      <c r="EC86" s="152"/>
    </row>
    <row r="87" spans="1:133" x14ac:dyDescent="0.25">
      <c r="A87" s="95">
        <v>42248</v>
      </c>
      <c r="B87" s="75">
        <v>454.6875</v>
      </c>
      <c r="C87" s="75">
        <v>459.65909090909093</v>
      </c>
      <c r="D87" s="75">
        <v>247.72727272727272</v>
      </c>
      <c r="E87" s="75">
        <v>258.125</v>
      </c>
      <c r="F87" s="75">
        <v>232.91666666666666</v>
      </c>
      <c r="G87" s="75">
        <v>456.25</v>
      </c>
      <c r="H87" s="75">
        <v>380.68181818181819</v>
      </c>
      <c r="I87" s="75">
        <v>275.79545454545456</v>
      </c>
      <c r="J87" s="75">
        <v>272.5</v>
      </c>
      <c r="K87" s="75">
        <v>283</v>
      </c>
      <c r="N87" s="102"/>
      <c r="O87" s="153">
        <v>275</v>
      </c>
      <c r="P87" s="153">
        <v>225</v>
      </c>
      <c r="Q87" s="153">
        <v>256.25</v>
      </c>
      <c r="R87" s="153">
        <v>250</v>
      </c>
      <c r="S87" s="153">
        <v>441.66666666666669</v>
      </c>
      <c r="T87" s="153">
        <v>393.75</v>
      </c>
      <c r="U87" s="153">
        <v>325</v>
      </c>
      <c r="V87" s="153"/>
      <c r="W87" s="154">
        <v>312.5</v>
      </c>
      <c r="X87" s="102"/>
      <c r="Y87" s="153">
        <v>312.5</v>
      </c>
      <c r="Z87" s="153">
        <v>243.75</v>
      </c>
      <c r="AA87" s="153">
        <v>250</v>
      </c>
      <c r="AB87" s="153">
        <v>250</v>
      </c>
      <c r="AC87" s="153">
        <v>466.66666666666669</v>
      </c>
      <c r="AD87" s="153">
        <v>437.5</v>
      </c>
      <c r="AE87" s="153">
        <v>325</v>
      </c>
      <c r="AF87" s="153"/>
      <c r="AG87" s="154">
        <v>325</v>
      </c>
      <c r="AH87" s="102">
        <v>390</v>
      </c>
      <c r="AI87" s="153">
        <v>470</v>
      </c>
      <c r="AJ87" s="153">
        <v>225</v>
      </c>
      <c r="AK87" s="153">
        <v>250</v>
      </c>
      <c r="AL87" s="153">
        <v>250</v>
      </c>
      <c r="AM87" s="153">
        <v>500</v>
      </c>
      <c r="AN87" s="153"/>
      <c r="AO87" s="153">
        <v>325</v>
      </c>
      <c r="AP87" s="153"/>
      <c r="AQ87" s="154"/>
      <c r="AR87" s="102">
        <v>300</v>
      </c>
      <c r="AS87" s="153">
        <v>316.66666666666669</v>
      </c>
      <c r="AT87" s="153">
        <v>225</v>
      </c>
      <c r="AU87" s="153">
        <v>250</v>
      </c>
      <c r="AV87" s="153">
        <v>250</v>
      </c>
      <c r="AW87" s="153"/>
      <c r="AX87" s="153">
        <v>483.33333333333331</v>
      </c>
      <c r="AY87" s="153">
        <v>316.66666666666669</v>
      </c>
      <c r="AZ87" s="153"/>
      <c r="BA87" s="155"/>
      <c r="BB87" s="102">
        <v>250</v>
      </c>
      <c r="BC87" s="104">
        <v>300</v>
      </c>
      <c r="BD87" s="104">
        <v>225</v>
      </c>
      <c r="BE87" s="104">
        <v>250</v>
      </c>
      <c r="BF87" s="104">
        <v>250</v>
      </c>
      <c r="BG87" s="104">
        <v>450</v>
      </c>
      <c r="BH87" s="104">
        <v>450</v>
      </c>
      <c r="BI87" s="104">
        <v>300</v>
      </c>
      <c r="BJ87" s="104"/>
      <c r="BK87" s="152"/>
      <c r="BL87" s="102">
        <v>250</v>
      </c>
      <c r="BM87" s="104"/>
      <c r="BN87" s="104">
        <v>225</v>
      </c>
      <c r="BO87" s="104">
        <v>250</v>
      </c>
      <c r="BP87" s="104">
        <v>250</v>
      </c>
      <c r="BQ87" s="104">
        <v>450</v>
      </c>
      <c r="BR87" s="104">
        <v>450</v>
      </c>
      <c r="BS87" s="104">
        <v>300</v>
      </c>
      <c r="BT87" s="104"/>
      <c r="BU87" s="152"/>
      <c r="BV87" s="102">
        <v>340</v>
      </c>
      <c r="BW87" s="104"/>
      <c r="BX87" s="104">
        <v>250</v>
      </c>
      <c r="BY87" s="104">
        <v>285</v>
      </c>
      <c r="BZ87" s="104">
        <v>275</v>
      </c>
      <c r="CA87" s="104">
        <v>460</v>
      </c>
      <c r="CB87" s="104">
        <v>450</v>
      </c>
      <c r="CC87" s="104">
        <v>300</v>
      </c>
      <c r="CD87" s="104"/>
      <c r="CE87" s="152"/>
      <c r="CF87" s="102">
        <v>500</v>
      </c>
      <c r="CG87" s="104">
        <v>500</v>
      </c>
      <c r="CH87" s="104">
        <v>256.25</v>
      </c>
      <c r="CI87" s="104">
        <v>300</v>
      </c>
      <c r="CJ87" s="104">
        <v>281.25</v>
      </c>
      <c r="CK87" s="104">
        <v>500</v>
      </c>
      <c r="CL87" s="104">
        <v>450</v>
      </c>
      <c r="CM87" s="104">
        <v>300</v>
      </c>
      <c r="CN87" s="104"/>
      <c r="CO87" s="152"/>
      <c r="CP87" s="102">
        <v>400</v>
      </c>
      <c r="CQ87" s="104">
        <v>430</v>
      </c>
      <c r="CR87" s="104">
        <v>260</v>
      </c>
      <c r="CS87" s="104">
        <v>300</v>
      </c>
      <c r="CT87" s="104">
        <v>280</v>
      </c>
      <c r="CU87" s="104">
        <v>500</v>
      </c>
      <c r="CV87" s="104">
        <v>450</v>
      </c>
      <c r="CW87" s="104">
        <v>300</v>
      </c>
      <c r="CX87" s="104"/>
      <c r="CY87" s="152"/>
      <c r="CZ87" s="102" t="s">
        <v>105</v>
      </c>
      <c r="DA87" s="104">
        <v>437.5</v>
      </c>
      <c r="DB87" s="104">
        <v>300</v>
      </c>
      <c r="DC87" s="104">
        <v>350</v>
      </c>
      <c r="DD87" s="104">
        <v>225</v>
      </c>
      <c r="DE87" s="104">
        <v>500</v>
      </c>
      <c r="DF87" s="104">
        <v>450</v>
      </c>
      <c r="DG87" s="104">
        <v>300</v>
      </c>
      <c r="DH87" s="104"/>
      <c r="DI87" s="152"/>
      <c r="DJ87" s="102" t="s">
        <v>105</v>
      </c>
      <c r="DK87" s="104">
        <v>380</v>
      </c>
      <c r="DL87" s="104">
        <v>280</v>
      </c>
      <c r="DM87" s="104">
        <v>320</v>
      </c>
      <c r="DN87" s="104">
        <v>295</v>
      </c>
      <c r="DO87" s="104">
        <v>490</v>
      </c>
      <c r="DP87" s="104">
        <v>460</v>
      </c>
      <c r="DQ87" s="104">
        <v>300</v>
      </c>
      <c r="DR87" s="104"/>
      <c r="DS87" s="152">
        <v>300</v>
      </c>
      <c r="DT87" s="102" t="s">
        <v>105</v>
      </c>
      <c r="DU87" s="104">
        <v>362.5</v>
      </c>
      <c r="DV87" s="104">
        <v>268.75</v>
      </c>
      <c r="DW87" s="104">
        <v>293.75</v>
      </c>
      <c r="DX87" s="104">
        <v>275</v>
      </c>
      <c r="DY87" s="104">
        <v>500</v>
      </c>
      <c r="DZ87" s="104">
        <v>450</v>
      </c>
      <c r="EA87" s="104">
        <v>300</v>
      </c>
      <c r="EB87" s="104"/>
      <c r="EC87" s="152">
        <v>150</v>
      </c>
    </row>
    <row r="88" spans="1:133" ht="15.75" thickBot="1" x14ac:dyDescent="0.3">
      <c r="A88" s="95">
        <v>42278</v>
      </c>
      <c r="B88" s="75"/>
      <c r="C88" s="75">
        <v>400.56818181818181</v>
      </c>
      <c r="D88" s="75">
        <v>246.59090909090909</v>
      </c>
      <c r="E88" s="75">
        <v>263.75</v>
      </c>
      <c r="F88" s="75">
        <v>228.05555555555554</v>
      </c>
      <c r="G88" s="75">
        <v>459.375</v>
      </c>
      <c r="H88" s="75">
        <v>392.61363636363637</v>
      </c>
      <c r="I88" s="75">
        <v>274.54545454545456</v>
      </c>
      <c r="J88" s="75">
        <v>278.21428571428572</v>
      </c>
      <c r="K88" s="75">
        <v>283.25</v>
      </c>
      <c r="N88" s="161"/>
      <c r="O88" s="164">
        <v>293.75</v>
      </c>
      <c r="P88" s="164">
        <v>224.31818181818181</v>
      </c>
      <c r="Q88" s="164">
        <v>236.59090909090909</v>
      </c>
      <c r="R88" s="164">
        <v>228.75</v>
      </c>
      <c r="S88" s="164">
        <v>422.91666666666669</v>
      </c>
      <c r="T88" s="164">
        <v>391.81818181818181</v>
      </c>
      <c r="U88" s="164">
        <v>311.89393939393938</v>
      </c>
      <c r="V88" s="164">
        <v>311.5</v>
      </c>
      <c r="W88" s="165">
        <v>294.65909090909093</v>
      </c>
      <c r="X88" s="161">
        <v>302.38095238095241</v>
      </c>
      <c r="Y88" s="164">
        <v>342.04545454545456</v>
      </c>
      <c r="Z88" s="164">
        <v>223.40909090909091</v>
      </c>
      <c r="AA88" s="164">
        <v>240.125</v>
      </c>
      <c r="AB88" s="164">
        <v>228.75</v>
      </c>
      <c r="AC88" s="164">
        <v>451.73611111111109</v>
      </c>
      <c r="AD88" s="164">
        <v>432.19696969696975</v>
      </c>
      <c r="AE88" s="164">
        <v>318.63636363636363</v>
      </c>
      <c r="AF88" s="164">
        <v>314.82142857142856</v>
      </c>
      <c r="AG88" s="165">
        <v>298.86363636363637</v>
      </c>
      <c r="AH88" s="161">
        <v>348.63636363636363</v>
      </c>
      <c r="AI88" s="164">
        <v>450.22727272727275</v>
      </c>
      <c r="AJ88" s="164">
        <v>223</v>
      </c>
      <c r="AK88" s="164">
        <v>239.8</v>
      </c>
      <c r="AL88" s="164">
        <v>232.44444444444446</v>
      </c>
      <c r="AM88" s="164">
        <v>520</v>
      </c>
      <c r="AN88" s="164">
        <v>490.46296296296288</v>
      </c>
      <c r="AO88" s="164">
        <v>318.81818181818181</v>
      </c>
      <c r="AP88" s="164">
        <v>310.875</v>
      </c>
      <c r="AQ88" s="165">
        <v>296.2</v>
      </c>
      <c r="AR88" s="161">
        <v>256.81818181818181</v>
      </c>
      <c r="AS88" s="164">
        <v>346.21212121212119</v>
      </c>
      <c r="AT88" s="164">
        <v>225.90909090909091</v>
      </c>
      <c r="AU88" s="164">
        <v>244.84848484848487</v>
      </c>
      <c r="AV88" s="164">
        <v>232.29166666666663</v>
      </c>
      <c r="AW88" s="164">
        <v>550</v>
      </c>
      <c r="AX88" s="164">
        <v>475</v>
      </c>
      <c r="AY88" s="164">
        <v>306.89393939393932</v>
      </c>
      <c r="AZ88" s="164">
        <v>305.11904761904759</v>
      </c>
      <c r="BA88" s="166">
        <v>292.1875</v>
      </c>
      <c r="BB88" s="161">
        <v>234.09090909090909</v>
      </c>
      <c r="BC88" s="162">
        <v>330.55555555555554</v>
      </c>
      <c r="BD88" s="162">
        <v>230.22727272727272</v>
      </c>
      <c r="BE88" s="162">
        <v>251.5</v>
      </c>
      <c r="BF88" s="162">
        <v>236.11111111111111</v>
      </c>
      <c r="BG88" s="162">
        <v>462.5</v>
      </c>
      <c r="BH88" s="162">
        <v>448.5</v>
      </c>
      <c r="BI88" s="162">
        <v>294.25</v>
      </c>
      <c r="BJ88" s="162">
        <v>295.71428571428572</v>
      </c>
      <c r="BK88" s="163">
        <v>286.5625</v>
      </c>
      <c r="BL88" s="161">
        <v>232.38636363636363</v>
      </c>
      <c r="BM88" s="162">
        <v>500</v>
      </c>
      <c r="BN88" s="162">
        <v>235</v>
      </c>
      <c r="BO88" s="162">
        <v>261.25</v>
      </c>
      <c r="BP88" s="162">
        <v>241.25</v>
      </c>
      <c r="BQ88" s="162">
        <v>456.25</v>
      </c>
      <c r="BR88" s="162">
        <v>449.88636363636363</v>
      </c>
      <c r="BS88" s="162">
        <v>293.75</v>
      </c>
      <c r="BT88" s="162">
        <v>293.09523809523807</v>
      </c>
      <c r="BU88" s="163">
        <v>278.88888888888891</v>
      </c>
      <c r="BV88" s="161">
        <v>331.36363636363637</v>
      </c>
      <c r="BW88" s="162"/>
      <c r="BX88" s="162">
        <v>248.63636363636363</v>
      </c>
      <c r="BY88" s="162">
        <v>270</v>
      </c>
      <c r="BZ88" s="162">
        <v>249.80555555555554</v>
      </c>
      <c r="CA88" s="162">
        <v>458.75</v>
      </c>
      <c r="CB88" s="162">
        <v>448.45454545454544</v>
      </c>
      <c r="CC88" s="162">
        <v>297.54545454545456</v>
      </c>
      <c r="CD88" s="162">
        <v>293.375</v>
      </c>
      <c r="CE88" s="163">
        <v>290.62962962962962</v>
      </c>
      <c r="CF88" s="161">
        <v>432.95454545454544</v>
      </c>
      <c r="CG88" s="162">
        <v>496.21212121212119</v>
      </c>
      <c r="CH88" s="162">
        <v>263.06818181818181</v>
      </c>
      <c r="CI88" s="162">
        <v>282.38636363636363</v>
      </c>
      <c r="CJ88" s="162">
        <v>250.55555555555554</v>
      </c>
      <c r="CK88" s="162">
        <v>475</v>
      </c>
      <c r="CL88" s="162">
        <v>447.72727272727275</v>
      </c>
      <c r="CM88" s="162">
        <v>295</v>
      </c>
      <c r="CN88" s="162">
        <v>293.57142857142856</v>
      </c>
      <c r="CO88" s="163">
        <v>283.21428571428572</v>
      </c>
      <c r="CP88" s="161">
        <v>323.375</v>
      </c>
      <c r="CQ88" s="162">
        <v>396.81818181818181</v>
      </c>
      <c r="CR88" s="162">
        <v>272.38636363636363</v>
      </c>
      <c r="CS88" s="162">
        <v>287.63636363636363</v>
      </c>
      <c r="CT88" s="162">
        <v>261.5</v>
      </c>
      <c r="CU88" s="162">
        <v>472.91666666666669</v>
      </c>
      <c r="CV88" s="162">
        <v>448.72727272727275</v>
      </c>
      <c r="CW88" s="162">
        <v>295.72727272727275</v>
      </c>
      <c r="CX88" s="162">
        <v>295.16666666666669</v>
      </c>
      <c r="CY88" s="163">
        <v>279.28571428571428</v>
      </c>
      <c r="CZ88" s="161" t="s">
        <v>105</v>
      </c>
      <c r="DA88" s="162">
        <v>401.89393939393938</v>
      </c>
      <c r="DB88" s="162">
        <v>265.45454545454544</v>
      </c>
      <c r="DC88" s="162">
        <v>293.125</v>
      </c>
      <c r="DD88" s="162">
        <v>235.22727272727272</v>
      </c>
      <c r="DE88" s="162">
        <v>486.25</v>
      </c>
      <c r="DF88" s="162">
        <v>449.20454545454544</v>
      </c>
      <c r="DG88" s="162">
        <v>297.27272727272725</v>
      </c>
      <c r="DH88" s="162">
        <v>285</v>
      </c>
      <c r="DI88" s="163">
        <v>285.11904761904759</v>
      </c>
      <c r="DJ88" s="161" t="s">
        <v>105</v>
      </c>
      <c r="DK88" s="162">
        <v>385.45454545454544</v>
      </c>
      <c r="DL88" s="162">
        <v>245</v>
      </c>
      <c r="DM88" s="162">
        <v>272.5</v>
      </c>
      <c r="DN88" s="162">
        <v>238.36666666666665</v>
      </c>
      <c r="DO88" s="162">
        <v>473</v>
      </c>
      <c r="DP88" s="162">
        <v>450.36363636363637</v>
      </c>
      <c r="DQ88" s="162">
        <v>297.72727272727275</v>
      </c>
      <c r="DR88" s="162">
        <v>296.66666666666669</v>
      </c>
      <c r="DS88" s="163">
        <v>284.75</v>
      </c>
      <c r="DT88" s="161" t="s">
        <v>105</v>
      </c>
      <c r="DU88" s="162">
        <v>377.27272727272725</v>
      </c>
      <c r="DV88" s="162">
        <v>234.31818181818181</v>
      </c>
      <c r="DW88" s="162">
        <v>249.375</v>
      </c>
      <c r="DX88" s="162">
        <v>231.125</v>
      </c>
      <c r="DY88" s="162">
        <v>481.25</v>
      </c>
      <c r="DZ88" s="162">
        <v>449.20454545454544</v>
      </c>
      <c r="EA88" s="162">
        <v>297.72727272727275</v>
      </c>
      <c r="EB88" s="162">
        <v>295.95238095238102</v>
      </c>
      <c r="EC88" s="163">
        <v>269.58333333333337</v>
      </c>
    </row>
    <row r="89" spans="1:133" x14ac:dyDescent="0.25">
      <c r="A89" s="95">
        <v>42309</v>
      </c>
      <c r="B89" s="75"/>
      <c r="C89" s="75">
        <v>378.40909090909093</v>
      </c>
      <c r="D89" s="75">
        <v>236.93181818181819</v>
      </c>
      <c r="E89" s="75">
        <v>255.625</v>
      </c>
      <c r="F89" s="75">
        <v>218.4375</v>
      </c>
      <c r="G89" s="75">
        <v>450</v>
      </c>
      <c r="H89" s="75">
        <v>393.18181818181819</v>
      </c>
      <c r="I89" s="75">
        <v>273.29545454545456</v>
      </c>
      <c r="J89" s="75">
        <v>272.5</v>
      </c>
      <c r="K89" s="75">
        <v>284.58333333333337</v>
      </c>
    </row>
    <row r="90" spans="1:133" x14ac:dyDescent="0.25">
      <c r="A90" s="95">
        <v>42339</v>
      </c>
      <c r="B90" s="75"/>
      <c r="C90" s="75">
        <v>425</v>
      </c>
      <c r="D90" s="75">
        <v>227.84090909090909</v>
      </c>
      <c r="E90" s="75">
        <v>248.86363636363637</v>
      </c>
      <c r="F90" s="75">
        <v>215</v>
      </c>
      <c r="G90" s="75">
        <v>445.3125</v>
      </c>
      <c r="H90" s="75">
        <v>392.04545454545456</v>
      </c>
      <c r="I90" s="75">
        <v>273.75</v>
      </c>
      <c r="J90" s="75">
        <v>272.32142857142856</v>
      </c>
      <c r="K90" s="75">
        <v>293.19444444444446</v>
      </c>
    </row>
    <row r="91" spans="1:133" ht="15.75" thickBot="1" x14ac:dyDescent="0.3">
      <c r="A91" s="95">
        <v>42370</v>
      </c>
      <c r="B91" s="75" t="s">
        <v>105</v>
      </c>
      <c r="C91" s="75">
        <v>420.5</v>
      </c>
      <c r="D91" s="75">
        <v>230.3</v>
      </c>
      <c r="E91" s="75">
        <v>244.6</v>
      </c>
      <c r="F91" s="75">
        <v>219.16666666666669</v>
      </c>
      <c r="G91" s="75">
        <v>442.5</v>
      </c>
      <c r="H91" s="75">
        <v>392</v>
      </c>
      <c r="I91" s="75">
        <v>274.2</v>
      </c>
      <c r="J91" s="75">
        <v>272.5</v>
      </c>
      <c r="K91" s="75">
        <v>285.22222222222223</v>
      </c>
      <c r="N91" s="172">
        <v>2013</v>
      </c>
    </row>
    <row r="92" spans="1:133" ht="15.75" thickBot="1" x14ac:dyDescent="0.3">
      <c r="A92" s="95">
        <v>42401</v>
      </c>
      <c r="B92" s="75">
        <v>367.08333333333337</v>
      </c>
      <c r="C92" s="75">
        <v>437.5</v>
      </c>
      <c r="D92" s="75">
        <v>230.11363636363637</v>
      </c>
      <c r="E92" s="75">
        <v>244.88636363636363</v>
      </c>
      <c r="F92" s="75">
        <v>225</v>
      </c>
      <c r="G92" s="75">
        <v>440.625</v>
      </c>
      <c r="H92" s="75">
        <v>388.63636363636363</v>
      </c>
      <c r="I92" s="75">
        <v>273.97727272727275</v>
      </c>
      <c r="J92" s="75">
        <v>272.85714285714283</v>
      </c>
      <c r="K92" s="75">
        <v>282.5</v>
      </c>
      <c r="N92" s="118"/>
      <c r="O92" s="109"/>
      <c r="P92" s="109"/>
      <c r="Q92" s="115"/>
      <c r="R92" s="109"/>
      <c r="S92" s="111" t="s">
        <v>166</v>
      </c>
      <c r="T92" s="109"/>
      <c r="U92" s="109"/>
      <c r="V92" s="109"/>
      <c r="W92" s="112"/>
      <c r="X92" s="118"/>
      <c r="Y92" s="109"/>
      <c r="Z92" s="109"/>
      <c r="AA92" s="111" t="s">
        <v>165</v>
      </c>
      <c r="AB92" s="109"/>
      <c r="AC92" s="111"/>
      <c r="AD92" s="109"/>
      <c r="AE92" s="109"/>
      <c r="AF92" s="109"/>
      <c r="AG92" s="112"/>
      <c r="AH92" s="118"/>
      <c r="AI92" s="109"/>
      <c r="AJ92" s="109"/>
      <c r="AK92" s="111" t="s">
        <v>165</v>
      </c>
      <c r="AL92" s="109"/>
      <c r="AM92" s="111"/>
      <c r="AN92" s="109"/>
      <c r="AO92" s="109"/>
      <c r="AP92" s="109"/>
      <c r="AQ92" s="112"/>
      <c r="AR92" s="118"/>
      <c r="AS92" s="109"/>
      <c r="AT92" s="109"/>
      <c r="AU92" s="111" t="s">
        <v>165</v>
      </c>
      <c r="AV92" s="109"/>
      <c r="AW92" s="111"/>
      <c r="AX92" s="109"/>
      <c r="AY92" s="109"/>
      <c r="AZ92" s="109"/>
      <c r="BA92" s="112"/>
      <c r="BB92" s="118"/>
      <c r="BC92" s="109"/>
      <c r="BD92" s="109"/>
      <c r="BE92" s="111" t="s">
        <v>165</v>
      </c>
      <c r="BF92" s="109"/>
      <c r="BG92" s="111"/>
      <c r="BH92" s="109"/>
      <c r="BI92" s="109"/>
      <c r="BJ92" s="109"/>
      <c r="BK92" s="112"/>
      <c r="BL92" s="118"/>
      <c r="BM92" s="109"/>
      <c r="BN92" s="109"/>
      <c r="BO92" s="111" t="s">
        <v>165</v>
      </c>
      <c r="BP92" s="109"/>
      <c r="BQ92" s="111"/>
      <c r="BR92" s="109"/>
      <c r="BS92" s="109"/>
      <c r="BT92" s="109"/>
      <c r="BU92" s="112"/>
      <c r="BV92" s="118"/>
      <c r="BW92" s="109"/>
      <c r="BX92" s="109"/>
      <c r="BY92" s="111" t="s">
        <v>165</v>
      </c>
      <c r="BZ92" s="109"/>
      <c r="CA92" s="111"/>
      <c r="CB92" s="109"/>
      <c r="CC92" s="109"/>
      <c r="CD92" s="109"/>
      <c r="CE92" s="112"/>
      <c r="CF92" s="118"/>
      <c r="CG92" s="109"/>
      <c r="CH92" s="109"/>
      <c r="CI92" s="111" t="s">
        <v>165</v>
      </c>
      <c r="CJ92" s="109"/>
      <c r="CK92" s="111"/>
      <c r="CL92" s="109"/>
      <c r="CM92" s="109"/>
      <c r="CN92" s="109"/>
      <c r="CO92" s="112"/>
      <c r="CP92" s="118"/>
      <c r="CQ92" s="109"/>
      <c r="CR92" s="109"/>
      <c r="CS92" s="111"/>
      <c r="CT92" s="109"/>
      <c r="CU92" s="111" t="s">
        <v>165</v>
      </c>
      <c r="CV92" s="109"/>
      <c r="CW92" s="109"/>
      <c r="CX92" s="109"/>
      <c r="CY92" s="112"/>
      <c r="CZ92" s="118"/>
      <c r="DA92" s="109"/>
      <c r="DB92" s="109"/>
      <c r="DC92" s="111"/>
      <c r="DD92" s="109"/>
      <c r="DE92" s="111" t="s">
        <v>165</v>
      </c>
      <c r="DF92" s="109"/>
      <c r="DG92" s="109"/>
      <c r="DH92" s="109"/>
      <c r="DI92" s="112"/>
      <c r="DJ92" s="118"/>
      <c r="DK92" s="109"/>
      <c r="DL92" s="109"/>
      <c r="DM92" s="111"/>
      <c r="DN92" s="109"/>
      <c r="DO92" s="111" t="s">
        <v>165</v>
      </c>
      <c r="DP92" s="109"/>
      <c r="DQ92" s="109"/>
      <c r="DR92" s="109"/>
      <c r="DS92" s="112"/>
      <c r="DT92" s="118"/>
      <c r="DU92" s="109"/>
      <c r="DV92" s="109"/>
      <c r="DW92" s="111"/>
      <c r="DX92" s="111" t="s">
        <v>165</v>
      </c>
      <c r="DY92" s="111"/>
      <c r="DZ92" s="109"/>
      <c r="EA92" s="109"/>
      <c r="EB92" s="109"/>
      <c r="EC92" s="112"/>
    </row>
    <row r="93" spans="1:133" ht="15.75" thickBot="1" x14ac:dyDescent="0.3">
      <c r="A93" s="95">
        <v>42430</v>
      </c>
      <c r="B93" s="75">
        <v>345.45454545454544</v>
      </c>
      <c r="C93" s="75">
        <v>426.81818181818181</v>
      </c>
      <c r="D93" s="75">
        <v>230.90909090909091</v>
      </c>
      <c r="E93" s="75">
        <v>245.45454545454547</v>
      </c>
      <c r="F93" s="75">
        <v>227.22222222222223</v>
      </c>
      <c r="G93" s="75">
        <v>442.5</v>
      </c>
      <c r="H93" s="75">
        <v>386.36363636363637</v>
      </c>
      <c r="I93" s="75">
        <v>275</v>
      </c>
      <c r="J93" s="75">
        <v>273.16666666666669</v>
      </c>
      <c r="K93" s="75">
        <v>283.7</v>
      </c>
      <c r="N93" s="137"/>
      <c r="O93" s="138"/>
      <c r="P93" s="138"/>
      <c r="Q93" s="129"/>
      <c r="R93" s="138"/>
      <c r="S93" s="131" t="s">
        <v>216</v>
      </c>
      <c r="T93" s="138"/>
      <c r="U93" s="138"/>
      <c r="V93" s="138"/>
      <c r="W93" s="139"/>
      <c r="X93" s="137"/>
      <c r="Y93" s="138"/>
      <c r="Z93" s="138"/>
      <c r="AA93" s="131" t="s">
        <v>217</v>
      </c>
      <c r="AB93" s="138"/>
      <c r="AC93" s="131"/>
      <c r="AD93" s="138"/>
      <c r="AE93" s="138"/>
      <c r="AF93" s="138"/>
      <c r="AG93" s="139"/>
      <c r="AH93" s="137"/>
      <c r="AI93" s="138"/>
      <c r="AJ93" s="138"/>
      <c r="AK93" s="131" t="s">
        <v>218</v>
      </c>
      <c r="AL93" s="138"/>
      <c r="AM93" s="131"/>
      <c r="AN93" s="138"/>
      <c r="AO93" s="138"/>
      <c r="AP93" s="138"/>
      <c r="AQ93" s="139"/>
      <c r="AR93" s="137"/>
      <c r="AS93" s="138"/>
      <c r="AT93" s="138"/>
      <c r="AU93" s="131" t="s">
        <v>219</v>
      </c>
      <c r="AV93" s="138"/>
      <c r="AW93" s="131"/>
      <c r="AX93" s="138"/>
      <c r="AY93" s="138"/>
      <c r="AZ93" s="138"/>
      <c r="BA93" s="139"/>
      <c r="BB93" s="137"/>
      <c r="BC93" s="138"/>
      <c r="BD93" s="138"/>
      <c r="BE93" s="131" t="s">
        <v>220</v>
      </c>
      <c r="BF93" s="138"/>
      <c r="BG93" s="131"/>
      <c r="BH93" s="138"/>
      <c r="BI93" s="138"/>
      <c r="BJ93" s="138"/>
      <c r="BK93" s="139"/>
      <c r="BL93" s="137"/>
      <c r="BM93" s="138"/>
      <c r="BN93" s="138"/>
      <c r="BO93" s="131" t="s">
        <v>221</v>
      </c>
      <c r="BP93" s="138"/>
      <c r="BQ93" s="131"/>
      <c r="BR93" s="138"/>
      <c r="BS93" s="138"/>
      <c r="BT93" s="138"/>
      <c r="BU93" s="139"/>
      <c r="BV93" s="137"/>
      <c r="BW93" s="138"/>
      <c r="BX93" s="138"/>
      <c r="BY93" s="131" t="s">
        <v>222</v>
      </c>
      <c r="BZ93" s="138"/>
      <c r="CA93" s="131"/>
      <c r="CB93" s="138"/>
      <c r="CC93" s="138"/>
      <c r="CD93" s="138"/>
      <c r="CE93" s="139"/>
      <c r="CF93" s="137"/>
      <c r="CG93" s="138"/>
      <c r="CH93" s="138"/>
      <c r="CI93" s="131" t="s">
        <v>223</v>
      </c>
      <c r="CJ93" s="138"/>
      <c r="CK93" s="131"/>
      <c r="CL93" s="138"/>
      <c r="CM93" s="138"/>
      <c r="CN93" s="138"/>
      <c r="CO93" s="139"/>
      <c r="CP93" s="137"/>
      <c r="CQ93" s="138"/>
      <c r="CR93" s="138"/>
      <c r="CS93" s="131"/>
      <c r="CT93" s="138"/>
      <c r="CU93" s="131" t="s">
        <v>224</v>
      </c>
      <c r="CV93" s="138"/>
      <c r="CW93" s="138"/>
      <c r="CX93" s="138"/>
      <c r="CY93" s="139"/>
      <c r="CZ93" s="137"/>
      <c r="DA93" s="138"/>
      <c r="DB93" s="138"/>
      <c r="DC93" s="131"/>
      <c r="DD93" s="138"/>
      <c r="DE93" s="131" t="s">
        <v>225</v>
      </c>
      <c r="DF93" s="138"/>
      <c r="DG93" s="138"/>
      <c r="DH93" s="138"/>
      <c r="DI93" s="139"/>
      <c r="DJ93" s="137"/>
      <c r="DK93" s="138"/>
      <c r="DL93" s="138"/>
      <c r="DM93" s="131"/>
      <c r="DN93" s="138"/>
      <c r="DO93" s="131" t="s">
        <v>226</v>
      </c>
      <c r="DP93" s="138"/>
      <c r="DQ93" s="138"/>
      <c r="DR93" s="138"/>
      <c r="DS93" s="139"/>
      <c r="DT93" s="137"/>
      <c r="DU93" s="138"/>
      <c r="DV93" s="138"/>
      <c r="DW93" s="131"/>
      <c r="DX93" s="131" t="s">
        <v>227</v>
      </c>
      <c r="DY93" s="131"/>
      <c r="DZ93" s="138"/>
      <c r="EA93" s="138"/>
      <c r="EB93" s="138"/>
      <c r="EC93" s="139"/>
    </row>
    <row r="94" spans="1:133" x14ac:dyDescent="0.25">
      <c r="A94" s="95">
        <v>42461</v>
      </c>
      <c r="B94" s="75">
        <v>268.75</v>
      </c>
      <c r="C94" s="75">
        <v>400.11904761904759</v>
      </c>
      <c r="D94" s="75">
        <v>228.40909090909091</v>
      </c>
      <c r="E94" s="75">
        <v>244.31818181818181</v>
      </c>
      <c r="F94" s="75">
        <v>230</v>
      </c>
      <c r="G94" s="75">
        <v>437.5</v>
      </c>
      <c r="H94" s="75">
        <v>389.77272727272725</v>
      </c>
      <c r="I94" s="75">
        <v>274.09090909090907</v>
      </c>
      <c r="J94" s="75">
        <v>271.96428571428572</v>
      </c>
      <c r="K94" s="75">
        <v>284.75</v>
      </c>
      <c r="N94" s="455" t="s">
        <v>152</v>
      </c>
      <c r="O94" s="463"/>
      <c r="P94" s="457" t="s">
        <v>153</v>
      </c>
      <c r="Q94" s="458"/>
      <c r="R94" s="456"/>
      <c r="S94" s="457" t="s">
        <v>290</v>
      </c>
      <c r="T94" s="458"/>
      <c r="U94" s="458"/>
      <c r="V94" s="458"/>
      <c r="W94" s="459"/>
      <c r="X94" s="455" t="s">
        <v>152</v>
      </c>
      <c r="Y94" s="463"/>
      <c r="Z94" s="457" t="s">
        <v>153</v>
      </c>
      <c r="AA94" s="458"/>
      <c r="AB94" s="456"/>
      <c r="AC94" s="457" t="s">
        <v>290</v>
      </c>
      <c r="AD94" s="458"/>
      <c r="AE94" s="458"/>
      <c r="AF94" s="458"/>
      <c r="AG94" s="459"/>
      <c r="AH94" s="455" t="s">
        <v>152</v>
      </c>
      <c r="AI94" s="463"/>
      <c r="AJ94" s="457" t="s">
        <v>153</v>
      </c>
      <c r="AK94" s="458"/>
      <c r="AL94" s="456"/>
      <c r="AM94" s="457" t="s">
        <v>290</v>
      </c>
      <c r="AN94" s="458"/>
      <c r="AO94" s="458"/>
      <c r="AP94" s="458"/>
      <c r="AQ94" s="459"/>
      <c r="AR94" s="455" t="s">
        <v>152</v>
      </c>
      <c r="AS94" s="463"/>
      <c r="AT94" s="457" t="s">
        <v>153</v>
      </c>
      <c r="AU94" s="458"/>
      <c r="AV94" s="456"/>
      <c r="AW94" s="457" t="s">
        <v>290</v>
      </c>
      <c r="AX94" s="458"/>
      <c r="AY94" s="458"/>
      <c r="AZ94" s="458"/>
      <c r="BA94" s="459"/>
      <c r="BB94" s="455" t="s">
        <v>152</v>
      </c>
      <c r="BC94" s="463"/>
      <c r="BD94" s="457" t="s">
        <v>153</v>
      </c>
      <c r="BE94" s="458"/>
      <c r="BF94" s="456"/>
      <c r="BG94" s="457" t="s">
        <v>290</v>
      </c>
      <c r="BH94" s="458"/>
      <c r="BI94" s="458"/>
      <c r="BJ94" s="458"/>
      <c r="BK94" s="459"/>
      <c r="BL94" s="455" t="s">
        <v>152</v>
      </c>
      <c r="BM94" s="463"/>
      <c r="BN94" s="457" t="s">
        <v>153</v>
      </c>
      <c r="BO94" s="458"/>
      <c r="BP94" s="456"/>
      <c r="BQ94" s="457" t="s">
        <v>290</v>
      </c>
      <c r="BR94" s="458"/>
      <c r="BS94" s="458"/>
      <c r="BT94" s="458"/>
      <c r="BU94" s="459"/>
      <c r="BV94" s="455" t="s">
        <v>152</v>
      </c>
      <c r="BW94" s="463"/>
      <c r="BX94" s="457" t="s">
        <v>153</v>
      </c>
      <c r="BY94" s="458"/>
      <c r="BZ94" s="456"/>
      <c r="CA94" s="457" t="s">
        <v>290</v>
      </c>
      <c r="CB94" s="458"/>
      <c r="CC94" s="458"/>
      <c r="CD94" s="458"/>
      <c r="CE94" s="459"/>
      <c r="CF94" s="455" t="s">
        <v>152</v>
      </c>
      <c r="CG94" s="463"/>
      <c r="CH94" s="457" t="s">
        <v>153</v>
      </c>
      <c r="CI94" s="458"/>
      <c r="CJ94" s="456"/>
      <c r="CK94" s="457" t="s">
        <v>290</v>
      </c>
      <c r="CL94" s="458"/>
      <c r="CM94" s="458"/>
      <c r="CN94" s="458"/>
      <c r="CO94" s="459"/>
      <c r="CP94" s="455" t="s">
        <v>152</v>
      </c>
      <c r="CQ94" s="463"/>
      <c r="CR94" s="457" t="s">
        <v>153</v>
      </c>
      <c r="CS94" s="458"/>
      <c r="CT94" s="456"/>
      <c r="CU94" s="457" t="s">
        <v>290</v>
      </c>
      <c r="CV94" s="458"/>
      <c r="CW94" s="458"/>
      <c r="CX94" s="458"/>
      <c r="CY94" s="459"/>
      <c r="CZ94" s="455" t="s">
        <v>152</v>
      </c>
      <c r="DA94" s="463"/>
      <c r="DB94" s="457" t="s">
        <v>153</v>
      </c>
      <c r="DC94" s="458"/>
      <c r="DD94" s="456"/>
      <c r="DE94" s="457" t="s">
        <v>290</v>
      </c>
      <c r="DF94" s="458"/>
      <c r="DG94" s="458"/>
      <c r="DH94" s="458"/>
      <c r="DI94" s="459"/>
      <c r="DJ94" s="455" t="s">
        <v>152</v>
      </c>
      <c r="DK94" s="463"/>
      <c r="DL94" s="457" t="s">
        <v>153</v>
      </c>
      <c r="DM94" s="458"/>
      <c r="DN94" s="456"/>
      <c r="DO94" s="457" t="s">
        <v>290</v>
      </c>
      <c r="DP94" s="458"/>
      <c r="DQ94" s="458"/>
      <c r="DR94" s="458"/>
      <c r="DS94" s="459"/>
      <c r="DT94" s="455" t="s">
        <v>152</v>
      </c>
      <c r="DU94" s="463"/>
      <c r="DV94" s="457" t="s">
        <v>153</v>
      </c>
      <c r="DW94" s="458"/>
      <c r="DX94" s="456"/>
      <c r="DY94" s="457" t="s">
        <v>290</v>
      </c>
      <c r="DZ94" s="458"/>
      <c r="EA94" s="458"/>
      <c r="EB94" s="458"/>
      <c r="EC94" s="459"/>
    </row>
    <row r="95" spans="1:133" x14ac:dyDescent="0.25">
      <c r="A95" s="95">
        <v>42491</v>
      </c>
      <c r="B95" s="75">
        <v>239.77272727272728</v>
      </c>
      <c r="C95" s="75">
        <v>300</v>
      </c>
      <c r="D95" s="75">
        <v>234.65909090909091</v>
      </c>
      <c r="E95" s="75">
        <v>250</v>
      </c>
      <c r="F95" s="75">
        <v>229.86111111111111</v>
      </c>
      <c r="G95" s="75">
        <v>437.5</v>
      </c>
      <c r="H95" s="75">
        <v>388.63636363636363</v>
      </c>
      <c r="I95" s="75">
        <v>274.65909090909093</v>
      </c>
      <c r="J95" s="75">
        <v>272.1875</v>
      </c>
      <c r="K95" s="75">
        <v>288.25</v>
      </c>
      <c r="N95" s="466" t="s">
        <v>291</v>
      </c>
      <c r="O95" s="450"/>
      <c r="P95" s="449" t="s">
        <v>291</v>
      </c>
      <c r="Q95" s="461"/>
      <c r="R95" s="450"/>
      <c r="S95" s="449" t="s">
        <v>291</v>
      </c>
      <c r="T95" s="461"/>
      <c r="U95" s="461"/>
      <c r="V95" s="461"/>
      <c r="W95" s="462"/>
      <c r="X95" s="466" t="s">
        <v>291</v>
      </c>
      <c r="Y95" s="450"/>
      <c r="Z95" s="449" t="s">
        <v>291</v>
      </c>
      <c r="AA95" s="461"/>
      <c r="AB95" s="450"/>
      <c r="AC95" s="449" t="s">
        <v>291</v>
      </c>
      <c r="AD95" s="461"/>
      <c r="AE95" s="461"/>
      <c r="AF95" s="461"/>
      <c r="AG95" s="462"/>
      <c r="AH95" s="466" t="s">
        <v>291</v>
      </c>
      <c r="AI95" s="450"/>
      <c r="AJ95" s="449" t="s">
        <v>291</v>
      </c>
      <c r="AK95" s="461"/>
      <c r="AL95" s="450"/>
      <c r="AM95" s="449" t="s">
        <v>291</v>
      </c>
      <c r="AN95" s="461"/>
      <c r="AO95" s="461"/>
      <c r="AP95" s="461"/>
      <c r="AQ95" s="462"/>
      <c r="AR95" s="466" t="s">
        <v>292</v>
      </c>
      <c r="AS95" s="479"/>
      <c r="AT95" s="449" t="s">
        <v>291</v>
      </c>
      <c r="AU95" s="461"/>
      <c r="AV95" s="450"/>
      <c r="AW95" s="449" t="s">
        <v>291</v>
      </c>
      <c r="AX95" s="461"/>
      <c r="AY95" s="461"/>
      <c r="AZ95" s="461"/>
      <c r="BA95" s="462"/>
      <c r="BB95" s="466" t="s">
        <v>291</v>
      </c>
      <c r="BC95" s="450"/>
      <c r="BD95" s="449" t="s">
        <v>291</v>
      </c>
      <c r="BE95" s="461"/>
      <c r="BF95" s="450"/>
      <c r="BG95" s="449" t="s">
        <v>291</v>
      </c>
      <c r="BH95" s="461"/>
      <c r="BI95" s="461"/>
      <c r="BJ95" s="461"/>
      <c r="BK95" s="462"/>
      <c r="BL95" s="464" t="s">
        <v>291</v>
      </c>
      <c r="BM95" s="465"/>
      <c r="BN95" s="449" t="s">
        <v>291</v>
      </c>
      <c r="BO95" s="461"/>
      <c r="BP95" s="450"/>
      <c r="BQ95" s="449" t="s">
        <v>291</v>
      </c>
      <c r="BR95" s="461"/>
      <c r="BS95" s="461"/>
      <c r="BT95" s="461"/>
      <c r="BU95" s="462"/>
      <c r="BV95" s="464" t="s">
        <v>291</v>
      </c>
      <c r="BW95" s="465"/>
      <c r="BX95" s="449" t="s">
        <v>291</v>
      </c>
      <c r="BY95" s="461"/>
      <c r="BZ95" s="450"/>
      <c r="CA95" s="449" t="s">
        <v>291</v>
      </c>
      <c r="CB95" s="461"/>
      <c r="CC95" s="461"/>
      <c r="CD95" s="461"/>
      <c r="CE95" s="462"/>
      <c r="CF95" s="464" t="s">
        <v>291</v>
      </c>
      <c r="CG95" s="465"/>
      <c r="CH95" s="449" t="s">
        <v>291</v>
      </c>
      <c r="CI95" s="461"/>
      <c r="CJ95" s="450"/>
      <c r="CK95" s="449" t="s">
        <v>291</v>
      </c>
      <c r="CL95" s="461"/>
      <c r="CM95" s="461"/>
      <c r="CN95" s="461"/>
      <c r="CO95" s="462"/>
      <c r="CP95" s="464" t="s">
        <v>291</v>
      </c>
      <c r="CQ95" s="465"/>
      <c r="CR95" s="449" t="s">
        <v>291</v>
      </c>
      <c r="CS95" s="461"/>
      <c r="CT95" s="450"/>
      <c r="CU95" s="449" t="s">
        <v>291</v>
      </c>
      <c r="CV95" s="461"/>
      <c r="CW95" s="461"/>
      <c r="CX95" s="461"/>
      <c r="CY95" s="462"/>
      <c r="CZ95" s="464" t="s">
        <v>291</v>
      </c>
      <c r="DA95" s="465"/>
      <c r="DB95" s="449" t="s">
        <v>291</v>
      </c>
      <c r="DC95" s="461"/>
      <c r="DD95" s="450"/>
      <c r="DE95" s="449" t="s">
        <v>291</v>
      </c>
      <c r="DF95" s="461"/>
      <c r="DG95" s="461"/>
      <c r="DH95" s="461"/>
      <c r="DI95" s="462"/>
      <c r="DJ95" s="464" t="s">
        <v>291</v>
      </c>
      <c r="DK95" s="465"/>
      <c r="DL95" s="449" t="s">
        <v>291</v>
      </c>
      <c r="DM95" s="461"/>
      <c r="DN95" s="450"/>
      <c r="DO95" s="449" t="s">
        <v>291</v>
      </c>
      <c r="DP95" s="461"/>
      <c r="DQ95" s="461"/>
      <c r="DR95" s="461"/>
      <c r="DS95" s="462"/>
      <c r="DT95" s="464" t="s">
        <v>291</v>
      </c>
      <c r="DU95" s="465"/>
      <c r="DV95" s="449" t="s">
        <v>291</v>
      </c>
      <c r="DW95" s="461"/>
      <c r="DX95" s="450"/>
      <c r="DY95" s="449" t="s">
        <v>291</v>
      </c>
      <c r="DZ95" s="461"/>
      <c r="EA95" s="461"/>
      <c r="EB95" s="461"/>
      <c r="EC95" s="462"/>
    </row>
    <row r="96" spans="1:133" x14ac:dyDescent="0.25">
      <c r="A96" s="95">
        <v>42522</v>
      </c>
      <c r="B96" s="75">
        <v>319.69696969696969</v>
      </c>
      <c r="C96" s="75"/>
      <c r="D96" s="75">
        <v>234.09090909090909</v>
      </c>
      <c r="E96" s="75">
        <v>251.5151515151515</v>
      </c>
      <c r="F96" s="75">
        <v>231.29629629629628</v>
      </c>
      <c r="G96" s="75">
        <v>437.5</v>
      </c>
      <c r="H96" s="75">
        <v>386.36363636363637</v>
      </c>
      <c r="I96" s="75">
        <v>274.09090909090907</v>
      </c>
      <c r="J96" s="75">
        <v>272.61904761904759</v>
      </c>
      <c r="K96" s="75">
        <v>297.16666666666669</v>
      </c>
      <c r="N96" s="430" t="s">
        <v>163</v>
      </c>
      <c r="O96" s="422" t="s">
        <v>155</v>
      </c>
      <c r="P96" s="422" t="s">
        <v>293</v>
      </c>
      <c r="Q96" s="422" t="s">
        <v>294</v>
      </c>
      <c r="R96" s="422" t="s">
        <v>295</v>
      </c>
      <c r="S96" s="424" t="s">
        <v>296</v>
      </c>
      <c r="T96" s="425"/>
      <c r="U96" s="426" t="s">
        <v>297</v>
      </c>
      <c r="V96" s="426" t="s">
        <v>162</v>
      </c>
      <c r="W96" s="428" t="s">
        <v>163</v>
      </c>
      <c r="X96" s="430" t="s">
        <v>163</v>
      </c>
      <c r="Y96" s="422" t="s">
        <v>155</v>
      </c>
      <c r="Z96" s="422" t="s">
        <v>293</v>
      </c>
      <c r="AA96" s="422" t="s">
        <v>294</v>
      </c>
      <c r="AB96" s="422" t="s">
        <v>295</v>
      </c>
      <c r="AC96" s="424" t="s">
        <v>296</v>
      </c>
      <c r="AD96" s="425"/>
      <c r="AE96" s="426" t="s">
        <v>297</v>
      </c>
      <c r="AF96" s="426" t="s">
        <v>162</v>
      </c>
      <c r="AG96" s="428" t="s">
        <v>163</v>
      </c>
      <c r="AH96" s="430" t="s">
        <v>163</v>
      </c>
      <c r="AI96" s="422" t="s">
        <v>155</v>
      </c>
      <c r="AJ96" s="422" t="s">
        <v>293</v>
      </c>
      <c r="AK96" s="422" t="s">
        <v>294</v>
      </c>
      <c r="AL96" s="422" t="s">
        <v>295</v>
      </c>
      <c r="AM96" s="424" t="s">
        <v>296</v>
      </c>
      <c r="AN96" s="425"/>
      <c r="AO96" s="426" t="s">
        <v>297</v>
      </c>
      <c r="AP96" s="426" t="s">
        <v>162</v>
      </c>
      <c r="AQ96" s="428" t="s">
        <v>163</v>
      </c>
      <c r="AR96" s="430" t="s">
        <v>163</v>
      </c>
      <c r="AS96" s="422" t="s">
        <v>155</v>
      </c>
      <c r="AT96" s="422" t="s">
        <v>293</v>
      </c>
      <c r="AU96" s="422" t="s">
        <v>294</v>
      </c>
      <c r="AV96" s="422" t="s">
        <v>295</v>
      </c>
      <c r="AW96" s="424" t="s">
        <v>296</v>
      </c>
      <c r="AX96" s="425"/>
      <c r="AY96" s="426" t="s">
        <v>297</v>
      </c>
      <c r="AZ96" s="426" t="s">
        <v>162</v>
      </c>
      <c r="BA96" s="428" t="s">
        <v>163</v>
      </c>
      <c r="BB96" s="430" t="s">
        <v>163</v>
      </c>
      <c r="BC96" s="422" t="s">
        <v>155</v>
      </c>
      <c r="BD96" s="422" t="s">
        <v>293</v>
      </c>
      <c r="BE96" s="422" t="s">
        <v>294</v>
      </c>
      <c r="BF96" s="422" t="s">
        <v>295</v>
      </c>
      <c r="BG96" s="424" t="s">
        <v>296</v>
      </c>
      <c r="BH96" s="425"/>
      <c r="BI96" s="426" t="s">
        <v>297</v>
      </c>
      <c r="BJ96" s="426" t="s">
        <v>162</v>
      </c>
      <c r="BK96" s="428" t="s">
        <v>163</v>
      </c>
      <c r="BL96" s="430" t="s">
        <v>163</v>
      </c>
      <c r="BM96" s="422" t="s">
        <v>155</v>
      </c>
      <c r="BN96" s="422" t="s">
        <v>293</v>
      </c>
      <c r="BO96" s="422" t="s">
        <v>294</v>
      </c>
      <c r="BP96" s="422" t="s">
        <v>295</v>
      </c>
      <c r="BQ96" s="424" t="s">
        <v>296</v>
      </c>
      <c r="BR96" s="425"/>
      <c r="BS96" s="426" t="s">
        <v>297</v>
      </c>
      <c r="BT96" s="426" t="s">
        <v>162</v>
      </c>
      <c r="BU96" s="428" t="s">
        <v>163</v>
      </c>
      <c r="BV96" s="430" t="s">
        <v>163</v>
      </c>
      <c r="BW96" s="422" t="s">
        <v>155</v>
      </c>
      <c r="BX96" s="422" t="s">
        <v>293</v>
      </c>
      <c r="BY96" s="422" t="s">
        <v>294</v>
      </c>
      <c r="BZ96" s="422" t="s">
        <v>295</v>
      </c>
      <c r="CA96" s="424" t="s">
        <v>296</v>
      </c>
      <c r="CB96" s="425"/>
      <c r="CC96" s="426" t="s">
        <v>297</v>
      </c>
      <c r="CD96" s="426" t="s">
        <v>162</v>
      </c>
      <c r="CE96" s="428" t="s">
        <v>163</v>
      </c>
      <c r="CF96" s="430" t="s">
        <v>163</v>
      </c>
      <c r="CG96" s="422" t="s">
        <v>155</v>
      </c>
      <c r="CH96" s="422" t="s">
        <v>293</v>
      </c>
      <c r="CI96" s="422" t="s">
        <v>294</v>
      </c>
      <c r="CJ96" s="422" t="s">
        <v>295</v>
      </c>
      <c r="CK96" s="424" t="s">
        <v>296</v>
      </c>
      <c r="CL96" s="425"/>
      <c r="CM96" s="426" t="s">
        <v>297</v>
      </c>
      <c r="CN96" s="426" t="s">
        <v>162</v>
      </c>
      <c r="CO96" s="428" t="s">
        <v>163</v>
      </c>
      <c r="CP96" s="430" t="s">
        <v>163</v>
      </c>
      <c r="CQ96" s="422" t="s">
        <v>155</v>
      </c>
      <c r="CR96" s="422" t="s">
        <v>293</v>
      </c>
      <c r="CS96" s="422" t="s">
        <v>294</v>
      </c>
      <c r="CT96" s="422" t="s">
        <v>295</v>
      </c>
      <c r="CU96" s="424" t="s">
        <v>296</v>
      </c>
      <c r="CV96" s="425"/>
      <c r="CW96" s="426" t="s">
        <v>297</v>
      </c>
      <c r="CX96" s="426" t="s">
        <v>162</v>
      </c>
      <c r="CY96" s="428" t="s">
        <v>163</v>
      </c>
      <c r="CZ96" s="430" t="s">
        <v>163</v>
      </c>
      <c r="DA96" s="422" t="s">
        <v>155</v>
      </c>
      <c r="DB96" s="422" t="s">
        <v>293</v>
      </c>
      <c r="DC96" s="422" t="s">
        <v>294</v>
      </c>
      <c r="DD96" s="422" t="s">
        <v>295</v>
      </c>
      <c r="DE96" s="424" t="s">
        <v>296</v>
      </c>
      <c r="DF96" s="425"/>
      <c r="DG96" s="426" t="s">
        <v>297</v>
      </c>
      <c r="DH96" s="426" t="s">
        <v>162</v>
      </c>
      <c r="DI96" s="428" t="s">
        <v>163</v>
      </c>
      <c r="DJ96" s="430" t="s">
        <v>163</v>
      </c>
      <c r="DK96" s="422" t="s">
        <v>155</v>
      </c>
      <c r="DL96" s="422" t="s">
        <v>293</v>
      </c>
      <c r="DM96" s="422" t="s">
        <v>294</v>
      </c>
      <c r="DN96" s="422" t="s">
        <v>295</v>
      </c>
      <c r="DO96" s="424" t="s">
        <v>296</v>
      </c>
      <c r="DP96" s="425"/>
      <c r="DQ96" s="426" t="s">
        <v>297</v>
      </c>
      <c r="DR96" s="426" t="s">
        <v>162</v>
      </c>
      <c r="DS96" s="428" t="s">
        <v>163</v>
      </c>
      <c r="DT96" s="430" t="s">
        <v>163</v>
      </c>
      <c r="DU96" s="422" t="s">
        <v>155</v>
      </c>
      <c r="DV96" s="422" t="s">
        <v>293</v>
      </c>
      <c r="DW96" s="422" t="s">
        <v>294</v>
      </c>
      <c r="DX96" s="422" t="s">
        <v>295</v>
      </c>
      <c r="DY96" s="424" t="s">
        <v>296</v>
      </c>
      <c r="DZ96" s="425"/>
      <c r="EA96" s="426" t="s">
        <v>297</v>
      </c>
      <c r="EB96" s="426" t="s">
        <v>162</v>
      </c>
      <c r="EC96" s="428" t="s">
        <v>163</v>
      </c>
    </row>
    <row r="97" spans="1:133" x14ac:dyDescent="0.25">
      <c r="A97" s="95">
        <v>42552</v>
      </c>
      <c r="B97" s="75">
        <v>382.27272727272725</v>
      </c>
      <c r="C97" s="75"/>
      <c r="D97" s="75">
        <v>235</v>
      </c>
      <c r="E97" s="75">
        <v>252.72727272727272</v>
      </c>
      <c r="F97" s="75">
        <v>230</v>
      </c>
      <c r="G97" s="75">
        <v>437.5</v>
      </c>
      <c r="H97" s="75">
        <v>385.90909090909093</v>
      </c>
      <c r="I97" s="75">
        <v>274.09090909090907</v>
      </c>
      <c r="J97" s="75">
        <v>272.71428571428572</v>
      </c>
      <c r="K97" s="75">
        <v>293.55555555555554</v>
      </c>
      <c r="N97" s="431"/>
      <c r="O97" s="423"/>
      <c r="P97" s="423"/>
      <c r="Q97" s="423"/>
      <c r="R97" s="423"/>
      <c r="S97" s="146" t="s">
        <v>159</v>
      </c>
      <c r="T97" s="146" t="s">
        <v>160</v>
      </c>
      <c r="U97" s="427"/>
      <c r="V97" s="427"/>
      <c r="W97" s="429"/>
      <c r="X97" s="431"/>
      <c r="Y97" s="423"/>
      <c r="Z97" s="423"/>
      <c r="AA97" s="423"/>
      <c r="AB97" s="423"/>
      <c r="AC97" s="146" t="s">
        <v>159</v>
      </c>
      <c r="AD97" s="146" t="s">
        <v>298</v>
      </c>
      <c r="AE97" s="427"/>
      <c r="AF97" s="427"/>
      <c r="AG97" s="429"/>
      <c r="AH97" s="431"/>
      <c r="AI97" s="423"/>
      <c r="AJ97" s="423"/>
      <c r="AK97" s="423"/>
      <c r="AL97" s="423"/>
      <c r="AM97" s="146" t="s">
        <v>159</v>
      </c>
      <c r="AN97" s="146" t="s">
        <v>298</v>
      </c>
      <c r="AO97" s="427"/>
      <c r="AP97" s="427"/>
      <c r="AQ97" s="429"/>
      <c r="AR97" s="431"/>
      <c r="AS97" s="423"/>
      <c r="AT97" s="423"/>
      <c r="AU97" s="423"/>
      <c r="AV97" s="423"/>
      <c r="AW97" s="146" t="s">
        <v>159</v>
      </c>
      <c r="AX97" s="146" t="s">
        <v>298</v>
      </c>
      <c r="AY97" s="427"/>
      <c r="AZ97" s="427"/>
      <c r="BA97" s="429"/>
      <c r="BB97" s="431"/>
      <c r="BC97" s="423"/>
      <c r="BD97" s="423"/>
      <c r="BE97" s="423"/>
      <c r="BF97" s="423"/>
      <c r="BG97" s="146" t="s">
        <v>159</v>
      </c>
      <c r="BH97" s="146" t="s">
        <v>298</v>
      </c>
      <c r="BI97" s="427"/>
      <c r="BJ97" s="427"/>
      <c r="BK97" s="429"/>
      <c r="BL97" s="431"/>
      <c r="BM97" s="423"/>
      <c r="BN97" s="423"/>
      <c r="BO97" s="423"/>
      <c r="BP97" s="423"/>
      <c r="BQ97" s="146" t="s">
        <v>159</v>
      </c>
      <c r="BR97" s="146" t="s">
        <v>298</v>
      </c>
      <c r="BS97" s="427"/>
      <c r="BT97" s="427"/>
      <c r="BU97" s="429"/>
      <c r="BV97" s="431"/>
      <c r="BW97" s="423"/>
      <c r="BX97" s="423"/>
      <c r="BY97" s="423"/>
      <c r="BZ97" s="423"/>
      <c r="CA97" s="146" t="s">
        <v>159</v>
      </c>
      <c r="CB97" s="146" t="s">
        <v>298</v>
      </c>
      <c r="CC97" s="427"/>
      <c r="CD97" s="427"/>
      <c r="CE97" s="429"/>
      <c r="CF97" s="431"/>
      <c r="CG97" s="423"/>
      <c r="CH97" s="423"/>
      <c r="CI97" s="423"/>
      <c r="CJ97" s="423"/>
      <c r="CK97" s="146" t="s">
        <v>159</v>
      </c>
      <c r="CL97" s="146" t="s">
        <v>298</v>
      </c>
      <c r="CM97" s="427"/>
      <c r="CN97" s="427"/>
      <c r="CO97" s="429"/>
      <c r="CP97" s="431"/>
      <c r="CQ97" s="423"/>
      <c r="CR97" s="423"/>
      <c r="CS97" s="423"/>
      <c r="CT97" s="423"/>
      <c r="CU97" s="146" t="s">
        <v>159</v>
      </c>
      <c r="CV97" s="146" t="s">
        <v>160</v>
      </c>
      <c r="CW97" s="427"/>
      <c r="CX97" s="427"/>
      <c r="CY97" s="429"/>
      <c r="CZ97" s="431"/>
      <c r="DA97" s="423"/>
      <c r="DB97" s="423"/>
      <c r="DC97" s="423"/>
      <c r="DD97" s="423"/>
      <c r="DE97" s="146" t="s">
        <v>159</v>
      </c>
      <c r="DF97" s="146" t="s">
        <v>160</v>
      </c>
      <c r="DG97" s="427"/>
      <c r="DH97" s="427"/>
      <c r="DI97" s="429"/>
      <c r="DJ97" s="431"/>
      <c r="DK97" s="423"/>
      <c r="DL97" s="423"/>
      <c r="DM97" s="423"/>
      <c r="DN97" s="423"/>
      <c r="DO97" s="146" t="s">
        <v>159</v>
      </c>
      <c r="DP97" s="146" t="s">
        <v>160</v>
      </c>
      <c r="DQ97" s="427"/>
      <c r="DR97" s="427"/>
      <c r="DS97" s="429"/>
      <c r="DT97" s="431"/>
      <c r="DU97" s="423"/>
      <c r="DV97" s="423"/>
      <c r="DW97" s="423"/>
      <c r="DX97" s="423"/>
      <c r="DY97" s="146" t="s">
        <v>159</v>
      </c>
      <c r="DZ97" s="146" t="s">
        <v>160</v>
      </c>
      <c r="EA97" s="427"/>
      <c r="EB97" s="427"/>
      <c r="EC97" s="429"/>
    </row>
    <row r="98" spans="1:133" x14ac:dyDescent="0.25">
      <c r="A98" s="95">
        <v>42583</v>
      </c>
      <c r="B98" s="75">
        <v>466.21212121212125</v>
      </c>
      <c r="C98" s="75">
        <v>463.63636363636363</v>
      </c>
      <c r="D98" s="75">
        <v>232.95454545454547</v>
      </c>
      <c r="E98" s="75">
        <v>253.63636363636363</v>
      </c>
      <c r="F98" s="75">
        <v>234.77272727272728</v>
      </c>
      <c r="G98" s="75">
        <v>437.5</v>
      </c>
      <c r="H98" s="75">
        <v>276.36363636363637</v>
      </c>
      <c r="I98" s="75">
        <v>274.27272727272725</v>
      </c>
      <c r="J98" s="75">
        <v>272.75</v>
      </c>
      <c r="K98" s="75">
        <v>288.33333333333331</v>
      </c>
      <c r="N98" s="102"/>
      <c r="O98" s="104">
        <v>400</v>
      </c>
      <c r="P98" s="104">
        <v>250</v>
      </c>
      <c r="Q98" s="104">
        <v>300</v>
      </c>
      <c r="R98" s="104">
        <v>250</v>
      </c>
      <c r="S98" s="104">
        <v>450</v>
      </c>
      <c r="T98" s="104">
        <v>450</v>
      </c>
      <c r="U98" s="104">
        <v>300</v>
      </c>
      <c r="V98" s="104">
        <v>300</v>
      </c>
      <c r="W98" s="152">
        <v>300</v>
      </c>
      <c r="X98" s="102">
        <v>300</v>
      </c>
      <c r="Y98" s="104">
        <v>350</v>
      </c>
      <c r="Z98" s="104">
        <v>262.5</v>
      </c>
      <c r="AA98" s="104">
        <v>287.5</v>
      </c>
      <c r="AB98" s="104">
        <v>250</v>
      </c>
      <c r="AC98" s="104">
        <v>450</v>
      </c>
      <c r="AD98" s="104">
        <v>450</v>
      </c>
      <c r="AE98" s="104">
        <v>300</v>
      </c>
      <c r="AF98" s="104">
        <v>300</v>
      </c>
      <c r="AG98" s="152">
        <v>300</v>
      </c>
      <c r="AH98" s="102">
        <v>265</v>
      </c>
      <c r="AI98" s="104">
        <v>320</v>
      </c>
      <c r="AJ98" s="104">
        <v>270</v>
      </c>
      <c r="AK98" s="104">
        <v>275</v>
      </c>
      <c r="AL98" s="104">
        <v>250</v>
      </c>
      <c r="AM98" s="104">
        <v>450</v>
      </c>
      <c r="AN98" s="104">
        <v>450</v>
      </c>
      <c r="AO98" s="104">
        <v>300</v>
      </c>
      <c r="AP98" s="104">
        <v>300</v>
      </c>
      <c r="AQ98" s="152">
        <v>300</v>
      </c>
      <c r="AR98" s="102">
        <v>200</v>
      </c>
      <c r="AS98" s="104">
        <v>262.5</v>
      </c>
      <c r="AT98" s="104">
        <v>262.5</v>
      </c>
      <c r="AU98" s="104">
        <v>275</v>
      </c>
      <c r="AV98" s="104">
        <v>250</v>
      </c>
      <c r="AW98" s="104">
        <v>450</v>
      </c>
      <c r="AX98" s="104">
        <v>450</v>
      </c>
      <c r="AY98" s="104">
        <v>300</v>
      </c>
      <c r="AZ98" s="104">
        <v>300</v>
      </c>
      <c r="BA98" s="152">
        <v>300</v>
      </c>
      <c r="BB98" s="102">
        <v>208.33333333333334</v>
      </c>
      <c r="BC98" s="104">
        <v>275</v>
      </c>
      <c r="BD98" s="104">
        <v>258.33333333333331</v>
      </c>
      <c r="BE98" s="104">
        <v>275</v>
      </c>
      <c r="BF98" s="104">
        <v>250</v>
      </c>
      <c r="BG98" s="104">
        <v>450</v>
      </c>
      <c r="BH98" s="104">
        <v>450</v>
      </c>
      <c r="BI98" s="104">
        <v>300</v>
      </c>
      <c r="BJ98" s="104">
        <v>300</v>
      </c>
      <c r="BK98" s="152">
        <v>300</v>
      </c>
      <c r="BL98" s="102">
        <v>360</v>
      </c>
      <c r="BM98" s="104">
        <v>300</v>
      </c>
      <c r="BN98" s="104">
        <v>255</v>
      </c>
      <c r="BO98" s="104">
        <v>275</v>
      </c>
      <c r="BP98" s="104">
        <v>250</v>
      </c>
      <c r="BQ98" s="104">
        <v>450</v>
      </c>
      <c r="BR98" s="104">
        <v>450</v>
      </c>
      <c r="BS98" s="104">
        <v>260</v>
      </c>
      <c r="BT98" s="104">
        <v>260</v>
      </c>
      <c r="BU98" s="152">
        <v>275</v>
      </c>
      <c r="BV98" s="102">
        <v>400</v>
      </c>
      <c r="BW98" s="104"/>
      <c r="BX98" s="104">
        <v>262.5</v>
      </c>
      <c r="BY98" s="104">
        <v>275</v>
      </c>
      <c r="BZ98" s="104">
        <v>250</v>
      </c>
      <c r="CA98" s="104">
        <v>462.5</v>
      </c>
      <c r="CB98" s="104">
        <v>450</v>
      </c>
      <c r="CC98" s="104">
        <v>260</v>
      </c>
      <c r="CD98" s="104">
        <v>260</v>
      </c>
      <c r="CE98" s="152">
        <v>281.25</v>
      </c>
      <c r="CF98" s="102">
        <v>466.66666666666669</v>
      </c>
      <c r="CG98" s="104">
        <v>525</v>
      </c>
      <c r="CH98" s="104">
        <v>250</v>
      </c>
      <c r="CI98" s="104">
        <v>256.25</v>
      </c>
      <c r="CJ98" s="104">
        <v>250</v>
      </c>
      <c r="CK98" s="104">
        <v>500</v>
      </c>
      <c r="CL98" s="104">
        <v>450</v>
      </c>
      <c r="CM98" s="104">
        <v>260</v>
      </c>
      <c r="CN98" s="104">
        <v>260</v>
      </c>
      <c r="CO98" s="152">
        <v>287.5</v>
      </c>
      <c r="CP98" s="102"/>
      <c r="CQ98" s="104">
        <v>433.33333333333331</v>
      </c>
      <c r="CR98" s="104">
        <v>258.33333333333331</v>
      </c>
      <c r="CS98" s="104">
        <v>275</v>
      </c>
      <c r="CT98" s="104">
        <v>250</v>
      </c>
      <c r="CU98" s="104">
        <v>475</v>
      </c>
      <c r="CV98" s="104">
        <v>445</v>
      </c>
      <c r="CW98" s="104">
        <v>260</v>
      </c>
      <c r="CX98" s="104">
        <v>260</v>
      </c>
      <c r="CY98" s="152">
        <v>300</v>
      </c>
      <c r="CZ98" s="102"/>
      <c r="DA98" s="104">
        <v>287.5</v>
      </c>
      <c r="DB98" s="104">
        <v>193.75</v>
      </c>
      <c r="DC98" s="104">
        <v>206.25</v>
      </c>
      <c r="DD98" s="104">
        <v>187.5</v>
      </c>
      <c r="DE98" s="104">
        <v>375</v>
      </c>
      <c r="DF98" s="104">
        <v>337.5</v>
      </c>
      <c r="DG98" s="104">
        <v>195</v>
      </c>
      <c r="DH98" s="104">
        <v>195</v>
      </c>
      <c r="DI98" s="152">
        <v>220</v>
      </c>
      <c r="DJ98" s="102"/>
      <c r="DK98" s="104">
        <v>366.66666666666669</v>
      </c>
      <c r="DL98" s="104">
        <v>250</v>
      </c>
      <c r="DM98" s="104">
        <v>266.66666666666669</v>
      </c>
      <c r="DN98" s="104">
        <v>250</v>
      </c>
      <c r="DO98" s="104">
        <v>483.33333333333331</v>
      </c>
      <c r="DP98" s="104">
        <v>450</v>
      </c>
      <c r="DQ98" s="104">
        <v>260</v>
      </c>
      <c r="DR98" s="104">
        <v>260</v>
      </c>
      <c r="DS98" s="152">
        <v>283.33333333333331</v>
      </c>
      <c r="DT98" s="102"/>
      <c r="DU98" s="104">
        <v>416.66666666666669</v>
      </c>
      <c r="DV98" s="104">
        <v>250</v>
      </c>
      <c r="DW98" s="104">
        <v>258.33333333333331</v>
      </c>
      <c r="DX98" s="104">
        <v>250</v>
      </c>
      <c r="DY98" s="104">
        <v>475</v>
      </c>
      <c r="DZ98" s="104">
        <v>450</v>
      </c>
      <c r="EA98" s="104">
        <v>260</v>
      </c>
      <c r="EB98" s="104">
        <v>260</v>
      </c>
      <c r="EC98" s="152">
        <v>283.33333333333331</v>
      </c>
    </row>
    <row r="99" spans="1:133" x14ac:dyDescent="0.25">
      <c r="A99" s="95">
        <v>42614</v>
      </c>
      <c r="B99" s="75"/>
      <c r="C99" s="75">
        <v>392.42424242424238</v>
      </c>
      <c r="D99" s="75">
        <v>235.15151515151513</v>
      </c>
      <c r="E99" s="75">
        <v>254.39393939393938</v>
      </c>
      <c r="F99" s="75">
        <v>240.20833333333334</v>
      </c>
      <c r="G99" s="75">
        <v>437.5</v>
      </c>
      <c r="H99" s="75">
        <v>389.39393939393938</v>
      </c>
      <c r="I99" s="75">
        <v>276.66666666666663</v>
      </c>
      <c r="J99" s="75">
        <v>273.57142857142856</v>
      </c>
      <c r="K99" s="75">
        <v>286.38888888888891</v>
      </c>
      <c r="N99" s="102"/>
      <c r="O99" s="104">
        <v>383.33333333333331</v>
      </c>
      <c r="P99" s="104">
        <v>216.66666666666666</v>
      </c>
      <c r="Q99" s="104">
        <v>233.33333333333334</v>
      </c>
      <c r="R99" s="104">
        <v>208.33333333333334</v>
      </c>
      <c r="S99" s="104">
        <v>500</v>
      </c>
      <c r="T99" s="104">
        <v>440</v>
      </c>
      <c r="U99" s="104">
        <v>285</v>
      </c>
      <c r="V99" s="104"/>
      <c r="W99" s="152">
        <v>280</v>
      </c>
      <c r="X99" s="102">
        <v>350</v>
      </c>
      <c r="Y99" s="104">
        <v>400</v>
      </c>
      <c r="Z99" s="104">
        <v>225</v>
      </c>
      <c r="AA99" s="104">
        <v>237.5</v>
      </c>
      <c r="AB99" s="104">
        <v>225</v>
      </c>
      <c r="AC99" s="104">
        <v>500</v>
      </c>
      <c r="AD99" s="104">
        <v>440</v>
      </c>
      <c r="AE99" s="104">
        <v>285</v>
      </c>
      <c r="AF99" s="104"/>
      <c r="AG99" s="152">
        <v>280</v>
      </c>
      <c r="AH99" s="102">
        <v>250</v>
      </c>
      <c r="AI99" s="104">
        <v>300</v>
      </c>
      <c r="AJ99" s="104">
        <v>240</v>
      </c>
      <c r="AK99" s="104">
        <v>245</v>
      </c>
      <c r="AL99" s="104">
        <v>245</v>
      </c>
      <c r="AM99" s="104">
        <v>465</v>
      </c>
      <c r="AN99" s="104">
        <v>440</v>
      </c>
      <c r="AO99" s="104">
        <v>285</v>
      </c>
      <c r="AP99" s="104"/>
      <c r="AQ99" s="152">
        <v>270</v>
      </c>
      <c r="AR99" s="102">
        <v>181.25</v>
      </c>
      <c r="AS99" s="104">
        <v>243.75</v>
      </c>
      <c r="AT99" s="104">
        <v>255</v>
      </c>
      <c r="AU99" s="104">
        <v>275</v>
      </c>
      <c r="AV99" s="104">
        <v>250</v>
      </c>
      <c r="AW99" s="104">
        <v>462.5</v>
      </c>
      <c r="AX99" s="104">
        <v>436.25</v>
      </c>
      <c r="AY99" s="104">
        <v>285</v>
      </c>
      <c r="AZ99" s="104">
        <v>275</v>
      </c>
      <c r="BA99" s="152">
        <v>277.5</v>
      </c>
      <c r="BB99" s="102">
        <v>183.33333333333334</v>
      </c>
      <c r="BC99" s="104">
        <v>225</v>
      </c>
      <c r="BD99" s="104">
        <v>250</v>
      </c>
      <c r="BE99" s="104">
        <v>258.33333333333331</v>
      </c>
      <c r="BF99" s="104">
        <v>241.66666666666666</v>
      </c>
      <c r="BG99" s="104">
        <v>500</v>
      </c>
      <c r="BH99" s="104">
        <v>440</v>
      </c>
      <c r="BI99" s="104">
        <v>285</v>
      </c>
      <c r="BJ99" s="104">
        <v>287.5</v>
      </c>
      <c r="BK99" s="152">
        <v>275</v>
      </c>
      <c r="BL99" s="102">
        <v>320</v>
      </c>
      <c r="BM99" s="104"/>
      <c r="BN99" s="104">
        <v>250</v>
      </c>
      <c r="BO99" s="104">
        <v>270</v>
      </c>
      <c r="BP99" s="104">
        <v>250</v>
      </c>
      <c r="BQ99" s="104">
        <v>500</v>
      </c>
      <c r="BR99" s="104">
        <v>431</v>
      </c>
      <c r="BS99" s="104">
        <v>267</v>
      </c>
      <c r="BT99" s="104">
        <v>267.5</v>
      </c>
      <c r="BU99" s="152">
        <v>275</v>
      </c>
      <c r="BV99" s="102">
        <v>412.5</v>
      </c>
      <c r="BW99" s="104"/>
      <c r="BX99" s="104">
        <v>250</v>
      </c>
      <c r="BY99" s="104">
        <v>256.25</v>
      </c>
      <c r="BZ99" s="104">
        <v>250</v>
      </c>
      <c r="CA99" s="104">
        <v>500</v>
      </c>
      <c r="CB99" s="104">
        <v>440</v>
      </c>
      <c r="CC99" s="104">
        <v>265</v>
      </c>
      <c r="CD99" s="104">
        <v>265</v>
      </c>
      <c r="CE99" s="152">
        <v>272.5</v>
      </c>
      <c r="CF99" s="102">
        <v>450</v>
      </c>
      <c r="CG99" s="104">
        <v>525</v>
      </c>
      <c r="CH99" s="104">
        <v>250</v>
      </c>
      <c r="CI99" s="104">
        <v>250</v>
      </c>
      <c r="CJ99" s="104">
        <v>250</v>
      </c>
      <c r="CK99" s="104">
        <v>500</v>
      </c>
      <c r="CL99" s="104">
        <v>440</v>
      </c>
      <c r="CM99" s="104">
        <v>265</v>
      </c>
      <c r="CN99" s="104">
        <v>268.33333333333331</v>
      </c>
      <c r="CO99" s="152">
        <v>275</v>
      </c>
      <c r="CP99" s="102"/>
      <c r="CQ99" s="104">
        <v>450</v>
      </c>
      <c r="CR99" s="104">
        <v>250</v>
      </c>
      <c r="CS99" s="104">
        <v>250</v>
      </c>
      <c r="CT99" s="104">
        <v>250</v>
      </c>
      <c r="CU99" s="104">
        <v>500</v>
      </c>
      <c r="CV99" s="104">
        <v>446.66666666666669</v>
      </c>
      <c r="CW99" s="104">
        <v>265</v>
      </c>
      <c r="CX99" s="104">
        <v>265</v>
      </c>
      <c r="CY99" s="152">
        <v>287.5</v>
      </c>
      <c r="CZ99" s="102"/>
      <c r="DA99" s="104">
        <v>287.5</v>
      </c>
      <c r="DB99" s="104">
        <v>187.5</v>
      </c>
      <c r="DC99" s="104">
        <v>187.5</v>
      </c>
      <c r="DD99" s="104">
        <v>187.5</v>
      </c>
      <c r="DE99" s="104">
        <v>375</v>
      </c>
      <c r="DF99" s="104">
        <v>330</v>
      </c>
      <c r="DG99" s="104">
        <v>198.75</v>
      </c>
      <c r="DH99" s="104">
        <v>176.66666666666666</v>
      </c>
      <c r="DI99" s="152">
        <v>173.33333333333334</v>
      </c>
      <c r="DJ99" s="102"/>
      <c r="DK99" s="104">
        <v>300</v>
      </c>
      <c r="DL99" s="104">
        <v>250</v>
      </c>
      <c r="DM99" s="104">
        <v>258.33333333333331</v>
      </c>
      <c r="DN99" s="104">
        <v>241.66666666666666</v>
      </c>
      <c r="DO99" s="104">
        <v>500</v>
      </c>
      <c r="DP99" s="104">
        <v>440</v>
      </c>
      <c r="DQ99" s="104">
        <v>265</v>
      </c>
      <c r="DR99" s="104">
        <v>258.33333333333331</v>
      </c>
      <c r="DS99" s="152">
        <v>253.33333333333334</v>
      </c>
      <c r="DT99" s="102"/>
      <c r="DU99" s="104">
        <v>400</v>
      </c>
      <c r="DV99" s="104">
        <v>250</v>
      </c>
      <c r="DW99" s="104">
        <v>225</v>
      </c>
      <c r="DX99" s="104">
        <v>218.33333333333334</v>
      </c>
      <c r="DY99" s="104">
        <v>500</v>
      </c>
      <c r="DZ99" s="104">
        <v>443.33333333333331</v>
      </c>
      <c r="EA99" s="104">
        <v>263.33333333333331</v>
      </c>
      <c r="EB99" s="104">
        <v>258.33333333333331</v>
      </c>
      <c r="EC99" s="152">
        <v>250</v>
      </c>
    </row>
    <row r="100" spans="1:133" x14ac:dyDescent="0.25">
      <c r="A100" s="95">
        <v>42644</v>
      </c>
      <c r="B100" s="75"/>
      <c r="C100" s="75">
        <v>350</v>
      </c>
      <c r="D100" s="75">
        <v>242</v>
      </c>
      <c r="E100" s="75">
        <v>255</v>
      </c>
      <c r="F100" s="75">
        <v>238.33333333333334</v>
      </c>
      <c r="G100" s="75">
        <v>437.5</v>
      </c>
      <c r="H100" s="75">
        <v>383.33333333333331</v>
      </c>
      <c r="I100" s="75">
        <v>276</v>
      </c>
      <c r="J100" s="75">
        <v>273.33333333333331</v>
      </c>
      <c r="K100" s="75">
        <v>282.77777777777777</v>
      </c>
      <c r="N100" s="102">
        <v>300</v>
      </c>
      <c r="O100" s="104">
        <v>400</v>
      </c>
      <c r="P100" s="104">
        <v>225</v>
      </c>
      <c r="Q100" s="104">
        <v>200</v>
      </c>
      <c r="R100" s="104">
        <v>250</v>
      </c>
      <c r="S100" s="104"/>
      <c r="T100" s="104">
        <v>450</v>
      </c>
      <c r="U100" s="104">
        <v>300</v>
      </c>
      <c r="V100" s="104">
        <v>290</v>
      </c>
      <c r="W100" s="152">
        <v>275</v>
      </c>
      <c r="X100" s="102">
        <v>325</v>
      </c>
      <c r="Y100" s="104">
        <v>375</v>
      </c>
      <c r="Z100" s="104">
        <v>225</v>
      </c>
      <c r="AA100" s="104">
        <v>200</v>
      </c>
      <c r="AB100" s="104">
        <v>250</v>
      </c>
      <c r="AC100" s="104"/>
      <c r="AD100" s="104">
        <v>450</v>
      </c>
      <c r="AE100" s="104">
        <v>300</v>
      </c>
      <c r="AF100" s="104">
        <v>292.5</v>
      </c>
      <c r="AG100" s="152">
        <v>275</v>
      </c>
      <c r="AH100" s="102">
        <v>250</v>
      </c>
      <c r="AI100" s="104">
        <v>320</v>
      </c>
      <c r="AJ100" s="104">
        <v>225</v>
      </c>
      <c r="AK100" s="104">
        <v>200</v>
      </c>
      <c r="AL100" s="104">
        <v>250</v>
      </c>
      <c r="AM100" s="104"/>
      <c r="AN100" s="104">
        <v>450</v>
      </c>
      <c r="AO100" s="104">
        <v>300</v>
      </c>
      <c r="AP100" s="104">
        <v>300</v>
      </c>
      <c r="AQ100" s="152">
        <v>275</v>
      </c>
      <c r="AR100" s="102">
        <v>175</v>
      </c>
      <c r="AS100" s="104">
        <v>262.5</v>
      </c>
      <c r="AT100" s="104">
        <v>232.5</v>
      </c>
      <c r="AU100" s="104">
        <v>225</v>
      </c>
      <c r="AV100" s="104">
        <v>250</v>
      </c>
      <c r="AW100" s="104"/>
      <c r="AX100" s="104">
        <v>475</v>
      </c>
      <c r="AY100" s="104">
        <v>300</v>
      </c>
      <c r="AZ100" s="104">
        <v>300</v>
      </c>
      <c r="BA100" s="152">
        <v>275</v>
      </c>
      <c r="BB100" s="102">
        <v>191.66666666666666</v>
      </c>
      <c r="BC100" s="104">
        <v>450</v>
      </c>
      <c r="BD100" s="104">
        <v>240</v>
      </c>
      <c r="BE100" s="104">
        <v>233.33333333333334</v>
      </c>
      <c r="BF100" s="104">
        <v>250</v>
      </c>
      <c r="BG100" s="104"/>
      <c r="BH100" s="104">
        <v>450</v>
      </c>
      <c r="BI100" s="104">
        <v>293.33333333333331</v>
      </c>
      <c r="BJ100" s="104">
        <v>290</v>
      </c>
      <c r="BK100" s="152">
        <v>275</v>
      </c>
      <c r="BL100" s="102">
        <v>360</v>
      </c>
      <c r="BM100" s="104"/>
      <c r="BN100" s="104">
        <v>232</v>
      </c>
      <c r="BO100" s="104">
        <v>230</v>
      </c>
      <c r="BP100" s="104">
        <v>245</v>
      </c>
      <c r="BQ100" s="104"/>
      <c r="BR100" s="104">
        <v>450</v>
      </c>
      <c r="BS100" s="104">
        <v>270</v>
      </c>
      <c r="BT100" s="104">
        <v>270</v>
      </c>
      <c r="BU100" s="152">
        <v>271.25</v>
      </c>
      <c r="BV100" s="102">
        <v>400</v>
      </c>
      <c r="BW100" s="104"/>
      <c r="BX100" s="104">
        <v>250</v>
      </c>
      <c r="BY100" s="104">
        <v>250</v>
      </c>
      <c r="BZ100" s="104">
        <v>250</v>
      </c>
      <c r="CA100" s="104"/>
      <c r="CB100" s="104">
        <v>450</v>
      </c>
      <c r="CC100" s="104">
        <v>271.25</v>
      </c>
      <c r="CD100" s="104">
        <v>270</v>
      </c>
      <c r="CE100" s="152">
        <v>270</v>
      </c>
      <c r="CF100" s="102">
        <v>450</v>
      </c>
      <c r="CG100" s="104">
        <v>600</v>
      </c>
      <c r="CH100" s="104">
        <v>250</v>
      </c>
      <c r="CI100" s="104">
        <v>250</v>
      </c>
      <c r="CJ100" s="104">
        <v>250</v>
      </c>
      <c r="CK100" s="104"/>
      <c r="CL100" s="104">
        <v>450</v>
      </c>
      <c r="CM100" s="104">
        <v>270</v>
      </c>
      <c r="CN100" s="104">
        <v>270</v>
      </c>
      <c r="CO100" s="152"/>
      <c r="CP100" s="102"/>
      <c r="CQ100" s="104">
        <v>466.66666666666669</v>
      </c>
      <c r="CR100" s="104">
        <v>250</v>
      </c>
      <c r="CS100" s="104">
        <v>250</v>
      </c>
      <c r="CT100" s="104">
        <v>250</v>
      </c>
      <c r="CU100" s="104"/>
      <c r="CV100" s="104">
        <v>450</v>
      </c>
      <c r="CW100" s="104">
        <v>275</v>
      </c>
      <c r="CX100" s="104">
        <v>270</v>
      </c>
      <c r="CY100" s="152"/>
      <c r="CZ100" s="102"/>
      <c r="DA100" s="104">
        <v>300</v>
      </c>
      <c r="DB100" s="104">
        <v>187.5</v>
      </c>
      <c r="DC100" s="104">
        <v>175</v>
      </c>
      <c r="DD100" s="104">
        <v>168.75</v>
      </c>
      <c r="DE100" s="104"/>
      <c r="DF100" s="104">
        <v>337.5</v>
      </c>
      <c r="DG100" s="104">
        <v>206.25</v>
      </c>
      <c r="DH100" s="104">
        <v>180</v>
      </c>
      <c r="DI100" s="152">
        <v>125</v>
      </c>
      <c r="DJ100" s="102"/>
      <c r="DK100" s="104">
        <v>400</v>
      </c>
      <c r="DL100" s="104">
        <v>220</v>
      </c>
      <c r="DM100" s="104">
        <v>208.33333333333334</v>
      </c>
      <c r="DN100" s="104">
        <v>225</v>
      </c>
      <c r="DO100" s="104"/>
      <c r="DP100" s="104">
        <v>450</v>
      </c>
      <c r="DQ100" s="104">
        <v>275</v>
      </c>
      <c r="DR100" s="104">
        <v>270</v>
      </c>
      <c r="DS100" s="152">
        <v>250</v>
      </c>
      <c r="DT100" s="102"/>
      <c r="DU100" s="104">
        <v>433.33333333333331</v>
      </c>
      <c r="DV100" s="104">
        <v>225</v>
      </c>
      <c r="DW100" s="104">
        <v>216.66666666666666</v>
      </c>
      <c r="DX100" s="104">
        <v>225</v>
      </c>
      <c r="DY100" s="104"/>
      <c r="DZ100" s="104">
        <v>450</v>
      </c>
      <c r="EA100" s="104">
        <v>275</v>
      </c>
      <c r="EB100" s="104">
        <v>271.66666666666669</v>
      </c>
      <c r="EC100" s="152">
        <v>250</v>
      </c>
    </row>
    <row r="101" spans="1:133" x14ac:dyDescent="0.25">
      <c r="A101" s="95">
        <v>42675</v>
      </c>
      <c r="B101" s="75"/>
      <c r="C101" s="75">
        <v>378.40909090909093</v>
      </c>
      <c r="D101" s="75">
        <v>240.68181818181819</v>
      </c>
      <c r="E101" s="75">
        <v>251.70454545454547</v>
      </c>
      <c r="F101" s="75">
        <v>239.43181818181819</v>
      </c>
      <c r="G101" s="75">
        <v>446.875</v>
      </c>
      <c r="H101" s="75">
        <v>396.59090909090907</v>
      </c>
      <c r="I101" s="75">
        <v>278.33333333333331</v>
      </c>
      <c r="J101" s="75">
        <v>273.57142857142856</v>
      </c>
      <c r="K101" s="75">
        <v>290.29166666666669</v>
      </c>
      <c r="N101" s="102"/>
      <c r="O101" s="104">
        <v>400</v>
      </c>
      <c r="P101" s="104">
        <v>246.66666666666666</v>
      </c>
      <c r="Q101" s="104">
        <v>300</v>
      </c>
      <c r="R101" s="104">
        <v>250</v>
      </c>
      <c r="S101" s="104"/>
      <c r="T101" s="104">
        <v>450</v>
      </c>
      <c r="U101" s="104">
        <v>300</v>
      </c>
      <c r="V101" s="104"/>
      <c r="W101" s="152">
        <v>275</v>
      </c>
      <c r="X101" s="102">
        <v>316.66666666666669</v>
      </c>
      <c r="Y101" s="104">
        <v>362.5</v>
      </c>
      <c r="Z101" s="104">
        <v>250</v>
      </c>
      <c r="AA101" s="104">
        <v>300</v>
      </c>
      <c r="AB101" s="104">
        <v>250</v>
      </c>
      <c r="AC101" s="104"/>
      <c r="AD101" s="104">
        <v>450</v>
      </c>
      <c r="AE101" s="104">
        <v>300</v>
      </c>
      <c r="AF101" s="104"/>
      <c r="AG101" s="152">
        <v>275</v>
      </c>
      <c r="AH101" s="102">
        <v>235</v>
      </c>
      <c r="AI101" s="104">
        <v>305</v>
      </c>
      <c r="AJ101" s="104">
        <v>248</v>
      </c>
      <c r="AK101" s="104">
        <v>287.5</v>
      </c>
      <c r="AL101" s="104">
        <v>245</v>
      </c>
      <c r="AM101" s="104"/>
      <c r="AN101" s="104">
        <v>450</v>
      </c>
      <c r="AO101" s="104">
        <v>300</v>
      </c>
      <c r="AP101" s="104"/>
      <c r="AQ101" s="152">
        <v>275</v>
      </c>
      <c r="AR101" s="102">
        <v>175</v>
      </c>
      <c r="AS101" s="104">
        <v>262.5</v>
      </c>
      <c r="AT101" s="104">
        <v>237.5</v>
      </c>
      <c r="AU101" s="104">
        <v>237.5</v>
      </c>
      <c r="AV101" s="104">
        <v>246.25</v>
      </c>
      <c r="AW101" s="104"/>
      <c r="AX101" s="104">
        <v>450</v>
      </c>
      <c r="AY101" s="104">
        <v>300</v>
      </c>
      <c r="AZ101" s="104"/>
      <c r="BA101" s="152">
        <v>262.5</v>
      </c>
      <c r="BB101" s="102">
        <v>191.66666666666666</v>
      </c>
      <c r="BC101" s="104"/>
      <c r="BD101" s="104">
        <v>245</v>
      </c>
      <c r="BE101" s="104">
        <v>258.33333333333331</v>
      </c>
      <c r="BF101" s="104">
        <v>246.66666666666666</v>
      </c>
      <c r="BG101" s="104">
        <v>450</v>
      </c>
      <c r="BH101" s="104">
        <v>450</v>
      </c>
      <c r="BI101" s="104">
        <v>300</v>
      </c>
      <c r="BJ101" s="104">
        <v>300</v>
      </c>
      <c r="BK101" s="152">
        <v>266.66666666666669</v>
      </c>
      <c r="BL101" s="102">
        <v>300</v>
      </c>
      <c r="BM101" s="104"/>
      <c r="BN101" s="104">
        <v>250</v>
      </c>
      <c r="BO101" s="104">
        <v>250</v>
      </c>
      <c r="BP101" s="104">
        <v>250</v>
      </c>
      <c r="BQ101" s="104"/>
      <c r="BR101" s="104">
        <v>450</v>
      </c>
      <c r="BS101" s="104">
        <v>270</v>
      </c>
      <c r="BT101" s="104"/>
      <c r="BU101" s="152">
        <v>250</v>
      </c>
      <c r="BV101" s="102">
        <v>368.75</v>
      </c>
      <c r="BW101" s="104"/>
      <c r="BX101" s="104">
        <v>250</v>
      </c>
      <c r="BY101" s="104">
        <v>253.75</v>
      </c>
      <c r="BZ101" s="104">
        <v>250</v>
      </c>
      <c r="CA101" s="104"/>
      <c r="CB101" s="104">
        <v>450</v>
      </c>
      <c r="CC101" s="104">
        <v>270</v>
      </c>
      <c r="CD101" s="104"/>
      <c r="CE101" s="152">
        <v>250</v>
      </c>
      <c r="CF101" s="102">
        <v>433.33333333333331</v>
      </c>
      <c r="CG101" s="104">
        <v>587.5</v>
      </c>
      <c r="CH101" s="104">
        <v>252.5</v>
      </c>
      <c r="CI101" s="104">
        <v>241.66666666666666</v>
      </c>
      <c r="CJ101" s="104">
        <v>250</v>
      </c>
      <c r="CK101" s="104"/>
      <c r="CL101" s="104">
        <v>450</v>
      </c>
      <c r="CM101" s="104">
        <v>270</v>
      </c>
      <c r="CN101" s="104"/>
      <c r="CO101" s="152">
        <v>250</v>
      </c>
      <c r="CP101" s="102">
        <v>500</v>
      </c>
      <c r="CQ101" s="104">
        <v>433.33333333333331</v>
      </c>
      <c r="CR101" s="104">
        <v>250</v>
      </c>
      <c r="CS101" s="104">
        <v>260</v>
      </c>
      <c r="CT101" s="104">
        <v>246.66666666666666</v>
      </c>
      <c r="CU101" s="104"/>
      <c r="CV101" s="104">
        <v>450</v>
      </c>
      <c r="CW101" s="104">
        <v>270</v>
      </c>
      <c r="CX101" s="104"/>
      <c r="CY101" s="152">
        <v>250</v>
      </c>
      <c r="CZ101" s="102"/>
      <c r="DA101" s="104">
        <v>300</v>
      </c>
      <c r="DB101" s="104">
        <v>187.5</v>
      </c>
      <c r="DC101" s="104">
        <v>195</v>
      </c>
      <c r="DD101" s="104">
        <v>125</v>
      </c>
      <c r="DE101" s="104"/>
      <c r="DF101" s="104">
        <v>337.5</v>
      </c>
      <c r="DG101" s="104">
        <v>202.5</v>
      </c>
      <c r="DH101" s="104"/>
      <c r="DI101" s="152">
        <v>187.5</v>
      </c>
      <c r="DJ101" s="102"/>
      <c r="DK101" s="104">
        <v>366.66666666666669</v>
      </c>
      <c r="DL101" s="104">
        <v>250</v>
      </c>
      <c r="DM101" s="104">
        <v>246.66666666666666</v>
      </c>
      <c r="DN101" s="104">
        <v>250</v>
      </c>
      <c r="DO101" s="104"/>
      <c r="DP101" s="104">
        <v>450</v>
      </c>
      <c r="DQ101" s="104">
        <v>270</v>
      </c>
      <c r="DR101" s="104"/>
      <c r="DS101" s="152">
        <v>250</v>
      </c>
      <c r="DT101" s="102"/>
      <c r="DU101" s="104">
        <v>416.66666666666669</v>
      </c>
      <c r="DV101" s="104">
        <v>233.33333333333334</v>
      </c>
      <c r="DW101" s="104">
        <v>240</v>
      </c>
      <c r="DX101" s="104">
        <v>226.66666666666666</v>
      </c>
      <c r="DY101" s="104"/>
      <c r="DZ101" s="104">
        <v>450</v>
      </c>
      <c r="EA101" s="104">
        <v>270</v>
      </c>
      <c r="EB101" s="104"/>
      <c r="EC101" s="152">
        <v>250</v>
      </c>
    </row>
    <row r="102" spans="1:133" x14ac:dyDescent="0.25">
      <c r="A102" s="95">
        <v>42705</v>
      </c>
      <c r="B102" s="75"/>
      <c r="C102" s="75">
        <v>395.45454545454544</v>
      </c>
      <c r="D102" s="75">
        <v>240.90909090909091</v>
      </c>
      <c r="E102" s="75">
        <v>247.72727272727272</v>
      </c>
      <c r="F102" s="75">
        <v>234.66666666666669</v>
      </c>
      <c r="G102" s="75">
        <v>462.5</v>
      </c>
      <c r="H102" s="75">
        <v>410.60606060606062</v>
      </c>
      <c r="I102" s="75">
        <v>279.69696969696969</v>
      </c>
      <c r="J102" s="75">
        <v>276.66666666666669</v>
      </c>
      <c r="K102" s="75">
        <v>295.91666666666663</v>
      </c>
      <c r="N102" s="102"/>
      <c r="O102" s="104">
        <v>433.33333333333331</v>
      </c>
      <c r="P102" s="104">
        <v>250</v>
      </c>
      <c r="Q102" s="104">
        <v>300</v>
      </c>
      <c r="R102" s="104">
        <v>233.33333333333334</v>
      </c>
      <c r="S102" s="104"/>
      <c r="T102" s="104">
        <v>450</v>
      </c>
      <c r="U102" s="104">
        <v>300</v>
      </c>
      <c r="V102" s="104"/>
      <c r="W102" s="152">
        <v>283.33333333333331</v>
      </c>
      <c r="X102" s="102"/>
      <c r="Y102" s="104">
        <v>325</v>
      </c>
      <c r="Z102" s="104">
        <v>268.75</v>
      </c>
      <c r="AA102" s="104">
        <v>300</v>
      </c>
      <c r="AB102" s="104">
        <v>225</v>
      </c>
      <c r="AC102" s="104"/>
      <c r="AD102" s="104">
        <v>450</v>
      </c>
      <c r="AE102" s="104">
        <v>300</v>
      </c>
      <c r="AF102" s="104"/>
      <c r="AG102" s="152">
        <v>282.5</v>
      </c>
      <c r="AH102" s="102">
        <v>265</v>
      </c>
      <c r="AI102" s="104">
        <v>345</v>
      </c>
      <c r="AJ102" s="104">
        <v>265</v>
      </c>
      <c r="AK102" s="104">
        <v>305</v>
      </c>
      <c r="AL102" s="104">
        <v>230</v>
      </c>
      <c r="AM102" s="104"/>
      <c r="AN102" s="104">
        <v>450</v>
      </c>
      <c r="AO102" s="104">
        <v>300</v>
      </c>
      <c r="AP102" s="104"/>
      <c r="AQ102" s="152">
        <v>300</v>
      </c>
      <c r="AR102" s="102">
        <v>212.5</v>
      </c>
      <c r="AS102" s="104">
        <v>331.25</v>
      </c>
      <c r="AT102" s="104">
        <v>250</v>
      </c>
      <c r="AU102" s="104">
        <v>300</v>
      </c>
      <c r="AV102" s="104">
        <v>225</v>
      </c>
      <c r="AW102" s="104"/>
      <c r="AX102" s="104">
        <v>450</v>
      </c>
      <c r="AY102" s="104">
        <v>300</v>
      </c>
      <c r="AZ102" s="104"/>
      <c r="BA102" s="152">
        <v>300</v>
      </c>
      <c r="BB102" s="102">
        <v>233.33333333333334</v>
      </c>
      <c r="BC102" s="104">
        <v>333.33333333333331</v>
      </c>
      <c r="BD102" s="104">
        <v>250</v>
      </c>
      <c r="BE102" s="104">
        <v>300</v>
      </c>
      <c r="BF102" s="104">
        <v>225</v>
      </c>
      <c r="BG102" s="104"/>
      <c r="BH102" s="104">
        <v>450</v>
      </c>
      <c r="BI102" s="104">
        <v>300</v>
      </c>
      <c r="BJ102" s="104"/>
      <c r="BK102" s="152">
        <v>283.33333333333331</v>
      </c>
      <c r="BL102" s="102">
        <v>320</v>
      </c>
      <c r="BM102" s="104"/>
      <c r="BN102" s="104">
        <v>250</v>
      </c>
      <c r="BO102" s="104">
        <v>300</v>
      </c>
      <c r="BP102" s="104">
        <v>230</v>
      </c>
      <c r="BQ102" s="104"/>
      <c r="BR102" s="104">
        <v>450</v>
      </c>
      <c r="BS102" s="104">
        <v>275</v>
      </c>
      <c r="BT102" s="104"/>
      <c r="BU102" s="152">
        <v>300</v>
      </c>
      <c r="BV102" s="102">
        <v>400</v>
      </c>
      <c r="BW102" s="104"/>
      <c r="BX102" s="104">
        <v>250</v>
      </c>
      <c r="BY102" s="104">
        <v>300</v>
      </c>
      <c r="BZ102" s="104">
        <v>225</v>
      </c>
      <c r="CA102" s="104"/>
      <c r="CB102" s="104">
        <v>450</v>
      </c>
      <c r="CC102" s="104">
        <v>275</v>
      </c>
      <c r="CD102" s="104"/>
      <c r="CE102" s="152">
        <v>300</v>
      </c>
      <c r="CF102" s="102">
        <v>487.5</v>
      </c>
      <c r="CG102" s="104">
        <v>550</v>
      </c>
      <c r="CH102" s="104">
        <v>256.25</v>
      </c>
      <c r="CI102" s="104">
        <v>300</v>
      </c>
      <c r="CJ102" s="104">
        <v>225</v>
      </c>
      <c r="CK102" s="104"/>
      <c r="CL102" s="104">
        <v>450</v>
      </c>
      <c r="CM102" s="104">
        <v>275</v>
      </c>
      <c r="CN102" s="104"/>
      <c r="CO102" s="152">
        <v>318.75</v>
      </c>
      <c r="CP102" s="102">
        <v>400</v>
      </c>
      <c r="CQ102" s="104">
        <v>500</v>
      </c>
      <c r="CR102" s="104">
        <v>275</v>
      </c>
      <c r="CS102" s="104">
        <v>300</v>
      </c>
      <c r="CT102" s="104">
        <v>225</v>
      </c>
      <c r="CU102" s="104"/>
      <c r="CV102" s="104">
        <v>450</v>
      </c>
      <c r="CW102" s="104">
        <v>275</v>
      </c>
      <c r="CX102" s="104"/>
      <c r="CY102" s="152">
        <v>275</v>
      </c>
      <c r="CZ102" s="102"/>
      <c r="DA102" s="104">
        <v>300</v>
      </c>
      <c r="DB102" s="104">
        <v>200</v>
      </c>
      <c r="DC102" s="104">
        <v>225</v>
      </c>
      <c r="DD102" s="104">
        <v>168.75</v>
      </c>
      <c r="DE102" s="104"/>
      <c r="DF102" s="104">
        <v>337.5</v>
      </c>
      <c r="DG102" s="104">
        <v>206.25</v>
      </c>
      <c r="DH102" s="104"/>
      <c r="DI102" s="152">
        <v>206.25</v>
      </c>
      <c r="DJ102" s="102"/>
      <c r="DK102" s="104">
        <v>400</v>
      </c>
      <c r="DL102" s="104">
        <v>283.33333333333331</v>
      </c>
      <c r="DM102" s="104">
        <v>300</v>
      </c>
      <c r="DN102" s="104">
        <v>225</v>
      </c>
      <c r="DO102" s="104"/>
      <c r="DP102" s="104">
        <v>450</v>
      </c>
      <c r="DQ102" s="104">
        <v>275</v>
      </c>
      <c r="DR102" s="104"/>
      <c r="DS102" s="152">
        <v>291.66666666666669</v>
      </c>
      <c r="DT102" s="102"/>
      <c r="DU102" s="104">
        <v>450</v>
      </c>
      <c r="DV102" s="104">
        <v>300</v>
      </c>
      <c r="DW102" s="104">
        <v>300</v>
      </c>
      <c r="DX102" s="104">
        <v>225</v>
      </c>
      <c r="DY102" s="104"/>
      <c r="DZ102" s="104">
        <v>450</v>
      </c>
      <c r="EA102" s="104">
        <v>283.33333333333331</v>
      </c>
      <c r="EB102" s="104"/>
      <c r="EC102" s="152">
        <v>291.66666666666669</v>
      </c>
    </row>
    <row r="103" spans="1:133" x14ac:dyDescent="0.25">
      <c r="A103" s="95">
        <v>42736</v>
      </c>
      <c r="B103" s="75"/>
      <c r="C103" s="75">
        <v>380.68181818181819</v>
      </c>
      <c r="D103" s="75">
        <v>247.72727272727272</v>
      </c>
      <c r="E103" s="75">
        <v>253.40909090909091</v>
      </c>
      <c r="F103" s="75">
        <v>238.63636363636363</v>
      </c>
      <c r="G103" s="75">
        <v>471.875</v>
      </c>
      <c r="H103" s="75">
        <v>405.11363636363637</v>
      </c>
      <c r="I103" s="75">
        <v>279.31818181818181</v>
      </c>
      <c r="J103" s="75">
        <v>278.48958333333337</v>
      </c>
      <c r="K103" s="75">
        <v>294.20454545454544</v>
      </c>
      <c r="N103" s="102"/>
      <c r="O103" s="104">
        <v>400</v>
      </c>
      <c r="P103" s="104">
        <v>266.66666666666669</v>
      </c>
      <c r="Q103" s="104">
        <v>300</v>
      </c>
      <c r="R103" s="104"/>
      <c r="S103" s="104"/>
      <c r="T103" s="104">
        <v>450</v>
      </c>
      <c r="U103" s="104">
        <v>300</v>
      </c>
      <c r="V103" s="104">
        <v>300</v>
      </c>
      <c r="W103" s="152">
        <v>275</v>
      </c>
      <c r="X103" s="102">
        <v>450</v>
      </c>
      <c r="Y103" s="104">
        <v>400</v>
      </c>
      <c r="Z103" s="104">
        <v>250</v>
      </c>
      <c r="AA103" s="104">
        <v>300</v>
      </c>
      <c r="AB103" s="104">
        <v>250</v>
      </c>
      <c r="AC103" s="104"/>
      <c r="AD103" s="104">
        <v>450</v>
      </c>
      <c r="AE103" s="104">
        <v>300</v>
      </c>
      <c r="AF103" s="104">
        <v>300</v>
      </c>
      <c r="AG103" s="152">
        <v>281.25</v>
      </c>
      <c r="AH103" s="102">
        <v>290</v>
      </c>
      <c r="AI103" s="104">
        <v>360</v>
      </c>
      <c r="AJ103" s="104">
        <v>250</v>
      </c>
      <c r="AK103" s="104">
        <v>300</v>
      </c>
      <c r="AL103" s="104">
        <v>250</v>
      </c>
      <c r="AM103" s="104"/>
      <c r="AN103" s="104">
        <v>450</v>
      </c>
      <c r="AO103" s="104">
        <v>320</v>
      </c>
      <c r="AP103" s="104">
        <v>300</v>
      </c>
      <c r="AQ103" s="152">
        <v>275</v>
      </c>
      <c r="AR103" s="102">
        <v>200</v>
      </c>
      <c r="AS103" s="104">
        <v>337.5</v>
      </c>
      <c r="AT103" s="104">
        <v>250</v>
      </c>
      <c r="AU103" s="104">
        <v>300</v>
      </c>
      <c r="AV103" s="104">
        <v>250</v>
      </c>
      <c r="AW103" s="104"/>
      <c r="AX103" s="104">
        <v>450</v>
      </c>
      <c r="AY103" s="104">
        <v>300</v>
      </c>
      <c r="AZ103" s="104"/>
      <c r="BA103" s="152">
        <v>275</v>
      </c>
      <c r="BB103" s="102">
        <v>200</v>
      </c>
      <c r="BC103" s="104">
        <v>300</v>
      </c>
      <c r="BD103" s="104">
        <v>250</v>
      </c>
      <c r="BE103" s="104">
        <v>300</v>
      </c>
      <c r="BF103" s="104"/>
      <c r="BG103" s="104"/>
      <c r="BH103" s="104">
        <v>450</v>
      </c>
      <c r="BI103" s="104">
        <v>300</v>
      </c>
      <c r="BJ103" s="104"/>
      <c r="BK103" s="152">
        <v>275</v>
      </c>
      <c r="BL103" s="102">
        <v>360</v>
      </c>
      <c r="BM103" s="104"/>
      <c r="BN103" s="104">
        <v>250</v>
      </c>
      <c r="BO103" s="104">
        <v>300</v>
      </c>
      <c r="BP103" s="104">
        <v>250</v>
      </c>
      <c r="BQ103" s="104"/>
      <c r="BR103" s="104">
        <v>450</v>
      </c>
      <c r="BS103" s="104">
        <v>272</v>
      </c>
      <c r="BT103" s="104"/>
      <c r="BU103" s="152">
        <v>275</v>
      </c>
      <c r="BV103" s="102">
        <v>450</v>
      </c>
      <c r="BW103" s="104"/>
      <c r="BX103" s="104">
        <v>281.25</v>
      </c>
      <c r="BY103" s="104">
        <v>300</v>
      </c>
      <c r="BZ103" s="104">
        <v>268.75</v>
      </c>
      <c r="CA103" s="104"/>
      <c r="CB103" s="104">
        <v>450</v>
      </c>
      <c r="CC103" s="104">
        <v>275</v>
      </c>
      <c r="CD103" s="104"/>
      <c r="CE103" s="152">
        <v>256.25</v>
      </c>
      <c r="CF103" s="102">
        <v>500</v>
      </c>
      <c r="CG103" s="104">
        <v>600</v>
      </c>
      <c r="CH103" s="104">
        <v>287.5</v>
      </c>
      <c r="CI103" s="104">
        <v>300</v>
      </c>
      <c r="CJ103" s="104"/>
      <c r="CK103" s="104"/>
      <c r="CL103" s="104">
        <v>450</v>
      </c>
      <c r="CM103" s="104">
        <v>275</v>
      </c>
      <c r="CN103" s="104"/>
      <c r="CO103" s="152">
        <v>256.25</v>
      </c>
      <c r="CP103" s="102"/>
      <c r="CQ103" s="104">
        <v>516.66666666666663</v>
      </c>
      <c r="CR103" s="104">
        <v>275</v>
      </c>
      <c r="CS103" s="104">
        <v>300</v>
      </c>
      <c r="CT103" s="104">
        <v>275</v>
      </c>
      <c r="CU103" s="104"/>
      <c r="CV103" s="104">
        <v>450</v>
      </c>
      <c r="CW103" s="104">
        <v>275</v>
      </c>
      <c r="CX103" s="104">
        <v>275</v>
      </c>
      <c r="CY103" s="152">
        <v>275</v>
      </c>
      <c r="CZ103" s="102"/>
      <c r="DA103" s="104">
        <v>375</v>
      </c>
      <c r="DB103" s="104">
        <v>187.5</v>
      </c>
      <c r="DC103" s="104">
        <v>225</v>
      </c>
      <c r="DD103" s="104"/>
      <c r="DE103" s="104"/>
      <c r="DF103" s="104">
        <v>337.5</v>
      </c>
      <c r="DG103" s="104">
        <v>206.25</v>
      </c>
      <c r="DH103" s="104">
        <v>137.5</v>
      </c>
      <c r="DI103" s="152">
        <v>206.25</v>
      </c>
      <c r="DJ103" s="102"/>
      <c r="DK103" s="104">
        <v>400</v>
      </c>
      <c r="DL103" s="104">
        <v>275</v>
      </c>
      <c r="DM103" s="104">
        <v>275</v>
      </c>
      <c r="DN103" s="104"/>
      <c r="DO103" s="104"/>
      <c r="DP103" s="104">
        <v>450</v>
      </c>
      <c r="DQ103" s="104">
        <v>275</v>
      </c>
      <c r="DR103" s="104"/>
      <c r="DS103" s="152">
        <v>275</v>
      </c>
      <c r="DT103" s="102"/>
      <c r="DU103" s="104">
        <v>450</v>
      </c>
      <c r="DV103" s="104">
        <v>275</v>
      </c>
      <c r="DW103" s="104">
        <v>275</v>
      </c>
      <c r="DX103" s="104"/>
      <c r="DY103" s="104"/>
      <c r="DZ103" s="104">
        <v>450</v>
      </c>
      <c r="EA103" s="104">
        <v>275</v>
      </c>
      <c r="EB103" s="104"/>
      <c r="EC103" s="152">
        <v>275</v>
      </c>
    </row>
    <row r="104" spans="1:133" x14ac:dyDescent="0.25">
      <c r="A104" s="95">
        <v>42767</v>
      </c>
      <c r="B104" s="75">
        <v>335.41666666666663</v>
      </c>
      <c r="C104" s="75">
        <v>363.25757575757575</v>
      </c>
      <c r="D104" s="75">
        <v>241.93181818181819</v>
      </c>
      <c r="E104" s="75">
        <v>251.89393939393938</v>
      </c>
      <c r="F104" s="75">
        <v>236.93181818181819</v>
      </c>
      <c r="G104" s="75">
        <v>465.625</v>
      </c>
      <c r="H104" s="75">
        <v>405.68181818181819</v>
      </c>
      <c r="I104" s="75">
        <v>282.19696969696975</v>
      </c>
      <c r="J104" s="75">
        <v>283.09523809523813</v>
      </c>
      <c r="K104" s="75">
        <v>297.61363636363637</v>
      </c>
      <c r="N104" s="102"/>
      <c r="O104" s="104">
        <v>450</v>
      </c>
      <c r="P104" s="104">
        <v>225</v>
      </c>
      <c r="Q104" s="104">
        <v>200</v>
      </c>
      <c r="R104" s="104">
        <v>250</v>
      </c>
      <c r="S104" s="104"/>
      <c r="T104" s="104">
        <v>440</v>
      </c>
      <c r="U104" s="104">
        <v>290</v>
      </c>
      <c r="V104" s="104">
        <v>290</v>
      </c>
      <c r="W104" s="152"/>
      <c r="X104" s="102">
        <v>350</v>
      </c>
      <c r="Y104" s="104">
        <v>412.5</v>
      </c>
      <c r="Z104" s="104">
        <v>212.5</v>
      </c>
      <c r="AA104" s="104">
        <v>200</v>
      </c>
      <c r="AB104" s="104">
        <v>250</v>
      </c>
      <c r="AC104" s="104"/>
      <c r="AD104" s="104">
        <v>450</v>
      </c>
      <c r="AE104" s="104">
        <v>290</v>
      </c>
      <c r="AF104" s="104">
        <v>290</v>
      </c>
      <c r="AG104" s="152"/>
      <c r="AH104" s="102">
        <v>315</v>
      </c>
      <c r="AI104" s="104">
        <v>350</v>
      </c>
      <c r="AJ104" s="104">
        <v>220</v>
      </c>
      <c r="AK104" s="104">
        <v>200</v>
      </c>
      <c r="AL104" s="104">
        <v>250</v>
      </c>
      <c r="AM104" s="104"/>
      <c r="AN104" s="104">
        <v>448</v>
      </c>
      <c r="AO104" s="104">
        <v>289</v>
      </c>
      <c r="AP104" s="104"/>
      <c r="AQ104" s="152"/>
      <c r="AR104" s="102">
        <v>206.25</v>
      </c>
      <c r="AS104" s="104">
        <v>275</v>
      </c>
      <c r="AT104" s="104">
        <v>231.25</v>
      </c>
      <c r="AU104" s="104">
        <v>231.25</v>
      </c>
      <c r="AV104" s="104">
        <v>250</v>
      </c>
      <c r="AW104" s="104">
        <v>475</v>
      </c>
      <c r="AX104" s="104">
        <v>445</v>
      </c>
      <c r="AY104" s="104">
        <v>285</v>
      </c>
      <c r="AZ104" s="104">
        <v>285</v>
      </c>
      <c r="BA104" s="152">
        <v>280</v>
      </c>
      <c r="BB104" s="102">
        <v>216.66666666666666</v>
      </c>
      <c r="BC104" s="104">
        <v>283.33333333333331</v>
      </c>
      <c r="BD104" s="104">
        <v>225</v>
      </c>
      <c r="BE104" s="104">
        <v>233.33333333333334</v>
      </c>
      <c r="BF104" s="104">
        <v>250</v>
      </c>
      <c r="BG104" s="104"/>
      <c r="BH104" s="104">
        <v>450</v>
      </c>
      <c r="BI104" s="104">
        <v>288.33333333333331</v>
      </c>
      <c r="BJ104" s="104">
        <v>285</v>
      </c>
      <c r="BK104" s="152"/>
      <c r="BL104" s="102">
        <v>340</v>
      </c>
      <c r="BM104" s="104"/>
      <c r="BN104" s="104">
        <v>250</v>
      </c>
      <c r="BO104" s="104">
        <v>250</v>
      </c>
      <c r="BP104" s="104">
        <v>250</v>
      </c>
      <c r="BQ104" s="104"/>
      <c r="BR104" s="104">
        <v>450</v>
      </c>
      <c r="BS104" s="104">
        <v>278</v>
      </c>
      <c r="BT104" s="104">
        <v>280</v>
      </c>
      <c r="BU104" s="152"/>
      <c r="BV104" s="102">
        <v>450</v>
      </c>
      <c r="BW104" s="104"/>
      <c r="BX104" s="104">
        <v>250</v>
      </c>
      <c r="BY104" s="104">
        <v>250</v>
      </c>
      <c r="BZ104" s="104">
        <v>250</v>
      </c>
      <c r="CA104" s="104"/>
      <c r="CB104" s="104">
        <v>450</v>
      </c>
      <c r="CC104" s="104">
        <v>270</v>
      </c>
      <c r="CD104" s="104"/>
      <c r="CE104" s="152">
        <v>425</v>
      </c>
      <c r="CF104" s="102">
        <v>483.33333333333331</v>
      </c>
      <c r="CG104" s="104">
        <v>600</v>
      </c>
      <c r="CH104" s="104">
        <v>250</v>
      </c>
      <c r="CI104" s="104">
        <v>250</v>
      </c>
      <c r="CJ104" s="104">
        <v>250</v>
      </c>
      <c r="CK104" s="104"/>
      <c r="CL104" s="104">
        <v>450</v>
      </c>
      <c r="CM104" s="104">
        <v>270</v>
      </c>
      <c r="CN104" s="104"/>
      <c r="CO104" s="152"/>
      <c r="CP104" s="102"/>
      <c r="CQ104" s="104"/>
      <c r="CR104" s="104"/>
      <c r="CS104" s="104"/>
      <c r="CT104" s="104"/>
      <c r="CU104" s="104"/>
      <c r="CV104" s="104"/>
      <c r="CW104" s="104"/>
      <c r="CX104" s="104"/>
      <c r="CY104" s="152"/>
      <c r="CZ104" s="102"/>
      <c r="DA104" s="104">
        <v>362.5</v>
      </c>
      <c r="DB104" s="104">
        <v>187.5</v>
      </c>
      <c r="DC104" s="104">
        <v>187.5</v>
      </c>
      <c r="DD104" s="104"/>
      <c r="DE104" s="104"/>
      <c r="DF104" s="104">
        <v>225</v>
      </c>
      <c r="DG104" s="104">
        <v>202.5</v>
      </c>
      <c r="DH104" s="104">
        <v>135</v>
      </c>
      <c r="DI104" s="152">
        <v>166.66666666666666</v>
      </c>
      <c r="DJ104" s="102"/>
      <c r="DK104" s="104">
        <v>400</v>
      </c>
      <c r="DL104" s="104">
        <v>233.33333333333334</v>
      </c>
      <c r="DM104" s="104">
        <v>250</v>
      </c>
      <c r="DN104" s="104"/>
      <c r="DO104" s="104"/>
      <c r="DP104" s="104">
        <v>450</v>
      </c>
      <c r="DQ104" s="104">
        <v>270</v>
      </c>
      <c r="DR104" s="104">
        <v>263.33333333333331</v>
      </c>
      <c r="DS104" s="152">
        <v>250</v>
      </c>
      <c r="DT104" s="102"/>
      <c r="DU104" s="104">
        <v>450</v>
      </c>
      <c r="DV104" s="104">
        <v>250</v>
      </c>
      <c r="DW104" s="104">
        <v>250</v>
      </c>
      <c r="DX104" s="104"/>
      <c r="DY104" s="104"/>
      <c r="DZ104" s="104">
        <v>450</v>
      </c>
      <c r="EA104" s="104">
        <v>270</v>
      </c>
      <c r="EB104" s="104">
        <v>270</v>
      </c>
      <c r="EC104" s="152"/>
    </row>
    <row r="105" spans="1:133" x14ac:dyDescent="0.25">
      <c r="A105" s="95">
        <v>42795</v>
      </c>
      <c r="B105" s="75">
        <v>301.8518518518519</v>
      </c>
      <c r="C105" s="75">
        <v>355.68181818181819</v>
      </c>
      <c r="D105" s="75">
        <v>243.06818181818181</v>
      </c>
      <c r="E105" s="75">
        <v>253.97727272727272</v>
      </c>
      <c r="F105" s="75">
        <v>236.36363636363637</v>
      </c>
      <c r="G105" s="75">
        <v>462.5</v>
      </c>
      <c r="H105" s="75">
        <v>405.68181818181819</v>
      </c>
      <c r="I105" s="75">
        <v>284.77272727272725</v>
      </c>
      <c r="J105" s="75">
        <v>285.71969696969694</v>
      </c>
      <c r="K105" s="75">
        <v>297.04545454545456</v>
      </c>
      <c r="N105" s="102"/>
      <c r="O105" s="104">
        <v>400</v>
      </c>
      <c r="P105" s="104">
        <v>200</v>
      </c>
      <c r="Q105" s="104">
        <v>225</v>
      </c>
      <c r="R105" s="104">
        <v>216.66666666666666</v>
      </c>
      <c r="S105" s="104">
        <v>475</v>
      </c>
      <c r="T105" s="104">
        <v>450</v>
      </c>
      <c r="U105" s="104">
        <v>300</v>
      </c>
      <c r="V105" s="104">
        <v>300</v>
      </c>
      <c r="W105" s="152">
        <v>283.33333333333331</v>
      </c>
      <c r="X105" s="102">
        <v>291.25</v>
      </c>
      <c r="Y105" s="104">
        <v>362.5</v>
      </c>
      <c r="Z105" s="104">
        <v>218.75</v>
      </c>
      <c r="AA105" s="104">
        <v>275</v>
      </c>
      <c r="AB105" s="104">
        <v>225</v>
      </c>
      <c r="AC105" s="104">
        <v>475</v>
      </c>
      <c r="AD105" s="104">
        <v>450</v>
      </c>
      <c r="AE105" s="104">
        <v>300</v>
      </c>
      <c r="AF105" s="104">
        <v>300</v>
      </c>
      <c r="AG105" s="152">
        <v>280</v>
      </c>
      <c r="AH105" s="102">
        <v>255</v>
      </c>
      <c r="AI105" s="104">
        <v>310</v>
      </c>
      <c r="AJ105" s="104">
        <v>200</v>
      </c>
      <c r="AK105" s="104">
        <v>225</v>
      </c>
      <c r="AL105" s="104">
        <v>220</v>
      </c>
      <c r="AM105" s="104">
        <v>475</v>
      </c>
      <c r="AN105" s="104">
        <v>450</v>
      </c>
      <c r="AO105" s="104">
        <v>300</v>
      </c>
      <c r="AP105" s="104">
        <v>298</v>
      </c>
      <c r="AQ105" s="152">
        <v>278</v>
      </c>
      <c r="AR105" s="102">
        <v>206.25</v>
      </c>
      <c r="AS105" s="104">
        <v>318.75</v>
      </c>
      <c r="AT105" s="104">
        <v>200</v>
      </c>
      <c r="AU105" s="104">
        <v>250</v>
      </c>
      <c r="AV105" s="104">
        <v>218.75</v>
      </c>
      <c r="AW105" s="104">
        <v>475</v>
      </c>
      <c r="AX105" s="104">
        <v>450</v>
      </c>
      <c r="AY105" s="104">
        <v>300</v>
      </c>
      <c r="AZ105" s="104">
        <v>300</v>
      </c>
      <c r="BA105" s="152"/>
      <c r="BB105" s="102">
        <v>200</v>
      </c>
      <c r="BC105" s="104">
        <v>275</v>
      </c>
      <c r="BD105" s="104">
        <v>200</v>
      </c>
      <c r="BE105" s="104">
        <v>250</v>
      </c>
      <c r="BF105" s="104">
        <v>208.33333333333334</v>
      </c>
      <c r="BG105" s="104">
        <v>475</v>
      </c>
      <c r="BH105" s="104">
        <v>450</v>
      </c>
      <c r="BI105" s="104">
        <v>300</v>
      </c>
      <c r="BJ105" s="104">
        <v>300</v>
      </c>
      <c r="BK105" s="152">
        <v>260</v>
      </c>
      <c r="BL105" s="102">
        <v>325</v>
      </c>
      <c r="BM105" s="104"/>
      <c r="BN105" s="104">
        <v>205</v>
      </c>
      <c r="BO105" s="104">
        <v>250</v>
      </c>
      <c r="BP105" s="104">
        <v>225</v>
      </c>
      <c r="BQ105" s="104">
        <v>475</v>
      </c>
      <c r="BR105" s="104">
        <v>450</v>
      </c>
      <c r="BS105" s="104">
        <v>270</v>
      </c>
      <c r="BT105" s="104">
        <v>270</v>
      </c>
      <c r="BU105" s="152">
        <v>260</v>
      </c>
      <c r="BV105" s="102">
        <v>362.5</v>
      </c>
      <c r="BW105" s="104"/>
      <c r="BX105" s="104">
        <v>225</v>
      </c>
      <c r="BY105" s="104">
        <v>250</v>
      </c>
      <c r="BZ105" s="104">
        <v>225</v>
      </c>
      <c r="CA105" s="104">
        <v>468.75</v>
      </c>
      <c r="CB105" s="104">
        <v>450</v>
      </c>
      <c r="CC105" s="104">
        <v>270</v>
      </c>
      <c r="CD105" s="104">
        <v>270</v>
      </c>
      <c r="CE105" s="152">
        <v>260</v>
      </c>
      <c r="CF105" s="102">
        <v>500</v>
      </c>
      <c r="CG105" s="104">
        <v>522.5</v>
      </c>
      <c r="CH105" s="104">
        <v>231.25</v>
      </c>
      <c r="CI105" s="104">
        <v>250</v>
      </c>
      <c r="CJ105" s="104">
        <v>225</v>
      </c>
      <c r="CK105" s="104">
        <v>475</v>
      </c>
      <c r="CL105" s="104">
        <v>450</v>
      </c>
      <c r="CM105" s="104">
        <v>270</v>
      </c>
      <c r="CN105" s="104">
        <v>270</v>
      </c>
      <c r="CO105" s="152">
        <v>260</v>
      </c>
      <c r="CP105" s="102"/>
      <c r="CQ105" s="104">
        <v>475</v>
      </c>
      <c r="CR105" s="104">
        <v>241.66666666666666</v>
      </c>
      <c r="CS105" s="104">
        <v>241.66666666666666</v>
      </c>
      <c r="CT105" s="104">
        <v>225</v>
      </c>
      <c r="CU105" s="104">
        <v>475</v>
      </c>
      <c r="CV105" s="104">
        <v>450</v>
      </c>
      <c r="CW105" s="104">
        <v>270</v>
      </c>
      <c r="CX105" s="104">
        <v>270</v>
      </c>
      <c r="CY105" s="152">
        <v>260</v>
      </c>
      <c r="CZ105" s="102"/>
      <c r="DA105" s="104">
        <v>300</v>
      </c>
      <c r="DB105" s="104">
        <v>181.25</v>
      </c>
      <c r="DC105" s="104">
        <v>168.75</v>
      </c>
      <c r="DD105" s="104">
        <v>168.75</v>
      </c>
      <c r="DE105" s="104">
        <v>356.25</v>
      </c>
      <c r="DF105" s="104">
        <v>337.5</v>
      </c>
      <c r="DG105" s="104">
        <v>202.5</v>
      </c>
      <c r="DH105" s="104">
        <v>180</v>
      </c>
      <c r="DI105" s="152">
        <v>195</v>
      </c>
      <c r="DJ105" s="102"/>
      <c r="DK105" s="104">
        <v>400</v>
      </c>
      <c r="DL105" s="104">
        <v>250</v>
      </c>
      <c r="DM105" s="104">
        <v>225</v>
      </c>
      <c r="DN105" s="104">
        <v>233.33333333333334</v>
      </c>
      <c r="DO105" s="104">
        <v>475</v>
      </c>
      <c r="DP105" s="104">
        <v>450</v>
      </c>
      <c r="DQ105" s="104">
        <v>270</v>
      </c>
      <c r="DR105" s="104">
        <v>270</v>
      </c>
      <c r="DS105" s="152">
        <v>260</v>
      </c>
      <c r="DT105" s="102"/>
      <c r="DU105" s="104">
        <v>416.66666666666669</v>
      </c>
      <c r="DV105" s="104">
        <v>200</v>
      </c>
      <c r="DW105" s="104">
        <v>225</v>
      </c>
      <c r="DX105" s="104">
        <v>225</v>
      </c>
      <c r="DY105" s="104">
        <v>475</v>
      </c>
      <c r="DZ105" s="104">
        <v>450</v>
      </c>
      <c r="EA105" s="104">
        <v>270</v>
      </c>
      <c r="EB105" s="104">
        <v>270</v>
      </c>
      <c r="EC105" s="152">
        <v>260</v>
      </c>
    </row>
    <row r="106" spans="1:133" x14ac:dyDescent="0.25">
      <c r="A106" s="95">
        <v>42826</v>
      </c>
      <c r="B106" s="75">
        <v>232.57575757575754</v>
      </c>
      <c r="C106" s="75">
        <v>343.93939393939394</v>
      </c>
      <c r="D106" s="75">
        <v>243.93939393939397</v>
      </c>
      <c r="E106" s="75">
        <v>256.06060606060606</v>
      </c>
      <c r="F106" s="75">
        <v>234.83333333333334</v>
      </c>
      <c r="G106" s="75">
        <v>462.5</v>
      </c>
      <c r="H106" s="75">
        <v>404.54545454545456</v>
      </c>
      <c r="I106" s="75">
        <v>289.09090909090907</v>
      </c>
      <c r="J106" s="75">
        <v>285.71428571428572</v>
      </c>
      <c r="K106" s="75">
        <v>292.12121212121207</v>
      </c>
      <c r="N106" s="102"/>
      <c r="O106" s="104">
        <v>466.66666666666669</v>
      </c>
      <c r="P106" s="104">
        <v>200</v>
      </c>
      <c r="Q106" s="104">
        <v>175</v>
      </c>
      <c r="R106" s="104">
        <v>175</v>
      </c>
      <c r="S106" s="104"/>
      <c r="T106" s="104">
        <v>450</v>
      </c>
      <c r="U106" s="104">
        <v>300</v>
      </c>
      <c r="V106" s="104">
        <v>300</v>
      </c>
      <c r="W106" s="152"/>
      <c r="X106" s="102">
        <v>375</v>
      </c>
      <c r="Y106" s="104">
        <v>437.5</v>
      </c>
      <c r="Z106" s="104">
        <v>250</v>
      </c>
      <c r="AA106" s="104">
        <v>200</v>
      </c>
      <c r="AB106" s="104">
        <v>200</v>
      </c>
      <c r="AC106" s="104"/>
      <c r="AD106" s="104">
        <v>450</v>
      </c>
      <c r="AE106" s="104">
        <v>300</v>
      </c>
      <c r="AF106" s="104">
        <v>300</v>
      </c>
      <c r="AG106" s="152">
        <v>300</v>
      </c>
      <c r="AH106" s="102">
        <v>300</v>
      </c>
      <c r="AI106" s="104">
        <v>370</v>
      </c>
      <c r="AJ106" s="104">
        <v>250</v>
      </c>
      <c r="AK106" s="104">
        <v>200</v>
      </c>
      <c r="AL106" s="104">
        <v>200</v>
      </c>
      <c r="AM106" s="104"/>
      <c r="AN106" s="104">
        <v>450</v>
      </c>
      <c r="AO106" s="104">
        <v>300</v>
      </c>
      <c r="AP106" s="104">
        <v>300</v>
      </c>
      <c r="AQ106" s="152"/>
      <c r="AR106" s="102">
        <v>237.5</v>
      </c>
      <c r="AS106" s="104">
        <v>287.5</v>
      </c>
      <c r="AT106" s="104">
        <v>250</v>
      </c>
      <c r="AU106" s="104">
        <v>200</v>
      </c>
      <c r="AV106" s="104">
        <v>200</v>
      </c>
      <c r="AW106" s="104"/>
      <c r="AX106" s="104">
        <v>450</v>
      </c>
      <c r="AY106" s="104">
        <v>300</v>
      </c>
      <c r="AZ106" s="104">
        <v>300</v>
      </c>
      <c r="BA106" s="152"/>
      <c r="BB106" s="102">
        <v>250</v>
      </c>
      <c r="BC106" s="104">
        <v>250</v>
      </c>
      <c r="BD106" s="104">
        <v>250</v>
      </c>
      <c r="BE106" s="104">
        <v>216.66666666666666</v>
      </c>
      <c r="BF106" s="104">
        <v>216.66666666666666</v>
      </c>
      <c r="BG106" s="104"/>
      <c r="BH106" s="104">
        <v>450</v>
      </c>
      <c r="BI106" s="104">
        <v>291.66666666666669</v>
      </c>
      <c r="BJ106" s="104">
        <v>291.66666666666669</v>
      </c>
      <c r="BK106" s="152"/>
      <c r="BL106" s="102">
        <v>370</v>
      </c>
      <c r="BM106" s="104">
        <v>350</v>
      </c>
      <c r="BN106" s="104">
        <v>250</v>
      </c>
      <c r="BO106" s="104">
        <v>200</v>
      </c>
      <c r="BP106" s="104">
        <v>210</v>
      </c>
      <c r="BQ106" s="104"/>
      <c r="BR106" s="104">
        <v>450</v>
      </c>
      <c r="BS106" s="104">
        <v>275</v>
      </c>
      <c r="BT106" s="104">
        <v>275</v>
      </c>
      <c r="BU106" s="152"/>
      <c r="BV106" s="102">
        <v>425</v>
      </c>
      <c r="BW106" s="104"/>
      <c r="BX106" s="104">
        <v>237.5</v>
      </c>
      <c r="BY106" s="104">
        <v>200</v>
      </c>
      <c r="BZ106" s="104">
        <v>200</v>
      </c>
      <c r="CA106" s="104"/>
      <c r="CB106" s="104">
        <v>450</v>
      </c>
      <c r="CC106" s="104">
        <v>275</v>
      </c>
      <c r="CD106" s="104">
        <v>275</v>
      </c>
      <c r="CE106" s="152"/>
      <c r="CF106" s="102">
        <v>533.33333333333337</v>
      </c>
      <c r="CG106" s="104">
        <v>633.33333333333337</v>
      </c>
      <c r="CH106" s="104">
        <v>225</v>
      </c>
      <c r="CI106" s="104">
        <v>181.25</v>
      </c>
      <c r="CJ106" s="104">
        <v>181.25</v>
      </c>
      <c r="CK106" s="104"/>
      <c r="CL106" s="104">
        <v>450</v>
      </c>
      <c r="CM106" s="104">
        <v>275</v>
      </c>
      <c r="CN106" s="104">
        <v>275</v>
      </c>
      <c r="CO106" s="152"/>
      <c r="CP106" s="102"/>
      <c r="CQ106" s="104">
        <v>566.66666666666663</v>
      </c>
      <c r="CR106" s="104">
        <v>250</v>
      </c>
      <c r="CS106" s="104">
        <v>200</v>
      </c>
      <c r="CT106" s="104">
        <v>200</v>
      </c>
      <c r="CU106" s="104"/>
      <c r="CV106" s="104">
        <v>450</v>
      </c>
      <c r="CW106" s="104">
        <v>316.66666666666669</v>
      </c>
      <c r="CX106" s="104">
        <v>275</v>
      </c>
      <c r="CY106" s="152"/>
      <c r="CZ106" s="102"/>
      <c r="DA106" s="104">
        <v>337.5</v>
      </c>
      <c r="DB106" s="104">
        <v>175</v>
      </c>
      <c r="DC106" s="104">
        <v>150</v>
      </c>
      <c r="DD106" s="104">
        <v>143.75</v>
      </c>
      <c r="DE106" s="104"/>
      <c r="DF106" s="104">
        <v>337.5</v>
      </c>
      <c r="DG106" s="104">
        <v>206.25</v>
      </c>
      <c r="DH106" s="104">
        <v>206.25</v>
      </c>
      <c r="DI106" s="152"/>
      <c r="DJ106" s="102"/>
      <c r="DK106" s="104">
        <v>400</v>
      </c>
      <c r="DL106" s="104">
        <v>200</v>
      </c>
      <c r="DM106" s="104">
        <v>200</v>
      </c>
      <c r="DN106" s="104">
        <v>191.66666666666666</v>
      </c>
      <c r="DO106" s="104"/>
      <c r="DP106" s="104">
        <v>450</v>
      </c>
      <c r="DQ106" s="104">
        <v>275</v>
      </c>
      <c r="DR106" s="104">
        <v>275</v>
      </c>
      <c r="DS106" s="152"/>
      <c r="DT106" s="102"/>
      <c r="DU106" s="104">
        <v>483.33333333333331</v>
      </c>
      <c r="DV106" s="104">
        <v>216.66666666666666</v>
      </c>
      <c r="DW106" s="104">
        <v>208.33333333333334</v>
      </c>
      <c r="DX106" s="104">
        <v>191.66666666666666</v>
      </c>
      <c r="DY106" s="104"/>
      <c r="DZ106" s="104">
        <v>450</v>
      </c>
      <c r="EA106" s="104">
        <v>275</v>
      </c>
      <c r="EB106" s="104">
        <v>275</v>
      </c>
      <c r="EC106" s="152"/>
    </row>
    <row r="107" spans="1:133" x14ac:dyDescent="0.25">
      <c r="A107" s="95">
        <v>42856</v>
      </c>
      <c r="B107" s="75">
        <v>290.15151515151513</v>
      </c>
      <c r="C107" s="75"/>
      <c r="D107" s="75">
        <v>247.72727272727272</v>
      </c>
      <c r="E107" s="75">
        <v>260.60606060606057</v>
      </c>
      <c r="F107" s="75">
        <v>245</v>
      </c>
      <c r="G107" s="75">
        <v>462.5</v>
      </c>
      <c r="H107" s="75">
        <v>404.54545454545456</v>
      </c>
      <c r="I107" s="75">
        <v>290.45454545454544</v>
      </c>
      <c r="J107" s="75">
        <v>285.41666666666663</v>
      </c>
      <c r="K107" s="75">
        <v>289.09090909090912</v>
      </c>
      <c r="N107" s="102"/>
      <c r="O107" s="104">
        <v>500</v>
      </c>
      <c r="P107" s="104">
        <v>241.66666666666666</v>
      </c>
      <c r="Q107" s="104">
        <v>216.66666666666666</v>
      </c>
      <c r="R107" s="104">
        <v>216.66666666666666</v>
      </c>
      <c r="S107" s="104"/>
      <c r="T107" s="104">
        <v>460</v>
      </c>
      <c r="U107" s="104">
        <v>300</v>
      </c>
      <c r="V107" s="104">
        <v>300</v>
      </c>
      <c r="W107" s="152"/>
      <c r="X107" s="102">
        <v>375</v>
      </c>
      <c r="Y107" s="104">
        <v>500</v>
      </c>
      <c r="Z107" s="104">
        <v>250</v>
      </c>
      <c r="AA107" s="104">
        <v>225</v>
      </c>
      <c r="AB107" s="104">
        <v>225</v>
      </c>
      <c r="AC107" s="104"/>
      <c r="AD107" s="104">
        <v>460</v>
      </c>
      <c r="AE107" s="104">
        <v>300</v>
      </c>
      <c r="AF107" s="104">
        <v>300</v>
      </c>
      <c r="AG107" s="152"/>
      <c r="AH107" s="102">
        <v>380</v>
      </c>
      <c r="AI107" s="104">
        <v>460</v>
      </c>
      <c r="AJ107" s="104">
        <v>250</v>
      </c>
      <c r="AK107" s="104">
        <v>225</v>
      </c>
      <c r="AL107" s="104">
        <v>225</v>
      </c>
      <c r="AM107" s="104"/>
      <c r="AN107" s="104">
        <v>460</v>
      </c>
      <c r="AO107" s="104">
        <v>300</v>
      </c>
      <c r="AP107" s="104">
        <v>300</v>
      </c>
      <c r="AQ107" s="152"/>
      <c r="AR107" s="102">
        <v>300</v>
      </c>
      <c r="AS107" s="104">
        <v>400</v>
      </c>
      <c r="AT107" s="104">
        <v>250</v>
      </c>
      <c r="AU107" s="104">
        <v>225</v>
      </c>
      <c r="AV107" s="104">
        <v>225</v>
      </c>
      <c r="AW107" s="104"/>
      <c r="AX107" s="104">
        <v>460</v>
      </c>
      <c r="AY107" s="104">
        <v>300</v>
      </c>
      <c r="AZ107" s="104">
        <v>300</v>
      </c>
      <c r="BA107" s="152"/>
      <c r="BB107" s="102">
        <v>300</v>
      </c>
      <c r="BC107" s="104">
        <v>400</v>
      </c>
      <c r="BD107" s="104">
        <v>233.33333333333334</v>
      </c>
      <c r="BE107" s="104">
        <v>225</v>
      </c>
      <c r="BF107" s="104">
        <v>225</v>
      </c>
      <c r="BG107" s="104"/>
      <c r="BH107" s="104">
        <v>460</v>
      </c>
      <c r="BI107" s="104">
        <v>300</v>
      </c>
      <c r="BJ107" s="104">
        <v>300</v>
      </c>
      <c r="BK107" s="152"/>
      <c r="BL107" s="102">
        <v>410</v>
      </c>
      <c r="BM107" s="104"/>
      <c r="BN107" s="104">
        <v>225</v>
      </c>
      <c r="BO107" s="104">
        <v>225</v>
      </c>
      <c r="BP107" s="104">
        <v>225</v>
      </c>
      <c r="BQ107" s="104"/>
      <c r="BR107" s="104">
        <v>460</v>
      </c>
      <c r="BS107" s="104">
        <v>275</v>
      </c>
      <c r="BT107" s="104">
        <v>275</v>
      </c>
      <c r="BU107" s="152"/>
      <c r="BV107" s="102">
        <v>500</v>
      </c>
      <c r="BW107" s="104"/>
      <c r="BX107" s="104">
        <v>237.5</v>
      </c>
      <c r="BY107" s="104">
        <v>237.5</v>
      </c>
      <c r="BZ107" s="104">
        <v>237.5</v>
      </c>
      <c r="CA107" s="104"/>
      <c r="CB107" s="104">
        <v>460</v>
      </c>
      <c r="CC107" s="104">
        <v>275</v>
      </c>
      <c r="CD107" s="104">
        <v>275</v>
      </c>
      <c r="CE107" s="152"/>
      <c r="CF107" s="102">
        <v>600</v>
      </c>
      <c r="CG107" s="104">
        <v>625</v>
      </c>
      <c r="CH107" s="104">
        <v>250</v>
      </c>
      <c r="CI107" s="104">
        <v>250</v>
      </c>
      <c r="CJ107" s="104">
        <v>256.25</v>
      </c>
      <c r="CK107" s="104"/>
      <c r="CL107" s="104">
        <v>460</v>
      </c>
      <c r="CM107" s="104">
        <v>275</v>
      </c>
      <c r="CN107" s="104">
        <v>275</v>
      </c>
      <c r="CO107" s="152"/>
      <c r="CP107" s="102"/>
      <c r="CQ107" s="104">
        <v>600</v>
      </c>
      <c r="CR107" s="104">
        <v>250</v>
      </c>
      <c r="CS107" s="104">
        <v>250</v>
      </c>
      <c r="CT107" s="104">
        <v>250</v>
      </c>
      <c r="CU107" s="104"/>
      <c r="CV107" s="104">
        <v>460</v>
      </c>
      <c r="CW107" s="104">
        <v>275</v>
      </c>
      <c r="CX107" s="104">
        <v>275</v>
      </c>
      <c r="CY107" s="152"/>
      <c r="CZ107" s="102"/>
      <c r="DA107" s="104">
        <v>375</v>
      </c>
      <c r="DB107" s="104">
        <v>187.5</v>
      </c>
      <c r="DC107" s="104">
        <v>187.5</v>
      </c>
      <c r="DD107" s="104">
        <v>187.5</v>
      </c>
      <c r="DE107" s="104"/>
      <c r="DF107" s="104">
        <v>345</v>
      </c>
      <c r="DG107" s="104">
        <v>206.25</v>
      </c>
      <c r="DH107" s="104">
        <v>206.25</v>
      </c>
      <c r="DI107" s="152"/>
      <c r="DJ107" s="102"/>
      <c r="DK107" s="104">
        <v>500</v>
      </c>
      <c r="DL107" s="104">
        <v>250</v>
      </c>
      <c r="DM107" s="104">
        <v>233.33333333333334</v>
      </c>
      <c r="DN107" s="104">
        <v>233.33333333333334</v>
      </c>
      <c r="DO107" s="104"/>
      <c r="DP107" s="104">
        <v>453.33333333333331</v>
      </c>
      <c r="DQ107" s="104">
        <v>275</v>
      </c>
      <c r="DR107" s="104">
        <v>275</v>
      </c>
      <c r="DS107" s="152"/>
      <c r="DT107" s="102"/>
      <c r="DU107" s="104">
        <v>500</v>
      </c>
      <c r="DV107" s="104">
        <v>250</v>
      </c>
      <c r="DW107" s="104">
        <v>225</v>
      </c>
      <c r="DX107" s="104">
        <v>208.33333333333334</v>
      </c>
      <c r="DY107" s="104"/>
      <c r="DZ107" s="104">
        <v>450</v>
      </c>
      <c r="EA107" s="104">
        <v>275</v>
      </c>
      <c r="EB107" s="104">
        <v>275</v>
      </c>
      <c r="EC107" s="152"/>
    </row>
    <row r="108" spans="1:133" x14ac:dyDescent="0.25">
      <c r="A108" s="95">
        <v>42887</v>
      </c>
      <c r="B108" s="75">
        <v>355.30303030303037</v>
      </c>
      <c r="C108" s="75"/>
      <c r="D108" s="75">
        <v>247.72727272727272</v>
      </c>
      <c r="E108" s="75">
        <v>261.36363636363637</v>
      </c>
      <c r="F108" s="75">
        <v>237.87878787878788</v>
      </c>
      <c r="G108" s="75">
        <v>462.5</v>
      </c>
      <c r="H108" s="75">
        <v>404.54545454545456</v>
      </c>
      <c r="I108" s="75">
        <v>287.72727272727275</v>
      </c>
      <c r="J108" s="75">
        <v>291.1904761904762</v>
      </c>
      <c r="K108" s="75">
        <v>299.69696969696975</v>
      </c>
      <c r="N108" s="102"/>
      <c r="O108" s="104">
        <v>400</v>
      </c>
      <c r="P108" s="104">
        <v>275</v>
      </c>
      <c r="Q108" s="104">
        <v>291.66666666666669</v>
      </c>
      <c r="R108" s="104">
        <v>275</v>
      </c>
      <c r="S108" s="104">
        <v>500</v>
      </c>
      <c r="T108" s="104">
        <v>450</v>
      </c>
      <c r="U108" s="104">
        <v>300</v>
      </c>
      <c r="V108" s="104"/>
      <c r="W108" s="152">
        <v>200</v>
      </c>
      <c r="X108" s="102"/>
      <c r="Y108" s="104">
        <v>400</v>
      </c>
      <c r="Z108" s="104">
        <v>256.25</v>
      </c>
      <c r="AA108" s="104">
        <v>287.5</v>
      </c>
      <c r="AB108" s="104">
        <v>275</v>
      </c>
      <c r="AC108" s="104">
        <v>500</v>
      </c>
      <c r="AD108" s="104">
        <v>450</v>
      </c>
      <c r="AE108" s="104">
        <v>300</v>
      </c>
      <c r="AF108" s="104"/>
      <c r="AG108" s="152">
        <v>300</v>
      </c>
      <c r="AH108" s="102">
        <v>325</v>
      </c>
      <c r="AI108" s="104">
        <v>360</v>
      </c>
      <c r="AJ108" s="104">
        <v>275</v>
      </c>
      <c r="AK108" s="104">
        <v>300</v>
      </c>
      <c r="AL108" s="104">
        <v>275</v>
      </c>
      <c r="AM108" s="104">
        <v>498</v>
      </c>
      <c r="AN108" s="104">
        <v>450</v>
      </c>
      <c r="AO108" s="104">
        <v>300</v>
      </c>
      <c r="AP108" s="104"/>
      <c r="AQ108" s="152">
        <v>300</v>
      </c>
      <c r="AR108" s="102">
        <v>275</v>
      </c>
      <c r="AS108" s="104">
        <v>275</v>
      </c>
      <c r="AT108" s="104">
        <v>275</v>
      </c>
      <c r="AU108" s="104">
        <v>300</v>
      </c>
      <c r="AV108" s="104">
        <v>281.25</v>
      </c>
      <c r="AW108" s="104">
        <v>487.5</v>
      </c>
      <c r="AX108" s="104">
        <v>450</v>
      </c>
      <c r="AY108" s="104">
        <v>300</v>
      </c>
      <c r="AZ108" s="104"/>
      <c r="BA108" s="152">
        <v>300</v>
      </c>
      <c r="BB108" s="102">
        <v>250</v>
      </c>
      <c r="BC108" s="104">
        <v>300</v>
      </c>
      <c r="BD108" s="104">
        <v>266.66666666666669</v>
      </c>
      <c r="BE108" s="104">
        <v>300</v>
      </c>
      <c r="BF108" s="104">
        <v>300</v>
      </c>
      <c r="BG108" s="104">
        <v>500</v>
      </c>
      <c r="BH108" s="104">
        <v>450</v>
      </c>
      <c r="BI108" s="104">
        <v>300</v>
      </c>
      <c r="BJ108" s="104"/>
      <c r="BK108" s="152"/>
      <c r="BL108" s="102">
        <v>370</v>
      </c>
      <c r="BM108" s="104"/>
      <c r="BN108" s="104">
        <v>275</v>
      </c>
      <c r="BO108" s="104">
        <v>300</v>
      </c>
      <c r="BP108" s="104">
        <v>284</v>
      </c>
      <c r="BQ108" s="104">
        <v>500</v>
      </c>
      <c r="BR108" s="104">
        <v>450</v>
      </c>
      <c r="BS108" s="104">
        <v>284</v>
      </c>
      <c r="BT108" s="104"/>
      <c r="BU108" s="152"/>
      <c r="BV108" s="102">
        <v>412.5</v>
      </c>
      <c r="BW108" s="104"/>
      <c r="BX108" s="104">
        <v>275</v>
      </c>
      <c r="BY108" s="104">
        <v>300</v>
      </c>
      <c r="BZ108" s="104">
        <v>281.25</v>
      </c>
      <c r="CA108" s="104">
        <v>500</v>
      </c>
      <c r="CB108" s="104">
        <v>450</v>
      </c>
      <c r="CC108" s="104">
        <v>280</v>
      </c>
      <c r="CD108" s="104"/>
      <c r="CE108" s="152"/>
      <c r="CF108" s="102">
        <v>650</v>
      </c>
      <c r="CG108" s="104">
        <v>633.33333333333337</v>
      </c>
      <c r="CH108" s="104">
        <v>281.25</v>
      </c>
      <c r="CI108" s="104">
        <v>300</v>
      </c>
      <c r="CJ108" s="104">
        <v>287.5</v>
      </c>
      <c r="CK108" s="104">
        <v>500</v>
      </c>
      <c r="CL108" s="104">
        <v>450</v>
      </c>
      <c r="CM108" s="104">
        <v>280</v>
      </c>
      <c r="CN108" s="104"/>
      <c r="CO108" s="152"/>
      <c r="CP108" s="102"/>
      <c r="CQ108" s="104">
        <v>533.33333333333337</v>
      </c>
      <c r="CR108" s="104">
        <v>300</v>
      </c>
      <c r="CS108" s="104">
        <v>300</v>
      </c>
      <c r="CT108" s="104">
        <v>275</v>
      </c>
      <c r="CU108" s="104">
        <v>500</v>
      </c>
      <c r="CV108" s="104">
        <v>450</v>
      </c>
      <c r="CW108" s="104">
        <v>280</v>
      </c>
      <c r="CX108" s="104"/>
      <c r="CY108" s="152"/>
      <c r="CZ108" s="102"/>
      <c r="DA108" s="104">
        <v>312.5</v>
      </c>
      <c r="DB108" s="104">
        <v>212.5</v>
      </c>
      <c r="DC108" s="104">
        <v>218.75</v>
      </c>
      <c r="DD108" s="104">
        <v>206.25</v>
      </c>
      <c r="DE108" s="104">
        <v>375</v>
      </c>
      <c r="DF108" s="104">
        <v>337.5</v>
      </c>
      <c r="DG108" s="104">
        <v>210</v>
      </c>
      <c r="DH108" s="104"/>
      <c r="DI108" s="152"/>
      <c r="DJ108" s="102"/>
      <c r="DK108" s="104">
        <v>400</v>
      </c>
      <c r="DL108" s="104">
        <v>266.66666666666669</v>
      </c>
      <c r="DM108" s="104">
        <v>283.33333333333331</v>
      </c>
      <c r="DN108" s="104">
        <v>266.66666666666669</v>
      </c>
      <c r="DO108" s="104">
        <v>500</v>
      </c>
      <c r="DP108" s="104">
        <v>450</v>
      </c>
      <c r="DQ108" s="104">
        <v>280</v>
      </c>
      <c r="DR108" s="104"/>
      <c r="DS108" s="152"/>
      <c r="DT108" s="102"/>
      <c r="DU108" s="104">
        <v>450</v>
      </c>
      <c r="DV108" s="104">
        <v>258.33333333333331</v>
      </c>
      <c r="DW108" s="104">
        <v>275</v>
      </c>
      <c r="DX108" s="104">
        <v>250</v>
      </c>
      <c r="DY108" s="104">
        <v>500</v>
      </c>
      <c r="DZ108" s="104">
        <v>450</v>
      </c>
      <c r="EA108" s="104">
        <v>280</v>
      </c>
      <c r="EB108" s="104"/>
      <c r="EC108" s="152"/>
    </row>
    <row r="109" spans="1:133" ht="15.75" thickBot="1" x14ac:dyDescent="0.3">
      <c r="A109" s="95">
        <v>42917</v>
      </c>
      <c r="B109" s="75">
        <v>425.45454545454538</v>
      </c>
      <c r="C109" s="75"/>
      <c r="D109" s="75">
        <v>254.54545454545453</v>
      </c>
      <c r="E109" s="75">
        <v>271.21212121212125</v>
      </c>
      <c r="F109" s="75">
        <v>248.61111111111111</v>
      </c>
      <c r="G109" s="75">
        <v>462.5</v>
      </c>
      <c r="H109" s="75">
        <v>404.54545454545456</v>
      </c>
      <c r="I109" s="75">
        <v>293.48484848484844</v>
      </c>
      <c r="J109" s="75">
        <v>288.33333333333337</v>
      </c>
      <c r="K109" s="75">
        <v>301.21212121212119</v>
      </c>
      <c r="N109" s="161">
        <v>300</v>
      </c>
      <c r="O109" s="162">
        <v>421.21212121212119</v>
      </c>
      <c r="P109" s="162">
        <v>236.06060606060603</v>
      </c>
      <c r="Q109" s="162">
        <v>249.24242424242422</v>
      </c>
      <c r="R109" s="162">
        <v>232.5</v>
      </c>
      <c r="S109" s="162">
        <v>481.25</v>
      </c>
      <c r="T109" s="162">
        <v>449.09090909090907</v>
      </c>
      <c r="U109" s="162">
        <v>297.72727272727275</v>
      </c>
      <c r="V109" s="162">
        <v>297.14285714285717</v>
      </c>
      <c r="W109" s="163">
        <v>271.45833333333331</v>
      </c>
      <c r="X109" s="161">
        <v>348.1018518518519</v>
      </c>
      <c r="Y109" s="162">
        <v>393.18181818181819</v>
      </c>
      <c r="Z109" s="162">
        <v>242.61363636363637</v>
      </c>
      <c r="AA109" s="162">
        <v>255.68181818181819</v>
      </c>
      <c r="AB109" s="162">
        <v>238.63636363636363</v>
      </c>
      <c r="AC109" s="162">
        <v>481.25</v>
      </c>
      <c r="AD109" s="162">
        <v>450</v>
      </c>
      <c r="AE109" s="162">
        <v>297.72727272727275</v>
      </c>
      <c r="AF109" s="162">
        <v>297.5</v>
      </c>
      <c r="AG109" s="163">
        <v>285.97222222222223</v>
      </c>
      <c r="AH109" s="161">
        <v>284.54545454545456</v>
      </c>
      <c r="AI109" s="162">
        <v>345.45454545454544</v>
      </c>
      <c r="AJ109" s="162">
        <v>244.81818181818181</v>
      </c>
      <c r="AK109" s="162">
        <v>251.13636363636363</v>
      </c>
      <c r="AL109" s="162">
        <v>240</v>
      </c>
      <c r="AM109" s="162">
        <v>472</v>
      </c>
      <c r="AN109" s="162">
        <v>449.81818181818181</v>
      </c>
      <c r="AO109" s="162">
        <v>299.45454545454544</v>
      </c>
      <c r="AP109" s="162">
        <v>299.66666666666669</v>
      </c>
      <c r="AQ109" s="163">
        <v>284.125</v>
      </c>
      <c r="AR109" s="161">
        <v>215.34090909090909</v>
      </c>
      <c r="AS109" s="162">
        <v>296.02272727272725</v>
      </c>
      <c r="AT109" s="162">
        <v>244.88636363636363</v>
      </c>
      <c r="AU109" s="162">
        <v>256.25</v>
      </c>
      <c r="AV109" s="162">
        <v>240.56818181818181</v>
      </c>
      <c r="AW109" s="162">
        <v>470</v>
      </c>
      <c r="AX109" s="162">
        <v>451.47727272727275</v>
      </c>
      <c r="AY109" s="162">
        <v>297.27272727272725</v>
      </c>
      <c r="AZ109" s="162">
        <v>294.28571428571428</v>
      </c>
      <c r="BA109" s="163">
        <v>283.75</v>
      </c>
      <c r="BB109" s="161">
        <v>220.45454545454547</v>
      </c>
      <c r="BC109" s="162">
        <v>309.16666666666663</v>
      </c>
      <c r="BD109" s="162">
        <v>242.57575757575754</v>
      </c>
      <c r="BE109" s="162">
        <v>259.09090909090907</v>
      </c>
      <c r="BF109" s="162">
        <v>241.33333333333331</v>
      </c>
      <c r="BG109" s="162">
        <v>475</v>
      </c>
      <c r="BH109" s="162">
        <v>450</v>
      </c>
      <c r="BI109" s="162">
        <v>296.21212121212119</v>
      </c>
      <c r="BJ109" s="162">
        <v>294.27083333333331</v>
      </c>
      <c r="BK109" s="163">
        <v>276.42857142857144</v>
      </c>
      <c r="BL109" s="161">
        <v>348.63636363636363</v>
      </c>
      <c r="BM109" s="162">
        <v>325</v>
      </c>
      <c r="BN109" s="162">
        <v>244.72727272727272</v>
      </c>
      <c r="BO109" s="162">
        <v>259.09090909090907</v>
      </c>
      <c r="BP109" s="162">
        <v>242.63636363636363</v>
      </c>
      <c r="BQ109" s="162">
        <v>481.25</v>
      </c>
      <c r="BR109" s="162">
        <v>449.18181818181819</v>
      </c>
      <c r="BS109" s="162">
        <v>272.36363636363637</v>
      </c>
      <c r="BT109" s="162">
        <v>271.07142857142856</v>
      </c>
      <c r="BU109" s="163">
        <v>272.32142857142856</v>
      </c>
      <c r="BV109" s="161">
        <v>416.47727272727275</v>
      </c>
      <c r="BW109" s="162" t="s">
        <v>105</v>
      </c>
      <c r="BX109" s="162">
        <v>251.70454545454547</v>
      </c>
      <c r="BY109" s="162">
        <v>261.13636363636363</v>
      </c>
      <c r="BZ109" s="162">
        <v>244.31818181818181</v>
      </c>
      <c r="CA109" s="162">
        <v>482.8125</v>
      </c>
      <c r="CB109" s="162">
        <v>450</v>
      </c>
      <c r="CC109" s="162">
        <v>271.47727272727275</v>
      </c>
      <c r="CD109" s="162">
        <v>269.16666666666669</v>
      </c>
      <c r="CE109" s="163">
        <v>289.375</v>
      </c>
      <c r="CF109" s="161">
        <v>504.92424242424244</v>
      </c>
      <c r="CG109" s="162">
        <v>581.96969696969688</v>
      </c>
      <c r="CH109" s="162">
        <v>253.06818181818181</v>
      </c>
      <c r="CI109" s="162">
        <v>257.19696969696969</v>
      </c>
      <c r="CJ109" s="162">
        <v>242.5</v>
      </c>
      <c r="CK109" s="162">
        <v>493.75</v>
      </c>
      <c r="CL109" s="162">
        <v>450</v>
      </c>
      <c r="CM109" s="162">
        <v>271.36363636363637</v>
      </c>
      <c r="CN109" s="162">
        <v>269.72222222222223</v>
      </c>
      <c r="CO109" s="163">
        <v>274.58333333333331</v>
      </c>
      <c r="CP109" s="161">
        <v>450</v>
      </c>
      <c r="CQ109" s="162">
        <v>406.81818181818181</v>
      </c>
      <c r="CR109" s="162">
        <v>260</v>
      </c>
      <c r="CS109" s="162">
        <v>262.66666666666669</v>
      </c>
      <c r="CT109" s="162">
        <v>244.66666666666666</v>
      </c>
      <c r="CU109" s="162">
        <v>487.5</v>
      </c>
      <c r="CV109" s="162">
        <v>450.16666666666669</v>
      </c>
      <c r="CW109" s="162">
        <v>276.16666666666663</v>
      </c>
      <c r="CX109" s="162">
        <v>270</v>
      </c>
      <c r="CY109" s="163">
        <v>274.58333333333331</v>
      </c>
      <c r="CZ109" s="161"/>
      <c r="DA109" s="105">
        <v>321.59090909090907</v>
      </c>
      <c r="DB109" s="105">
        <v>189.77272727272728</v>
      </c>
      <c r="DC109" s="105">
        <v>193.29545454545453</v>
      </c>
      <c r="DD109" s="105">
        <v>140.34090909090909</v>
      </c>
      <c r="DE109" s="105">
        <v>134.65909090909091</v>
      </c>
      <c r="DF109" s="105">
        <v>327.27272727272725</v>
      </c>
      <c r="DG109" s="105">
        <v>203.86363636363637</v>
      </c>
      <c r="DH109" s="105">
        <v>128.78787878787878</v>
      </c>
      <c r="DI109" s="167">
        <v>134.54545454545456</v>
      </c>
      <c r="DJ109" s="161"/>
      <c r="DK109" s="105">
        <v>393.93939393939399</v>
      </c>
      <c r="DL109" s="105">
        <v>248.030303030303</v>
      </c>
      <c r="DM109" s="105">
        <v>249.69696969696972</v>
      </c>
      <c r="DN109" s="105">
        <v>235.18518518518516</v>
      </c>
      <c r="DO109" s="105">
        <v>489.58333333333331</v>
      </c>
      <c r="DP109" s="105">
        <v>449.39393939393938</v>
      </c>
      <c r="DQ109" s="105">
        <v>271.81818181818181</v>
      </c>
      <c r="DR109" s="105">
        <v>267.38095238095235</v>
      </c>
      <c r="DS109" s="167">
        <v>264.16666666666663</v>
      </c>
      <c r="DT109" s="161"/>
      <c r="DU109" s="105">
        <v>442.42424242424244</v>
      </c>
      <c r="DV109" s="105">
        <v>246.21212121212122</v>
      </c>
      <c r="DW109" s="105">
        <v>245.30303030303031</v>
      </c>
      <c r="DX109" s="105">
        <v>224.44444444444446</v>
      </c>
      <c r="DY109" s="105">
        <v>487.5</v>
      </c>
      <c r="DZ109" s="105">
        <v>449.39393939393938</v>
      </c>
      <c r="EA109" s="105">
        <v>272.42424242424244</v>
      </c>
      <c r="EB109" s="105">
        <v>268.57142857142856</v>
      </c>
      <c r="EC109" s="167">
        <v>265.71428571428572</v>
      </c>
    </row>
    <row r="110" spans="1:133" x14ac:dyDescent="0.25">
      <c r="A110" s="95">
        <v>42948</v>
      </c>
      <c r="B110" s="75">
        <v>590.90909090909088</v>
      </c>
      <c r="C110" s="75">
        <v>502.27272727272725</v>
      </c>
      <c r="D110" s="75">
        <v>259.20454545454544</v>
      </c>
      <c r="E110" s="75">
        <v>272.15909090909093</v>
      </c>
      <c r="F110" s="75">
        <v>246</v>
      </c>
      <c r="G110" s="75">
        <v>462.5</v>
      </c>
      <c r="H110" s="75">
        <v>398.86363636363637</v>
      </c>
      <c r="I110" s="75">
        <v>293.18181818181819</v>
      </c>
      <c r="J110" s="75">
        <v>292.85714285714283</v>
      </c>
      <c r="K110" s="75">
        <v>305.56818181818181</v>
      </c>
    </row>
    <row r="111" spans="1:133" x14ac:dyDescent="0.25">
      <c r="A111" s="95">
        <v>42979</v>
      </c>
      <c r="B111" s="75"/>
      <c r="C111" s="75">
        <v>391.66666666666663</v>
      </c>
      <c r="D111" s="75">
        <v>277.16666666666663</v>
      </c>
      <c r="E111" s="75">
        <v>287.40740740740745</v>
      </c>
      <c r="F111" s="75">
        <v>239.58333333333334</v>
      </c>
      <c r="G111" s="75">
        <v>462.5</v>
      </c>
      <c r="H111" s="75">
        <v>400</v>
      </c>
      <c r="I111" s="75">
        <v>292.41666666666669</v>
      </c>
      <c r="J111" s="75">
        <v>291.38888888888886</v>
      </c>
      <c r="K111" s="75">
        <v>288.66666666666669</v>
      </c>
    </row>
    <row r="112" spans="1:133" ht="15.75" thickBot="1" x14ac:dyDescent="0.3">
      <c r="A112" s="95">
        <v>43009</v>
      </c>
      <c r="B112" s="75"/>
      <c r="C112" s="75">
        <v>381.81818181818181</v>
      </c>
      <c r="D112" s="75">
        <v>271.36363636363637</v>
      </c>
      <c r="E112" s="75">
        <v>279.54545454545456</v>
      </c>
      <c r="F112" s="75">
        <v>240</v>
      </c>
      <c r="G112" s="75">
        <v>462.5</v>
      </c>
      <c r="H112" s="75">
        <v>400</v>
      </c>
      <c r="I112" s="75">
        <v>290.5</v>
      </c>
      <c r="J112" s="75">
        <v>290.625</v>
      </c>
      <c r="K112" s="75">
        <v>298</v>
      </c>
      <c r="N112" s="172">
        <v>2014</v>
      </c>
    </row>
    <row r="113" spans="1:133" ht="15.75" thickBot="1" x14ac:dyDescent="0.3">
      <c r="A113" s="95">
        <v>43040</v>
      </c>
      <c r="B113" s="75"/>
      <c r="C113" s="75">
        <v>371.96969696969705</v>
      </c>
      <c r="D113" s="75">
        <v>284.09090909090912</v>
      </c>
      <c r="E113" s="75">
        <v>287.91666666666663</v>
      </c>
      <c r="F113" s="75">
        <v>257.29166666666663</v>
      </c>
      <c r="G113" s="75">
        <v>462.5</v>
      </c>
      <c r="H113" s="75">
        <v>398.48484848484856</v>
      </c>
      <c r="I113" s="75">
        <v>296.21212121212119</v>
      </c>
      <c r="J113" s="75">
        <v>292.22222222222223</v>
      </c>
      <c r="K113" s="75">
        <v>301.21212121212119</v>
      </c>
      <c r="N113" s="118"/>
      <c r="O113" s="109"/>
      <c r="P113" s="109"/>
      <c r="Q113" s="111"/>
      <c r="R113" s="111"/>
      <c r="S113" s="111" t="s">
        <v>165</v>
      </c>
      <c r="T113" s="109"/>
      <c r="U113" s="109"/>
      <c r="V113" s="109"/>
      <c r="W113" s="112"/>
      <c r="X113" s="118"/>
      <c r="Y113" s="109"/>
      <c r="Z113" s="109"/>
      <c r="AA113" s="111"/>
      <c r="AB113" s="111"/>
      <c r="AC113" s="111"/>
      <c r="AD113" s="111" t="s">
        <v>165</v>
      </c>
      <c r="AE113" s="109"/>
      <c r="AF113" s="109"/>
      <c r="AG113" s="112"/>
      <c r="AH113" s="118"/>
      <c r="AI113" s="109"/>
      <c r="AJ113" s="109"/>
      <c r="AK113" s="111"/>
      <c r="AL113" s="111"/>
      <c r="AM113" s="111" t="s">
        <v>165</v>
      </c>
      <c r="AN113" s="111"/>
      <c r="AO113" s="109"/>
      <c r="AP113" s="109"/>
      <c r="AQ113" s="112"/>
      <c r="AR113" s="118"/>
      <c r="AS113" s="109"/>
      <c r="AT113" s="109"/>
      <c r="AU113" s="111"/>
      <c r="AV113" s="111"/>
      <c r="AW113" s="111" t="s">
        <v>165</v>
      </c>
      <c r="AX113" s="111"/>
      <c r="AY113" s="109"/>
      <c r="AZ113" s="109"/>
      <c r="BA113" s="112"/>
      <c r="BB113" s="109"/>
      <c r="BC113" s="109"/>
      <c r="BD113" s="109"/>
      <c r="BE113" s="109"/>
      <c r="BF113" s="109"/>
      <c r="BG113" s="111" t="s">
        <v>165</v>
      </c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11" t="s">
        <v>165</v>
      </c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11" t="s">
        <v>165</v>
      </c>
      <c r="CB113" s="109"/>
      <c r="CC113" s="109"/>
      <c r="CD113" s="109"/>
      <c r="CE113" s="109"/>
      <c r="CF113" s="109"/>
      <c r="CG113" s="109"/>
      <c r="CH113" s="109"/>
      <c r="CI113" s="109"/>
      <c r="CJ113" s="109"/>
      <c r="CK113" s="111" t="s">
        <v>165</v>
      </c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11" t="s">
        <v>165</v>
      </c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11" t="s">
        <v>165</v>
      </c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11" t="s">
        <v>165</v>
      </c>
      <c r="DP113" s="109"/>
      <c r="DQ113" s="109"/>
      <c r="DR113" s="109"/>
      <c r="DS113" s="109"/>
      <c r="DT113" s="109"/>
      <c r="DU113" s="109"/>
      <c r="DV113" s="109"/>
      <c r="DW113" s="109"/>
      <c r="DX113" s="109"/>
      <c r="DY113" s="111" t="s">
        <v>165</v>
      </c>
      <c r="DZ113" s="109"/>
      <c r="EA113" s="109"/>
      <c r="EB113" s="109"/>
      <c r="EC113" s="109"/>
    </row>
    <row r="114" spans="1:133" ht="15.75" thickBot="1" x14ac:dyDescent="0.3">
      <c r="A114" s="95">
        <v>43070</v>
      </c>
      <c r="B114" s="75"/>
      <c r="C114" s="75">
        <v>418.75</v>
      </c>
      <c r="D114" s="75">
        <v>270.45454545454544</v>
      </c>
      <c r="E114" s="75">
        <v>274.05303030303031</v>
      </c>
      <c r="F114" s="75">
        <v>234.09090909090909</v>
      </c>
      <c r="G114" s="75">
        <v>462.5</v>
      </c>
      <c r="H114" s="75">
        <v>387.5</v>
      </c>
      <c r="I114" s="75">
        <v>295.45454545454544</v>
      </c>
      <c r="J114" s="75">
        <v>293.88888888888891</v>
      </c>
      <c r="K114" s="75">
        <v>302.72727272727275</v>
      </c>
      <c r="N114" s="137"/>
      <c r="O114" s="138"/>
      <c r="P114" s="138"/>
      <c r="Q114" s="131"/>
      <c r="R114" s="131"/>
      <c r="S114" s="131" t="s">
        <v>228</v>
      </c>
      <c r="T114" s="138"/>
      <c r="U114" s="138"/>
      <c r="V114" s="138"/>
      <c r="W114" s="139"/>
      <c r="X114" s="137"/>
      <c r="Y114" s="138"/>
      <c r="Z114" s="138"/>
      <c r="AA114" s="131"/>
      <c r="AB114" s="131"/>
      <c r="AC114" s="131"/>
      <c r="AD114" s="131" t="s">
        <v>229</v>
      </c>
      <c r="AE114" s="138"/>
      <c r="AF114" s="138"/>
      <c r="AG114" s="139"/>
      <c r="AH114" s="137"/>
      <c r="AI114" s="138"/>
      <c r="AJ114" s="138"/>
      <c r="AK114" s="131"/>
      <c r="AL114" s="131"/>
      <c r="AM114" s="131" t="s">
        <v>230</v>
      </c>
      <c r="AN114" s="131"/>
      <c r="AO114" s="138"/>
      <c r="AP114" s="138"/>
      <c r="AQ114" s="139"/>
      <c r="AR114" s="137"/>
      <c r="AS114" s="138"/>
      <c r="AT114" s="138"/>
      <c r="AU114" s="131"/>
      <c r="AV114" s="131"/>
      <c r="AW114" s="131" t="s">
        <v>231</v>
      </c>
      <c r="AX114" s="131"/>
      <c r="AY114" s="138"/>
      <c r="AZ114" s="138"/>
      <c r="BA114" s="139"/>
      <c r="BB114" s="138"/>
      <c r="BC114" s="138"/>
      <c r="BD114" s="138"/>
      <c r="BE114" s="138"/>
      <c r="BF114" s="138"/>
      <c r="BG114" s="131" t="s">
        <v>232</v>
      </c>
      <c r="BH114" s="138"/>
      <c r="BI114" s="138"/>
      <c r="BJ114" s="138"/>
      <c r="BK114" s="138"/>
      <c r="BL114" s="138"/>
      <c r="BM114" s="138"/>
      <c r="BN114" s="138"/>
      <c r="BO114" s="138"/>
      <c r="BP114" s="138"/>
      <c r="BQ114" s="131" t="s">
        <v>233</v>
      </c>
      <c r="BR114" s="138"/>
      <c r="BS114" s="138"/>
      <c r="BT114" s="138"/>
      <c r="BU114" s="138"/>
      <c r="BV114" s="138"/>
      <c r="BW114" s="138"/>
      <c r="BX114" s="138"/>
      <c r="BY114" s="138"/>
      <c r="BZ114" s="138"/>
      <c r="CA114" s="131" t="s">
        <v>234</v>
      </c>
      <c r="CB114" s="138"/>
      <c r="CC114" s="138"/>
      <c r="CD114" s="138"/>
      <c r="CE114" s="138"/>
      <c r="CF114" s="138"/>
      <c r="CG114" s="138"/>
      <c r="CH114" s="138"/>
      <c r="CI114" s="138"/>
      <c r="CJ114" s="138"/>
      <c r="CK114" s="131" t="s">
        <v>235</v>
      </c>
      <c r="CL114" s="138"/>
      <c r="CM114" s="138"/>
      <c r="CN114" s="138"/>
      <c r="CO114" s="138"/>
      <c r="CP114" s="138"/>
      <c r="CQ114" s="138"/>
      <c r="CR114" s="138"/>
      <c r="CS114" s="138"/>
      <c r="CT114" s="138"/>
      <c r="CU114" s="131" t="s">
        <v>236</v>
      </c>
      <c r="CV114" s="138"/>
      <c r="CW114" s="138"/>
      <c r="CX114" s="138"/>
      <c r="CY114" s="138"/>
      <c r="CZ114" s="138"/>
      <c r="DA114" s="138"/>
      <c r="DB114" s="138"/>
      <c r="DC114" s="138"/>
      <c r="DD114" s="138"/>
      <c r="DE114" s="131" t="s">
        <v>237</v>
      </c>
      <c r="DF114" s="138"/>
      <c r="DG114" s="138"/>
      <c r="DH114" s="138"/>
      <c r="DI114" s="138"/>
      <c r="DJ114" s="138"/>
      <c r="DK114" s="138"/>
      <c r="DL114" s="138"/>
      <c r="DM114" s="138"/>
      <c r="DN114" s="138"/>
      <c r="DO114" s="131" t="s">
        <v>238</v>
      </c>
      <c r="DP114" s="138"/>
      <c r="DQ114" s="138"/>
      <c r="DR114" s="138"/>
      <c r="DS114" s="138"/>
      <c r="DT114" s="138"/>
      <c r="DU114" s="138"/>
      <c r="DV114" s="138"/>
      <c r="DW114" s="138"/>
      <c r="DX114" s="138"/>
      <c r="DY114" s="131" t="s">
        <v>239</v>
      </c>
      <c r="DZ114" s="138"/>
      <c r="EA114" s="138"/>
      <c r="EB114" s="138"/>
      <c r="EC114" s="138"/>
    </row>
    <row r="115" spans="1:133" x14ac:dyDescent="0.25">
      <c r="A115" s="95">
        <v>43101</v>
      </c>
      <c r="B115" s="75"/>
      <c r="C115" s="75">
        <v>467.61363636363637</v>
      </c>
      <c r="D115" s="75">
        <v>240.34090909090909</v>
      </c>
      <c r="E115" s="75">
        <v>256.875</v>
      </c>
      <c r="F115" s="75">
        <v>222.5</v>
      </c>
      <c r="G115" s="75">
        <v>462.5</v>
      </c>
      <c r="H115" s="75">
        <v>385.22727272727275</v>
      </c>
      <c r="I115" s="75">
        <v>297.72727272727275</v>
      </c>
      <c r="J115" s="75">
        <v>293.75</v>
      </c>
      <c r="K115" s="75">
        <v>303.40909090909093</v>
      </c>
      <c r="N115" s="455" t="s">
        <v>152</v>
      </c>
      <c r="O115" s="463"/>
      <c r="P115" s="457" t="s">
        <v>153</v>
      </c>
      <c r="Q115" s="458"/>
      <c r="R115" s="456"/>
      <c r="S115" s="457" t="s">
        <v>290</v>
      </c>
      <c r="T115" s="458"/>
      <c r="U115" s="458"/>
      <c r="V115" s="458"/>
      <c r="W115" s="459"/>
      <c r="X115" s="455" t="s">
        <v>152</v>
      </c>
      <c r="Y115" s="463"/>
      <c r="Z115" s="457" t="s">
        <v>153</v>
      </c>
      <c r="AA115" s="458"/>
      <c r="AB115" s="456"/>
      <c r="AC115" s="457" t="s">
        <v>290</v>
      </c>
      <c r="AD115" s="458"/>
      <c r="AE115" s="458"/>
      <c r="AF115" s="458"/>
      <c r="AG115" s="459"/>
      <c r="AH115" s="455" t="s">
        <v>152</v>
      </c>
      <c r="AI115" s="463"/>
      <c r="AJ115" s="457" t="s">
        <v>153</v>
      </c>
      <c r="AK115" s="458"/>
      <c r="AL115" s="456"/>
      <c r="AM115" s="457" t="s">
        <v>290</v>
      </c>
      <c r="AN115" s="458"/>
      <c r="AO115" s="458"/>
      <c r="AP115" s="458"/>
      <c r="AQ115" s="459"/>
      <c r="AR115" s="455" t="s">
        <v>152</v>
      </c>
      <c r="AS115" s="463"/>
      <c r="AT115" s="457" t="s">
        <v>153</v>
      </c>
      <c r="AU115" s="458"/>
      <c r="AV115" s="456"/>
      <c r="AW115" s="457" t="s">
        <v>290</v>
      </c>
      <c r="AX115" s="458"/>
      <c r="AY115" s="458"/>
      <c r="AZ115" s="458"/>
      <c r="BA115" s="459"/>
      <c r="BB115" s="455" t="s">
        <v>152</v>
      </c>
      <c r="BC115" s="463"/>
      <c r="BD115" s="457" t="s">
        <v>153</v>
      </c>
      <c r="BE115" s="458"/>
      <c r="BF115" s="456"/>
      <c r="BG115" s="457" t="s">
        <v>290</v>
      </c>
      <c r="BH115" s="458"/>
      <c r="BI115" s="458"/>
      <c r="BJ115" s="458"/>
      <c r="BK115" s="459"/>
      <c r="BL115" s="455" t="s">
        <v>152</v>
      </c>
      <c r="BM115" s="463"/>
      <c r="BN115" s="457" t="s">
        <v>153</v>
      </c>
      <c r="BO115" s="458"/>
      <c r="BP115" s="456"/>
      <c r="BQ115" s="457" t="s">
        <v>290</v>
      </c>
      <c r="BR115" s="458"/>
      <c r="BS115" s="458"/>
      <c r="BT115" s="458"/>
      <c r="BU115" s="459"/>
      <c r="BV115" s="455" t="s">
        <v>152</v>
      </c>
      <c r="BW115" s="463"/>
      <c r="BX115" s="457" t="s">
        <v>153</v>
      </c>
      <c r="BY115" s="458"/>
      <c r="BZ115" s="456"/>
      <c r="CA115" s="457" t="s">
        <v>290</v>
      </c>
      <c r="CB115" s="458"/>
      <c r="CC115" s="458"/>
      <c r="CD115" s="458"/>
      <c r="CE115" s="459"/>
      <c r="CF115" s="455" t="s">
        <v>152</v>
      </c>
      <c r="CG115" s="463"/>
      <c r="CH115" s="457" t="s">
        <v>153</v>
      </c>
      <c r="CI115" s="458"/>
      <c r="CJ115" s="456"/>
      <c r="CK115" s="457" t="s">
        <v>290</v>
      </c>
      <c r="CL115" s="458"/>
      <c r="CM115" s="458"/>
      <c r="CN115" s="458"/>
      <c r="CO115" s="459"/>
      <c r="CP115" s="455" t="s">
        <v>152</v>
      </c>
      <c r="CQ115" s="463"/>
      <c r="CR115" s="457" t="s">
        <v>153</v>
      </c>
      <c r="CS115" s="458"/>
      <c r="CT115" s="456"/>
      <c r="CU115" s="457" t="s">
        <v>290</v>
      </c>
      <c r="CV115" s="458"/>
      <c r="CW115" s="458"/>
      <c r="CX115" s="458"/>
      <c r="CY115" s="459"/>
      <c r="CZ115" s="455" t="s">
        <v>152</v>
      </c>
      <c r="DA115" s="463"/>
      <c r="DB115" s="457" t="s">
        <v>153</v>
      </c>
      <c r="DC115" s="458"/>
      <c r="DD115" s="456"/>
      <c r="DE115" s="457" t="s">
        <v>290</v>
      </c>
      <c r="DF115" s="458"/>
      <c r="DG115" s="458"/>
      <c r="DH115" s="458"/>
      <c r="DI115" s="459"/>
      <c r="DJ115" s="455" t="s">
        <v>152</v>
      </c>
      <c r="DK115" s="463"/>
      <c r="DL115" s="457" t="s">
        <v>153</v>
      </c>
      <c r="DM115" s="458"/>
      <c r="DN115" s="456"/>
      <c r="DO115" s="457" t="s">
        <v>290</v>
      </c>
      <c r="DP115" s="458"/>
      <c r="DQ115" s="458"/>
      <c r="DR115" s="458"/>
      <c r="DS115" s="459"/>
      <c r="DT115" s="455" t="s">
        <v>152</v>
      </c>
      <c r="DU115" s="463"/>
      <c r="DV115" s="457" t="s">
        <v>153</v>
      </c>
      <c r="DW115" s="458"/>
      <c r="DX115" s="456"/>
      <c r="DY115" s="457" t="s">
        <v>290</v>
      </c>
      <c r="DZ115" s="458"/>
      <c r="EA115" s="458"/>
      <c r="EB115" s="458"/>
      <c r="EC115" s="459"/>
    </row>
    <row r="116" spans="1:133" x14ac:dyDescent="0.25">
      <c r="A116" s="95">
        <v>43132</v>
      </c>
      <c r="B116" s="75"/>
      <c r="C116" s="75">
        <v>518.18181818181813</v>
      </c>
      <c r="D116" s="75">
        <v>239.20454545454547</v>
      </c>
      <c r="E116" s="75">
        <v>256.25</v>
      </c>
      <c r="F116" s="75">
        <v>232.95454545454547</v>
      </c>
      <c r="G116" s="75">
        <v>462.5</v>
      </c>
      <c r="H116" s="75">
        <v>387.5</v>
      </c>
      <c r="I116" s="75">
        <v>298.18181818181819</v>
      </c>
      <c r="J116" s="75">
        <v>294.0625</v>
      </c>
      <c r="K116" s="75">
        <v>305.11363636363637</v>
      </c>
      <c r="N116" s="464" t="s">
        <v>291</v>
      </c>
      <c r="O116" s="465"/>
      <c r="P116" s="449" t="s">
        <v>291</v>
      </c>
      <c r="Q116" s="461"/>
      <c r="R116" s="450"/>
      <c r="S116" s="449" t="s">
        <v>291</v>
      </c>
      <c r="T116" s="461"/>
      <c r="U116" s="461"/>
      <c r="V116" s="461"/>
      <c r="W116" s="462"/>
      <c r="X116" s="464" t="s">
        <v>291</v>
      </c>
      <c r="Y116" s="465"/>
      <c r="Z116" s="449" t="s">
        <v>291</v>
      </c>
      <c r="AA116" s="461"/>
      <c r="AB116" s="450"/>
      <c r="AC116" s="449" t="s">
        <v>291</v>
      </c>
      <c r="AD116" s="461"/>
      <c r="AE116" s="461"/>
      <c r="AF116" s="461"/>
      <c r="AG116" s="462"/>
      <c r="AH116" s="464" t="s">
        <v>291</v>
      </c>
      <c r="AI116" s="465"/>
      <c r="AJ116" s="449" t="s">
        <v>291</v>
      </c>
      <c r="AK116" s="461"/>
      <c r="AL116" s="450"/>
      <c r="AM116" s="449" t="s">
        <v>291</v>
      </c>
      <c r="AN116" s="461"/>
      <c r="AO116" s="461"/>
      <c r="AP116" s="461"/>
      <c r="AQ116" s="462"/>
      <c r="AR116" s="464" t="s">
        <v>291</v>
      </c>
      <c r="AS116" s="465"/>
      <c r="AT116" s="449" t="s">
        <v>291</v>
      </c>
      <c r="AU116" s="461"/>
      <c r="AV116" s="450"/>
      <c r="AW116" s="449" t="s">
        <v>291</v>
      </c>
      <c r="AX116" s="461"/>
      <c r="AY116" s="461"/>
      <c r="AZ116" s="461"/>
      <c r="BA116" s="462"/>
      <c r="BB116" s="464" t="s">
        <v>291</v>
      </c>
      <c r="BC116" s="465"/>
      <c r="BD116" s="449" t="s">
        <v>291</v>
      </c>
      <c r="BE116" s="461"/>
      <c r="BF116" s="450"/>
      <c r="BG116" s="449" t="s">
        <v>291</v>
      </c>
      <c r="BH116" s="461"/>
      <c r="BI116" s="461"/>
      <c r="BJ116" s="461"/>
      <c r="BK116" s="462"/>
      <c r="BL116" s="464" t="s">
        <v>291</v>
      </c>
      <c r="BM116" s="465"/>
      <c r="BN116" s="449" t="s">
        <v>291</v>
      </c>
      <c r="BO116" s="461"/>
      <c r="BP116" s="450"/>
      <c r="BQ116" s="449" t="s">
        <v>291</v>
      </c>
      <c r="BR116" s="461"/>
      <c r="BS116" s="461"/>
      <c r="BT116" s="461"/>
      <c r="BU116" s="462"/>
      <c r="BV116" s="464" t="s">
        <v>291</v>
      </c>
      <c r="BW116" s="465"/>
      <c r="BX116" s="449" t="s">
        <v>291</v>
      </c>
      <c r="BY116" s="461"/>
      <c r="BZ116" s="450"/>
      <c r="CA116" s="449" t="s">
        <v>291</v>
      </c>
      <c r="CB116" s="461"/>
      <c r="CC116" s="461"/>
      <c r="CD116" s="461"/>
      <c r="CE116" s="462"/>
      <c r="CF116" s="464" t="s">
        <v>291</v>
      </c>
      <c r="CG116" s="465"/>
      <c r="CH116" s="449" t="s">
        <v>291</v>
      </c>
      <c r="CI116" s="461"/>
      <c r="CJ116" s="450"/>
      <c r="CK116" s="449" t="s">
        <v>291</v>
      </c>
      <c r="CL116" s="461"/>
      <c r="CM116" s="461"/>
      <c r="CN116" s="461"/>
      <c r="CO116" s="462"/>
      <c r="CP116" s="464" t="s">
        <v>291</v>
      </c>
      <c r="CQ116" s="465"/>
      <c r="CR116" s="449" t="s">
        <v>291</v>
      </c>
      <c r="CS116" s="461"/>
      <c r="CT116" s="450"/>
      <c r="CU116" s="449" t="s">
        <v>291</v>
      </c>
      <c r="CV116" s="461"/>
      <c r="CW116" s="461"/>
      <c r="CX116" s="461"/>
      <c r="CY116" s="462"/>
      <c r="CZ116" s="464" t="s">
        <v>291</v>
      </c>
      <c r="DA116" s="465"/>
      <c r="DB116" s="449" t="s">
        <v>291</v>
      </c>
      <c r="DC116" s="461"/>
      <c r="DD116" s="450"/>
      <c r="DE116" s="449" t="s">
        <v>291</v>
      </c>
      <c r="DF116" s="461"/>
      <c r="DG116" s="461"/>
      <c r="DH116" s="461"/>
      <c r="DI116" s="462"/>
      <c r="DJ116" s="464" t="s">
        <v>291</v>
      </c>
      <c r="DK116" s="465"/>
      <c r="DL116" s="449" t="s">
        <v>291</v>
      </c>
      <c r="DM116" s="461"/>
      <c r="DN116" s="450"/>
      <c r="DO116" s="449" t="s">
        <v>291</v>
      </c>
      <c r="DP116" s="461"/>
      <c r="DQ116" s="461"/>
      <c r="DR116" s="461"/>
      <c r="DS116" s="462"/>
      <c r="DT116" s="464" t="s">
        <v>291</v>
      </c>
      <c r="DU116" s="465"/>
      <c r="DV116" s="449" t="s">
        <v>291</v>
      </c>
      <c r="DW116" s="461"/>
      <c r="DX116" s="450"/>
      <c r="DY116" s="449" t="s">
        <v>291</v>
      </c>
      <c r="DZ116" s="461"/>
      <c r="EA116" s="461"/>
      <c r="EB116" s="461"/>
      <c r="EC116" s="462"/>
    </row>
    <row r="117" spans="1:133" x14ac:dyDescent="0.25">
      <c r="A117" s="95">
        <v>43160</v>
      </c>
      <c r="B117" s="75">
        <v>432.95454545454544</v>
      </c>
      <c r="C117" s="75">
        <v>561.74242424242414</v>
      </c>
      <c r="D117" s="75">
        <v>228.40909090909091</v>
      </c>
      <c r="E117" s="75">
        <v>258.125</v>
      </c>
      <c r="F117" s="75">
        <v>226.875</v>
      </c>
      <c r="G117" s="75">
        <v>462.5</v>
      </c>
      <c r="H117" s="75">
        <v>386.36363636363637</v>
      </c>
      <c r="I117" s="75">
        <v>297.72727272727275</v>
      </c>
      <c r="J117" s="75">
        <v>292.5</v>
      </c>
      <c r="K117" s="75">
        <v>305.68181818181819</v>
      </c>
      <c r="N117" s="430" t="s">
        <v>163</v>
      </c>
      <c r="O117" s="422" t="s">
        <v>155</v>
      </c>
      <c r="P117" s="422" t="s">
        <v>293</v>
      </c>
      <c r="Q117" s="422" t="s">
        <v>294</v>
      </c>
      <c r="R117" s="422" t="s">
        <v>295</v>
      </c>
      <c r="S117" s="424" t="s">
        <v>296</v>
      </c>
      <c r="T117" s="425"/>
      <c r="U117" s="426" t="s">
        <v>297</v>
      </c>
      <c r="V117" s="426" t="s">
        <v>162</v>
      </c>
      <c r="W117" s="428" t="s">
        <v>163</v>
      </c>
      <c r="X117" s="430" t="s">
        <v>163</v>
      </c>
      <c r="Y117" s="422" t="s">
        <v>155</v>
      </c>
      <c r="Z117" s="422" t="s">
        <v>293</v>
      </c>
      <c r="AA117" s="422" t="s">
        <v>294</v>
      </c>
      <c r="AB117" s="422" t="s">
        <v>295</v>
      </c>
      <c r="AC117" s="424" t="s">
        <v>296</v>
      </c>
      <c r="AD117" s="425"/>
      <c r="AE117" s="426" t="s">
        <v>297</v>
      </c>
      <c r="AF117" s="426" t="s">
        <v>162</v>
      </c>
      <c r="AG117" s="428" t="s">
        <v>163</v>
      </c>
      <c r="AH117" s="430" t="s">
        <v>163</v>
      </c>
      <c r="AI117" s="422" t="s">
        <v>155</v>
      </c>
      <c r="AJ117" s="422" t="s">
        <v>293</v>
      </c>
      <c r="AK117" s="422" t="s">
        <v>294</v>
      </c>
      <c r="AL117" s="422" t="s">
        <v>295</v>
      </c>
      <c r="AM117" s="424" t="s">
        <v>296</v>
      </c>
      <c r="AN117" s="425"/>
      <c r="AO117" s="426" t="s">
        <v>297</v>
      </c>
      <c r="AP117" s="426" t="s">
        <v>162</v>
      </c>
      <c r="AQ117" s="428" t="s">
        <v>163</v>
      </c>
      <c r="AR117" s="430" t="s">
        <v>163</v>
      </c>
      <c r="AS117" s="422" t="s">
        <v>155</v>
      </c>
      <c r="AT117" s="422" t="s">
        <v>293</v>
      </c>
      <c r="AU117" s="422" t="s">
        <v>294</v>
      </c>
      <c r="AV117" s="422" t="s">
        <v>295</v>
      </c>
      <c r="AW117" s="424" t="s">
        <v>296</v>
      </c>
      <c r="AX117" s="425"/>
      <c r="AY117" s="426" t="s">
        <v>297</v>
      </c>
      <c r="AZ117" s="426" t="s">
        <v>162</v>
      </c>
      <c r="BA117" s="428" t="s">
        <v>163</v>
      </c>
      <c r="BB117" s="430" t="s">
        <v>163</v>
      </c>
      <c r="BC117" s="422" t="s">
        <v>155</v>
      </c>
      <c r="BD117" s="422" t="s">
        <v>293</v>
      </c>
      <c r="BE117" s="422" t="s">
        <v>294</v>
      </c>
      <c r="BF117" s="422" t="s">
        <v>295</v>
      </c>
      <c r="BG117" s="424" t="s">
        <v>296</v>
      </c>
      <c r="BH117" s="425"/>
      <c r="BI117" s="426" t="s">
        <v>297</v>
      </c>
      <c r="BJ117" s="426" t="s">
        <v>162</v>
      </c>
      <c r="BK117" s="428" t="s">
        <v>163</v>
      </c>
      <c r="BL117" s="430" t="s">
        <v>163</v>
      </c>
      <c r="BM117" s="422" t="s">
        <v>155</v>
      </c>
      <c r="BN117" s="422" t="s">
        <v>293</v>
      </c>
      <c r="BO117" s="422" t="s">
        <v>294</v>
      </c>
      <c r="BP117" s="422" t="s">
        <v>295</v>
      </c>
      <c r="BQ117" s="424" t="s">
        <v>296</v>
      </c>
      <c r="BR117" s="425"/>
      <c r="BS117" s="426" t="s">
        <v>297</v>
      </c>
      <c r="BT117" s="426" t="s">
        <v>162</v>
      </c>
      <c r="BU117" s="428" t="s">
        <v>163</v>
      </c>
      <c r="BV117" s="430" t="s">
        <v>163</v>
      </c>
      <c r="BW117" s="422" t="s">
        <v>155</v>
      </c>
      <c r="BX117" s="422" t="s">
        <v>293</v>
      </c>
      <c r="BY117" s="422" t="s">
        <v>294</v>
      </c>
      <c r="BZ117" s="422" t="s">
        <v>295</v>
      </c>
      <c r="CA117" s="424" t="s">
        <v>296</v>
      </c>
      <c r="CB117" s="425"/>
      <c r="CC117" s="426" t="s">
        <v>297</v>
      </c>
      <c r="CD117" s="426" t="s">
        <v>162</v>
      </c>
      <c r="CE117" s="428" t="s">
        <v>163</v>
      </c>
      <c r="CF117" s="430" t="s">
        <v>163</v>
      </c>
      <c r="CG117" s="422" t="s">
        <v>155</v>
      </c>
      <c r="CH117" s="422" t="s">
        <v>293</v>
      </c>
      <c r="CI117" s="422" t="s">
        <v>294</v>
      </c>
      <c r="CJ117" s="422" t="s">
        <v>295</v>
      </c>
      <c r="CK117" s="424" t="s">
        <v>296</v>
      </c>
      <c r="CL117" s="425"/>
      <c r="CM117" s="426" t="s">
        <v>297</v>
      </c>
      <c r="CN117" s="426" t="s">
        <v>162</v>
      </c>
      <c r="CO117" s="428" t="s">
        <v>163</v>
      </c>
      <c r="CP117" s="430" t="s">
        <v>163</v>
      </c>
      <c r="CQ117" s="422" t="s">
        <v>155</v>
      </c>
      <c r="CR117" s="422" t="s">
        <v>293</v>
      </c>
      <c r="CS117" s="422" t="s">
        <v>294</v>
      </c>
      <c r="CT117" s="422" t="s">
        <v>295</v>
      </c>
      <c r="CU117" s="424" t="s">
        <v>296</v>
      </c>
      <c r="CV117" s="425"/>
      <c r="CW117" s="426" t="s">
        <v>297</v>
      </c>
      <c r="CX117" s="426" t="s">
        <v>162</v>
      </c>
      <c r="CY117" s="428" t="s">
        <v>163</v>
      </c>
      <c r="CZ117" s="430" t="s">
        <v>163</v>
      </c>
      <c r="DA117" s="422" t="s">
        <v>155</v>
      </c>
      <c r="DB117" s="422" t="s">
        <v>293</v>
      </c>
      <c r="DC117" s="422" t="s">
        <v>294</v>
      </c>
      <c r="DD117" s="422" t="s">
        <v>295</v>
      </c>
      <c r="DE117" s="424" t="s">
        <v>296</v>
      </c>
      <c r="DF117" s="425"/>
      <c r="DG117" s="426" t="s">
        <v>297</v>
      </c>
      <c r="DH117" s="426" t="s">
        <v>162</v>
      </c>
      <c r="DI117" s="428" t="s">
        <v>163</v>
      </c>
      <c r="DJ117" s="430" t="s">
        <v>163</v>
      </c>
      <c r="DK117" s="422" t="s">
        <v>155</v>
      </c>
      <c r="DL117" s="422" t="s">
        <v>293</v>
      </c>
      <c r="DM117" s="422" t="s">
        <v>294</v>
      </c>
      <c r="DN117" s="422" t="s">
        <v>295</v>
      </c>
      <c r="DO117" s="424" t="s">
        <v>296</v>
      </c>
      <c r="DP117" s="425"/>
      <c r="DQ117" s="426" t="s">
        <v>297</v>
      </c>
      <c r="DR117" s="426" t="s">
        <v>162</v>
      </c>
      <c r="DS117" s="428" t="s">
        <v>163</v>
      </c>
      <c r="DT117" s="430" t="s">
        <v>163</v>
      </c>
      <c r="DU117" s="422" t="s">
        <v>155</v>
      </c>
      <c r="DV117" s="422" t="s">
        <v>293</v>
      </c>
      <c r="DW117" s="422" t="s">
        <v>294</v>
      </c>
      <c r="DX117" s="422" t="s">
        <v>295</v>
      </c>
      <c r="DY117" s="424" t="s">
        <v>296</v>
      </c>
      <c r="DZ117" s="425"/>
      <c r="EA117" s="426" t="s">
        <v>297</v>
      </c>
      <c r="EB117" s="426" t="s">
        <v>162</v>
      </c>
      <c r="EC117" s="428" t="s">
        <v>163</v>
      </c>
    </row>
    <row r="118" spans="1:133" x14ac:dyDescent="0.25">
      <c r="A118" s="95">
        <v>43191</v>
      </c>
      <c r="B118" s="75">
        <v>333.52272727272725</v>
      </c>
      <c r="C118" s="75">
        <v>530</v>
      </c>
      <c r="D118" s="75">
        <v>231.81818181818181</v>
      </c>
      <c r="E118" s="75">
        <v>267.5</v>
      </c>
      <c r="F118" s="75">
        <v>233.125</v>
      </c>
      <c r="G118" s="75">
        <v>462.5</v>
      </c>
      <c r="H118" s="75">
        <v>386.36363636363637</v>
      </c>
      <c r="I118" s="75">
        <v>297.72727272727275</v>
      </c>
      <c r="J118" s="75">
        <v>290.625</v>
      </c>
      <c r="K118" s="75">
        <v>304.54545454545456</v>
      </c>
      <c r="N118" s="431"/>
      <c r="O118" s="423"/>
      <c r="P118" s="423"/>
      <c r="Q118" s="423"/>
      <c r="R118" s="423"/>
      <c r="S118" s="146" t="s">
        <v>159</v>
      </c>
      <c r="T118" s="146" t="s">
        <v>160</v>
      </c>
      <c r="U118" s="427"/>
      <c r="V118" s="427"/>
      <c r="W118" s="429"/>
      <c r="X118" s="431"/>
      <c r="Y118" s="423"/>
      <c r="Z118" s="423"/>
      <c r="AA118" s="423"/>
      <c r="AB118" s="423"/>
      <c r="AC118" s="146" t="s">
        <v>159</v>
      </c>
      <c r="AD118" s="146" t="s">
        <v>160</v>
      </c>
      <c r="AE118" s="427"/>
      <c r="AF118" s="427"/>
      <c r="AG118" s="429"/>
      <c r="AH118" s="431"/>
      <c r="AI118" s="423"/>
      <c r="AJ118" s="423"/>
      <c r="AK118" s="423"/>
      <c r="AL118" s="423"/>
      <c r="AM118" s="146" t="s">
        <v>159</v>
      </c>
      <c r="AN118" s="146" t="s">
        <v>160</v>
      </c>
      <c r="AO118" s="427"/>
      <c r="AP118" s="427"/>
      <c r="AQ118" s="429"/>
      <c r="AR118" s="431"/>
      <c r="AS118" s="423"/>
      <c r="AT118" s="423"/>
      <c r="AU118" s="423"/>
      <c r="AV118" s="423"/>
      <c r="AW118" s="146" t="s">
        <v>159</v>
      </c>
      <c r="AX118" s="146" t="s">
        <v>160</v>
      </c>
      <c r="AY118" s="427"/>
      <c r="AZ118" s="427"/>
      <c r="BA118" s="429"/>
      <c r="BB118" s="431"/>
      <c r="BC118" s="423"/>
      <c r="BD118" s="423"/>
      <c r="BE118" s="423"/>
      <c r="BF118" s="423"/>
      <c r="BG118" s="146" t="s">
        <v>159</v>
      </c>
      <c r="BH118" s="146" t="s">
        <v>160</v>
      </c>
      <c r="BI118" s="427"/>
      <c r="BJ118" s="427"/>
      <c r="BK118" s="429"/>
      <c r="BL118" s="431"/>
      <c r="BM118" s="423"/>
      <c r="BN118" s="423"/>
      <c r="BO118" s="423"/>
      <c r="BP118" s="423"/>
      <c r="BQ118" s="146" t="s">
        <v>159</v>
      </c>
      <c r="BR118" s="146" t="s">
        <v>160</v>
      </c>
      <c r="BS118" s="427"/>
      <c r="BT118" s="427"/>
      <c r="BU118" s="429"/>
      <c r="BV118" s="431"/>
      <c r="BW118" s="423"/>
      <c r="BX118" s="423"/>
      <c r="BY118" s="423"/>
      <c r="BZ118" s="423"/>
      <c r="CA118" s="146" t="s">
        <v>159</v>
      </c>
      <c r="CB118" s="146" t="s">
        <v>160</v>
      </c>
      <c r="CC118" s="427"/>
      <c r="CD118" s="427"/>
      <c r="CE118" s="429"/>
      <c r="CF118" s="431"/>
      <c r="CG118" s="423"/>
      <c r="CH118" s="423"/>
      <c r="CI118" s="423"/>
      <c r="CJ118" s="423"/>
      <c r="CK118" s="146" t="s">
        <v>159</v>
      </c>
      <c r="CL118" s="146" t="s">
        <v>160</v>
      </c>
      <c r="CM118" s="427"/>
      <c r="CN118" s="427"/>
      <c r="CO118" s="429"/>
      <c r="CP118" s="431"/>
      <c r="CQ118" s="423"/>
      <c r="CR118" s="423"/>
      <c r="CS118" s="423"/>
      <c r="CT118" s="423"/>
      <c r="CU118" s="146" t="s">
        <v>159</v>
      </c>
      <c r="CV118" s="146" t="s">
        <v>160</v>
      </c>
      <c r="CW118" s="427"/>
      <c r="CX118" s="427"/>
      <c r="CY118" s="429"/>
      <c r="CZ118" s="431"/>
      <c r="DA118" s="423"/>
      <c r="DB118" s="423"/>
      <c r="DC118" s="423"/>
      <c r="DD118" s="423"/>
      <c r="DE118" s="146" t="s">
        <v>159</v>
      </c>
      <c r="DF118" s="146" t="s">
        <v>160</v>
      </c>
      <c r="DG118" s="427"/>
      <c r="DH118" s="427"/>
      <c r="DI118" s="429"/>
      <c r="DJ118" s="431"/>
      <c r="DK118" s="423"/>
      <c r="DL118" s="423"/>
      <c r="DM118" s="423"/>
      <c r="DN118" s="423"/>
      <c r="DO118" s="146" t="s">
        <v>159</v>
      </c>
      <c r="DP118" s="146" t="s">
        <v>160</v>
      </c>
      <c r="DQ118" s="427"/>
      <c r="DR118" s="427"/>
      <c r="DS118" s="429"/>
      <c r="DT118" s="431"/>
      <c r="DU118" s="423"/>
      <c r="DV118" s="423"/>
      <c r="DW118" s="423"/>
      <c r="DX118" s="423"/>
      <c r="DY118" s="146" t="s">
        <v>159</v>
      </c>
      <c r="DZ118" s="146" t="s">
        <v>160</v>
      </c>
      <c r="EA118" s="427"/>
      <c r="EB118" s="427"/>
      <c r="EC118" s="429"/>
    </row>
    <row r="119" spans="1:133" x14ac:dyDescent="0.25">
      <c r="A119" s="95">
        <v>43221</v>
      </c>
      <c r="B119" s="75">
        <v>306.81818181818181</v>
      </c>
      <c r="C119" s="75"/>
      <c r="D119" s="75">
        <v>233.52272727272728</v>
      </c>
      <c r="E119" s="75">
        <v>269.375</v>
      </c>
      <c r="F119" s="75">
        <v>223.5</v>
      </c>
      <c r="G119" s="75">
        <v>462.5</v>
      </c>
      <c r="H119" s="75">
        <v>386.36363636363637</v>
      </c>
      <c r="I119" s="75">
        <v>297.15909090909093</v>
      </c>
      <c r="J119" s="75">
        <v>292.39583333333337</v>
      </c>
      <c r="K119" s="75">
        <v>306.25</v>
      </c>
      <c r="N119" s="102"/>
      <c r="O119" s="104">
        <v>400</v>
      </c>
      <c r="P119" s="104">
        <v>250</v>
      </c>
      <c r="Q119" s="104">
        <v>258.33333333333331</v>
      </c>
      <c r="R119" s="104">
        <v>250</v>
      </c>
      <c r="S119" s="104">
        <v>458.33333333333331</v>
      </c>
      <c r="T119" s="104">
        <v>440</v>
      </c>
      <c r="U119" s="104">
        <v>260</v>
      </c>
      <c r="V119" s="104">
        <v>260</v>
      </c>
      <c r="W119" s="152">
        <v>275</v>
      </c>
      <c r="X119" s="102">
        <v>433.33333333333331</v>
      </c>
      <c r="Y119" s="104">
        <v>483.33333333333331</v>
      </c>
      <c r="Z119" s="104">
        <v>250</v>
      </c>
      <c r="AA119" s="104">
        <v>250</v>
      </c>
      <c r="AB119" s="104">
        <v>250</v>
      </c>
      <c r="AC119" s="104">
        <v>450</v>
      </c>
      <c r="AD119" s="104">
        <v>431.66666666666669</v>
      </c>
      <c r="AE119" s="104">
        <v>260</v>
      </c>
      <c r="AF119" s="104">
        <v>260</v>
      </c>
      <c r="AG119" s="152">
        <v>275</v>
      </c>
      <c r="AH119" s="102">
        <v>466.66666666666669</v>
      </c>
      <c r="AI119" s="104">
        <v>600</v>
      </c>
      <c r="AJ119" s="104">
        <v>250</v>
      </c>
      <c r="AK119" s="104">
        <v>258.33333333333331</v>
      </c>
      <c r="AL119" s="104">
        <v>250</v>
      </c>
      <c r="AM119" s="104">
        <v>450</v>
      </c>
      <c r="AN119" s="104">
        <v>435</v>
      </c>
      <c r="AO119" s="104">
        <v>260</v>
      </c>
      <c r="AP119" s="104">
        <v>260</v>
      </c>
      <c r="AQ119" s="152">
        <v>275</v>
      </c>
      <c r="AR119" s="102">
        <v>350</v>
      </c>
      <c r="AS119" s="104">
        <v>550</v>
      </c>
      <c r="AT119" s="104">
        <v>250</v>
      </c>
      <c r="AU119" s="104">
        <v>250</v>
      </c>
      <c r="AV119" s="104">
        <v>250</v>
      </c>
      <c r="AW119" s="104">
        <v>450</v>
      </c>
      <c r="AX119" s="104">
        <v>408.75</v>
      </c>
      <c r="AY119" s="104">
        <v>260</v>
      </c>
      <c r="AZ119" s="104">
        <v>260</v>
      </c>
      <c r="BA119" s="152">
        <v>275</v>
      </c>
      <c r="BB119" s="102">
        <v>275</v>
      </c>
      <c r="BC119" s="104"/>
      <c r="BD119" s="104">
        <v>250</v>
      </c>
      <c r="BE119" s="104">
        <v>256.25</v>
      </c>
      <c r="BF119" s="104">
        <v>250</v>
      </c>
      <c r="BG119" s="104">
        <v>450</v>
      </c>
      <c r="BH119" s="104">
        <v>387.5</v>
      </c>
      <c r="BI119" s="104">
        <v>260</v>
      </c>
      <c r="BJ119" s="104">
        <v>260</v>
      </c>
      <c r="BK119" s="152">
        <v>275</v>
      </c>
      <c r="BL119" s="102">
        <v>350</v>
      </c>
      <c r="BM119" s="104"/>
      <c r="BN119" s="104">
        <v>250</v>
      </c>
      <c r="BO119" s="104">
        <v>250</v>
      </c>
      <c r="BP119" s="104">
        <v>250</v>
      </c>
      <c r="BQ119" s="104">
        <v>450</v>
      </c>
      <c r="BR119" s="104">
        <v>362.5</v>
      </c>
      <c r="BS119" s="104">
        <v>260</v>
      </c>
      <c r="BT119" s="104">
        <v>260</v>
      </c>
      <c r="BU119" s="152">
        <v>275</v>
      </c>
      <c r="BV119" s="102">
        <v>350</v>
      </c>
      <c r="BW119" s="104"/>
      <c r="BX119" s="104">
        <v>250</v>
      </c>
      <c r="BY119" s="104">
        <v>250</v>
      </c>
      <c r="BZ119" s="104">
        <v>250</v>
      </c>
      <c r="CA119" s="104">
        <v>450</v>
      </c>
      <c r="CB119" s="104">
        <v>350</v>
      </c>
      <c r="CC119" s="104">
        <v>260</v>
      </c>
      <c r="CD119" s="104">
        <v>260</v>
      </c>
      <c r="CE119" s="152">
        <v>275</v>
      </c>
      <c r="CF119" s="102">
        <v>430</v>
      </c>
      <c r="CG119" s="104">
        <v>450</v>
      </c>
      <c r="CH119" s="104">
        <v>250</v>
      </c>
      <c r="CI119" s="104">
        <v>270</v>
      </c>
      <c r="CJ119" s="104">
        <v>250</v>
      </c>
      <c r="CK119" s="104">
        <v>450</v>
      </c>
      <c r="CL119" s="104">
        <v>350</v>
      </c>
      <c r="CM119" s="104">
        <v>269</v>
      </c>
      <c r="CN119" s="104">
        <v>260</v>
      </c>
      <c r="CO119" s="152">
        <v>275</v>
      </c>
      <c r="CP119" s="102"/>
      <c r="CQ119" s="104">
        <v>325</v>
      </c>
      <c r="CR119" s="104">
        <v>250</v>
      </c>
      <c r="CS119" s="104">
        <v>250</v>
      </c>
      <c r="CT119" s="104">
        <v>251.25</v>
      </c>
      <c r="CU119" s="104">
        <v>450</v>
      </c>
      <c r="CV119" s="104">
        <v>350</v>
      </c>
      <c r="CW119" s="104">
        <v>260</v>
      </c>
      <c r="CX119" s="104">
        <v>260</v>
      </c>
      <c r="CY119" s="152">
        <v>275</v>
      </c>
      <c r="CZ119" s="102"/>
      <c r="DA119" s="104">
        <v>300</v>
      </c>
      <c r="DB119" s="104">
        <v>250</v>
      </c>
      <c r="DC119" s="104">
        <v>256.25</v>
      </c>
      <c r="DD119" s="104">
        <v>250</v>
      </c>
      <c r="DE119" s="104">
        <v>425</v>
      </c>
      <c r="DF119" s="104">
        <v>350</v>
      </c>
      <c r="DG119" s="104">
        <v>267.5</v>
      </c>
      <c r="DH119" s="104">
        <v>260</v>
      </c>
      <c r="DI119" s="152">
        <v>275</v>
      </c>
      <c r="DJ119" s="102"/>
      <c r="DK119" s="104">
        <v>300</v>
      </c>
      <c r="DL119" s="104">
        <v>250</v>
      </c>
      <c r="DM119" s="104">
        <v>275</v>
      </c>
      <c r="DN119" s="104">
        <v>250</v>
      </c>
      <c r="DO119" s="104">
        <v>450</v>
      </c>
      <c r="DP119" s="104">
        <v>350</v>
      </c>
      <c r="DQ119" s="104">
        <v>272</v>
      </c>
      <c r="DR119" s="104">
        <v>260</v>
      </c>
      <c r="DS119" s="152">
        <v>275</v>
      </c>
      <c r="DT119" s="102"/>
      <c r="DU119" s="104">
        <v>350</v>
      </c>
      <c r="DV119" s="104">
        <v>250</v>
      </c>
      <c r="DW119" s="104">
        <v>256.25</v>
      </c>
      <c r="DX119" s="104">
        <v>250</v>
      </c>
      <c r="DY119" s="104">
        <v>450</v>
      </c>
      <c r="DZ119" s="104">
        <v>350</v>
      </c>
      <c r="EA119" s="104">
        <v>268.75</v>
      </c>
      <c r="EB119" s="104">
        <v>260</v>
      </c>
      <c r="EC119" s="152">
        <v>275</v>
      </c>
    </row>
    <row r="120" spans="1:133" x14ac:dyDescent="0.25">
      <c r="A120" s="95">
        <v>43252</v>
      </c>
      <c r="B120" s="75">
        <v>338.18181818181819</v>
      </c>
      <c r="C120" s="75"/>
      <c r="D120" s="75">
        <v>237.72727272727272</v>
      </c>
      <c r="E120" s="75">
        <v>273</v>
      </c>
      <c r="F120" s="75">
        <v>226.6</v>
      </c>
      <c r="G120" s="75">
        <v>460</v>
      </c>
      <c r="H120" s="75">
        <v>385.45454545454544</v>
      </c>
      <c r="I120" s="75">
        <v>297.72727272727275</v>
      </c>
      <c r="J120" s="75">
        <v>291.75</v>
      </c>
      <c r="K120" s="75">
        <v>304.72727272727275</v>
      </c>
      <c r="N120" s="102"/>
      <c r="O120" s="104">
        <v>383.33333333333331</v>
      </c>
      <c r="P120" s="104">
        <v>250</v>
      </c>
      <c r="Q120" s="104">
        <v>250</v>
      </c>
      <c r="R120" s="104">
        <v>250</v>
      </c>
      <c r="S120" s="104">
        <v>500</v>
      </c>
      <c r="T120" s="104">
        <v>450</v>
      </c>
      <c r="U120" s="104">
        <v>260</v>
      </c>
      <c r="V120" s="104">
        <v>260</v>
      </c>
      <c r="W120" s="152">
        <v>250</v>
      </c>
      <c r="X120" s="102">
        <v>400</v>
      </c>
      <c r="Y120" s="104">
        <v>500</v>
      </c>
      <c r="Z120" s="104">
        <v>250</v>
      </c>
      <c r="AA120" s="104">
        <v>250</v>
      </c>
      <c r="AB120" s="104">
        <v>218.33333333333334</v>
      </c>
      <c r="AC120" s="104">
        <v>488.33333333333331</v>
      </c>
      <c r="AD120" s="104">
        <v>440</v>
      </c>
      <c r="AE120" s="104">
        <v>265</v>
      </c>
      <c r="AF120" s="104">
        <v>263.33333333333331</v>
      </c>
      <c r="AG120" s="152">
        <v>258.33333333333331</v>
      </c>
      <c r="AH120" s="102">
        <v>391.66666666666669</v>
      </c>
      <c r="AI120" s="104">
        <v>566.66666666666663</v>
      </c>
      <c r="AJ120" s="104">
        <v>250</v>
      </c>
      <c r="AK120" s="104">
        <v>250</v>
      </c>
      <c r="AL120" s="104">
        <v>241.66666666666666</v>
      </c>
      <c r="AM120" s="104">
        <v>475</v>
      </c>
      <c r="AN120" s="104">
        <v>440</v>
      </c>
      <c r="AO120" s="104">
        <v>261.66666666666669</v>
      </c>
      <c r="AP120" s="104">
        <v>263.33333333333331</v>
      </c>
      <c r="AQ120" s="152">
        <v>250</v>
      </c>
      <c r="AR120" s="102">
        <v>268.75</v>
      </c>
      <c r="AS120" s="104">
        <v>437.5</v>
      </c>
      <c r="AT120" s="104">
        <v>250</v>
      </c>
      <c r="AU120" s="104">
        <v>250</v>
      </c>
      <c r="AV120" s="104">
        <v>250</v>
      </c>
      <c r="AW120" s="104">
        <v>475</v>
      </c>
      <c r="AX120" s="104">
        <v>440</v>
      </c>
      <c r="AY120" s="104">
        <v>261.25</v>
      </c>
      <c r="AZ120" s="104">
        <v>261.25</v>
      </c>
      <c r="BA120" s="152">
        <v>300</v>
      </c>
      <c r="BB120" s="102">
        <v>256.25</v>
      </c>
      <c r="BC120" s="104"/>
      <c r="BD120" s="104">
        <v>250</v>
      </c>
      <c r="BE120" s="104">
        <v>250</v>
      </c>
      <c r="BF120" s="104">
        <v>231.25</v>
      </c>
      <c r="BG120" s="104">
        <v>475</v>
      </c>
      <c r="BH120" s="104">
        <v>440</v>
      </c>
      <c r="BI120" s="104">
        <v>263.75</v>
      </c>
      <c r="BJ120" s="104">
        <v>260</v>
      </c>
      <c r="BK120" s="152">
        <v>268.75</v>
      </c>
      <c r="BL120" s="102">
        <v>350</v>
      </c>
      <c r="BM120" s="104"/>
      <c r="BN120" s="104">
        <v>250</v>
      </c>
      <c r="BO120" s="104">
        <v>250</v>
      </c>
      <c r="BP120" s="104">
        <v>250</v>
      </c>
      <c r="BQ120" s="104">
        <v>475</v>
      </c>
      <c r="BR120" s="104">
        <v>440</v>
      </c>
      <c r="BS120" s="104">
        <v>260</v>
      </c>
      <c r="BT120" s="104">
        <v>260</v>
      </c>
      <c r="BU120" s="152">
        <v>281.25</v>
      </c>
      <c r="BV120" s="102">
        <v>350</v>
      </c>
      <c r="BW120" s="104"/>
      <c r="BX120" s="104">
        <v>250</v>
      </c>
      <c r="BY120" s="104">
        <v>250</v>
      </c>
      <c r="BZ120" s="104">
        <v>250</v>
      </c>
      <c r="CA120" s="104">
        <v>470</v>
      </c>
      <c r="CB120" s="104">
        <v>440</v>
      </c>
      <c r="CC120" s="104">
        <v>260</v>
      </c>
      <c r="CD120" s="104">
        <v>260</v>
      </c>
      <c r="CE120" s="152">
        <v>300</v>
      </c>
      <c r="CF120" s="102">
        <v>360</v>
      </c>
      <c r="CG120" s="104">
        <v>300</v>
      </c>
      <c r="CH120" s="104">
        <v>250</v>
      </c>
      <c r="CI120" s="104">
        <v>250</v>
      </c>
      <c r="CJ120" s="104">
        <v>250</v>
      </c>
      <c r="CK120" s="104">
        <v>475</v>
      </c>
      <c r="CL120" s="104">
        <v>440</v>
      </c>
      <c r="CM120" s="104">
        <v>261</v>
      </c>
      <c r="CN120" s="104">
        <v>272</v>
      </c>
      <c r="CO120" s="152">
        <v>285</v>
      </c>
      <c r="CP120" s="102"/>
      <c r="CQ120" s="104">
        <v>300</v>
      </c>
      <c r="CR120" s="104">
        <v>250</v>
      </c>
      <c r="CS120" s="104">
        <v>250</v>
      </c>
      <c r="CT120" s="104">
        <v>250</v>
      </c>
      <c r="CU120" s="104">
        <v>468.75</v>
      </c>
      <c r="CV120" s="104">
        <v>393.75</v>
      </c>
      <c r="CW120" s="104">
        <v>260</v>
      </c>
      <c r="CX120" s="104">
        <v>260</v>
      </c>
      <c r="CY120" s="152">
        <v>275</v>
      </c>
      <c r="CZ120" s="102"/>
      <c r="DA120" s="104">
        <v>300</v>
      </c>
      <c r="DB120" s="104">
        <v>250</v>
      </c>
      <c r="DC120" s="104">
        <v>250</v>
      </c>
      <c r="DD120" s="104">
        <v>250</v>
      </c>
      <c r="DE120" s="104">
        <v>475</v>
      </c>
      <c r="DF120" s="104">
        <v>428.75</v>
      </c>
      <c r="DG120" s="104">
        <v>262.5</v>
      </c>
      <c r="DH120" s="104">
        <v>266.66666666666669</v>
      </c>
      <c r="DI120" s="152">
        <v>281.25</v>
      </c>
      <c r="DJ120" s="102"/>
      <c r="DK120" s="104">
        <v>260</v>
      </c>
      <c r="DL120" s="104">
        <v>230</v>
      </c>
      <c r="DM120" s="104">
        <v>250</v>
      </c>
      <c r="DN120" s="104">
        <v>250</v>
      </c>
      <c r="DO120" s="104">
        <v>460</v>
      </c>
      <c r="DP120" s="104">
        <v>340</v>
      </c>
      <c r="DQ120" s="104">
        <v>260</v>
      </c>
      <c r="DR120" s="104">
        <v>261.25</v>
      </c>
      <c r="DS120" s="152">
        <v>275</v>
      </c>
      <c r="DT120" s="102"/>
      <c r="DU120" s="104">
        <v>300</v>
      </c>
      <c r="DV120" s="104">
        <v>250</v>
      </c>
      <c r="DW120" s="104">
        <v>250</v>
      </c>
      <c r="DX120" s="104">
        <v>250</v>
      </c>
      <c r="DY120" s="104">
        <v>412.5</v>
      </c>
      <c r="DZ120" s="104">
        <v>300</v>
      </c>
      <c r="EA120" s="104">
        <v>257.5</v>
      </c>
      <c r="EB120" s="104">
        <v>256.66666666666669</v>
      </c>
      <c r="EC120" s="152">
        <v>256.25</v>
      </c>
    </row>
    <row r="121" spans="1:133" x14ac:dyDescent="0.25">
      <c r="A121" s="95">
        <v>43282</v>
      </c>
      <c r="B121" s="75">
        <v>405.2997293809442</v>
      </c>
      <c r="C121" s="75"/>
      <c r="D121" s="75">
        <v>237.72727272727272</v>
      </c>
      <c r="E121" s="75">
        <v>273</v>
      </c>
      <c r="F121" s="75">
        <v>226.6</v>
      </c>
      <c r="G121" s="75">
        <v>460</v>
      </c>
      <c r="H121" s="75">
        <v>385.45454545454544</v>
      </c>
      <c r="I121" s="75">
        <v>297.72727272727275</v>
      </c>
      <c r="J121" s="75">
        <v>291.75</v>
      </c>
      <c r="K121" s="75">
        <v>304.72727272727275</v>
      </c>
      <c r="N121" s="102"/>
      <c r="O121" s="104">
        <v>400</v>
      </c>
      <c r="P121" s="104">
        <v>225</v>
      </c>
      <c r="Q121" s="104">
        <v>233.33333333333334</v>
      </c>
      <c r="R121" s="104">
        <v>231.66666666666666</v>
      </c>
      <c r="S121" s="104"/>
      <c r="T121" s="104">
        <v>450</v>
      </c>
      <c r="U121" s="104">
        <v>273.33333333333331</v>
      </c>
      <c r="V121" s="104">
        <v>270</v>
      </c>
      <c r="W121" s="152">
        <v>250</v>
      </c>
      <c r="X121" s="102">
        <v>416.66666666666669</v>
      </c>
      <c r="Y121" s="104">
        <v>533.33333333333337</v>
      </c>
      <c r="Z121" s="104">
        <v>225</v>
      </c>
      <c r="AA121" s="104">
        <v>233.33333333333334</v>
      </c>
      <c r="AB121" s="104">
        <v>233.33333333333334</v>
      </c>
      <c r="AC121" s="104"/>
      <c r="AD121" s="104">
        <v>450</v>
      </c>
      <c r="AE121" s="104">
        <v>275</v>
      </c>
      <c r="AF121" s="104">
        <v>270</v>
      </c>
      <c r="AG121" s="152"/>
      <c r="AH121" s="102">
        <v>466.66666666666669</v>
      </c>
      <c r="AI121" s="104">
        <v>583.33333333333337</v>
      </c>
      <c r="AJ121" s="104">
        <v>225</v>
      </c>
      <c r="AK121" s="104">
        <v>225</v>
      </c>
      <c r="AL121" s="104">
        <v>225</v>
      </c>
      <c r="AM121" s="104"/>
      <c r="AN121" s="104">
        <v>450</v>
      </c>
      <c r="AO121" s="104">
        <v>275</v>
      </c>
      <c r="AP121" s="104">
        <v>270</v>
      </c>
      <c r="AQ121" s="152"/>
      <c r="AR121" s="102">
        <v>287.5</v>
      </c>
      <c r="AS121" s="104"/>
      <c r="AT121" s="104">
        <v>225</v>
      </c>
      <c r="AU121" s="104">
        <v>250</v>
      </c>
      <c r="AV121" s="104">
        <v>225</v>
      </c>
      <c r="AW121" s="104"/>
      <c r="AX121" s="104">
        <v>450</v>
      </c>
      <c r="AY121" s="104">
        <v>275</v>
      </c>
      <c r="AZ121" s="104">
        <v>270</v>
      </c>
      <c r="BA121" s="152"/>
      <c r="BB121" s="102">
        <v>237.5</v>
      </c>
      <c r="BC121" s="104"/>
      <c r="BD121" s="104">
        <v>225</v>
      </c>
      <c r="BE121" s="104">
        <v>262.5</v>
      </c>
      <c r="BF121" s="104">
        <v>225</v>
      </c>
      <c r="BG121" s="104"/>
      <c r="BH121" s="104">
        <v>450</v>
      </c>
      <c r="BI121" s="104">
        <v>271.25</v>
      </c>
      <c r="BJ121" s="104">
        <v>271.25</v>
      </c>
      <c r="BK121" s="152">
        <v>250</v>
      </c>
      <c r="BL121" s="102">
        <v>350</v>
      </c>
      <c r="BM121" s="104"/>
      <c r="BN121" s="104">
        <v>225</v>
      </c>
      <c r="BO121" s="104">
        <v>262.5</v>
      </c>
      <c r="BP121" s="104"/>
      <c r="BQ121" s="104"/>
      <c r="BR121" s="104">
        <v>450</v>
      </c>
      <c r="BS121" s="104">
        <v>272.5</v>
      </c>
      <c r="BT121" s="104">
        <v>270</v>
      </c>
      <c r="BU121" s="152">
        <v>225</v>
      </c>
      <c r="BV121" s="102">
        <v>350</v>
      </c>
      <c r="BW121" s="104"/>
      <c r="BX121" s="104">
        <v>225</v>
      </c>
      <c r="BY121" s="104">
        <v>266.66666666666669</v>
      </c>
      <c r="BZ121" s="104"/>
      <c r="CA121" s="104"/>
      <c r="CB121" s="104">
        <v>450</v>
      </c>
      <c r="CC121" s="104">
        <v>275</v>
      </c>
      <c r="CD121" s="104">
        <v>275</v>
      </c>
      <c r="CE121" s="152">
        <v>250</v>
      </c>
      <c r="CF121" s="102">
        <v>400</v>
      </c>
      <c r="CG121" s="104">
        <v>400</v>
      </c>
      <c r="CH121" s="104">
        <v>247</v>
      </c>
      <c r="CI121" s="104">
        <v>275</v>
      </c>
      <c r="CJ121" s="104">
        <v>225</v>
      </c>
      <c r="CK121" s="104"/>
      <c r="CL121" s="104">
        <v>440</v>
      </c>
      <c r="CM121" s="104">
        <v>275</v>
      </c>
      <c r="CN121" s="104">
        <v>270</v>
      </c>
      <c r="CO121" s="152">
        <v>250</v>
      </c>
      <c r="CP121" s="102"/>
      <c r="CQ121" s="104">
        <v>312.5</v>
      </c>
      <c r="CR121" s="104">
        <v>231.25</v>
      </c>
      <c r="CS121" s="104">
        <v>262.5</v>
      </c>
      <c r="CT121" s="104">
        <v>225</v>
      </c>
      <c r="CU121" s="104">
        <v>475</v>
      </c>
      <c r="CV121" s="104">
        <v>410</v>
      </c>
      <c r="CW121" s="104">
        <v>275</v>
      </c>
      <c r="CX121" s="104">
        <v>275</v>
      </c>
      <c r="CY121" s="152">
        <v>250</v>
      </c>
      <c r="CZ121" s="102"/>
      <c r="DA121" s="104">
        <v>312.5</v>
      </c>
      <c r="DB121" s="104">
        <v>243.75</v>
      </c>
      <c r="DC121" s="104">
        <v>250</v>
      </c>
      <c r="DD121" s="104">
        <v>225</v>
      </c>
      <c r="DE121" s="104"/>
      <c r="DF121" s="104">
        <v>362.5</v>
      </c>
      <c r="DG121" s="104">
        <v>275</v>
      </c>
      <c r="DH121" s="104">
        <v>275</v>
      </c>
      <c r="DI121" s="152">
        <v>250</v>
      </c>
      <c r="DJ121" s="102"/>
      <c r="DK121" s="104">
        <v>300</v>
      </c>
      <c r="DL121" s="104">
        <v>220</v>
      </c>
      <c r="DM121" s="104">
        <v>235</v>
      </c>
      <c r="DN121" s="104">
        <v>225</v>
      </c>
      <c r="DO121" s="104">
        <v>600</v>
      </c>
      <c r="DP121" s="104">
        <v>335</v>
      </c>
      <c r="DQ121" s="104">
        <v>275</v>
      </c>
      <c r="DR121" s="104">
        <v>275</v>
      </c>
      <c r="DS121" s="152">
        <v>250</v>
      </c>
      <c r="DT121" s="102"/>
      <c r="DU121" s="104">
        <v>350</v>
      </c>
      <c r="DV121" s="104">
        <v>218.75</v>
      </c>
      <c r="DW121" s="104">
        <v>225</v>
      </c>
      <c r="DX121" s="104">
        <v>212.5</v>
      </c>
      <c r="DY121" s="104"/>
      <c r="DZ121" s="104">
        <v>300</v>
      </c>
      <c r="EA121" s="104">
        <v>275</v>
      </c>
      <c r="EB121" s="104">
        <v>275</v>
      </c>
      <c r="EC121" s="152">
        <v>250</v>
      </c>
    </row>
    <row r="122" spans="1:133" x14ac:dyDescent="0.25">
      <c r="A122" s="95">
        <v>43313</v>
      </c>
      <c r="B122" s="75">
        <v>415.34090909090901</v>
      </c>
      <c r="C122" s="75"/>
      <c r="D122" s="75">
        <v>244.88636363636363</v>
      </c>
      <c r="E122" s="75">
        <v>286.875</v>
      </c>
      <c r="F122" s="75"/>
      <c r="G122" s="75">
        <v>462.5</v>
      </c>
      <c r="H122" s="75">
        <v>386.36363636363637</v>
      </c>
      <c r="I122" s="75">
        <v>296.02272727272725</v>
      </c>
      <c r="J122" s="75">
        <v>291.71875</v>
      </c>
      <c r="K122" s="75">
        <v>304.54545454545456</v>
      </c>
      <c r="N122" s="102"/>
      <c r="O122" s="104">
        <v>400</v>
      </c>
      <c r="P122" s="104">
        <v>235</v>
      </c>
      <c r="Q122" s="104">
        <v>250</v>
      </c>
      <c r="R122" s="104">
        <v>200</v>
      </c>
      <c r="S122" s="104"/>
      <c r="T122" s="104">
        <v>450</v>
      </c>
      <c r="U122" s="104">
        <v>270</v>
      </c>
      <c r="V122" s="104"/>
      <c r="W122" s="152">
        <v>250</v>
      </c>
      <c r="X122" s="102">
        <v>416.66666666666669</v>
      </c>
      <c r="Y122" s="104">
        <v>500</v>
      </c>
      <c r="Z122" s="104">
        <v>238.33333333333334</v>
      </c>
      <c r="AA122" s="104"/>
      <c r="AB122" s="104">
        <v>226.66666666666666</v>
      </c>
      <c r="AC122" s="104"/>
      <c r="AD122" s="104">
        <v>450</v>
      </c>
      <c r="AE122" s="104">
        <v>270</v>
      </c>
      <c r="AF122" s="104"/>
      <c r="AG122" s="152">
        <v>250</v>
      </c>
      <c r="AH122" s="102">
        <v>400</v>
      </c>
      <c r="AI122" s="104">
        <v>566.66666666666663</v>
      </c>
      <c r="AJ122" s="104">
        <v>236.66666666666666</v>
      </c>
      <c r="AK122" s="104"/>
      <c r="AL122" s="104">
        <v>235</v>
      </c>
      <c r="AM122" s="104"/>
      <c r="AN122" s="104">
        <v>450</v>
      </c>
      <c r="AO122" s="104">
        <v>270</v>
      </c>
      <c r="AP122" s="104"/>
      <c r="AQ122" s="152">
        <v>250</v>
      </c>
      <c r="AR122" s="102">
        <v>287.5</v>
      </c>
      <c r="AS122" s="104"/>
      <c r="AT122" s="104">
        <v>238.75</v>
      </c>
      <c r="AU122" s="104"/>
      <c r="AV122" s="104">
        <v>225</v>
      </c>
      <c r="AW122" s="104"/>
      <c r="AX122" s="104">
        <v>450</v>
      </c>
      <c r="AY122" s="104">
        <v>270</v>
      </c>
      <c r="AZ122" s="104"/>
      <c r="BA122" s="152">
        <v>252.5</v>
      </c>
      <c r="BB122" s="102">
        <v>237.5</v>
      </c>
      <c r="BC122" s="104"/>
      <c r="BD122" s="104">
        <v>241.25</v>
      </c>
      <c r="BE122" s="104"/>
      <c r="BF122" s="104">
        <v>235</v>
      </c>
      <c r="BG122" s="104"/>
      <c r="BH122" s="104">
        <v>450</v>
      </c>
      <c r="BI122" s="104">
        <v>270</v>
      </c>
      <c r="BJ122" s="104"/>
      <c r="BK122" s="152">
        <v>250</v>
      </c>
      <c r="BL122" s="102">
        <v>293.75</v>
      </c>
      <c r="BM122" s="104"/>
      <c r="BN122" s="104">
        <v>235</v>
      </c>
      <c r="BO122" s="104"/>
      <c r="BP122" s="104">
        <v>225</v>
      </c>
      <c r="BQ122" s="104"/>
      <c r="BR122" s="104">
        <v>450</v>
      </c>
      <c r="BS122" s="104">
        <v>270</v>
      </c>
      <c r="BT122" s="104"/>
      <c r="BU122" s="152">
        <v>250</v>
      </c>
      <c r="BV122" s="102">
        <v>350</v>
      </c>
      <c r="BW122" s="104"/>
      <c r="BX122" s="104">
        <v>235</v>
      </c>
      <c r="BY122" s="104"/>
      <c r="BZ122" s="104">
        <v>226.66666666666666</v>
      </c>
      <c r="CA122" s="104"/>
      <c r="CB122" s="104">
        <v>450</v>
      </c>
      <c r="CC122" s="104">
        <v>270</v>
      </c>
      <c r="CD122" s="104"/>
      <c r="CE122" s="152">
        <v>250</v>
      </c>
      <c r="CF122" s="102">
        <v>390</v>
      </c>
      <c r="CG122" s="104">
        <v>400</v>
      </c>
      <c r="CH122" s="104">
        <v>258</v>
      </c>
      <c r="CI122" s="104"/>
      <c r="CJ122" s="104">
        <v>231</v>
      </c>
      <c r="CK122" s="104"/>
      <c r="CL122" s="104">
        <v>450</v>
      </c>
      <c r="CM122" s="104">
        <v>270</v>
      </c>
      <c r="CN122" s="104"/>
      <c r="CO122" s="152">
        <v>250</v>
      </c>
      <c r="CP122" s="102">
        <v>350</v>
      </c>
      <c r="CQ122" s="104">
        <v>325</v>
      </c>
      <c r="CR122" s="104">
        <v>247.5</v>
      </c>
      <c r="CS122" s="104"/>
      <c r="CT122" s="104">
        <v>237.5</v>
      </c>
      <c r="CU122" s="104"/>
      <c r="CV122" s="104">
        <v>450</v>
      </c>
      <c r="CW122" s="104">
        <v>270</v>
      </c>
      <c r="CX122" s="104"/>
      <c r="CY122" s="152">
        <v>250</v>
      </c>
      <c r="CZ122" s="102"/>
      <c r="DA122" s="104">
        <v>312.5</v>
      </c>
      <c r="DB122" s="104">
        <v>250</v>
      </c>
      <c r="DC122" s="104"/>
      <c r="DD122" s="104">
        <v>236.25</v>
      </c>
      <c r="DE122" s="104"/>
      <c r="DF122" s="104">
        <v>425</v>
      </c>
      <c r="DG122" s="104">
        <v>270</v>
      </c>
      <c r="DH122" s="104"/>
      <c r="DI122" s="152">
        <v>250</v>
      </c>
      <c r="DJ122" s="102"/>
      <c r="DK122" s="104">
        <v>320</v>
      </c>
      <c r="DL122" s="104">
        <v>248</v>
      </c>
      <c r="DM122" s="104"/>
      <c r="DN122" s="104">
        <v>227</v>
      </c>
      <c r="DO122" s="104"/>
      <c r="DP122" s="104">
        <v>430</v>
      </c>
      <c r="DQ122" s="104">
        <v>270</v>
      </c>
      <c r="DR122" s="104"/>
      <c r="DS122" s="152">
        <v>250</v>
      </c>
      <c r="DT122" s="102"/>
      <c r="DU122" s="104">
        <v>325</v>
      </c>
      <c r="DV122" s="104">
        <v>235</v>
      </c>
      <c r="DW122" s="104"/>
      <c r="DX122" s="104">
        <v>228.33333333333334</v>
      </c>
      <c r="DY122" s="104"/>
      <c r="DZ122" s="104">
        <v>412.5</v>
      </c>
      <c r="EA122" s="104">
        <v>270</v>
      </c>
      <c r="EB122" s="104"/>
      <c r="EC122" s="152">
        <v>250</v>
      </c>
    </row>
    <row r="123" spans="1:133" x14ac:dyDescent="0.25">
      <c r="A123" s="95">
        <v>43344</v>
      </c>
      <c r="B123" s="75">
        <v>483.33333333333297</v>
      </c>
      <c r="C123" s="75">
        <v>500.37878787878782</v>
      </c>
      <c r="D123" s="75">
        <v>257.95454545454544</v>
      </c>
      <c r="E123" s="75">
        <v>300</v>
      </c>
      <c r="F123" s="75">
        <v>233.90625</v>
      </c>
      <c r="G123" s="75">
        <v>453.125</v>
      </c>
      <c r="H123" s="75">
        <v>382.95454545454544</v>
      </c>
      <c r="I123" s="75">
        <v>295.90909090909093</v>
      </c>
      <c r="J123" s="75">
        <v>291.66666666666663</v>
      </c>
      <c r="K123" s="75">
        <v>311.125</v>
      </c>
      <c r="N123" s="102"/>
      <c r="O123" s="104">
        <v>416.66666666666669</v>
      </c>
      <c r="P123" s="104">
        <v>300</v>
      </c>
      <c r="Q123" s="104">
        <v>300</v>
      </c>
      <c r="R123" s="104">
        <v>225</v>
      </c>
      <c r="S123" s="104"/>
      <c r="T123" s="104">
        <v>450</v>
      </c>
      <c r="U123" s="104">
        <v>275</v>
      </c>
      <c r="V123" s="104"/>
      <c r="W123" s="152">
        <v>275</v>
      </c>
      <c r="X123" s="102">
        <v>366.66666666666669</v>
      </c>
      <c r="Y123" s="104">
        <v>500</v>
      </c>
      <c r="Z123" s="104">
        <v>300</v>
      </c>
      <c r="AA123" s="104">
        <v>300</v>
      </c>
      <c r="AB123" s="104">
        <v>225</v>
      </c>
      <c r="AC123" s="104">
        <v>450</v>
      </c>
      <c r="AD123" s="104">
        <v>450</v>
      </c>
      <c r="AE123" s="104">
        <v>275</v>
      </c>
      <c r="AF123" s="104"/>
      <c r="AG123" s="152">
        <v>291.66666666666669</v>
      </c>
      <c r="AH123" s="102">
        <v>400</v>
      </c>
      <c r="AI123" s="104">
        <v>500</v>
      </c>
      <c r="AJ123" s="104">
        <v>300</v>
      </c>
      <c r="AK123" s="104">
        <v>300</v>
      </c>
      <c r="AL123" s="104">
        <v>225</v>
      </c>
      <c r="AM123" s="104"/>
      <c r="AN123" s="104">
        <v>450</v>
      </c>
      <c r="AO123" s="104">
        <v>275</v>
      </c>
      <c r="AP123" s="104"/>
      <c r="AQ123" s="152">
        <v>300</v>
      </c>
      <c r="AR123" s="102">
        <v>318.75</v>
      </c>
      <c r="AS123" s="104"/>
      <c r="AT123" s="104">
        <v>300</v>
      </c>
      <c r="AU123" s="104">
        <v>300</v>
      </c>
      <c r="AV123" s="104">
        <v>225</v>
      </c>
      <c r="AW123" s="104"/>
      <c r="AX123" s="104">
        <v>450</v>
      </c>
      <c r="AY123" s="104">
        <v>275</v>
      </c>
      <c r="AZ123" s="104"/>
      <c r="BA123" s="152">
        <v>300</v>
      </c>
      <c r="BB123" s="102">
        <v>287.5</v>
      </c>
      <c r="BC123" s="104"/>
      <c r="BD123" s="104">
        <v>300</v>
      </c>
      <c r="BE123" s="104">
        <v>300</v>
      </c>
      <c r="BF123" s="104">
        <v>225</v>
      </c>
      <c r="BG123" s="104"/>
      <c r="BH123" s="104">
        <v>450</v>
      </c>
      <c r="BI123" s="104">
        <v>275</v>
      </c>
      <c r="BJ123" s="104"/>
      <c r="BK123" s="152">
        <v>300</v>
      </c>
      <c r="BL123" s="102">
        <v>325</v>
      </c>
      <c r="BM123" s="104"/>
      <c r="BN123" s="104">
        <v>300</v>
      </c>
      <c r="BO123" s="104">
        <v>300</v>
      </c>
      <c r="BP123" s="104">
        <v>225</v>
      </c>
      <c r="BQ123" s="104"/>
      <c r="BR123" s="104">
        <v>450</v>
      </c>
      <c r="BS123" s="104">
        <v>275</v>
      </c>
      <c r="BT123" s="104"/>
      <c r="BU123" s="152">
        <v>281.25</v>
      </c>
      <c r="BV123" s="102">
        <v>350</v>
      </c>
      <c r="BW123" s="104"/>
      <c r="BX123" s="104">
        <v>300</v>
      </c>
      <c r="BY123" s="104">
        <v>283.33333333333331</v>
      </c>
      <c r="BZ123" s="104">
        <v>225</v>
      </c>
      <c r="CA123" s="104"/>
      <c r="CB123" s="104">
        <v>450</v>
      </c>
      <c r="CC123" s="104">
        <v>275</v>
      </c>
      <c r="CD123" s="104"/>
      <c r="CE123" s="152">
        <v>300</v>
      </c>
      <c r="CF123" s="102">
        <v>400</v>
      </c>
      <c r="CG123" s="104">
        <v>450</v>
      </c>
      <c r="CH123" s="104">
        <v>295</v>
      </c>
      <c r="CI123" s="104">
        <v>300</v>
      </c>
      <c r="CJ123" s="104">
        <v>240</v>
      </c>
      <c r="CK123" s="104"/>
      <c r="CL123" s="104">
        <v>450</v>
      </c>
      <c r="CM123" s="104">
        <v>275</v>
      </c>
      <c r="CN123" s="104"/>
      <c r="CO123" s="152">
        <v>300</v>
      </c>
      <c r="CP123" s="102">
        <v>325</v>
      </c>
      <c r="CQ123" s="104">
        <v>425</v>
      </c>
      <c r="CR123" s="104">
        <v>300</v>
      </c>
      <c r="CS123" s="104">
        <v>300</v>
      </c>
      <c r="CT123" s="104">
        <v>231.25</v>
      </c>
      <c r="CU123" s="104"/>
      <c r="CV123" s="104">
        <v>450</v>
      </c>
      <c r="CW123" s="104">
        <v>275</v>
      </c>
      <c r="CX123" s="104"/>
      <c r="CY123" s="152">
        <v>300</v>
      </c>
      <c r="CZ123" s="102">
        <v>258.33333333333331</v>
      </c>
      <c r="DA123" s="104">
        <v>337.5</v>
      </c>
      <c r="DB123" s="104">
        <v>300</v>
      </c>
      <c r="DC123" s="104">
        <v>300</v>
      </c>
      <c r="DD123" s="104">
        <v>225</v>
      </c>
      <c r="DE123" s="104"/>
      <c r="DF123" s="104">
        <v>450</v>
      </c>
      <c r="DG123" s="104">
        <v>275</v>
      </c>
      <c r="DH123" s="104"/>
      <c r="DI123" s="152">
        <v>300</v>
      </c>
      <c r="DJ123" s="102"/>
      <c r="DK123" s="104">
        <v>360</v>
      </c>
      <c r="DL123" s="104">
        <v>300</v>
      </c>
      <c r="DM123" s="104">
        <v>300</v>
      </c>
      <c r="DN123" s="104">
        <v>225</v>
      </c>
      <c r="DO123" s="104"/>
      <c r="DP123" s="104">
        <v>450</v>
      </c>
      <c r="DQ123" s="104">
        <v>275</v>
      </c>
      <c r="DR123" s="104"/>
      <c r="DS123" s="152">
        <v>270</v>
      </c>
      <c r="DT123" s="102"/>
      <c r="DU123" s="104">
        <v>362.5</v>
      </c>
      <c r="DV123" s="104">
        <v>300</v>
      </c>
      <c r="DW123" s="104">
        <v>300</v>
      </c>
      <c r="DX123" s="104">
        <v>300</v>
      </c>
      <c r="DY123" s="104"/>
      <c r="DZ123" s="104">
        <v>450</v>
      </c>
      <c r="EA123" s="104">
        <v>275</v>
      </c>
      <c r="EB123" s="104"/>
      <c r="EC123" s="152">
        <v>275</v>
      </c>
    </row>
    <row r="124" spans="1:133" x14ac:dyDescent="0.25">
      <c r="A124" s="95">
        <v>43374</v>
      </c>
      <c r="B124" s="75"/>
      <c r="C124" s="75">
        <v>500.25</v>
      </c>
      <c r="D124" s="75">
        <v>253.75</v>
      </c>
      <c r="E124" s="75">
        <v>297.22222222222223</v>
      </c>
      <c r="F124" s="75">
        <v>242.25</v>
      </c>
      <c r="G124" s="75">
        <v>460.9375</v>
      </c>
      <c r="H124" s="75">
        <v>379.375</v>
      </c>
      <c r="I124" s="75">
        <v>298.375</v>
      </c>
      <c r="J124" s="75">
        <v>297.5</v>
      </c>
      <c r="K124" s="75">
        <v>306.25</v>
      </c>
      <c r="N124" s="102"/>
      <c r="O124" s="104">
        <v>450</v>
      </c>
      <c r="P124" s="104">
        <v>275</v>
      </c>
      <c r="Q124" s="104">
        <v>275</v>
      </c>
      <c r="R124" s="104"/>
      <c r="S124" s="104"/>
      <c r="T124" s="104">
        <v>450</v>
      </c>
      <c r="U124" s="104">
        <v>275</v>
      </c>
      <c r="V124" s="104">
        <v>275</v>
      </c>
      <c r="W124" s="152">
        <v>275</v>
      </c>
      <c r="X124" s="102">
        <v>425</v>
      </c>
      <c r="Y124" s="104">
        <v>516.66666666666663</v>
      </c>
      <c r="Z124" s="104">
        <v>266.66666666666669</v>
      </c>
      <c r="AA124" s="104">
        <v>266.66666666666669</v>
      </c>
      <c r="AB124" s="104">
        <v>241.66666666666666</v>
      </c>
      <c r="AC124" s="104"/>
      <c r="AD124" s="104">
        <v>450</v>
      </c>
      <c r="AE124" s="104">
        <v>275</v>
      </c>
      <c r="AF124" s="104"/>
      <c r="AG124" s="152">
        <v>275</v>
      </c>
      <c r="AH124" s="102">
        <v>416.66666666666669</v>
      </c>
      <c r="AI124" s="104">
        <v>600</v>
      </c>
      <c r="AJ124" s="104">
        <v>275</v>
      </c>
      <c r="AK124" s="104">
        <v>275</v>
      </c>
      <c r="AL124" s="104">
        <v>250</v>
      </c>
      <c r="AM124" s="104"/>
      <c r="AN124" s="104">
        <v>450</v>
      </c>
      <c r="AO124" s="104">
        <v>275</v>
      </c>
      <c r="AP124" s="104"/>
      <c r="AQ124" s="152">
        <v>275</v>
      </c>
      <c r="AR124" s="102">
        <v>337.5</v>
      </c>
      <c r="AS124" s="104"/>
      <c r="AT124" s="104">
        <v>275</v>
      </c>
      <c r="AU124" s="104">
        <v>275</v>
      </c>
      <c r="AV124" s="104">
        <v>237.5</v>
      </c>
      <c r="AW124" s="104"/>
      <c r="AX124" s="104">
        <v>450</v>
      </c>
      <c r="AY124" s="104">
        <v>275</v>
      </c>
      <c r="AZ124" s="104"/>
      <c r="BA124" s="152">
        <v>275</v>
      </c>
      <c r="BB124" s="102">
        <v>275</v>
      </c>
      <c r="BC124" s="104"/>
      <c r="BD124" s="104">
        <v>275</v>
      </c>
      <c r="BE124" s="104">
        <v>300</v>
      </c>
      <c r="BF124" s="104"/>
      <c r="BG124" s="104"/>
      <c r="BH124" s="104">
        <v>450</v>
      </c>
      <c r="BI124" s="104">
        <v>275</v>
      </c>
      <c r="BJ124" s="104"/>
      <c r="BK124" s="152">
        <v>275</v>
      </c>
      <c r="BL124" s="102">
        <v>375</v>
      </c>
      <c r="BM124" s="104"/>
      <c r="BN124" s="104">
        <v>275</v>
      </c>
      <c r="BO124" s="104">
        <v>275</v>
      </c>
      <c r="BP124" s="104"/>
      <c r="BQ124" s="104"/>
      <c r="BR124" s="104">
        <v>450</v>
      </c>
      <c r="BS124" s="104">
        <v>275</v>
      </c>
      <c r="BT124" s="104"/>
      <c r="BU124" s="152">
        <v>275</v>
      </c>
      <c r="BV124" s="102">
        <v>400</v>
      </c>
      <c r="BW124" s="104"/>
      <c r="BX124" s="104">
        <v>275</v>
      </c>
      <c r="BY124" s="104">
        <v>275</v>
      </c>
      <c r="BZ124" s="104"/>
      <c r="CA124" s="104"/>
      <c r="CB124" s="104">
        <v>433.33333333333331</v>
      </c>
      <c r="CC124" s="104">
        <v>275</v>
      </c>
      <c r="CD124" s="104"/>
      <c r="CE124" s="152">
        <v>266.66666666666669</v>
      </c>
      <c r="CF124" s="102">
        <v>450</v>
      </c>
      <c r="CG124" s="104">
        <v>500</v>
      </c>
      <c r="CH124" s="104">
        <v>275</v>
      </c>
      <c r="CI124" s="104">
        <v>275</v>
      </c>
      <c r="CJ124" s="104">
        <v>250</v>
      </c>
      <c r="CK124" s="104"/>
      <c r="CL124" s="104">
        <v>400</v>
      </c>
      <c r="CM124" s="104">
        <v>275</v>
      </c>
      <c r="CN124" s="104"/>
      <c r="CO124" s="152">
        <v>254</v>
      </c>
      <c r="CP124" s="102"/>
      <c r="CQ124" s="104">
        <v>375</v>
      </c>
      <c r="CR124" s="104">
        <v>275</v>
      </c>
      <c r="CS124" s="104">
        <v>275</v>
      </c>
      <c r="CT124" s="104"/>
      <c r="CU124" s="104">
        <v>400</v>
      </c>
      <c r="CV124" s="104">
        <v>400</v>
      </c>
      <c r="CW124" s="104">
        <v>275</v>
      </c>
      <c r="CX124" s="104">
        <v>275</v>
      </c>
      <c r="CY124" s="152">
        <v>256.25</v>
      </c>
      <c r="CZ124" s="102"/>
      <c r="DA124" s="104">
        <v>375</v>
      </c>
      <c r="DB124" s="104">
        <v>275</v>
      </c>
      <c r="DC124" s="104">
        <v>275</v>
      </c>
      <c r="DD124" s="104"/>
      <c r="DE124" s="104"/>
      <c r="DF124" s="104">
        <v>412.5</v>
      </c>
      <c r="DG124" s="104">
        <v>275</v>
      </c>
      <c r="DH124" s="104"/>
      <c r="DI124" s="152">
        <v>262.5</v>
      </c>
      <c r="DJ124" s="102"/>
      <c r="DK124" s="104">
        <v>320</v>
      </c>
      <c r="DL124" s="104">
        <v>275</v>
      </c>
      <c r="DM124" s="104">
        <v>275</v>
      </c>
      <c r="DN124" s="104">
        <v>250</v>
      </c>
      <c r="DO124" s="104"/>
      <c r="DP124" s="104">
        <v>400</v>
      </c>
      <c r="DQ124" s="104">
        <v>275</v>
      </c>
      <c r="DR124" s="104"/>
      <c r="DS124" s="152">
        <v>275</v>
      </c>
      <c r="DT124" s="102"/>
      <c r="DU124" s="104">
        <v>375</v>
      </c>
      <c r="DV124" s="104">
        <v>275</v>
      </c>
      <c r="DW124" s="104">
        <v>275</v>
      </c>
      <c r="DX124" s="104">
        <v>250</v>
      </c>
      <c r="DY124" s="104"/>
      <c r="DZ124" s="104">
        <v>400</v>
      </c>
      <c r="EA124" s="104">
        <v>275</v>
      </c>
      <c r="EB124" s="104"/>
      <c r="EC124" s="152">
        <v>275</v>
      </c>
    </row>
    <row r="125" spans="1:133" x14ac:dyDescent="0.25">
      <c r="A125" s="95">
        <v>43405</v>
      </c>
      <c r="B125" s="75"/>
      <c r="C125" s="75">
        <v>590</v>
      </c>
      <c r="D125" s="75">
        <v>243.125</v>
      </c>
      <c r="E125" s="75">
        <v>292.36111111111109</v>
      </c>
      <c r="F125" s="75">
        <v>239.02777777777777</v>
      </c>
      <c r="G125" s="75">
        <v>462.5</v>
      </c>
      <c r="H125" s="75">
        <v>398.54166666666663</v>
      </c>
      <c r="I125" s="75">
        <v>299.25</v>
      </c>
      <c r="J125" s="75">
        <v>295.17857142857144</v>
      </c>
      <c r="K125" s="75">
        <v>313.125</v>
      </c>
      <c r="N125" s="102"/>
      <c r="O125" s="104">
        <v>416.66666666666669</v>
      </c>
      <c r="P125" s="104">
        <v>233.33333333333334</v>
      </c>
      <c r="Q125" s="104">
        <v>250</v>
      </c>
      <c r="R125" s="104"/>
      <c r="S125" s="104"/>
      <c r="T125" s="104">
        <v>450</v>
      </c>
      <c r="U125" s="104">
        <v>270</v>
      </c>
      <c r="V125" s="104">
        <v>260</v>
      </c>
      <c r="W125" s="152">
        <v>250</v>
      </c>
      <c r="X125" s="102">
        <v>500</v>
      </c>
      <c r="Y125" s="104">
        <v>566.66666666666663</v>
      </c>
      <c r="Z125" s="104">
        <v>225</v>
      </c>
      <c r="AA125" s="104">
        <v>233.33333333333334</v>
      </c>
      <c r="AB125" s="104"/>
      <c r="AC125" s="104"/>
      <c r="AD125" s="104">
        <v>450</v>
      </c>
      <c r="AE125" s="104">
        <v>270</v>
      </c>
      <c r="AF125" s="104">
        <v>270</v>
      </c>
      <c r="AG125" s="152">
        <v>250</v>
      </c>
      <c r="AH125" s="102">
        <v>483.33333333333331</v>
      </c>
      <c r="AI125" s="104">
        <v>616.66666666666663</v>
      </c>
      <c r="AJ125" s="104">
        <v>233.33333333333334</v>
      </c>
      <c r="AK125" s="104">
        <v>241.66666666666666</v>
      </c>
      <c r="AL125" s="104"/>
      <c r="AM125" s="104"/>
      <c r="AN125" s="104">
        <v>450</v>
      </c>
      <c r="AO125" s="104">
        <v>270</v>
      </c>
      <c r="AP125" s="104">
        <v>270</v>
      </c>
      <c r="AQ125" s="152">
        <v>250</v>
      </c>
      <c r="AR125" s="102">
        <v>350</v>
      </c>
      <c r="AS125" s="104"/>
      <c r="AT125" s="104">
        <v>243.75</v>
      </c>
      <c r="AU125" s="104">
        <v>250</v>
      </c>
      <c r="AV125" s="104">
        <v>237.5</v>
      </c>
      <c r="AW125" s="104"/>
      <c r="AX125" s="104">
        <v>440</v>
      </c>
      <c r="AY125" s="104">
        <v>270</v>
      </c>
      <c r="AZ125" s="104">
        <v>260</v>
      </c>
      <c r="BA125" s="152">
        <v>250</v>
      </c>
      <c r="BB125" s="102">
        <v>287.5</v>
      </c>
      <c r="BC125" s="104"/>
      <c r="BD125" s="104">
        <v>250</v>
      </c>
      <c r="BE125" s="104">
        <v>250</v>
      </c>
      <c r="BF125" s="104">
        <v>250</v>
      </c>
      <c r="BG125" s="104"/>
      <c r="BH125" s="104">
        <v>440</v>
      </c>
      <c r="BI125" s="104">
        <v>270</v>
      </c>
      <c r="BJ125" s="104">
        <v>265</v>
      </c>
      <c r="BK125" s="152">
        <v>255</v>
      </c>
      <c r="BL125" s="102">
        <v>337.5</v>
      </c>
      <c r="BM125" s="104"/>
      <c r="BN125" s="104">
        <v>250</v>
      </c>
      <c r="BO125" s="104">
        <v>250</v>
      </c>
      <c r="BP125" s="104">
        <v>250</v>
      </c>
      <c r="BQ125" s="104"/>
      <c r="BR125" s="104">
        <v>440</v>
      </c>
      <c r="BS125" s="104">
        <v>270</v>
      </c>
      <c r="BT125" s="104">
        <v>270</v>
      </c>
      <c r="BU125" s="152">
        <v>250</v>
      </c>
      <c r="BV125" s="102">
        <v>358.33333333333331</v>
      </c>
      <c r="BW125" s="104"/>
      <c r="BX125" s="104">
        <v>250</v>
      </c>
      <c r="BY125" s="104">
        <v>250</v>
      </c>
      <c r="BZ125" s="104">
        <v>250</v>
      </c>
      <c r="CA125" s="104"/>
      <c r="CB125" s="104">
        <v>440</v>
      </c>
      <c r="CC125" s="104">
        <v>270</v>
      </c>
      <c r="CD125" s="104">
        <v>270</v>
      </c>
      <c r="CE125" s="152">
        <v>250</v>
      </c>
      <c r="CF125" s="102">
        <v>475</v>
      </c>
      <c r="CG125" s="104">
        <v>500</v>
      </c>
      <c r="CH125" s="104">
        <v>270</v>
      </c>
      <c r="CI125" s="104">
        <v>330</v>
      </c>
      <c r="CJ125" s="104">
        <v>250</v>
      </c>
      <c r="CK125" s="104"/>
      <c r="CL125" s="104">
        <v>432</v>
      </c>
      <c r="CM125" s="104">
        <v>270</v>
      </c>
      <c r="CN125" s="104">
        <v>270</v>
      </c>
      <c r="CO125" s="152">
        <v>268</v>
      </c>
      <c r="CP125" s="102"/>
      <c r="CQ125" s="104">
        <v>350</v>
      </c>
      <c r="CR125" s="104">
        <v>275</v>
      </c>
      <c r="CS125" s="104">
        <v>300</v>
      </c>
      <c r="CT125" s="104">
        <v>212.5</v>
      </c>
      <c r="CU125" s="104"/>
      <c r="CV125" s="104">
        <v>420</v>
      </c>
      <c r="CW125" s="104">
        <v>270</v>
      </c>
      <c r="CX125" s="104">
        <v>270</v>
      </c>
      <c r="CY125" s="152">
        <v>250</v>
      </c>
      <c r="CZ125" s="102"/>
      <c r="DA125" s="104">
        <v>325</v>
      </c>
      <c r="DB125" s="104">
        <v>268.75</v>
      </c>
      <c r="DC125" s="104">
        <v>300</v>
      </c>
      <c r="DD125" s="104">
        <v>250</v>
      </c>
      <c r="DE125" s="104"/>
      <c r="DF125" s="104">
        <v>400</v>
      </c>
      <c r="DG125" s="104">
        <v>270</v>
      </c>
      <c r="DH125" s="104">
        <v>270</v>
      </c>
      <c r="DI125" s="152">
        <v>250</v>
      </c>
      <c r="DJ125" s="102"/>
      <c r="DK125" s="104"/>
      <c r="DL125" s="104"/>
      <c r="DM125" s="104"/>
      <c r="DN125" s="104"/>
      <c r="DO125" s="104"/>
      <c r="DP125" s="104"/>
      <c r="DQ125" s="104"/>
      <c r="DR125" s="104"/>
      <c r="DS125" s="152"/>
      <c r="DT125" s="102"/>
      <c r="DU125" s="104">
        <v>350</v>
      </c>
      <c r="DV125" s="104">
        <v>250</v>
      </c>
      <c r="DW125" s="104">
        <v>250</v>
      </c>
      <c r="DX125" s="104">
        <v>250</v>
      </c>
      <c r="DY125" s="104"/>
      <c r="DZ125" s="104">
        <v>350</v>
      </c>
      <c r="EA125" s="104">
        <v>270</v>
      </c>
      <c r="EB125" s="104">
        <v>260</v>
      </c>
      <c r="EC125" s="152">
        <v>250</v>
      </c>
    </row>
    <row r="126" spans="1:133" x14ac:dyDescent="0.25">
      <c r="A126" s="95">
        <v>43435</v>
      </c>
      <c r="B126" s="75"/>
      <c r="C126" s="75">
        <v>617.08333333333337</v>
      </c>
      <c r="D126" s="75">
        <v>235.625</v>
      </c>
      <c r="E126" s="75">
        <v>282.77777777777777</v>
      </c>
      <c r="F126" s="75">
        <v>225</v>
      </c>
      <c r="G126" s="75">
        <v>462.5</v>
      </c>
      <c r="H126" s="75">
        <v>416.875</v>
      </c>
      <c r="I126" s="75">
        <v>298.25</v>
      </c>
      <c r="J126" s="75">
        <v>294.64285714285717</v>
      </c>
      <c r="K126" s="75">
        <v>325</v>
      </c>
      <c r="N126" s="102"/>
      <c r="O126" s="104">
        <v>400</v>
      </c>
      <c r="P126" s="104">
        <v>200</v>
      </c>
      <c r="Q126" s="104">
        <v>233.33333333333334</v>
      </c>
      <c r="R126" s="104">
        <v>225</v>
      </c>
      <c r="S126" s="104">
        <v>475</v>
      </c>
      <c r="T126" s="104">
        <v>450</v>
      </c>
      <c r="U126" s="104">
        <v>270</v>
      </c>
      <c r="V126" s="104">
        <v>270</v>
      </c>
      <c r="W126" s="152">
        <v>260</v>
      </c>
      <c r="X126" s="102">
        <v>412.5</v>
      </c>
      <c r="Y126" s="104">
        <v>483.33333333333331</v>
      </c>
      <c r="Z126" s="104">
        <v>200</v>
      </c>
      <c r="AA126" s="104">
        <v>233.33333333333334</v>
      </c>
      <c r="AB126" s="104">
        <v>208.33333333333334</v>
      </c>
      <c r="AC126" s="104">
        <v>475</v>
      </c>
      <c r="AD126" s="104">
        <v>450</v>
      </c>
      <c r="AE126" s="104">
        <v>270</v>
      </c>
      <c r="AF126" s="104">
        <v>270</v>
      </c>
      <c r="AG126" s="152">
        <v>256.66666666666669</v>
      </c>
      <c r="AH126" s="102">
        <v>450</v>
      </c>
      <c r="AI126" s="104">
        <v>583.33333333333337</v>
      </c>
      <c r="AJ126" s="104">
        <v>225</v>
      </c>
      <c r="AK126" s="104">
        <v>250</v>
      </c>
      <c r="AL126" s="104">
        <v>225</v>
      </c>
      <c r="AM126" s="104">
        <v>475</v>
      </c>
      <c r="AN126" s="104">
        <v>450</v>
      </c>
      <c r="AO126" s="104">
        <v>270</v>
      </c>
      <c r="AP126" s="104">
        <v>270</v>
      </c>
      <c r="AQ126" s="152">
        <v>260</v>
      </c>
      <c r="AR126" s="102">
        <v>312.5</v>
      </c>
      <c r="AS126" s="104">
        <v>500</v>
      </c>
      <c r="AT126" s="104">
        <v>218.75</v>
      </c>
      <c r="AU126" s="104">
        <v>250</v>
      </c>
      <c r="AV126" s="104">
        <v>225</v>
      </c>
      <c r="AW126" s="104">
        <v>475</v>
      </c>
      <c r="AX126" s="104">
        <v>450</v>
      </c>
      <c r="AY126" s="104">
        <v>270</v>
      </c>
      <c r="AZ126" s="104">
        <v>270</v>
      </c>
      <c r="BA126" s="152">
        <v>260</v>
      </c>
      <c r="BB126" s="102">
        <v>250</v>
      </c>
      <c r="BC126" s="104"/>
      <c r="BD126" s="104">
        <v>225</v>
      </c>
      <c r="BE126" s="104">
        <v>250</v>
      </c>
      <c r="BF126" s="104">
        <v>225</v>
      </c>
      <c r="BG126" s="104">
        <v>475</v>
      </c>
      <c r="BH126" s="104">
        <v>450</v>
      </c>
      <c r="BI126" s="104">
        <v>270</v>
      </c>
      <c r="BJ126" s="104">
        <v>265</v>
      </c>
      <c r="BK126" s="152">
        <v>260</v>
      </c>
      <c r="BL126" s="102">
        <v>308.33333333333331</v>
      </c>
      <c r="BM126" s="104"/>
      <c r="BN126" s="104">
        <v>233.33333333333334</v>
      </c>
      <c r="BO126" s="104">
        <v>241.66666666666666</v>
      </c>
      <c r="BP126" s="104">
        <v>216.66666666666666</v>
      </c>
      <c r="BQ126" s="104">
        <v>475</v>
      </c>
      <c r="BR126" s="104">
        <v>450</v>
      </c>
      <c r="BS126" s="104">
        <v>270</v>
      </c>
      <c r="BT126" s="104">
        <v>250</v>
      </c>
      <c r="BU126" s="152">
        <v>260</v>
      </c>
      <c r="BV126" s="102">
        <v>316.66666666666669</v>
      </c>
      <c r="BW126" s="104"/>
      <c r="BX126" s="104">
        <v>241.66666666666666</v>
      </c>
      <c r="BY126" s="104">
        <v>250</v>
      </c>
      <c r="BZ126" s="104">
        <v>216.66666666666666</v>
      </c>
      <c r="CA126" s="104">
        <v>475</v>
      </c>
      <c r="CB126" s="104">
        <v>350</v>
      </c>
      <c r="CC126" s="104">
        <v>270</v>
      </c>
      <c r="CD126" s="104">
        <v>250</v>
      </c>
      <c r="CE126" s="152">
        <v>260</v>
      </c>
      <c r="CF126" s="102">
        <v>437.5</v>
      </c>
      <c r="CG126" s="104">
        <v>400</v>
      </c>
      <c r="CH126" s="104">
        <v>240</v>
      </c>
      <c r="CI126" s="104">
        <v>245</v>
      </c>
      <c r="CJ126" s="104">
        <v>250</v>
      </c>
      <c r="CK126" s="104">
        <v>450</v>
      </c>
      <c r="CL126" s="104">
        <v>349</v>
      </c>
      <c r="CM126" s="104">
        <v>266</v>
      </c>
      <c r="CN126" s="104">
        <v>250</v>
      </c>
      <c r="CO126" s="152">
        <v>255</v>
      </c>
      <c r="CP126" s="102"/>
      <c r="CQ126" s="104">
        <v>325</v>
      </c>
      <c r="CR126" s="104">
        <v>250</v>
      </c>
      <c r="CS126" s="104">
        <v>275</v>
      </c>
      <c r="CT126" s="104">
        <v>243.75</v>
      </c>
      <c r="CU126" s="104">
        <v>450</v>
      </c>
      <c r="CV126" s="104">
        <v>350</v>
      </c>
      <c r="CW126" s="104">
        <v>271.25</v>
      </c>
      <c r="CX126" s="104">
        <v>265</v>
      </c>
      <c r="CY126" s="152">
        <v>250</v>
      </c>
      <c r="CZ126" s="102"/>
      <c r="DA126" s="104">
        <v>312.5</v>
      </c>
      <c r="DB126" s="104">
        <v>250</v>
      </c>
      <c r="DC126" s="104">
        <v>275</v>
      </c>
      <c r="DD126" s="104">
        <v>250</v>
      </c>
      <c r="DE126" s="104">
        <v>450</v>
      </c>
      <c r="DF126" s="104">
        <v>337.5</v>
      </c>
      <c r="DG126" s="104">
        <v>271.25</v>
      </c>
      <c r="DH126" s="104">
        <v>260</v>
      </c>
      <c r="DI126" s="152">
        <v>250</v>
      </c>
      <c r="DJ126" s="102"/>
      <c r="DK126" s="104">
        <v>300</v>
      </c>
      <c r="DL126" s="104">
        <v>205</v>
      </c>
      <c r="DM126" s="104">
        <v>265</v>
      </c>
      <c r="DN126" s="104">
        <v>215</v>
      </c>
      <c r="DO126" s="104">
        <v>450</v>
      </c>
      <c r="DP126" s="104">
        <v>300</v>
      </c>
      <c r="DQ126" s="104">
        <v>262</v>
      </c>
      <c r="DR126" s="104">
        <v>254</v>
      </c>
      <c r="DS126" s="152">
        <v>250</v>
      </c>
      <c r="DT126" s="102"/>
      <c r="DU126" s="104">
        <v>350</v>
      </c>
      <c r="DV126" s="104">
        <v>212.5</v>
      </c>
      <c r="DW126" s="104">
        <v>250</v>
      </c>
      <c r="DX126" s="104">
        <v>200</v>
      </c>
      <c r="DY126" s="104">
        <v>450</v>
      </c>
      <c r="DZ126" s="104">
        <v>312.5</v>
      </c>
      <c r="EA126" s="104">
        <v>250</v>
      </c>
      <c r="EB126" s="104">
        <v>250</v>
      </c>
      <c r="EC126" s="152">
        <v>250</v>
      </c>
    </row>
    <row r="127" spans="1:133" x14ac:dyDescent="0.25">
      <c r="A127" s="95">
        <v>43466</v>
      </c>
      <c r="B127" s="75"/>
      <c r="C127" s="75">
        <v>616.25</v>
      </c>
      <c r="D127" s="75">
        <v>236.875</v>
      </c>
      <c r="E127" s="75">
        <v>278.47222222222223</v>
      </c>
      <c r="F127" s="75">
        <v>224.10714285714286</v>
      </c>
      <c r="G127" s="75">
        <v>465.625</v>
      </c>
      <c r="H127" s="75">
        <v>420</v>
      </c>
      <c r="I127" s="75">
        <v>299.75</v>
      </c>
      <c r="J127" s="75">
        <v>294.64285714285717</v>
      </c>
      <c r="K127" s="75">
        <v>311.80555555555554</v>
      </c>
      <c r="N127" s="102"/>
      <c r="O127" s="104">
        <v>466.66666666666669</v>
      </c>
      <c r="P127" s="104">
        <v>233.33333333333334</v>
      </c>
      <c r="Q127" s="104">
        <v>216.66666666666666</v>
      </c>
      <c r="R127" s="104">
        <v>200</v>
      </c>
      <c r="S127" s="104"/>
      <c r="T127" s="104">
        <v>450</v>
      </c>
      <c r="U127" s="104">
        <v>275</v>
      </c>
      <c r="V127" s="104">
        <v>275</v>
      </c>
      <c r="W127" s="152"/>
      <c r="X127" s="102">
        <v>500</v>
      </c>
      <c r="Y127" s="104">
        <v>566.66666666666663</v>
      </c>
      <c r="Z127" s="104">
        <v>250</v>
      </c>
      <c r="AA127" s="104">
        <v>200</v>
      </c>
      <c r="AB127" s="104">
        <v>200</v>
      </c>
      <c r="AC127" s="104"/>
      <c r="AD127" s="104">
        <v>450</v>
      </c>
      <c r="AE127" s="104">
        <v>275</v>
      </c>
      <c r="AF127" s="104">
        <v>275</v>
      </c>
      <c r="AG127" s="152"/>
      <c r="AH127" s="102">
        <v>466.66666666666669</v>
      </c>
      <c r="AI127" s="104">
        <v>600</v>
      </c>
      <c r="AJ127" s="104">
        <v>250</v>
      </c>
      <c r="AK127" s="104">
        <v>200</v>
      </c>
      <c r="AL127" s="104">
        <v>200</v>
      </c>
      <c r="AM127" s="104"/>
      <c r="AN127" s="104">
        <v>450</v>
      </c>
      <c r="AO127" s="104">
        <v>275</v>
      </c>
      <c r="AP127" s="104">
        <v>275</v>
      </c>
      <c r="AQ127" s="152"/>
      <c r="AR127" s="102">
        <v>400</v>
      </c>
      <c r="AS127" s="104">
        <v>525</v>
      </c>
      <c r="AT127" s="104">
        <v>250</v>
      </c>
      <c r="AU127" s="104">
        <v>200</v>
      </c>
      <c r="AV127" s="104">
        <v>200</v>
      </c>
      <c r="AW127" s="104"/>
      <c r="AX127" s="104">
        <v>450</v>
      </c>
      <c r="AY127" s="104">
        <v>275</v>
      </c>
      <c r="AZ127" s="104">
        <v>275</v>
      </c>
      <c r="BA127" s="152">
        <v>350</v>
      </c>
      <c r="BB127" s="102">
        <v>375</v>
      </c>
      <c r="BC127" s="104"/>
      <c r="BD127" s="104">
        <v>225</v>
      </c>
      <c r="BE127" s="104">
        <v>225</v>
      </c>
      <c r="BF127" s="104">
        <v>200</v>
      </c>
      <c r="BG127" s="104"/>
      <c r="BH127" s="104">
        <v>450</v>
      </c>
      <c r="BI127" s="104">
        <v>275</v>
      </c>
      <c r="BJ127" s="104">
        <v>275</v>
      </c>
      <c r="BK127" s="152"/>
      <c r="BL127" s="102">
        <v>425</v>
      </c>
      <c r="BM127" s="104"/>
      <c r="BN127" s="104">
        <v>225</v>
      </c>
      <c r="BO127" s="104">
        <v>218.75</v>
      </c>
      <c r="BP127" s="104">
        <v>200</v>
      </c>
      <c r="BQ127" s="104"/>
      <c r="BR127" s="104">
        <v>450</v>
      </c>
      <c r="BS127" s="104">
        <v>276.25</v>
      </c>
      <c r="BT127" s="104">
        <v>276.25</v>
      </c>
      <c r="BU127" s="152"/>
      <c r="BV127" s="102">
        <v>450</v>
      </c>
      <c r="BW127" s="104"/>
      <c r="BX127" s="104">
        <v>243.33333333333334</v>
      </c>
      <c r="BY127" s="104">
        <v>225</v>
      </c>
      <c r="BZ127" s="104">
        <v>208.33333333333334</v>
      </c>
      <c r="CA127" s="104">
        <v>450</v>
      </c>
      <c r="CB127" s="104">
        <v>450</v>
      </c>
      <c r="CC127" s="104">
        <v>275</v>
      </c>
      <c r="CD127" s="104">
        <v>275</v>
      </c>
      <c r="CE127" s="152"/>
      <c r="CF127" s="102">
        <v>450</v>
      </c>
      <c r="CG127" s="104">
        <v>600</v>
      </c>
      <c r="CH127" s="104">
        <v>250</v>
      </c>
      <c r="CI127" s="104">
        <v>225</v>
      </c>
      <c r="CJ127" s="104">
        <v>200</v>
      </c>
      <c r="CK127" s="104"/>
      <c r="CL127" s="104">
        <v>450</v>
      </c>
      <c r="CM127" s="104">
        <v>275</v>
      </c>
      <c r="CN127" s="104">
        <v>275</v>
      </c>
      <c r="CO127" s="152">
        <v>350</v>
      </c>
      <c r="CP127" s="102"/>
      <c r="CQ127" s="104">
        <v>425</v>
      </c>
      <c r="CR127" s="104">
        <v>250</v>
      </c>
      <c r="CS127" s="104">
        <v>225</v>
      </c>
      <c r="CT127" s="104">
        <v>218.75</v>
      </c>
      <c r="CU127" s="104"/>
      <c r="CV127" s="104">
        <v>450</v>
      </c>
      <c r="CW127" s="104">
        <v>275</v>
      </c>
      <c r="CX127" s="104">
        <v>275</v>
      </c>
      <c r="CY127" s="152">
        <v>350</v>
      </c>
      <c r="CZ127" s="102"/>
      <c r="DA127" s="104">
        <v>400</v>
      </c>
      <c r="DB127" s="104">
        <v>250</v>
      </c>
      <c r="DC127" s="104">
        <v>225</v>
      </c>
      <c r="DD127" s="104">
        <v>200</v>
      </c>
      <c r="DE127" s="104"/>
      <c r="DF127" s="104">
        <v>412.5</v>
      </c>
      <c r="DG127" s="104">
        <v>275</v>
      </c>
      <c r="DH127" s="104">
        <v>275</v>
      </c>
      <c r="DI127" s="152">
        <v>300</v>
      </c>
      <c r="DJ127" s="102"/>
      <c r="DK127" s="104">
        <v>370</v>
      </c>
      <c r="DL127" s="104">
        <v>250</v>
      </c>
      <c r="DM127" s="104">
        <v>240</v>
      </c>
      <c r="DN127" s="104">
        <v>200</v>
      </c>
      <c r="DO127" s="104"/>
      <c r="DP127" s="104">
        <v>400</v>
      </c>
      <c r="DQ127" s="104">
        <v>275</v>
      </c>
      <c r="DR127" s="104">
        <v>276</v>
      </c>
      <c r="DS127" s="152">
        <v>280</v>
      </c>
      <c r="DT127" s="102"/>
      <c r="DU127" s="104">
        <v>387.5</v>
      </c>
      <c r="DV127" s="104">
        <v>225</v>
      </c>
      <c r="DW127" s="104">
        <v>225</v>
      </c>
      <c r="DX127" s="104">
        <v>200</v>
      </c>
      <c r="DY127" s="104"/>
      <c r="DZ127" s="104">
        <v>400</v>
      </c>
      <c r="EA127" s="104">
        <v>276.25</v>
      </c>
      <c r="EB127" s="104">
        <v>276.25</v>
      </c>
      <c r="EC127" s="152">
        <v>258.33333333333331</v>
      </c>
    </row>
    <row r="128" spans="1:133" x14ac:dyDescent="0.25">
      <c r="A128" s="95">
        <v>43497</v>
      </c>
      <c r="B128" s="75">
        <v>484.09090909090907</v>
      </c>
      <c r="C128" s="75">
        <v>610.22727272727275</v>
      </c>
      <c r="D128" s="75">
        <v>236.55303030303031</v>
      </c>
      <c r="E128" s="75">
        <v>281.25</v>
      </c>
      <c r="F128" s="75">
        <v>225</v>
      </c>
      <c r="G128" s="75">
        <v>462.5</v>
      </c>
      <c r="H128" s="75">
        <v>415.90909090909093</v>
      </c>
      <c r="I128" s="75">
        <v>296.36363636363637</v>
      </c>
      <c r="J128" s="75">
        <v>290.17857142857144</v>
      </c>
      <c r="K128" s="75">
        <v>315</v>
      </c>
      <c r="N128" s="102"/>
      <c r="O128" s="104">
        <v>500</v>
      </c>
      <c r="P128" s="104">
        <v>250</v>
      </c>
      <c r="Q128" s="104">
        <v>225</v>
      </c>
      <c r="R128" s="104">
        <v>208.33333333333334</v>
      </c>
      <c r="S128" s="104"/>
      <c r="T128" s="104">
        <v>450</v>
      </c>
      <c r="U128" s="104">
        <v>275</v>
      </c>
      <c r="V128" s="104">
        <v>275</v>
      </c>
      <c r="W128" s="152"/>
      <c r="X128" s="102">
        <v>500</v>
      </c>
      <c r="Y128" s="104">
        <v>566.66666666666663</v>
      </c>
      <c r="Z128" s="104">
        <v>250</v>
      </c>
      <c r="AA128" s="104">
        <v>225</v>
      </c>
      <c r="AB128" s="104">
        <v>225</v>
      </c>
      <c r="AC128" s="104"/>
      <c r="AD128" s="104">
        <v>450</v>
      </c>
      <c r="AE128" s="104">
        <v>275</v>
      </c>
      <c r="AF128" s="104">
        <v>275</v>
      </c>
      <c r="AG128" s="152"/>
      <c r="AH128" s="102">
        <v>500</v>
      </c>
      <c r="AI128" s="104">
        <v>600</v>
      </c>
      <c r="AJ128" s="104">
        <v>250</v>
      </c>
      <c r="AK128" s="104">
        <v>225</v>
      </c>
      <c r="AL128" s="104">
        <v>225</v>
      </c>
      <c r="AM128" s="104"/>
      <c r="AN128" s="104">
        <v>450</v>
      </c>
      <c r="AO128" s="104">
        <v>275</v>
      </c>
      <c r="AP128" s="104">
        <v>275</v>
      </c>
      <c r="AQ128" s="152"/>
      <c r="AR128" s="102">
        <v>425</v>
      </c>
      <c r="AS128" s="104">
        <v>566.66666666666663</v>
      </c>
      <c r="AT128" s="104">
        <v>250</v>
      </c>
      <c r="AU128" s="104">
        <v>225</v>
      </c>
      <c r="AV128" s="104">
        <v>225</v>
      </c>
      <c r="AW128" s="104"/>
      <c r="AX128" s="104">
        <v>450</v>
      </c>
      <c r="AY128" s="104">
        <v>275</v>
      </c>
      <c r="AZ128" s="104">
        <v>275</v>
      </c>
      <c r="BA128" s="152"/>
      <c r="BB128" s="102">
        <v>400</v>
      </c>
      <c r="BC128" s="104"/>
      <c r="BD128" s="104">
        <v>250</v>
      </c>
      <c r="BE128" s="104">
        <v>225</v>
      </c>
      <c r="BF128" s="104">
        <v>225</v>
      </c>
      <c r="BG128" s="104"/>
      <c r="BH128" s="104">
        <v>450</v>
      </c>
      <c r="BI128" s="104">
        <v>275</v>
      </c>
      <c r="BJ128" s="104">
        <v>275</v>
      </c>
      <c r="BK128" s="152"/>
      <c r="BL128" s="102">
        <v>400</v>
      </c>
      <c r="BM128" s="104"/>
      <c r="BN128" s="104">
        <v>250</v>
      </c>
      <c r="BO128" s="104">
        <v>225</v>
      </c>
      <c r="BP128" s="104">
        <v>225</v>
      </c>
      <c r="BQ128" s="104"/>
      <c r="BR128" s="104">
        <v>450</v>
      </c>
      <c r="BS128" s="104">
        <v>275</v>
      </c>
      <c r="BT128" s="104">
        <v>275</v>
      </c>
      <c r="BU128" s="152"/>
      <c r="BV128" s="102">
        <v>450</v>
      </c>
      <c r="BW128" s="104"/>
      <c r="BX128" s="104">
        <v>250</v>
      </c>
      <c r="BY128" s="104">
        <v>225</v>
      </c>
      <c r="BZ128" s="104">
        <v>225</v>
      </c>
      <c r="CA128" s="104"/>
      <c r="CB128" s="104">
        <v>450</v>
      </c>
      <c r="CC128" s="104">
        <v>275</v>
      </c>
      <c r="CD128" s="104">
        <v>275</v>
      </c>
      <c r="CE128" s="152"/>
      <c r="CF128" s="102">
        <v>500</v>
      </c>
      <c r="CG128" s="104">
        <v>600</v>
      </c>
      <c r="CH128" s="104">
        <v>235</v>
      </c>
      <c r="CI128" s="104">
        <v>225</v>
      </c>
      <c r="CJ128" s="104">
        <v>225</v>
      </c>
      <c r="CK128" s="104"/>
      <c r="CL128" s="104">
        <v>450</v>
      </c>
      <c r="CM128" s="104">
        <v>275</v>
      </c>
      <c r="CN128" s="104">
        <v>275</v>
      </c>
      <c r="CO128" s="152"/>
      <c r="CP128" s="102"/>
      <c r="CQ128" s="104">
        <v>500</v>
      </c>
      <c r="CR128" s="104">
        <v>225</v>
      </c>
      <c r="CS128" s="104">
        <v>225</v>
      </c>
      <c r="CT128" s="104">
        <v>225</v>
      </c>
      <c r="CU128" s="104"/>
      <c r="CV128" s="104">
        <v>450</v>
      </c>
      <c r="CW128" s="104">
        <v>275</v>
      </c>
      <c r="CX128" s="104">
        <v>275</v>
      </c>
      <c r="CY128" s="152"/>
      <c r="CZ128" s="102"/>
      <c r="DA128" s="104">
        <v>487.5</v>
      </c>
      <c r="DB128" s="104">
        <v>225</v>
      </c>
      <c r="DC128" s="104">
        <v>206.25</v>
      </c>
      <c r="DD128" s="104">
        <v>206.25</v>
      </c>
      <c r="DE128" s="104"/>
      <c r="DF128" s="104">
        <v>450</v>
      </c>
      <c r="DG128" s="104">
        <v>275</v>
      </c>
      <c r="DH128" s="104">
        <v>275</v>
      </c>
      <c r="DI128" s="152"/>
      <c r="DJ128" s="102"/>
      <c r="DK128" s="104">
        <v>400</v>
      </c>
      <c r="DL128" s="104">
        <v>245</v>
      </c>
      <c r="DM128" s="104">
        <v>200</v>
      </c>
      <c r="DN128" s="104">
        <v>200</v>
      </c>
      <c r="DO128" s="104"/>
      <c r="DP128" s="104">
        <v>400</v>
      </c>
      <c r="DQ128" s="104">
        <v>275</v>
      </c>
      <c r="DR128" s="104">
        <v>275</v>
      </c>
      <c r="DS128" s="152"/>
      <c r="DT128" s="102"/>
      <c r="DU128" s="104">
        <v>475</v>
      </c>
      <c r="DV128" s="104">
        <v>250</v>
      </c>
      <c r="DW128" s="104">
        <v>200</v>
      </c>
      <c r="DX128" s="104">
        <v>200</v>
      </c>
      <c r="DY128" s="104"/>
      <c r="DZ128" s="104">
        <v>400</v>
      </c>
      <c r="EA128" s="104">
        <v>275</v>
      </c>
      <c r="EB128" s="104">
        <v>275</v>
      </c>
      <c r="EC128" s="152"/>
    </row>
    <row r="129" spans="1:133" x14ac:dyDescent="0.25">
      <c r="A129" s="95">
        <v>43525</v>
      </c>
      <c r="B129" s="75">
        <v>415.34090909090907</v>
      </c>
      <c r="C129" s="75">
        <v>620</v>
      </c>
      <c r="D129" s="75">
        <v>235.68181818181819</v>
      </c>
      <c r="E129" s="75">
        <v>280.625</v>
      </c>
      <c r="F129" s="75">
        <v>226.5625</v>
      </c>
      <c r="G129" s="75">
        <v>475</v>
      </c>
      <c r="H129" s="75">
        <v>422.72727272727275</v>
      </c>
      <c r="I129" s="75">
        <v>296.70454545454544</v>
      </c>
      <c r="J129" s="75">
        <v>287.85714285714283</v>
      </c>
      <c r="K129" s="75">
        <v>315</v>
      </c>
      <c r="N129" s="102"/>
      <c r="O129" s="104">
        <v>450</v>
      </c>
      <c r="P129" s="104">
        <v>291.66666666666669</v>
      </c>
      <c r="Q129" s="104">
        <v>291.66666666666669</v>
      </c>
      <c r="R129" s="104">
        <v>258.33333333333331</v>
      </c>
      <c r="S129" s="104">
        <v>500</v>
      </c>
      <c r="T129" s="104">
        <v>450</v>
      </c>
      <c r="U129" s="104">
        <v>280</v>
      </c>
      <c r="V129" s="104"/>
      <c r="W129" s="152"/>
      <c r="X129" s="102"/>
      <c r="Y129" s="104">
        <v>566.66666666666663</v>
      </c>
      <c r="Z129" s="104">
        <v>300</v>
      </c>
      <c r="AA129" s="104">
        <v>300</v>
      </c>
      <c r="AB129" s="104">
        <v>250</v>
      </c>
      <c r="AC129" s="104">
        <v>500</v>
      </c>
      <c r="AD129" s="104">
        <v>450</v>
      </c>
      <c r="AE129" s="104">
        <v>280</v>
      </c>
      <c r="AF129" s="104"/>
      <c r="AG129" s="152"/>
      <c r="AH129" s="102">
        <v>566.66666666666663</v>
      </c>
      <c r="AI129" s="104">
        <v>566.66666666666663</v>
      </c>
      <c r="AJ129" s="104">
        <v>283.33333333333331</v>
      </c>
      <c r="AK129" s="104">
        <v>291.66666666666669</v>
      </c>
      <c r="AL129" s="104">
        <v>250</v>
      </c>
      <c r="AM129" s="104">
        <v>500</v>
      </c>
      <c r="AN129" s="104">
        <v>450</v>
      </c>
      <c r="AO129" s="104">
        <v>280</v>
      </c>
      <c r="AP129" s="104"/>
      <c r="AQ129" s="152"/>
      <c r="AR129" s="102">
        <v>437.5</v>
      </c>
      <c r="AS129" s="104">
        <v>500</v>
      </c>
      <c r="AT129" s="104">
        <v>281.25</v>
      </c>
      <c r="AU129" s="104">
        <v>275</v>
      </c>
      <c r="AV129" s="104">
        <v>250</v>
      </c>
      <c r="AW129" s="104">
        <v>500</v>
      </c>
      <c r="AX129" s="104">
        <v>450</v>
      </c>
      <c r="AY129" s="104">
        <v>280</v>
      </c>
      <c r="AZ129" s="104"/>
      <c r="BA129" s="152"/>
      <c r="BB129" s="102">
        <v>325</v>
      </c>
      <c r="BC129" s="104"/>
      <c r="BD129" s="104">
        <v>287.5</v>
      </c>
      <c r="BE129" s="104">
        <v>275</v>
      </c>
      <c r="BF129" s="104">
        <v>250</v>
      </c>
      <c r="BG129" s="104">
        <v>500</v>
      </c>
      <c r="BH129" s="104">
        <v>450</v>
      </c>
      <c r="BI129" s="104">
        <v>280</v>
      </c>
      <c r="BJ129" s="104"/>
      <c r="BK129" s="152"/>
      <c r="BL129" s="102">
        <v>412.5</v>
      </c>
      <c r="BM129" s="104"/>
      <c r="BN129" s="104">
        <v>250</v>
      </c>
      <c r="BO129" s="104">
        <v>300</v>
      </c>
      <c r="BP129" s="104">
        <v>250</v>
      </c>
      <c r="BQ129" s="104">
        <v>500</v>
      </c>
      <c r="BR129" s="104">
        <v>450</v>
      </c>
      <c r="BS129" s="104">
        <v>280</v>
      </c>
      <c r="BT129" s="104"/>
      <c r="BU129" s="152"/>
      <c r="BV129" s="102">
        <v>400</v>
      </c>
      <c r="BW129" s="104"/>
      <c r="BX129" s="104">
        <v>250</v>
      </c>
      <c r="BY129" s="104">
        <v>300</v>
      </c>
      <c r="BZ129" s="104">
        <v>250</v>
      </c>
      <c r="CA129" s="104">
        <v>500</v>
      </c>
      <c r="CB129" s="104">
        <v>450</v>
      </c>
      <c r="CC129" s="104">
        <v>280</v>
      </c>
      <c r="CD129" s="104"/>
      <c r="CE129" s="152"/>
      <c r="CF129" s="102">
        <v>425</v>
      </c>
      <c r="CG129" s="104">
        <v>400</v>
      </c>
      <c r="CH129" s="104">
        <v>250</v>
      </c>
      <c r="CI129" s="104">
        <v>300</v>
      </c>
      <c r="CJ129" s="104">
        <v>245</v>
      </c>
      <c r="CK129" s="104">
        <v>500</v>
      </c>
      <c r="CL129" s="104">
        <v>450</v>
      </c>
      <c r="CM129" s="104">
        <v>224</v>
      </c>
      <c r="CN129" s="104"/>
      <c r="CO129" s="152"/>
      <c r="CP129" s="102"/>
      <c r="CQ129" s="104">
        <v>412.5</v>
      </c>
      <c r="CR129" s="104">
        <v>250</v>
      </c>
      <c r="CS129" s="104">
        <v>300</v>
      </c>
      <c r="CT129" s="104">
        <v>250</v>
      </c>
      <c r="CU129" s="104">
        <v>500</v>
      </c>
      <c r="CV129" s="104">
        <v>450</v>
      </c>
      <c r="CW129" s="104">
        <v>280</v>
      </c>
      <c r="CX129" s="104"/>
      <c r="CY129" s="152"/>
      <c r="CZ129" s="102"/>
      <c r="DA129" s="104">
        <v>325</v>
      </c>
      <c r="DB129" s="104">
        <v>250</v>
      </c>
      <c r="DC129" s="104">
        <v>300</v>
      </c>
      <c r="DD129" s="104">
        <v>250</v>
      </c>
      <c r="DE129" s="104">
        <v>500</v>
      </c>
      <c r="DF129" s="104">
        <v>450</v>
      </c>
      <c r="DG129" s="104">
        <v>280</v>
      </c>
      <c r="DH129" s="104"/>
      <c r="DI129" s="152"/>
      <c r="DJ129" s="102"/>
      <c r="DK129" s="104">
        <v>320</v>
      </c>
      <c r="DL129" s="104">
        <v>250</v>
      </c>
      <c r="DM129" s="104">
        <v>290</v>
      </c>
      <c r="DN129" s="104">
        <v>250</v>
      </c>
      <c r="DO129" s="104">
        <v>500</v>
      </c>
      <c r="DP129" s="104">
        <v>370</v>
      </c>
      <c r="DQ129" s="104">
        <v>280</v>
      </c>
      <c r="DR129" s="104"/>
      <c r="DS129" s="152"/>
      <c r="DT129" s="102"/>
      <c r="DU129" s="104">
        <v>375</v>
      </c>
      <c r="DV129" s="104">
        <v>250</v>
      </c>
      <c r="DW129" s="104">
        <v>275</v>
      </c>
      <c r="DX129" s="104">
        <v>262.5</v>
      </c>
      <c r="DY129" s="104">
        <v>500</v>
      </c>
      <c r="DZ129" s="104">
        <v>400</v>
      </c>
      <c r="EA129" s="104">
        <v>280</v>
      </c>
      <c r="EB129" s="104"/>
      <c r="EC129" s="152"/>
    </row>
    <row r="130" spans="1:133" ht="15.75" thickBot="1" x14ac:dyDescent="0.3">
      <c r="A130" s="95">
        <v>43556</v>
      </c>
      <c r="B130" s="75">
        <v>295</v>
      </c>
      <c r="C130" s="75">
        <v>525</v>
      </c>
      <c r="D130" s="75">
        <v>237.06896551724137</v>
      </c>
      <c r="E130" s="75">
        <v>275.96153846153845</v>
      </c>
      <c r="F130" s="75">
        <v>227.08333333333334</v>
      </c>
      <c r="G130" s="75">
        <v>487.5</v>
      </c>
      <c r="H130" s="75">
        <v>428.33333333333331</v>
      </c>
      <c r="I130" s="75">
        <v>299.5</v>
      </c>
      <c r="J130" s="75">
        <v>292.10526315789474</v>
      </c>
      <c r="K130" s="75">
        <v>310.34482758620692</v>
      </c>
      <c r="N130" s="161"/>
      <c r="O130" s="105">
        <v>425.75757575757575</v>
      </c>
      <c r="P130" s="105">
        <v>249.39393939393938</v>
      </c>
      <c r="Q130" s="105">
        <v>253.030303030303</v>
      </c>
      <c r="R130" s="105">
        <v>227.59259259259255</v>
      </c>
      <c r="S130" s="105">
        <v>483.33333333333331</v>
      </c>
      <c r="T130" s="105">
        <v>449.09090909090907</v>
      </c>
      <c r="U130" s="105">
        <v>271.21212121212119</v>
      </c>
      <c r="V130" s="105">
        <v>268.125</v>
      </c>
      <c r="W130" s="167">
        <v>260.625</v>
      </c>
      <c r="X130" s="103">
        <v>437.08333333333337</v>
      </c>
      <c r="Y130" s="105">
        <v>525.75757575757586</v>
      </c>
      <c r="Z130" s="105">
        <v>250.45454545454547</v>
      </c>
      <c r="AA130" s="105">
        <v>249.16666666666669</v>
      </c>
      <c r="AB130" s="105">
        <v>227.83333333333334</v>
      </c>
      <c r="AC130" s="105">
        <v>472.66666666666663</v>
      </c>
      <c r="AD130" s="105">
        <v>447.42424242424244</v>
      </c>
      <c r="AE130" s="105">
        <v>271.81818181818181</v>
      </c>
      <c r="AF130" s="105">
        <v>269.04761904761904</v>
      </c>
      <c r="AG130" s="167">
        <v>265.23809523809524</v>
      </c>
      <c r="AH130" s="103">
        <v>455.30303030303025</v>
      </c>
      <c r="AI130" s="105">
        <v>580.30303030303025</v>
      </c>
      <c r="AJ130" s="105">
        <v>252.57575757575759</v>
      </c>
      <c r="AK130" s="105">
        <v>251.66666666666666</v>
      </c>
      <c r="AL130" s="105">
        <v>232.66666666666666</v>
      </c>
      <c r="AM130" s="105">
        <v>475</v>
      </c>
      <c r="AN130" s="105">
        <v>447.72727272727275</v>
      </c>
      <c r="AO130" s="105">
        <v>271.51515151515156</v>
      </c>
      <c r="AP130" s="105">
        <v>269.04761904761904</v>
      </c>
      <c r="AQ130" s="167">
        <v>265.71428571428572</v>
      </c>
      <c r="AR130" s="103">
        <v>343.18181818181819</v>
      </c>
      <c r="AS130" s="105">
        <v>513.19444444444446</v>
      </c>
      <c r="AT130" s="105">
        <v>252.95454545454547</v>
      </c>
      <c r="AU130" s="105">
        <v>252.5</v>
      </c>
      <c r="AV130" s="105">
        <v>231.81818181818181</v>
      </c>
      <c r="AW130" s="105">
        <v>475</v>
      </c>
      <c r="AX130" s="105">
        <v>444.43181818181819</v>
      </c>
      <c r="AY130" s="105">
        <v>271.47727272727275</v>
      </c>
      <c r="AZ130" s="105">
        <v>267.32142857142856</v>
      </c>
      <c r="BA130" s="167">
        <v>282.8125</v>
      </c>
      <c r="BB130" s="103">
        <v>291.47727272727275</v>
      </c>
      <c r="BC130" s="105"/>
      <c r="BD130" s="105">
        <v>252.61363636363637</v>
      </c>
      <c r="BE130" s="105">
        <v>259.375</v>
      </c>
      <c r="BF130" s="105">
        <v>231.625</v>
      </c>
      <c r="BG130" s="105">
        <v>475</v>
      </c>
      <c r="BH130" s="105">
        <v>442.5</v>
      </c>
      <c r="BI130" s="105">
        <v>271.36363636363637</v>
      </c>
      <c r="BJ130" s="105">
        <v>267.32142857142856</v>
      </c>
      <c r="BK130" s="167">
        <v>266.71875</v>
      </c>
      <c r="BL130" s="103">
        <v>357.00757575757575</v>
      </c>
      <c r="BM130" s="105"/>
      <c r="BN130" s="105">
        <v>249.39393939393938</v>
      </c>
      <c r="BO130" s="105">
        <v>257.29166666666669</v>
      </c>
      <c r="BP130" s="105">
        <v>232.40740740740745</v>
      </c>
      <c r="BQ130" s="105">
        <v>475</v>
      </c>
      <c r="BR130" s="105">
        <v>440.22727272727275</v>
      </c>
      <c r="BS130" s="105">
        <v>271.25</v>
      </c>
      <c r="BT130" s="105">
        <v>265.89285714285717</v>
      </c>
      <c r="BU130" s="167">
        <v>262.1875</v>
      </c>
      <c r="BV130" s="103">
        <v>375</v>
      </c>
      <c r="BW130" s="105"/>
      <c r="BX130" s="105">
        <v>251.81818181818181</v>
      </c>
      <c r="BY130" s="105">
        <v>257.5</v>
      </c>
      <c r="BZ130" s="105">
        <v>233.5185185185185</v>
      </c>
      <c r="CA130" s="105">
        <v>469</v>
      </c>
      <c r="CB130" s="105">
        <v>428.48484848484856</v>
      </c>
      <c r="CC130" s="105">
        <v>271.36363636363637</v>
      </c>
      <c r="CD130" s="105">
        <v>266.42857142857144</v>
      </c>
      <c r="CE130" s="167">
        <v>268.95833333333337</v>
      </c>
      <c r="CF130" s="103">
        <v>428.86363636363637</v>
      </c>
      <c r="CG130" s="105">
        <v>454.54545454545456</v>
      </c>
      <c r="CH130" s="105">
        <v>256.36363636363637</v>
      </c>
      <c r="CI130" s="105">
        <v>269.5</v>
      </c>
      <c r="CJ130" s="105">
        <v>237.81818181818181</v>
      </c>
      <c r="CK130" s="105">
        <v>468.75</v>
      </c>
      <c r="CL130" s="105">
        <v>423.72727272727275</v>
      </c>
      <c r="CM130" s="105">
        <v>266.81818181818181</v>
      </c>
      <c r="CN130" s="105">
        <v>267.42857142857144</v>
      </c>
      <c r="CO130" s="167">
        <v>276.33333333333331</v>
      </c>
      <c r="CP130" s="103">
        <v>337.5</v>
      </c>
      <c r="CQ130" s="105">
        <v>370.45454545454544</v>
      </c>
      <c r="CR130" s="105">
        <v>254.88636363636363</v>
      </c>
      <c r="CS130" s="105">
        <v>266.25</v>
      </c>
      <c r="CT130" s="105">
        <v>234.5</v>
      </c>
      <c r="CU130" s="105">
        <v>457.29166666666669</v>
      </c>
      <c r="CV130" s="105">
        <v>415.79545454545456</v>
      </c>
      <c r="CW130" s="105">
        <v>271.47727272727275</v>
      </c>
      <c r="CX130" s="105">
        <v>269.375</v>
      </c>
      <c r="CY130" s="167">
        <v>272.91666666666669</v>
      </c>
      <c r="CZ130" s="103">
        <v>258.33333333333331</v>
      </c>
      <c r="DA130" s="105">
        <v>344.31818181818181</v>
      </c>
      <c r="DB130" s="105">
        <v>255.68181818181819</v>
      </c>
      <c r="DC130" s="105">
        <v>263.75</v>
      </c>
      <c r="DD130" s="105">
        <v>234.25</v>
      </c>
      <c r="DE130" s="105">
        <v>462.5</v>
      </c>
      <c r="DF130" s="105">
        <v>407.15909090909093</v>
      </c>
      <c r="DG130" s="105">
        <v>272.38636363636363</v>
      </c>
      <c r="DH130" s="105">
        <v>268.8095238095238</v>
      </c>
      <c r="DI130" s="167">
        <v>268.75</v>
      </c>
      <c r="DJ130" s="103"/>
      <c r="DK130" s="105">
        <v>325</v>
      </c>
      <c r="DL130" s="105">
        <v>247.3</v>
      </c>
      <c r="DM130" s="105">
        <v>258.88888888888891</v>
      </c>
      <c r="DN130" s="105">
        <v>229.2</v>
      </c>
      <c r="DO130" s="105">
        <v>492</v>
      </c>
      <c r="DP130" s="105">
        <v>377.5</v>
      </c>
      <c r="DQ130" s="105">
        <v>271.89999999999998</v>
      </c>
      <c r="DR130" s="105">
        <v>266.875</v>
      </c>
      <c r="DS130" s="167">
        <v>265.625</v>
      </c>
      <c r="DT130" s="103"/>
      <c r="DU130" s="105">
        <v>363.63636363636363</v>
      </c>
      <c r="DV130" s="105">
        <v>246.93181818181819</v>
      </c>
      <c r="DW130" s="105">
        <v>250.625</v>
      </c>
      <c r="DX130" s="105">
        <v>236.66666666666669</v>
      </c>
      <c r="DY130" s="105">
        <v>453.125</v>
      </c>
      <c r="DZ130" s="105">
        <v>370.45454545454544</v>
      </c>
      <c r="EA130" s="105">
        <v>270.22727272727275</v>
      </c>
      <c r="EB130" s="105">
        <v>264.70238095238096</v>
      </c>
      <c r="EC130" s="167">
        <v>259.9537037037037</v>
      </c>
    </row>
    <row r="131" spans="1:133" x14ac:dyDescent="0.25">
      <c r="A131" s="95">
        <v>43586</v>
      </c>
      <c r="B131" s="75">
        <v>307.95454545454544</v>
      </c>
      <c r="C131" s="75"/>
      <c r="D131" s="75">
        <v>246.02272727272728</v>
      </c>
      <c r="E131" s="75">
        <v>277.5</v>
      </c>
      <c r="F131" s="75">
        <v>226.11111111111111</v>
      </c>
      <c r="G131" s="75">
        <v>487.5</v>
      </c>
      <c r="H131" s="75">
        <v>427.27272727272725</v>
      </c>
      <c r="I131" s="75">
        <v>300</v>
      </c>
      <c r="J131" s="75">
        <v>294.375</v>
      </c>
      <c r="K131" s="75">
        <v>310</v>
      </c>
    </row>
    <row r="132" spans="1:133" x14ac:dyDescent="0.25">
      <c r="A132" s="95">
        <v>43617</v>
      </c>
      <c r="B132" s="75">
        <v>303.63636363636363</v>
      </c>
      <c r="C132" s="75"/>
      <c r="D132" s="75">
        <v>247.27272727272728</v>
      </c>
      <c r="E132" s="75">
        <v>277</v>
      </c>
      <c r="F132" s="75">
        <v>230</v>
      </c>
      <c r="G132" s="75">
        <v>437.5</v>
      </c>
      <c r="H132" s="75">
        <v>433.63636363636363</v>
      </c>
      <c r="I132" s="75">
        <v>300</v>
      </c>
      <c r="J132" s="75">
        <v>294.375</v>
      </c>
      <c r="K132" s="75">
        <v>276.36363636363637</v>
      </c>
    </row>
    <row r="133" spans="1:133" ht="15.75" thickBot="1" x14ac:dyDescent="0.3">
      <c r="A133" s="95">
        <v>43647</v>
      </c>
      <c r="B133" s="75">
        <v>359.09090909090907</v>
      </c>
      <c r="C133" s="75"/>
      <c r="D133" s="75">
        <v>243.63636363636363</v>
      </c>
      <c r="E133" s="75">
        <v>266</v>
      </c>
      <c r="F133" s="75">
        <v>201.77777777777777</v>
      </c>
      <c r="G133" s="75">
        <v>490</v>
      </c>
      <c r="H133" s="75">
        <v>424.54545454545456</v>
      </c>
      <c r="I133" s="75">
        <v>289.09090909090907</v>
      </c>
      <c r="J133" s="75">
        <v>279.5</v>
      </c>
      <c r="K133" s="75">
        <v>284</v>
      </c>
      <c r="N133" s="71">
        <v>2015</v>
      </c>
    </row>
    <row r="134" spans="1:133" ht="15.75" thickBot="1" x14ac:dyDescent="0.3">
      <c r="A134" s="95">
        <v>43678</v>
      </c>
      <c r="B134" s="75">
        <v>520</v>
      </c>
      <c r="C134" s="75"/>
      <c r="D134" s="75">
        <v>257.5</v>
      </c>
      <c r="E134" s="75">
        <v>279.16666666666669</v>
      </c>
      <c r="F134" s="75">
        <v>233.59375</v>
      </c>
      <c r="G134" s="75">
        <v>493.75</v>
      </c>
      <c r="H134" s="75">
        <v>445</v>
      </c>
      <c r="I134" s="75">
        <v>300.875</v>
      </c>
      <c r="J134" s="75">
        <v>294.28571428571428</v>
      </c>
      <c r="K134" s="75">
        <v>305.55555555555554</v>
      </c>
      <c r="N134" s="109"/>
      <c r="O134" s="109"/>
      <c r="P134" s="109"/>
      <c r="Q134" s="109"/>
      <c r="R134" s="109"/>
      <c r="S134" s="111" t="s">
        <v>165</v>
      </c>
      <c r="T134" s="109"/>
      <c r="U134" s="109"/>
      <c r="V134" s="109"/>
      <c r="W134" s="109"/>
      <c r="X134" s="109"/>
      <c r="Y134" s="109"/>
      <c r="Z134" s="109"/>
      <c r="AA134" s="109"/>
      <c r="AB134" s="109"/>
      <c r="AC134" s="111" t="s">
        <v>165</v>
      </c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11" t="s">
        <v>165</v>
      </c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11" t="s">
        <v>165</v>
      </c>
      <c r="AX134" s="109"/>
      <c r="AY134" s="109"/>
      <c r="AZ134" s="109"/>
      <c r="BA134" s="109"/>
      <c r="BB134" s="109"/>
      <c r="BC134" s="109"/>
      <c r="BD134" s="109"/>
      <c r="BE134" s="109"/>
      <c r="BF134" s="109"/>
      <c r="BG134" s="111" t="s">
        <v>165</v>
      </c>
      <c r="BH134" s="109"/>
      <c r="BI134" s="109"/>
      <c r="BJ134" s="109"/>
      <c r="BK134" s="109"/>
      <c r="BL134" s="109"/>
      <c r="BM134" s="109"/>
      <c r="BN134" s="109"/>
      <c r="BO134" s="109"/>
      <c r="BP134" s="109"/>
      <c r="BQ134" s="111" t="s">
        <v>165</v>
      </c>
      <c r="BR134" s="109"/>
      <c r="BS134" s="109"/>
      <c r="BT134" s="109"/>
      <c r="BU134" s="109"/>
      <c r="BV134" s="109"/>
      <c r="BW134" s="109"/>
      <c r="BX134" s="109"/>
      <c r="BY134" s="109"/>
      <c r="BZ134" s="109"/>
      <c r="CA134" s="111" t="s">
        <v>165</v>
      </c>
      <c r="CB134" s="109"/>
      <c r="CC134" s="109"/>
      <c r="CD134" s="109"/>
      <c r="CE134" s="109"/>
      <c r="CF134" s="109"/>
      <c r="CG134" s="109"/>
      <c r="CH134" s="109"/>
      <c r="CI134" s="109"/>
      <c r="CJ134" s="111" t="s">
        <v>165</v>
      </c>
      <c r="CK134" s="109"/>
      <c r="CL134" s="109"/>
      <c r="CM134" s="109"/>
      <c r="CN134" s="109"/>
      <c r="CO134" s="109"/>
      <c r="CP134" s="109"/>
      <c r="CQ134" s="109"/>
      <c r="CR134" s="109"/>
      <c r="CS134" s="109"/>
      <c r="CT134" s="111" t="s">
        <v>165</v>
      </c>
      <c r="CU134" s="109"/>
      <c r="CV134" s="109"/>
      <c r="CW134" s="109"/>
      <c r="CX134" s="109"/>
      <c r="CY134" s="109"/>
      <c r="CZ134" s="118"/>
      <c r="DA134" s="109"/>
      <c r="DB134" s="109"/>
      <c r="DC134" s="109"/>
      <c r="DD134" s="111"/>
      <c r="DE134" s="109" t="s">
        <v>165</v>
      </c>
      <c r="DF134" s="109"/>
      <c r="DG134" s="109"/>
      <c r="DH134" s="109"/>
      <c r="DI134" s="112"/>
      <c r="DJ134" s="118"/>
      <c r="DK134" s="109"/>
      <c r="DL134" s="109"/>
      <c r="DM134" s="109"/>
      <c r="DN134" s="110" t="s">
        <v>165</v>
      </c>
      <c r="DO134" s="110"/>
      <c r="DP134" s="109"/>
      <c r="DQ134" s="109"/>
      <c r="DR134" s="109"/>
      <c r="DS134" s="112"/>
      <c r="DT134" s="118"/>
      <c r="DU134" s="109"/>
      <c r="DV134" s="109"/>
      <c r="DW134" s="109"/>
      <c r="DX134" s="110"/>
      <c r="DY134" s="110" t="s">
        <v>165</v>
      </c>
      <c r="DZ134" s="109"/>
      <c r="EA134" s="109"/>
      <c r="EB134" s="109"/>
      <c r="EC134" s="112"/>
    </row>
    <row r="135" spans="1:133" ht="15.75" thickBot="1" x14ac:dyDescent="0.3">
      <c r="A135" s="95">
        <v>43709</v>
      </c>
      <c r="B135" s="75">
        <v>423.75</v>
      </c>
      <c r="C135" s="75">
        <v>432.5</v>
      </c>
      <c r="D135" s="75">
        <v>275</v>
      </c>
      <c r="E135" s="75">
        <v>285.41666666666669</v>
      </c>
      <c r="F135" s="75">
        <v>247.65625</v>
      </c>
      <c r="G135" s="75">
        <v>491.66666666666669</v>
      </c>
      <c r="H135" s="75">
        <v>448.75</v>
      </c>
      <c r="I135" s="75">
        <v>302.5</v>
      </c>
      <c r="J135" s="75">
        <v>299.58333333333331</v>
      </c>
      <c r="K135" s="75">
        <v>318.75</v>
      </c>
      <c r="N135" s="138"/>
      <c r="O135" s="138"/>
      <c r="P135" s="138"/>
      <c r="Q135" s="138"/>
      <c r="R135" s="138"/>
      <c r="S135" s="131" t="s">
        <v>240</v>
      </c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1" t="s">
        <v>241</v>
      </c>
      <c r="AD135" s="138"/>
      <c r="AE135" s="138"/>
      <c r="AF135" s="138"/>
      <c r="AG135" s="138"/>
      <c r="AH135" s="138"/>
      <c r="AI135" s="138"/>
      <c r="AJ135" s="138"/>
      <c r="AK135" s="138"/>
      <c r="AL135" s="138"/>
      <c r="AM135" s="131" t="s">
        <v>242</v>
      </c>
      <c r="AN135" s="138"/>
      <c r="AO135" s="138"/>
      <c r="AP135" s="138"/>
      <c r="AQ135" s="138"/>
      <c r="AR135" s="138"/>
      <c r="AS135" s="138"/>
      <c r="AT135" s="138"/>
      <c r="AU135" s="138"/>
      <c r="AV135" s="138"/>
      <c r="AW135" s="131" t="s">
        <v>243</v>
      </c>
      <c r="AX135" s="138"/>
      <c r="AY135" s="138"/>
      <c r="AZ135" s="138"/>
      <c r="BA135" s="138"/>
      <c r="BB135" s="138"/>
      <c r="BC135" s="138"/>
      <c r="BD135" s="138"/>
      <c r="BE135" s="138"/>
      <c r="BF135" s="138"/>
      <c r="BG135" s="131" t="s">
        <v>244</v>
      </c>
      <c r="BH135" s="138"/>
      <c r="BI135" s="138"/>
      <c r="BJ135" s="138"/>
      <c r="BK135" s="138"/>
      <c r="BL135" s="138"/>
      <c r="BM135" s="138"/>
      <c r="BN135" s="138"/>
      <c r="BO135" s="138"/>
      <c r="BP135" s="138"/>
      <c r="BQ135" s="131" t="s">
        <v>245</v>
      </c>
      <c r="BR135" s="138"/>
      <c r="BS135" s="138"/>
      <c r="BT135" s="138"/>
      <c r="BU135" s="138"/>
      <c r="BV135" s="138"/>
      <c r="BW135" s="138"/>
      <c r="BX135" s="138"/>
      <c r="BY135" s="138"/>
      <c r="BZ135" s="138"/>
      <c r="CA135" s="131" t="s">
        <v>246</v>
      </c>
      <c r="CB135" s="138"/>
      <c r="CC135" s="138"/>
      <c r="CD135" s="138"/>
      <c r="CE135" s="138"/>
      <c r="CF135" s="138"/>
      <c r="CG135" s="138"/>
      <c r="CH135" s="138"/>
      <c r="CI135" s="138"/>
      <c r="CJ135" s="131" t="s">
        <v>247</v>
      </c>
      <c r="CK135" s="138"/>
      <c r="CL135" s="138"/>
      <c r="CM135" s="138"/>
      <c r="CN135" s="138"/>
      <c r="CO135" s="138"/>
      <c r="CP135" s="138"/>
      <c r="CQ135" s="138"/>
      <c r="CR135" s="138"/>
      <c r="CS135" s="138"/>
      <c r="CT135" s="131" t="s">
        <v>248</v>
      </c>
      <c r="CU135" s="138"/>
      <c r="CV135" s="138"/>
      <c r="CW135" s="138"/>
      <c r="CX135" s="138"/>
      <c r="CY135" s="138"/>
      <c r="CZ135" s="137"/>
      <c r="DA135" s="138"/>
      <c r="DB135" s="138"/>
      <c r="DC135" s="138"/>
      <c r="DD135" s="131"/>
      <c r="DE135" s="138" t="s">
        <v>249</v>
      </c>
      <c r="DF135" s="138"/>
      <c r="DG135" s="138"/>
      <c r="DH135" s="138"/>
      <c r="DI135" s="139"/>
      <c r="DJ135" s="137"/>
      <c r="DK135" s="138"/>
      <c r="DL135" s="138"/>
      <c r="DM135" s="138"/>
      <c r="DN135" s="130" t="s">
        <v>250</v>
      </c>
      <c r="DO135" s="130"/>
      <c r="DP135" s="138"/>
      <c r="DQ135" s="138"/>
      <c r="DR135" s="138"/>
      <c r="DS135" s="139"/>
      <c r="DT135" s="137"/>
      <c r="DU135" s="138"/>
      <c r="DV135" s="138"/>
      <c r="DW135" s="138"/>
      <c r="DX135" s="130"/>
      <c r="DY135" s="130" t="s">
        <v>251</v>
      </c>
      <c r="DZ135" s="138"/>
      <c r="EA135" s="138"/>
      <c r="EB135" s="138"/>
      <c r="EC135" s="139"/>
    </row>
    <row r="136" spans="1:133" x14ac:dyDescent="0.25">
      <c r="A136" s="95">
        <v>43739</v>
      </c>
      <c r="B136" s="75"/>
      <c r="C136" s="75">
        <v>427.93939393939394</v>
      </c>
      <c r="D136" s="75">
        <v>274.54545454545456</v>
      </c>
      <c r="E136" s="75">
        <v>284.5</v>
      </c>
      <c r="F136" s="75">
        <v>239.79166666666666</v>
      </c>
      <c r="G136" s="75">
        <v>492.5</v>
      </c>
      <c r="H136" s="75">
        <v>440.90909090909093</v>
      </c>
      <c r="I136" s="75">
        <v>303.18181818181819</v>
      </c>
      <c r="J136" s="75">
        <v>300</v>
      </c>
      <c r="K136" s="75">
        <v>321.36363636363637</v>
      </c>
      <c r="N136" s="455" t="s">
        <v>152</v>
      </c>
      <c r="O136" s="463"/>
      <c r="P136" s="457" t="s">
        <v>153</v>
      </c>
      <c r="Q136" s="458"/>
      <c r="R136" s="456"/>
      <c r="S136" s="457" t="s">
        <v>290</v>
      </c>
      <c r="T136" s="458"/>
      <c r="U136" s="458"/>
      <c r="V136" s="458"/>
      <c r="W136" s="459"/>
      <c r="X136" s="455" t="s">
        <v>152</v>
      </c>
      <c r="Y136" s="463"/>
      <c r="Z136" s="457" t="s">
        <v>153</v>
      </c>
      <c r="AA136" s="458"/>
      <c r="AB136" s="456"/>
      <c r="AC136" s="457" t="s">
        <v>290</v>
      </c>
      <c r="AD136" s="458"/>
      <c r="AE136" s="458"/>
      <c r="AF136" s="458"/>
      <c r="AG136" s="459"/>
      <c r="AH136" s="455" t="s">
        <v>152</v>
      </c>
      <c r="AI136" s="463"/>
      <c r="AJ136" s="457" t="s">
        <v>153</v>
      </c>
      <c r="AK136" s="458"/>
      <c r="AL136" s="456"/>
      <c r="AM136" s="457" t="s">
        <v>290</v>
      </c>
      <c r="AN136" s="458"/>
      <c r="AO136" s="458"/>
      <c r="AP136" s="458"/>
      <c r="AQ136" s="458"/>
      <c r="AR136" s="455" t="s">
        <v>152</v>
      </c>
      <c r="AS136" s="463"/>
      <c r="AT136" s="457" t="s">
        <v>153</v>
      </c>
      <c r="AU136" s="458"/>
      <c r="AV136" s="456"/>
      <c r="AW136" s="457" t="s">
        <v>290</v>
      </c>
      <c r="AX136" s="458"/>
      <c r="AY136" s="458"/>
      <c r="AZ136" s="458"/>
      <c r="BA136" s="458"/>
      <c r="BB136" s="455" t="s">
        <v>152</v>
      </c>
      <c r="BC136" s="463"/>
      <c r="BD136" s="457" t="s">
        <v>153</v>
      </c>
      <c r="BE136" s="458"/>
      <c r="BF136" s="456"/>
      <c r="BG136" s="457" t="s">
        <v>290</v>
      </c>
      <c r="BH136" s="458"/>
      <c r="BI136" s="458"/>
      <c r="BJ136" s="458"/>
      <c r="BK136" s="458"/>
      <c r="BL136" s="455" t="s">
        <v>152</v>
      </c>
      <c r="BM136" s="463"/>
      <c r="BN136" s="457" t="s">
        <v>153</v>
      </c>
      <c r="BO136" s="458"/>
      <c r="BP136" s="456"/>
      <c r="BQ136" s="457" t="s">
        <v>290</v>
      </c>
      <c r="BR136" s="458"/>
      <c r="BS136" s="458"/>
      <c r="BT136" s="458"/>
      <c r="BU136" s="458"/>
      <c r="BV136" s="455" t="s">
        <v>152</v>
      </c>
      <c r="BW136" s="463"/>
      <c r="BX136" s="457" t="s">
        <v>153</v>
      </c>
      <c r="BY136" s="458"/>
      <c r="BZ136" s="456"/>
      <c r="CA136" s="457" t="s">
        <v>290</v>
      </c>
      <c r="CB136" s="458"/>
      <c r="CC136" s="458"/>
      <c r="CD136" s="458"/>
      <c r="CE136" s="458"/>
      <c r="CF136" s="455" t="s">
        <v>152</v>
      </c>
      <c r="CG136" s="463"/>
      <c r="CH136" s="457" t="s">
        <v>153</v>
      </c>
      <c r="CI136" s="458"/>
      <c r="CJ136" s="456"/>
      <c r="CK136" s="457" t="s">
        <v>290</v>
      </c>
      <c r="CL136" s="458"/>
      <c r="CM136" s="458"/>
      <c r="CN136" s="458"/>
      <c r="CO136" s="458"/>
      <c r="CP136" s="455" t="s">
        <v>152</v>
      </c>
      <c r="CQ136" s="463"/>
      <c r="CR136" s="457" t="s">
        <v>153</v>
      </c>
      <c r="CS136" s="458"/>
      <c r="CT136" s="456"/>
      <c r="CU136" s="457" t="s">
        <v>290</v>
      </c>
      <c r="CV136" s="458"/>
      <c r="CW136" s="458"/>
      <c r="CX136" s="458"/>
      <c r="CY136" s="458"/>
      <c r="CZ136" s="455" t="s">
        <v>152</v>
      </c>
      <c r="DA136" s="463"/>
      <c r="DB136" s="457" t="s">
        <v>153</v>
      </c>
      <c r="DC136" s="458"/>
      <c r="DD136" s="456"/>
      <c r="DE136" s="457" t="s">
        <v>290</v>
      </c>
      <c r="DF136" s="458"/>
      <c r="DG136" s="458"/>
      <c r="DH136" s="458"/>
      <c r="DI136" s="459"/>
      <c r="DJ136" s="455" t="s">
        <v>152</v>
      </c>
      <c r="DK136" s="463"/>
      <c r="DL136" s="457" t="s">
        <v>153</v>
      </c>
      <c r="DM136" s="458"/>
      <c r="DN136" s="456"/>
      <c r="DO136" s="457" t="s">
        <v>290</v>
      </c>
      <c r="DP136" s="458"/>
      <c r="DQ136" s="458"/>
      <c r="DR136" s="458"/>
      <c r="DS136" s="459"/>
      <c r="DT136" s="455" t="s">
        <v>152</v>
      </c>
      <c r="DU136" s="463"/>
      <c r="DV136" s="457" t="s">
        <v>153</v>
      </c>
      <c r="DW136" s="458"/>
      <c r="DX136" s="456"/>
      <c r="DY136" s="457" t="s">
        <v>290</v>
      </c>
      <c r="DZ136" s="458"/>
      <c r="EA136" s="458"/>
      <c r="EB136" s="458"/>
      <c r="EC136" s="459"/>
    </row>
    <row r="137" spans="1:133" x14ac:dyDescent="0.25">
      <c r="A137" s="95">
        <v>43770</v>
      </c>
      <c r="C137" s="75">
        <v>591.66666666666663</v>
      </c>
      <c r="D137" s="75">
        <v>263.06818181818181</v>
      </c>
      <c r="E137" s="75">
        <v>276.25</v>
      </c>
      <c r="F137" s="75">
        <v>240.3125</v>
      </c>
      <c r="G137" s="75">
        <v>493.75</v>
      </c>
      <c r="H137" s="75">
        <v>439.01515151515156</v>
      </c>
      <c r="I137" s="75">
        <v>303.97727272727275</v>
      </c>
      <c r="J137" s="75">
        <v>295</v>
      </c>
      <c r="K137" s="75">
        <v>315.90909090909093</v>
      </c>
      <c r="N137" s="464" t="s">
        <v>291</v>
      </c>
      <c r="O137" s="465"/>
      <c r="P137" s="449" t="s">
        <v>291</v>
      </c>
      <c r="Q137" s="461"/>
      <c r="R137" s="450"/>
      <c r="S137" s="449" t="s">
        <v>291</v>
      </c>
      <c r="T137" s="461"/>
      <c r="U137" s="461"/>
      <c r="V137" s="461"/>
      <c r="W137" s="462"/>
      <c r="X137" s="464" t="s">
        <v>291</v>
      </c>
      <c r="Y137" s="465"/>
      <c r="Z137" s="449" t="s">
        <v>291</v>
      </c>
      <c r="AA137" s="461"/>
      <c r="AB137" s="450"/>
      <c r="AC137" s="449" t="s">
        <v>291</v>
      </c>
      <c r="AD137" s="461"/>
      <c r="AE137" s="461"/>
      <c r="AF137" s="461"/>
      <c r="AG137" s="462"/>
      <c r="AH137" s="464" t="s">
        <v>291</v>
      </c>
      <c r="AI137" s="465"/>
      <c r="AJ137" s="449" t="s">
        <v>291</v>
      </c>
      <c r="AK137" s="461"/>
      <c r="AL137" s="450"/>
      <c r="AM137" s="449" t="s">
        <v>291</v>
      </c>
      <c r="AN137" s="461"/>
      <c r="AO137" s="461"/>
      <c r="AP137" s="461"/>
      <c r="AQ137" s="461"/>
      <c r="AR137" s="464" t="s">
        <v>291</v>
      </c>
      <c r="AS137" s="465"/>
      <c r="AT137" s="449" t="s">
        <v>291</v>
      </c>
      <c r="AU137" s="461"/>
      <c r="AV137" s="450"/>
      <c r="AW137" s="449" t="s">
        <v>291</v>
      </c>
      <c r="AX137" s="461"/>
      <c r="AY137" s="461"/>
      <c r="AZ137" s="461"/>
      <c r="BA137" s="461"/>
      <c r="BB137" s="464" t="s">
        <v>291</v>
      </c>
      <c r="BC137" s="465"/>
      <c r="BD137" s="449" t="s">
        <v>291</v>
      </c>
      <c r="BE137" s="461"/>
      <c r="BF137" s="450"/>
      <c r="BG137" s="449" t="s">
        <v>291</v>
      </c>
      <c r="BH137" s="461"/>
      <c r="BI137" s="461"/>
      <c r="BJ137" s="461"/>
      <c r="BK137" s="461"/>
      <c r="BL137" s="464" t="s">
        <v>291</v>
      </c>
      <c r="BM137" s="465"/>
      <c r="BN137" s="449" t="s">
        <v>291</v>
      </c>
      <c r="BO137" s="461"/>
      <c r="BP137" s="450"/>
      <c r="BQ137" s="449" t="s">
        <v>291</v>
      </c>
      <c r="BR137" s="461"/>
      <c r="BS137" s="461"/>
      <c r="BT137" s="461"/>
      <c r="BU137" s="461"/>
      <c r="BV137" s="464" t="s">
        <v>291</v>
      </c>
      <c r="BW137" s="465"/>
      <c r="BX137" s="449" t="s">
        <v>291</v>
      </c>
      <c r="BY137" s="461"/>
      <c r="BZ137" s="450"/>
      <c r="CA137" s="449" t="s">
        <v>291</v>
      </c>
      <c r="CB137" s="461"/>
      <c r="CC137" s="461"/>
      <c r="CD137" s="461"/>
      <c r="CE137" s="461"/>
      <c r="CF137" s="464" t="s">
        <v>291</v>
      </c>
      <c r="CG137" s="465"/>
      <c r="CH137" s="449" t="s">
        <v>291</v>
      </c>
      <c r="CI137" s="461"/>
      <c r="CJ137" s="450"/>
      <c r="CK137" s="449" t="s">
        <v>291</v>
      </c>
      <c r="CL137" s="461"/>
      <c r="CM137" s="461"/>
      <c r="CN137" s="461"/>
      <c r="CO137" s="461"/>
      <c r="CP137" s="464" t="s">
        <v>291</v>
      </c>
      <c r="CQ137" s="465"/>
      <c r="CR137" s="449" t="s">
        <v>291</v>
      </c>
      <c r="CS137" s="461"/>
      <c r="CT137" s="450"/>
      <c r="CU137" s="449" t="s">
        <v>291</v>
      </c>
      <c r="CV137" s="461"/>
      <c r="CW137" s="461"/>
      <c r="CX137" s="461"/>
      <c r="CY137" s="461"/>
      <c r="CZ137" s="464" t="s">
        <v>291</v>
      </c>
      <c r="DA137" s="465"/>
      <c r="DB137" s="449" t="s">
        <v>291</v>
      </c>
      <c r="DC137" s="461"/>
      <c r="DD137" s="450"/>
      <c r="DE137" s="449" t="s">
        <v>291</v>
      </c>
      <c r="DF137" s="461"/>
      <c r="DG137" s="461"/>
      <c r="DH137" s="461"/>
      <c r="DI137" s="462"/>
      <c r="DJ137" s="464" t="s">
        <v>291</v>
      </c>
      <c r="DK137" s="465"/>
      <c r="DL137" s="449" t="s">
        <v>291</v>
      </c>
      <c r="DM137" s="461"/>
      <c r="DN137" s="450"/>
      <c r="DO137" s="449" t="s">
        <v>291</v>
      </c>
      <c r="DP137" s="461"/>
      <c r="DQ137" s="461"/>
      <c r="DR137" s="461"/>
      <c r="DS137" s="462"/>
      <c r="DT137" s="464" t="s">
        <v>291</v>
      </c>
      <c r="DU137" s="465"/>
      <c r="DV137" s="449" t="s">
        <v>291</v>
      </c>
      <c r="DW137" s="461"/>
      <c r="DX137" s="450"/>
      <c r="DY137" s="449" t="s">
        <v>291</v>
      </c>
      <c r="DZ137" s="461"/>
      <c r="EA137" s="461"/>
      <c r="EB137" s="461"/>
      <c r="EC137" s="462"/>
    </row>
    <row r="138" spans="1:133" x14ac:dyDescent="0.25">
      <c r="A138" s="95">
        <v>43800</v>
      </c>
      <c r="C138" s="75">
        <v>435.22727272727275</v>
      </c>
      <c r="D138" s="75">
        <v>264.20454545454544</v>
      </c>
      <c r="E138" s="75">
        <v>273.125</v>
      </c>
      <c r="F138" s="75">
        <v>235.15625</v>
      </c>
      <c r="G138" s="75">
        <v>491.66666666666669</v>
      </c>
      <c r="H138" s="75">
        <v>436.36363636363637</v>
      </c>
      <c r="I138" s="75">
        <v>310.22727272727275</v>
      </c>
      <c r="J138" s="75">
        <v>299.375</v>
      </c>
      <c r="K138" s="75">
        <v>316.25</v>
      </c>
      <c r="N138" s="430" t="s">
        <v>163</v>
      </c>
      <c r="O138" s="422" t="s">
        <v>155</v>
      </c>
      <c r="P138" s="422" t="s">
        <v>293</v>
      </c>
      <c r="Q138" s="422" t="s">
        <v>294</v>
      </c>
      <c r="R138" s="422" t="s">
        <v>295</v>
      </c>
      <c r="S138" s="424" t="s">
        <v>296</v>
      </c>
      <c r="T138" s="425"/>
      <c r="U138" s="426" t="s">
        <v>297</v>
      </c>
      <c r="V138" s="426" t="s">
        <v>162</v>
      </c>
      <c r="W138" s="428" t="s">
        <v>163</v>
      </c>
      <c r="X138" s="430" t="s">
        <v>163</v>
      </c>
      <c r="Y138" s="422" t="s">
        <v>155</v>
      </c>
      <c r="Z138" s="422" t="s">
        <v>293</v>
      </c>
      <c r="AA138" s="422" t="s">
        <v>294</v>
      </c>
      <c r="AB138" s="422" t="s">
        <v>295</v>
      </c>
      <c r="AC138" s="424" t="s">
        <v>296</v>
      </c>
      <c r="AD138" s="425"/>
      <c r="AE138" s="426" t="s">
        <v>297</v>
      </c>
      <c r="AF138" s="426" t="s">
        <v>162</v>
      </c>
      <c r="AG138" s="428" t="s">
        <v>163</v>
      </c>
      <c r="AH138" s="430" t="s">
        <v>163</v>
      </c>
      <c r="AI138" s="422" t="s">
        <v>155</v>
      </c>
      <c r="AJ138" s="422" t="s">
        <v>293</v>
      </c>
      <c r="AK138" s="422" t="s">
        <v>294</v>
      </c>
      <c r="AL138" s="422" t="s">
        <v>295</v>
      </c>
      <c r="AM138" s="424" t="s">
        <v>296</v>
      </c>
      <c r="AN138" s="425"/>
      <c r="AO138" s="426" t="s">
        <v>297</v>
      </c>
      <c r="AP138" s="426" t="s">
        <v>162</v>
      </c>
      <c r="AQ138" s="428" t="s">
        <v>163</v>
      </c>
      <c r="AR138" s="430" t="s">
        <v>163</v>
      </c>
      <c r="AS138" s="422" t="s">
        <v>155</v>
      </c>
      <c r="AT138" s="422" t="s">
        <v>293</v>
      </c>
      <c r="AU138" s="422" t="s">
        <v>294</v>
      </c>
      <c r="AV138" s="422" t="s">
        <v>295</v>
      </c>
      <c r="AW138" s="424" t="s">
        <v>296</v>
      </c>
      <c r="AX138" s="425"/>
      <c r="AY138" s="426" t="s">
        <v>297</v>
      </c>
      <c r="AZ138" s="426" t="s">
        <v>162</v>
      </c>
      <c r="BA138" s="428" t="s">
        <v>163</v>
      </c>
      <c r="BB138" s="430" t="s">
        <v>163</v>
      </c>
      <c r="BC138" s="422" t="s">
        <v>155</v>
      </c>
      <c r="BD138" s="422" t="s">
        <v>293</v>
      </c>
      <c r="BE138" s="422" t="s">
        <v>294</v>
      </c>
      <c r="BF138" s="422" t="s">
        <v>295</v>
      </c>
      <c r="BG138" s="424" t="s">
        <v>296</v>
      </c>
      <c r="BH138" s="425"/>
      <c r="BI138" s="426" t="s">
        <v>297</v>
      </c>
      <c r="BJ138" s="426" t="s">
        <v>162</v>
      </c>
      <c r="BK138" s="428" t="s">
        <v>163</v>
      </c>
      <c r="BL138" s="430" t="s">
        <v>163</v>
      </c>
      <c r="BM138" s="422" t="s">
        <v>155</v>
      </c>
      <c r="BN138" s="422" t="s">
        <v>293</v>
      </c>
      <c r="BO138" s="422" t="s">
        <v>294</v>
      </c>
      <c r="BP138" s="422" t="s">
        <v>295</v>
      </c>
      <c r="BQ138" s="424" t="s">
        <v>296</v>
      </c>
      <c r="BR138" s="425"/>
      <c r="BS138" s="426" t="s">
        <v>297</v>
      </c>
      <c r="BT138" s="426" t="s">
        <v>162</v>
      </c>
      <c r="BU138" s="428" t="s">
        <v>163</v>
      </c>
      <c r="BV138" s="430" t="s">
        <v>163</v>
      </c>
      <c r="BW138" s="422" t="s">
        <v>155</v>
      </c>
      <c r="BX138" s="422" t="s">
        <v>293</v>
      </c>
      <c r="BY138" s="422" t="s">
        <v>294</v>
      </c>
      <c r="BZ138" s="422" t="s">
        <v>295</v>
      </c>
      <c r="CA138" s="424" t="s">
        <v>296</v>
      </c>
      <c r="CB138" s="425"/>
      <c r="CC138" s="426" t="s">
        <v>297</v>
      </c>
      <c r="CD138" s="426" t="s">
        <v>162</v>
      </c>
      <c r="CE138" s="428" t="s">
        <v>163</v>
      </c>
      <c r="CF138" s="430" t="s">
        <v>163</v>
      </c>
      <c r="CG138" s="422" t="s">
        <v>155</v>
      </c>
      <c r="CH138" s="422" t="s">
        <v>293</v>
      </c>
      <c r="CI138" s="422" t="s">
        <v>294</v>
      </c>
      <c r="CJ138" s="422" t="s">
        <v>295</v>
      </c>
      <c r="CK138" s="424" t="s">
        <v>296</v>
      </c>
      <c r="CL138" s="425"/>
      <c r="CM138" s="426" t="s">
        <v>297</v>
      </c>
      <c r="CN138" s="426" t="s">
        <v>162</v>
      </c>
      <c r="CO138" s="428" t="s">
        <v>163</v>
      </c>
      <c r="CP138" s="430" t="s">
        <v>163</v>
      </c>
      <c r="CQ138" s="422" t="s">
        <v>155</v>
      </c>
      <c r="CR138" s="422" t="s">
        <v>293</v>
      </c>
      <c r="CS138" s="422" t="s">
        <v>294</v>
      </c>
      <c r="CT138" s="422" t="s">
        <v>295</v>
      </c>
      <c r="CU138" s="424" t="s">
        <v>296</v>
      </c>
      <c r="CV138" s="425"/>
      <c r="CW138" s="426" t="s">
        <v>297</v>
      </c>
      <c r="CX138" s="426" t="s">
        <v>162</v>
      </c>
      <c r="CY138" s="428" t="s">
        <v>163</v>
      </c>
      <c r="CZ138" s="430" t="s">
        <v>163</v>
      </c>
      <c r="DA138" s="422" t="s">
        <v>155</v>
      </c>
      <c r="DB138" s="422" t="s">
        <v>293</v>
      </c>
      <c r="DC138" s="422" t="s">
        <v>294</v>
      </c>
      <c r="DD138" s="422" t="s">
        <v>295</v>
      </c>
      <c r="DE138" s="424" t="s">
        <v>296</v>
      </c>
      <c r="DF138" s="425"/>
      <c r="DG138" s="426" t="s">
        <v>297</v>
      </c>
      <c r="DH138" s="426" t="s">
        <v>162</v>
      </c>
      <c r="DI138" s="428" t="s">
        <v>163</v>
      </c>
      <c r="DJ138" s="430" t="s">
        <v>163</v>
      </c>
      <c r="DK138" s="422" t="s">
        <v>155</v>
      </c>
      <c r="DL138" s="422" t="s">
        <v>293</v>
      </c>
      <c r="DM138" s="422" t="s">
        <v>294</v>
      </c>
      <c r="DN138" s="422" t="s">
        <v>295</v>
      </c>
      <c r="DO138" s="424" t="s">
        <v>296</v>
      </c>
      <c r="DP138" s="425"/>
      <c r="DQ138" s="426" t="s">
        <v>297</v>
      </c>
      <c r="DR138" s="426" t="s">
        <v>162</v>
      </c>
      <c r="DS138" s="428" t="s">
        <v>163</v>
      </c>
      <c r="DT138" s="430" t="s">
        <v>163</v>
      </c>
      <c r="DU138" s="422" t="s">
        <v>155</v>
      </c>
      <c r="DV138" s="422" t="s">
        <v>293</v>
      </c>
      <c r="DW138" s="422" t="s">
        <v>294</v>
      </c>
      <c r="DX138" s="422" t="s">
        <v>295</v>
      </c>
      <c r="DY138" s="424" t="s">
        <v>296</v>
      </c>
      <c r="DZ138" s="425"/>
      <c r="EA138" s="426" t="s">
        <v>297</v>
      </c>
      <c r="EB138" s="426" t="s">
        <v>162</v>
      </c>
      <c r="EC138" s="428" t="s">
        <v>163</v>
      </c>
    </row>
    <row r="139" spans="1:133" x14ac:dyDescent="0.25">
      <c r="A139" s="95">
        <v>43831</v>
      </c>
      <c r="B139">
        <v>350</v>
      </c>
      <c r="C139" s="75">
        <v>428.33333333333331</v>
      </c>
      <c r="D139" s="75">
        <v>265.36363636363637</v>
      </c>
      <c r="E139" s="75">
        <v>272.5</v>
      </c>
      <c r="F139" s="75">
        <v>235.55555555555554</v>
      </c>
      <c r="G139" s="75">
        <v>491.66666666666669</v>
      </c>
      <c r="H139" s="75">
        <v>442.27272727272725</v>
      </c>
      <c r="I139" s="75">
        <v>313.63636363636363</v>
      </c>
      <c r="J139" s="75">
        <v>308.5</v>
      </c>
      <c r="K139" s="75">
        <v>316.5</v>
      </c>
      <c r="N139" s="431"/>
      <c r="O139" s="423"/>
      <c r="P139" s="423"/>
      <c r="Q139" s="423"/>
      <c r="R139" s="423"/>
      <c r="S139" s="146" t="s">
        <v>159</v>
      </c>
      <c r="T139" s="146" t="s">
        <v>160</v>
      </c>
      <c r="U139" s="427"/>
      <c r="V139" s="427"/>
      <c r="W139" s="429"/>
      <c r="X139" s="431"/>
      <c r="Y139" s="423"/>
      <c r="Z139" s="423"/>
      <c r="AA139" s="423"/>
      <c r="AB139" s="423"/>
      <c r="AC139" s="146" t="s">
        <v>159</v>
      </c>
      <c r="AD139" s="146" t="s">
        <v>160</v>
      </c>
      <c r="AE139" s="427"/>
      <c r="AF139" s="427"/>
      <c r="AG139" s="429"/>
      <c r="AH139" s="431"/>
      <c r="AI139" s="423"/>
      <c r="AJ139" s="423"/>
      <c r="AK139" s="423"/>
      <c r="AL139" s="423"/>
      <c r="AM139" s="146" t="s">
        <v>159</v>
      </c>
      <c r="AN139" s="146" t="s">
        <v>160</v>
      </c>
      <c r="AO139" s="427"/>
      <c r="AP139" s="427"/>
      <c r="AQ139" s="429"/>
      <c r="AR139" s="431"/>
      <c r="AS139" s="423"/>
      <c r="AT139" s="423"/>
      <c r="AU139" s="423"/>
      <c r="AV139" s="423"/>
      <c r="AW139" s="146" t="s">
        <v>159</v>
      </c>
      <c r="AX139" s="146" t="s">
        <v>160</v>
      </c>
      <c r="AY139" s="427"/>
      <c r="AZ139" s="427"/>
      <c r="BA139" s="429"/>
      <c r="BB139" s="431"/>
      <c r="BC139" s="423"/>
      <c r="BD139" s="423"/>
      <c r="BE139" s="423"/>
      <c r="BF139" s="423"/>
      <c r="BG139" s="146" t="s">
        <v>159</v>
      </c>
      <c r="BH139" s="146" t="s">
        <v>160</v>
      </c>
      <c r="BI139" s="427"/>
      <c r="BJ139" s="427"/>
      <c r="BK139" s="429"/>
      <c r="BL139" s="431"/>
      <c r="BM139" s="423"/>
      <c r="BN139" s="423"/>
      <c r="BO139" s="423"/>
      <c r="BP139" s="423"/>
      <c r="BQ139" s="146" t="s">
        <v>159</v>
      </c>
      <c r="BR139" s="146" t="s">
        <v>160</v>
      </c>
      <c r="BS139" s="427"/>
      <c r="BT139" s="427"/>
      <c r="BU139" s="429"/>
      <c r="BV139" s="431"/>
      <c r="BW139" s="423"/>
      <c r="BX139" s="423"/>
      <c r="BY139" s="423"/>
      <c r="BZ139" s="423"/>
      <c r="CA139" s="146" t="s">
        <v>159</v>
      </c>
      <c r="CB139" s="146" t="s">
        <v>160</v>
      </c>
      <c r="CC139" s="427"/>
      <c r="CD139" s="427"/>
      <c r="CE139" s="429"/>
      <c r="CF139" s="431"/>
      <c r="CG139" s="423"/>
      <c r="CH139" s="423"/>
      <c r="CI139" s="423"/>
      <c r="CJ139" s="423"/>
      <c r="CK139" s="146" t="s">
        <v>159</v>
      </c>
      <c r="CL139" s="146" t="s">
        <v>160</v>
      </c>
      <c r="CM139" s="427"/>
      <c r="CN139" s="427"/>
      <c r="CO139" s="429"/>
      <c r="CP139" s="431"/>
      <c r="CQ139" s="423"/>
      <c r="CR139" s="423"/>
      <c r="CS139" s="423"/>
      <c r="CT139" s="423"/>
      <c r="CU139" s="146" t="s">
        <v>159</v>
      </c>
      <c r="CV139" s="146" t="s">
        <v>160</v>
      </c>
      <c r="CW139" s="427"/>
      <c r="CX139" s="427"/>
      <c r="CY139" s="429"/>
      <c r="CZ139" s="431"/>
      <c r="DA139" s="423"/>
      <c r="DB139" s="423"/>
      <c r="DC139" s="423"/>
      <c r="DD139" s="423"/>
      <c r="DE139" s="146" t="s">
        <v>159</v>
      </c>
      <c r="DF139" s="146" t="s">
        <v>160</v>
      </c>
      <c r="DG139" s="427"/>
      <c r="DH139" s="427"/>
      <c r="DI139" s="429"/>
      <c r="DJ139" s="431"/>
      <c r="DK139" s="423"/>
      <c r="DL139" s="423"/>
      <c r="DM139" s="423"/>
      <c r="DN139" s="423"/>
      <c r="DO139" s="146" t="s">
        <v>159</v>
      </c>
      <c r="DP139" s="146" t="s">
        <v>160</v>
      </c>
      <c r="DQ139" s="427"/>
      <c r="DR139" s="427"/>
      <c r="DS139" s="429"/>
      <c r="DT139" s="431"/>
      <c r="DU139" s="423"/>
      <c r="DV139" s="423"/>
      <c r="DW139" s="423"/>
      <c r="DX139" s="423"/>
      <c r="DY139" s="146" t="s">
        <v>159</v>
      </c>
      <c r="DZ139" s="146" t="s">
        <v>160</v>
      </c>
      <c r="EA139" s="427"/>
      <c r="EB139" s="427"/>
      <c r="EC139" s="429"/>
    </row>
    <row r="140" spans="1:133" x14ac:dyDescent="0.25">
      <c r="A140" s="95">
        <v>43862</v>
      </c>
      <c r="B140" s="75">
        <v>372.72727272727275</v>
      </c>
      <c r="C140" s="75">
        <v>446.59090909090907</v>
      </c>
      <c r="D140" s="75">
        <v>268.75</v>
      </c>
      <c r="E140" s="75">
        <v>275.625</v>
      </c>
      <c r="F140" s="75">
        <v>236.89814814814812</v>
      </c>
      <c r="G140" s="75">
        <v>514.58333333333337</v>
      </c>
      <c r="H140" s="75">
        <v>446.59090909090907</v>
      </c>
      <c r="I140" s="75">
        <v>323.29545454545456</v>
      </c>
      <c r="J140" s="75">
        <v>316.96428571428572</v>
      </c>
      <c r="K140" s="75">
        <v>322.625</v>
      </c>
      <c r="N140" s="102"/>
      <c r="O140" s="104">
        <v>400</v>
      </c>
      <c r="P140" s="104">
        <v>250</v>
      </c>
      <c r="Q140" s="104">
        <v>250</v>
      </c>
      <c r="R140" s="104">
        <v>250</v>
      </c>
      <c r="S140" s="104">
        <v>450</v>
      </c>
      <c r="T140" s="104">
        <v>333.33333333333331</v>
      </c>
      <c r="U140" s="104">
        <v>265</v>
      </c>
      <c r="V140" s="104">
        <v>260</v>
      </c>
      <c r="W140" s="152">
        <v>275</v>
      </c>
      <c r="X140" s="102">
        <v>350</v>
      </c>
      <c r="Y140" s="104">
        <v>390</v>
      </c>
      <c r="Z140" s="104">
        <v>250</v>
      </c>
      <c r="AA140" s="104">
        <v>250</v>
      </c>
      <c r="AB140" s="104">
        <v>250</v>
      </c>
      <c r="AC140" s="104">
        <v>440</v>
      </c>
      <c r="AD140" s="104">
        <v>320</v>
      </c>
      <c r="AE140" s="104">
        <v>275</v>
      </c>
      <c r="AF140" s="104">
        <v>263</v>
      </c>
      <c r="AG140" s="152">
        <v>225.4</v>
      </c>
      <c r="AH140" s="102">
        <v>350</v>
      </c>
      <c r="AI140" s="104">
        <v>500</v>
      </c>
      <c r="AJ140" s="104">
        <v>250</v>
      </c>
      <c r="AK140" s="104">
        <v>262.5</v>
      </c>
      <c r="AL140" s="104">
        <v>250</v>
      </c>
      <c r="AM140" s="104">
        <v>450</v>
      </c>
      <c r="AN140" s="104">
        <v>350</v>
      </c>
      <c r="AO140" s="104">
        <v>275</v>
      </c>
      <c r="AP140" s="104">
        <v>260</v>
      </c>
      <c r="AQ140" s="156">
        <v>275</v>
      </c>
      <c r="AR140" s="102">
        <v>237.5</v>
      </c>
      <c r="AS140" s="104">
        <v>400</v>
      </c>
      <c r="AT140" s="104">
        <v>250</v>
      </c>
      <c r="AU140" s="104">
        <v>250</v>
      </c>
      <c r="AV140" s="104">
        <v>250</v>
      </c>
      <c r="AW140" s="104">
        <v>450</v>
      </c>
      <c r="AX140" s="104">
        <v>350</v>
      </c>
      <c r="AY140" s="104">
        <v>275</v>
      </c>
      <c r="AZ140" s="104">
        <v>267.5</v>
      </c>
      <c r="BA140" s="156">
        <v>275</v>
      </c>
      <c r="BB140" s="102">
        <v>212.5</v>
      </c>
      <c r="BC140" s="104"/>
      <c r="BD140" s="104">
        <v>250</v>
      </c>
      <c r="BE140" s="104">
        <v>250</v>
      </c>
      <c r="BF140" s="104">
        <v>250</v>
      </c>
      <c r="BG140" s="104">
        <v>450</v>
      </c>
      <c r="BH140" s="104">
        <v>350</v>
      </c>
      <c r="BI140" s="104">
        <v>275</v>
      </c>
      <c r="BJ140" s="104">
        <v>267.5</v>
      </c>
      <c r="BK140" s="156">
        <v>275</v>
      </c>
      <c r="BL140" s="102">
        <v>237.5</v>
      </c>
      <c r="BM140" s="104"/>
      <c r="BN140" s="104">
        <v>250</v>
      </c>
      <c r="BO140" s="104">
        <v>250</v>
      </c>
      <c r="BP140" s="104">
        <v>250</v>
      </c>
      <c r="BQ140" s="104">
        <v>450</v>
      </c>
      <c r="BR140" s="104">
        <v>350</v>
      </c>
      <c r="BS140" s="104">
        <v>275</v>
      </c>
      <c r="BT140" s="104">
        <v>267.5</v>
      </c>
      <c r="BU140" s="156">
        <v>281.25</v>
      </c>
      <c r="BV140" s="102">
        <v>300</v>
      </c>
      <c r="BW140" s="104"/>
      <c r="BX140" s="104">
        <v>237.5</v>
      </c>
      <c r="BY140" s="104">
        <v>250</v>
      </c>
      <c r="BZ140" s="104">
        <v>250</v>
      </c>
      <c r="CA140" s="104">
        <v>450</v>
      </c>
      <c r="CB140" s="104">
        <v>350</v>
      </c>
      <c r="CC140" s="104">
        <v>275</v>
      </c>
      <c r="CD140" s="104">
        <v>275</v>
      </c>
      <c r="CE140" s="156">
        <v>281.25</v>
      </c>
      <c r="CF140" s="102">
        <v>337.5</v>
      </c>
      <c r="CG140" s="104"/>
      <c r="CH140" s="104">
        <v>250</v>
      </c>
      <c r="CI140" s="104">
        <v>250</v>
      </c>
      <c r="CJ140" s="104">
        <v>250</v>
      </c>
      <c r="CK140" s="104">
        <v>450</v>
      </c>
      <c r="CL140" s="104">
        <v>350</v>
      </c>
      <c r="CM140" s="104">
        <v>275</v>
      </c>
      <c r="CN140" s="104">
        <v>275</v>
      </c>
      <c r="CO140" s="156">
        <v>300</v>
      </c>
      <c r="CP140" s="102">
        <v>450</v>
      </c>
      <c r="CQ140" s="104">
        <v>425</v>
      </c>
      <c r="CR140" s="104">
        <v>250</v>
      </c>
      <c r="CS140" s="104">
        <v>262.5</v>
      </c>
      <c r="CT140" s="104">
        <v>250</v>
      </c>
      <c r="CU140" s="104">
        <v>450</v>
      </c>
      <c r="CV140" s="104">
        <v>362.5</v>
      </c>
      <c r="CW140" s="104">
        <v>293.75</v>
      </c>
      <c r="CX140" s="104">
        <v>275</v>
      </c>
      <c r="CY140" s="156">
        <v>300</v>
      </c>
      <c r="CZ140" s="102"/>
      <c r="DA140" s="104">
        <v>375</v>
      </c>
      <c r="DB140" s="104">
        <v>250</v>
      </c>
      <c r="DC140" s="104">
        <v>268.75</v>
      </c>
      <c r="DD140" s="104">
        <v>250</v>
      </c>
      <c r="DE140" s="104">
        <v>450</v>
      </c>
      <c r="DF140" s="104">
        <v>400</v>
      </c>
      <c r="DG140" s="104">
        <v>281.25</v>
      </c>
      <c r="DH140" s="104">
        <v>275</v>
      </c>
      <c r="DI140" s="152">
        <v>300</v>
      </c>
      <c r="DJ140" s="102"/>
      <c r="DK140" s="104">
        <v>362.5</v>
      </c>
      <c r="DL140" s="104">
        <v>250</v>
      </c>
      <c r="DM140" s="104">
        <v>275</v>
      </c>
      <c r="DN140" s="104">
        <v>250</v>
      </c>
      <c r="DO140" s="104">
        <v>450</v>
      </c>
      <c r="DP140" s="104">
        <v>400</v>
      </c>
      <c r="DQ140" s="104">
        <v>275</v>
      </c>
      <c r="DR140" s="104">
        <v>275</v>
      </c>
      <c r="DS140" s="152">
        <v>300</v>
      </c>
      <c r="DT140" s="102"/>
      <c r="DU140" s="104">
        <v>400</v>
      </c>
      <c r="DV140" s="104">
        <v>250</v>
      </c>
      <c r="DW140" s="104">
        <v>256.25</v>
      </c>
      <c r="DX140" s="104">
        <v>250</v>
      </c>
      <c r="DY140" s="104">
        <v>412.5</v>
      </c>
      <c r="DZ140" s="104">
        <v>400</v>
      </c>
      <c r="EA140" s="104">
        <v>275</v>
      </c>
      <c r="EB140" s="104">
        <v>275</v>
      </c>
      <c r="EC140" s="152">
        <v>300</v>
      </c>
    </row>
    <row r="141" spans="1:133" x14ac:dyDescent="0.25">
      <c r="A141" s="95">
        <v>43891</v>
      </c>
      <c r="B141" s="75">
        <v>332.00757575757575</v>
      </c>
      <c r="C141" s="75">
        <v>419.79166666666663</v>
      </c>
      <c r="D141" s="75">
        <v>268.18181818181819</v>
      </c>
      <c r="E141" s="75">
        <v>278.75</v>
      </c>
      <c r="F141" s="75">
        <v>236.20370370370367</v>
      </c>
      <c r="G141" s="75">
        <v>525</v>
      </c>
      <c r="H141" s="75">
        <v>453.40909090909093</v>
      </c>
      <c r="I141" s="75">
        <v>327.27272727272725</v>
      </c>
      <c r="J141" s="75">
        <v>321.875</v>
      </c>
      <c r="K141" s="75">
        <v>321.66666666666669</v>
      </c>
      <c r="N141" s="102"/>
      <c r="O141" s="104">
        <v>400</v>
      </c>
      <c r="P141" s="104">
        <v>250</v>
      </c>
      <c r="Q141" s="104">
        <v>250</v>
      </c>
      <c r="R141" s="104">
        <v>250</v>
      </c>
      <c r="S141" s="104">
        <v>400</v>
      </c>
      <c r="T141" s="104">
        <v>300</v>
      </c>
      <c r="U141" s="104">
        <v>260</v>
      </c>
      <c r="V141" s="104">
        <v>260</v>
      </c>
      <c r="W141" s="152">
        <v>253.33333333333334</v>
      </c>
      <c r="X141" s="102">
        <v>350</v>
      </c>
      <c r="Y141" s="104">
        <v>360</v>
      </c>
      <c r="Z141" s="104">
        <v>250</v>
      </c>
      <c r="AA141" s="104">
        <v>250</v>
      </c>
      <c r="AB141" s="104">
        <v>245</v>
      </c>
      <c r="AC141" s="104">
        <v>400</v>
      </c>
      <c r="AD141" s="104">
        <v>310</v>
      </c>
      <c r="AE141" s="104">
        <v>260</v>
      </c>
      <c r="AF141" s="104">
        <v>256</v>
      </c>
      <c r="AG141" s="152">
        <v>255</v>
      </c>
      <c r="AH141" s="102">
        <v>287.5</v>
      </c>
      <c r="AI141" s="104"/>
      <c r="AJ141" s="104">
        <v>250</v>
      </c>
      <c r="AK141" s="104">
        <v>250</v>
      </c>
      <c r="AL141" s="104">
        <v>250</v>
      </c>
      <c r="AM141" s="104">
        <v>400</v>
      </c>
      <c r="AN141" s="104">
        <v>300</v>
      </c>
      <c r="AO141" s="104">
        <v>260</v>
      </c>
      <c r="AP141" s="104">
        <v>260</v>
      </c>
      <c r="AQ141" s="156">
        <v>250</v>
      </c>
      <c r="AR141" s="102">
        <v>206.25</v>
      </c>
      <c r="AS141" s="104"/>
      <c r="AT141" s="104">
        <v>250</v>
      </c>
      <c r="AU141" s="104">
        <v>250</v>
      </c>
      <c r="AV141" s="104">
        <v>250</v>
      </c>
      <c r="AW141" s="104">
        <v>462.5</v>
      </c>
      <c r="AX141" s="104">
        <v>337.5</v>
      </c>
      <c r="AY141" s="104">
        <v>262.5</v>
      </c>
      <c r="AZ141" s="104">
        <v>261.25</v>
      </c>
      <c r="BA141" s="156">
        <v>260</v>
      </c>
      <c r="BB141" s="102">
        <v>161.75</v>
      </c>
      <c r="BC141" s="104"/>
      <c r="BD141" s="104">
        <v>250</v>
      </c>
      <c r="BE141" s="104">
        <v>250</v>
      </c>
      <c r="BF141" s="104">
        <v>250</v>
      </c>
      <c r="BG141" s="104">
        <v>500</v>
      </c>
      <c r="BH141" s="104">
        <v>350</v>
      </c>
      <c r="BI141" s="104">
        <v>265</v>
      </c>
      <c r="BJ141" s="104">
        <v>265</v>
      </c>
      <c r="BK141" s="156">
        <v>263.75</v>
      </c>
      <c r="BL141" s="102">
        <v>205.5</v>
      </c>
      <c r="BM141" s="104"/>
      <c r="BN141" s="104">
        <v>250</v>
      </c>
      <c r="BO141" s="104">
        <v>250</v>
      </c>
      <c r="BP141" s="104">
        <v>250</v>
      </c>
      <c r="BQ141" s="104">
        <v>500</v>
      </c>
      <c r="BR141" s="104">
        <v>350</v>
      </c>
      <c r="BS141" s="104">
        <v>265</v>
      </c>
      <c r="BT141" s="104">
        <v>265</v>
      </c>
      <c r="BU141" s="156">
        <v>265</v>
      </c>
      <c r="BV141" s="102">
        <v>250</v>
      </c>
      <c r="BW141" s="104"/>
      <c r="BX141" s="104">
        <v>250</v>
      </c>
      <c r="BY141" s="104">
        <v>250</v>
      </c>
      <c r="BZ141" s="104">
        <v>250</v>
      </c>
      <c r="CA141" s="104">
        <v>500</v>
      </c>
      <c r="CB141" s="104">
        <v>350</v>
      </c>
      <c r="CC141" s="104">
        <v>265</v>
      </c>
      <c r="CD141" s="104">
        <v>265</v>
      </c>
      <c r="CE141" s="156">
        <v>267.5</v>
      </c>
      <c r="CF141" s="102">
        <v>325</v>
      </c>
      <c r="CG141" s="104"/>
      <c r="CH141" s="104">
        <v>250</v>
      </c>
      <c r="CI141" s="104">
        <v>250</v>
      </c>
      <c r="CJ141" s="104">
        <v>250</v>
      </c>
      <c r="CK141" s="104">
        <v>500</v>
      </c>
      <c r="CL141" s="104">
        <v>362.5</v>
      </c>
      <c r="CM141" s="104">
        <v>265</v>
      </c>
      <c r="CN141" s="104">
        <v>265</v>
      </c>
      <c r="CO141" s="156">
        <v>266.25</v>
      </c>
      <c r="CP141" s="102"/>
      <c r="CQ141" s="104">
        <v>400</v>
      </c>
      <c r="CR141" s="104">
        <v>250</v>
      </c>
      <c r="CS141" s="104">
        <v>250</v>
      </c>
      <c r="CT141" s="104">
        <v>250</v>
      </c>
      <c r="CU141" s="104">
        <v>425</v>
      </c>
      <c r="CV141" s="104">
        <v>350</v>
      </c>
      <c r="CW141" s="104">
        <v>265</v>
      </c>
      <c r="CX141" s="104">
        <v>265</v>
      </c>
      <c r="CY141" s="156">
        <v>265</v>
      </c>
      <c r="CZ141" s="102"/>
      <c r="DA141" s="104">
        <v>350</v>
      </c>
      <c r="DB141" s="104">
        <v>250</v>
      </c>
      <c r="DC141" s="104">
        <v>250</v>
      </c>
      <c r="DD141" s="104">
        <v>250</v>
      </c>
      <c r="DE141" s="104">
        <v>437.5</v>
      </c>
      <c r="DF141" s="104">
        <v>362.5</v>
      </c>
      <c r="DG141" s="104">
        <v>263.75</v>
      </c>
      <c r="DH141" s="104">
        <v>262.5</v>
      </c>
      <c r="DI141" s="152">
        <v>258.75</v>
      </c>
      <c r="DJ141" s="102"/>
      <c r="DK141" s="104">
        <v>325</v>
      </c>
      <c r="DL141" s="104">
        <v>243.75</v>
      </c>
      <c r="DM141" s="104">
        <v>250</v>
      </c>
      <c r="DN141" s="104">
        <v>250</v>
      </c>
      <c r="DO141" s="104">
        <v>400</v>
      </c>
      <c r="DP141" s="104">
        <v>362.5</v>
      </c>
      <c r="DQ141" s="104">
        <v>263.75</v>
      </c>
      <c r="DR141" s="104">
        <v>263.75</v>
      </c>
      <c r="DS141" s="152">
        <v>261.25</v>
      </c>
      <c r="DT141" s="102"/>
      <c r="DU141" s="104">
        <v>387.5</v>
      </c>
      <c r="DV141" s="104">
        <v>243.75</v>
      </c>
      <c r="DW141" s="104">
        <v>250</v>
      </c>
      <c r="DX141" s="104">
        <v>250</v>
      </c>
      <c r="DY141" s="104">
        <v>418.75</v>
      </c>
      <c r="DZ141" s="104">
        <v>350</v>
      </c>
      <c r="EA141" s="104">
        <v>261.25</v>
      </c>
      <c r="EB141" s="104">
        <v>261.25</v>
      </c>
      <c r="EC141" s="152">
        <v>260</v>
      </c>
    </row>
    <row r="142" spans="1:133" x14ac:dyDescent="0.25">
      <c r="A142" s="95">
        <v>43922</v>
      </c>
      <c r="B142" s="75">
        <v>300</v>
      </c>
      <c r="C142" s="75"/>
      <c r="D142" s="75">
        <v>268</v>
      </c>
      <c r="E142" s="75">
        <v>273.33333333333331</v>
      </c>
      <c r="F142" s="75">
        <v>239.28571428571428</v>
      </c>
      <c r="G142" s="75">
        <v>533.33333333333337</v>
      </c>
      <c r="H142" s="75">
        <v>456</v>
      </c>
      <c r="I142" s="75">
        <v>327.5</v>
      </c>
      <c r="J142" s="75">
        <v>320.71428571428572</v>
      </c>
      <c r="K142" s="75">
        <v>324.11111111111109</v>
      </c>
      <c r="N142" s="102"/>
      <c r="O142" s="104">
        <v>400</v>
      </c>
      <c r="P142" s="104">
        <v>200</v>
      </c>
      <c r="Q142" s="104">
        <v>225</v>
      </c>
      <c r="R142" s="104">
        <v>208.33333333333334</v>
      </c>
      <c r="S142" s="104"/>
      <c r="T142" s="104">
        <v>308.33333333333331</v>
      </c>
      <c r="U142" s="104">
        <v>275</v>
      </c>
      <c r="V142" s="104">
        <v>275</v>
      </c>
      <c r="W142" s="152">
        <v>250</v>
      </c>
      <c r="X142" s="102">
        <v>333.33333333333331</v>
      </c>
      <c r="Y142" s="104">
        <v>400</v>
      </c>
      <c r="Z142" s="104">
        <v>200</v>
      </c>
      <c r="AA142" s="104">
        <v>225</v>
      </c>
      <c r="AB142" s="104">
        <v>210</v>
      </c>
      <c r="AC142" s="104"/>
      <c r="AD142" s="104">
        <v>300</v>
      </c>
      <c r="AE142" s="104">
        <v>278</v>
      </c>
      <c r="AF142" s="104">
        <v>275</v>
      </c>
      <c r="AG142" s="152">
        <v>255</v>
      </c>
      <c r="AH142" s="102">
        <v>325</v>
      </c>
      <c r="AI142" s="104"/>
      <c r="AJ142" s="104">
        <v>200</v>
      </c>
      <c r="AK142" s="104">
        <v>225</v>
      </c>
      <c r="AL142" s="104">
        <v>200</v>
      </c>
      <c r="AM142" s="104"/>
      <c r="AN142" s="104">
        <v>325</v>
      </c>
      <c r="AO142" s="104">
        <v>275</v>
      </c>
      <c r="AP142" s="104">
        <v>275</v>
      </c>
      <c r="AQ142" s="156">
        <v>262.5</v>
      </c>
      <c r="AR142" s="102">
        <v>200</v>
      </c>
      <c r="AS142" s="104"/>
      <c r="AT142" s="104">
        <v>200</v>
      </c>
      <c r="AU142" s="104">
        <v>250</v>
      </c>
      <c r="AV142" s="104">
        <v>200</v>
      </c>
      <c r="AW142" s="104"/>
      <c r="AX142" s="104">
        <v>325</v>
      </c>
      <c r="AY142" s="104">
        <v>275</v>
      </c>
      <c r="AZ142" s="104">
        <v>275</v>
      </c>
      <c r="BA142" s="156">
        <v>250</v>
      </c>
      <c r="BB142" s="102">
        <v>193.75</v>
      </c>
      <c r="BC142" s="104"/>
      <c r="BD142" s="104">
        <v>200</v>
      </c>
      <c r="BE142" s="104">
        <v>268.75</v>
      </c>
      <c r="BF142" s="104">
        <v>206.25</v>
      </c>
      <c r="BG142" s="104"/>
      <c r="BH142" s="104">
        <v>343.75</v>
      </c>
      <c r="BI142" s="104">
        <v>275</v>
      </c>
      <c r="BJ142" s="104">
        <v>275</v>
      </c>
      <c r="BK142" s="156">
        <v>250</v>
      </c>
      <c r="BL142" s="102">
        <v>237.5</v>
      </c>
      <c r="BM142" s="104"/>
      <c r="BN142" s="104">
        <v>200</v>
      </c>
      <c r="BO142" s="104">
        <v>256.25</v>
      </c>
      <c r="BP142" s="104">
        <v>212.5</v>
      </c>
      <c r="BQ142" s="104"/>
      <c r="BR142" s="104">
        <v>350</v>
      </c>
      <c r="BS142" s="104">
        <v>275</v>
      </c>
      <c r="BT142" s="104">
        <v>275</v>
      </c>
      <c r="BU142" s="156">
        <v>250</v>
      </c>
      <c r="BV142" s="102">
        <v>300</v>
      </c>
      <c r="BW142" s="104"/>
      <c r="BX142" s="104">
        <v>218.75</v>
      </c>
      <c r="BY142" s="104">
        <v>258.33333333333331</v>
      </c>
      <c r="BZ142" s="104">
        <v>212.5</v>
      </c>
      <c r="CA142" s="104"/>
      <c r="CB142" s="104">
        <v>350</v>
      </c>
      <c r="CC142" s="104">
        <v>275</v>
      </c>
      <c r="CD142" s="104">
        <v>275</v>
      </c>
      <c r="CE142" s="156">
        <v>250</v>
      </c>
      <c r="CF142" s="102">
        <v>331.25</v>
      </c>
      <c r="CG142" s="104"/>
      <c r="CH142" s="104">
        <v>225</v>
      </c>
      <c r="CI142" s="104">
        <v>300</v>
      </c>
      <c r="CJ142" s="104">
        <v>225</v>
      </c>
      <c r="CK142" s="104"/>
      <c r="CL142" s="104">
        <v>350</v>
      </c>
      <c r="CM142" s="104">
        <v>275</v>
      </c>
      <c r="CN142" s="104">
        <v>275</v>
      </c>
      <c r="CO142" s="156">
        <v>250</v>
      </c>
      <c r="CP142" s="102">
        <v>500</v>
      </c>
      <c r="CQ142" s="104">
        <v>412.5</v>
      </c>
      <c r="CR142" s="104">
        <v>200</v>
      </c>
      <c r="CS142" s="104">
        <v>275</v>
      </c>
      <c r="CT142" s="104">
        <v>225</v>
      </c>
      <c r="CU142" s="104"/>
      <c r="CV142" s="104">
        <v>350</v>
      </c>
      <c r="CW142" s="104">
        <v>275</v>
      </c>
      <c r="CX142" s="104">
        <v>275</v>
      </c>
      <c r="CY142" s="156">
        <v>275</v>
      </c>
      <c r="CZ142" s="102"/>
      <c r="DA142" s="104">
        <v>387.5</v>
      </c>
      <c r="DB142" s="104">
        <v>200</v>
      </c>
      <c r="DC142" s="104">
        <v>275</v>
      </c>
      <c r="DD142" s="104">
        <v>225</v>
      </c>
      <c r="DE142" s="104"/>
      <c r="DF142" s="104">
        <v>400</v>
      </c>
      <c r="DG142" s="104">
        <v>275</v>
      </c>
      <c r="DH142" s="104">
        <v>275</v>
      </c>
      <c r="DI142" s="152">
        <v>275</v>
      </c>
      <c r="DJ142" s="102"/>
      <c r="DK142" s="104">
        <v>362.5</v>
      </c>
      <c r="DL142" s="104">
        <v>200</v>
      </c>
      <c r="DM142" s="104">
        <v>250</v>
      </c>
      <c r="DN142" s="104"/>
      <c r="DO142" s="104"/>
      <c r="DP142" s="104">
        <v>400</v>
      </c>
      <c r="DQ142" s="104">
        <v>275</v>
      </c>
      <c r="DR142" s="104">
        <v>273.75</v>
      </c>
      <c r="DS142" s="152">
        <v>268.75</v>
      </c>
      <c r="DT142" s="102"/>
      <c r="DU142" s="104">
        <v>437.5</v>
      </c>
      <c r="DV142" s="104">
        <v>200</v>
      </c>
      <c r="DW142" s="104">
        <v>250</v>
      </c>
      <c r="DX142" s="104">
        <v>200</v>
      </c>
      <c r="DY142" s="104"/>
      <c r="DZ142" s="104">
        <v>393.75</v>
      </c>
      <c r="EA142" s="104">
        <v>275</v>
      </c>
      <c r="EB142" s="104">
        <v>275</v>
      </c>
      <c r="EC142" s="152">
        <v>250</v>
      </c>
    </row>
    <row r="143" spans="1:133" x14ac:dyDescent="0.25">
      <c r="A143" s="95">
        <v>43952</v>
      </c>
      <c r="B143" s="75">
        <v>307.5</v>
      </c>
      <c r="C143" s="75"/>
      <c r="D143" s="75">
        <v>276.875</v>
      </c>
      <c r="E143" s="75">
        <v>271.25</v>
      </c>
      <c r="F143" s="75">
        <v>242.70833333333334</v>
      </c>
      <c r="G143" s="75">
        <v>533.33333333333337</v>
      </c>
      <c r="H143" s="75">
        <v>450</v>
      </c>
      <c r="I143" s="75">
        <v>326.875</v>
      </c>
      <c r="J143" s="75">
        <v>321.42857142857144</v>
      </c>
      <c r="K143" s="75">
        <v>316.25</v>
      </c>
      <c r="N143" s="102"/>
      <c r="O143" s="104">
        <v>400</v>
      </c>
      <c r="P143" s="104">
        <v>240</v>
      </c>
      <c r="Q143" s="104"/>
      <c r="R143" s="104">
        <v>226.66666666666666</v>
      </c>
      <c r="S143" s="104"/>
      <c r="T143" s="104">
        <v>400</v>
      </c>
      <c r="U143" s="104">
        <v>270</v>
      </c>
      <c r="V143" s="104"/>
      <c r="W143" s="152">
        <v>250</v>
      </c>
      <c r="X143" s="102">
        <v>350</v>
      </c>
      <c r="Y143" s="104">
        <v>380</v>
      </c>
      <c r="Z143" s="104">
        <v>234</v>
      </c>
      <c r="AA143" s="104"/>
      <c r="AB143" s="104">
        <v>226</v>
      </c>
      <c r="AC143" s="104"/>
      <c r="AD143" s="104">
        <v>390</v>
      </c>
      <c r="AE143" s="104">
        <v>270</v>
      </c>
      <c r="AF143" s="104"/>
      <c r="AG143" s="152">
        <v>204</v>
      </c>
      <c r="AH143" s="102">
        <v>275</v>
      </c>
      <c r="AI143" s="104">
        <v>500</v>
      </c>
      <c r="AJ143" s="104">
        <v>230</v>
      </c>
      <c r="AK143" s="104"/>
      <c r="AL143" s="104">
        <v>225</v>
      </c>
      <c r="AM143" s="104"/>
      <c r="AN143" s="104">
        <v>400</v>
      </c>
      <c r="AO143" s="104">
        <v>270</v>
      </c>
      <c r="AP143" s="104"/>
      <c r="AQ143" s="156">
        <v>250</v>
      </c>
      <c r="AR143" s="102">
        <v>225</v>
      </c>
      <c r="AS143" s="104"/>
      <c r="AT143" s="104">
        <v>233.75</v>
      </c>
      <c r="AU143" s="104"/>
      <c r="AV143" s="104">
        <v>223.75</v>
      </c>
      <c r="AW143" s="104"/>
      <c r="AX143" s="104">
        <v>375</v>
      </c>
      <c r="AY143" s="104">
        <v>270</v>
      </c>
      <c r="AZ143" s="104"/>
      <c r="BA143" s="156">
        <v>260</v>
      </c>
      <c r="BB143" s="102">
        <v>200</v>
      </c>
      <c r="BC143" s="104"/>
      <c r="BD143" s="104">
        <v>232.5</v>
      </c>
      <c r="BE143" s="104"/>
      <c r="BF143" s="104">
        <v>225</v>
      </c>
      <c r="BG143" s="104"/>
      <c r="BH143" s="104">
        <v>350</v>
      </c>
      <c r="BI143" s="104">
        <v>271.25</v>
      </c>
      <c r="BJ143" s="104"/>
      <c r="BK143" s="156">
        <v>270</v>
      </c>
      <c r="BL143" s="102">
        <v>225</v>
      </c>
      <c r="BM143" s="104"/>
      <c r="BN143" s="104">
        <v>247.5</v>
      </c>
      <c r="BO143" s="104"/>
      <c r="BP143" s="104">
        <v>225</v>
      </c>
      <c r="BQ143" s="104"/>
      <c r="BR143" s="104">
        <v>350</v>
      </c>
      <c r="BS143" s="104">
        <v>272.5</v>
      </c>
      <c r="BT143" s="104"/>
      <c r="BU143" s="156">
        <v>272.5</v>
      </c>
      <c r="BV143" s="102">
        <v>270</v>
      </c>
      <c r="BW143" s="104"/>
      <c r="BX143" s="104">
        <v>250</v>
      </c>
      <c r="BY143" s="104"/>
      <c r="BZ143" s="104">
        <v>235</v>
      </c>
      <c r="CA143" s="104"/>
      <c r="CB143" s="104">
        <v>350</v>
      </c>
      <c r="CC143" s="104">
        <v>275</v>
      </c>
      <c r="CD143" s="104"/>
      <c r="CE143" s="156">
        <v>265</v>
      </c>
      <c r="CF143" s="102">
        <v>325</v>
      </c>
      <c r="CG143" s="104"/>
      <c r="CH143" s="104">
        <v>250</v>
      </c>
      <c r="CI143" s="104"/>
      <c r="CJ143" s="104">
        <v>235</v>
      </c>
      <c r="CK143" s="104"/>
      <c r="CL143" s="104">
        <v>350</v>
      </c>
      <c r="CM143" s="104">
        <v>275</v>
      </c>
      <c r="CN143" s="104"/>
      <c r="CO143" s="156">
        <v>270</v>
      </c>
      <c r="CP143" s="102">
        <v>350</v>
      </c>
      <c r="CQ143" s="104">
        <v>437.5</v>
      </c>
      <c r="CR143" s="104">
        <v>250</v>
      </c>
      <c r="CS143" s="104"/>
      <c r="CT143" s="104">
        <v>235</v>
      </c>
      <c r="CU143" s="104"/>
      <c r="CV143" s="104">
        <v>350</v>
      </c>
      <c r="CW143" s="104">
        <v>275</v>
      </c>
      <c r="CX143" s="104"/>
      <c r="CY143" s="156">
        <v>250</v>
      </c>
      <c r="CZ143" s="102"/>
      <c r="DA143" s="104">
        <v>375</v>
      </c>
      <c r="DB143" s="104">
        <v>250</v>
      </c>
      <c r="DC143" s="104"/>
      <c r="DD143" s="104">
        <v>233.75</v>
      </c>
      <c r="DE143" s="104"/>
      <c r="DF143" s="104">
        <v>350</v>
      </c>
      <c r="DG143" s="104">
        <v>275</v>
      </c>
      <c r="DH143" s="104"/>
      <c r="DI143" s="152">
        <v>250</v>
      </c>
      <c r="DJ143" s="102"/>
      <c r="DK143" s="104">
        <v>362.5</v>
      </c>
      <c r="DL143" s="104">
        <v>237.5</v>
      </c>
      <c r="DM143" s="104"/>
      <c r="DN143" s="104">
        <v>216.25</v>
      </c>
      <c r="DO143" s="104"/>
      <c r="DP143" s="104">
        <v>362.5</v>
      </c>
      <c r="DQ143" s="104">
        <v>275</v>
      </c>
      <c r="DR143" s="104"/>
      <c r="DS143" s="152">
        <v>250</v>
      </c>
      <c r="DT143" s="102"/>
      <c r="DU143" s="104">
        <v>412.5</v>
      </c>
      <c r="DV143" s="104">
        <v>218.75</v>
      </c>
      <c r="DW143" s="104">
        <v>250</v>
      </c>
      <c r="DX143" s="104">
        <v>206.25</v>
      </c>
      <c r="DY143" s="104"/>
      <c r="DZ143" s="104">
        <v>337.5</v>
      </c>
      <c r="EA143" s="104">
        <v>275</v>
      </c>
      <c r="EB143" s="104"/>
      <c r="EC143" s="152">
        <v>256.25</v>
      </c>
    </row>
    <row r="144" spans="1:133" x14ac:dyDescent="0.25">
      <c r="A144" s="95">
        <v>43983</v>
      </c>
      <c r="B144" s="75">
        <v>352.27272727272725</v>
      </c>
      <c r="C144" s="75"/>
      <c r="D144" s="75">
        <v>283.52272727272725</v>
      </c>
      <c r="E144" s="75">
        <v>278.75</v>
      </c>
      <c r="F144" s="75">
        <v>237.5</v>
      </c>
      <c r="G144" s="75">
        <v>533.33333333333337</v>
      </c>
      <c r="H144" s="75">
        <v>450</v>
      </c>
      <c r="I144" s="75">
        <v>329.54545454545456</v>
      </c>
      <c r="J144" s="75">
        <v>325.78125</v>
      </c>
      <c r="K144" s="75">
        <v>339.62962962962962</v>
      </c>
      <c r="N144" s="102"/>
      <c r="O144" s="104">
        <v>383.33333333333331</v>
      </c>
      <c r="P144" s="104">
        <v>300</v>
      </c>
      <c r="Q144" s="104">
        <v>300</v>
      </c>
      <c r="R144" s="104">
        <v>283.33333333333331</v>
      </c>
      <c r="S144" s="104"/>
      <c r="T144" s="104">
        <v>450</v>
      </c>
      <c r="U144" s="104">
        <v>275</v>
      </c>
      <c r="V144" s="104"/>
      <c r="W144" s="152">
        <v>300</v>
      </c>
      <c r="X144" s="102">
        <v>300</v>
      </c>
      <c r="Y144" s="104">
        <v>420</v>
      </c>
      <c r="Z144" s="104">
        <v>300</v>
      </c>
      <c r="AA144" s="104">
        <v>300</v>
      </c>
      <c r="AB144" s="104">
        <v>300</v>
      </c>
      <c r="AC144" s="104"/>
      <c r="AD144" s="104">
        <v>450</v>
      </c>
      <c r="AE144" s="104">
        <v>275</v>
      </c>
      <c r="AF144" s="104"/>
      <c r="AG144" s="152">
        <v>200</v>
      </c>
      <c r="AH144" s="102">
        <v>350</v>
      </c>
      <c r="AI144" s="104">
        <v>400</v>
      </c>
      <c r="AJ144" s="104">
        <v>300</v>
      </c>
      <c r="AK144" s="104">
        <v>300</v>
      </c>
      <c r="AL144" s="104">
        <v>300</v>
      </c>
      <c r="AM144" s="104"/>
      <c r="AN144" s="104">
        <v>450</v>
      </c>
      <c r="AO144" s="104">
        <v>275</v>
      </c>
      <c r="AP144" s="104"/>
      <c r="AQ144" s="156">
        <v>300</v>
      </c>
      <c r="AR144" s="102">
        <v>225</v>
      </c>
      <c r="AS144" s="104">
        <v>400</v>
      </c>
      <c r="AT144" s="104">
        <v>300</v>
      </c>
      <c r="AU144" s="104">
        <v>300</v>
      </c>
      <c r="AV144" s="104">
        <v>287.5</v>
      </c>
      <c r="AW144" s="104">
        <v>450</v>
      </c>
      <c r="AX144" s="104">
        <v>450</v>
      </c>
      <c r="AY144" s="104">
        <v>275</v>
      </c>
      <c r="AZ144" s="104"/>
      <c r="BA144" s="156">
        <v>300</v>
      </c>
      <c r="BB144" s="102">
        <v>200</v>
      </c>
      <c r="BC144" s="104"/>
      <c r="BD144" s="104">
        <v>293.75</v>
      </c>
      <c r="BE144" s="104">
        <v>306.25</v>
      </c>
      <c r="BF144" s="104">
        <v>287.5</v>
      </c>
      <c r="BG144" s="104"/>
      <c r="BH144" s="104">
        <v>450</v>
      </c>
      <c r="BI144" s="104">
        <v>275</v>
      </c>
      <c r="BJ144" s="104"/>
      <c r="BK144" s="156">
        <v>300</v>
      </c>
      <c r="BL144" s="102">
        <v>200</v>
      </c>
      <c r="BM144" s="104"/>
      <c r="BN144" s="104">
        <v>300</v>
      </c>
      <c r="BO144" s="104">
        <v>300</v>
      </c>
      <c r="BP144" s="104">
        <v>287.5</v>
      </c>
      <c r="BQ144" s="104"/>
      <c r="BR144" s="104">
        <v>450</v>
      </c>
      <c r="BS144" s="104">
        <v>275</v>
      </c>
      <c r="BT144" s="104"/>
      <c r="BU144" s="156">
        <v>300</v>
      </c>
      <c r="BV144" s="102">
        <v>231.25</v>
      </c>
      <c r="BW144" s="104"/>
      <c r="BX144" s="104">
        <v>300</v>
      </c>
      <c r="BY144" s="104">
        <v>300</v>
      </c>
      <c r="BZ144" s="104">
        <v>300</v>
      </c>
      <c r="CA144" s="104"/>
      <c r="CB144" s="104">
        <v>450</v>
      </c>
      <c r="CC144" s="104">
        <v>275</v>
      </c>
      <c r="CD144" s="104"/>
      <c r="CE144" s="156">
        <v>300</v>
      </c>
      <c r="CF144" s="102">
        <v>250</v>
      </c>
      <c r="CG144" s="104"/>
      <c r="CH144" s="104">
        <v>300</v>
      </c>
      <c r="CI144" s="104">
        <v>300</v>
      </c>
      <c r="CJ144" s="104">
        <v>300</v>
      </c>
      <c r="CK144" s="104"/>
      <c r="CL144" s="104">
        <v>450</v>
      </c>
      <c r="CM144" s="104">
        <v>275</v>
      </c>
      <c r="CN144" s="104"/>
      <c r="CO144" s="156">
        <v>300</v>
      </c>
      <c r="CP144" s="102">
        <v>350</v>
      </c>
      <c r="CQ144" s="104">
        <v>462.5</v>
      </c>
      <c r="CR144" s="104">
        <v>300</v>
      </c>
      <c r="CS144" s="104">
        <v>300</v>
      </c>
      <c r="CT144" s="104">
        <v>231.25</v>
      </c>
      <c r="CU144" s="104"/>
      <c r="CV144" s="104">
        <v>450</v>
      </c>
      <c r="CW144" s="104">
        <v>275</v>
      </c>
      <c r="CX144" s="104"/>
      <c r="CY144" s="156">
        <v>300</v>
      </c>
      <c r="CZ144" s="102"/>
      <c r="DA144" s="104">
        <v>400</v>
      </c>
      <c r="DB144" s="104">
        <v>300</v>
      </c>
      <c r="DC144" s="104">
        <v>300</v>
      </c>
      <c r="DD144" s="104">
        <v>225</v>
      </c>
      <c r="DE144" s="104"/>
      <c r="DF144" s="104">
        <v>450</v>
      </c>
      <c r="DG144" s="104">
        <v>275</v>
      </c>
      <c r="DH144" s="104"/>
      <c r="DI144" s="152">
        <v>300</v>
      </c>
      <c r="DJ144" s="102"/>
      <c r="DK144" s="104">
        <v>387.5</v>
      </c>
      <c r="DL144" s="104">
        <v>300</v>
      </c>
      <c r="DM144" s="104">
        <v>300</v>
      </c>
      <c r="DN144" s="104">
        <v>225</v>
      </c>
      <c r="DO144" s="104"/>
      <c r="DP144" s="104">
        <v>450</v>
      </c>
      <c r="DQ144" s="104">
        <v>267.5</v>
      </c>
      <c r="DR144" s="104"/>
      <c r="DS144" s="152">
        <v>300</v>
      </c>
      <c r="DT144" s="102"/>
      <c r="DU144" s="104">
        <v>425</v>
      </c>
      <c r="DV144" s="104">
        <v>300</v>
      </c>
      <c r="DW144" s="104">
        <v>312.5</v>
      </c>
      <c r="DX144" s="104">
        <v>225</v>
      </c>
      <c r="DY144" s="104"/>
      <c r="DZ144" s="104">
        <v>450</v>
      </c>
      <c r="EA144" s="104">
        <v>275</v>
      </c>
      <c r="EB144" s="104"/>
      <c r="EC144" s="152">
        <v>300</v>
      </c>
    </row>
    <row r="145" spans="1:133" x14ac:dyDescent="0.25">
      <c r="A145" s="95">
        <v>44013</v>
      </c>
      <c r="B145" s="75">
        <v>462.5</v>
      </c>
      <c r="C145" s="75"/>
      <c r="D145" s="75">
        <v>282.38636363636363</v>
      </c>
      <c r="E145" s="75">
        <v>285.79545454545456</v>
      </c>
      <c r="F145" s="75">
        <v>243.48958333333331</v>
      </c>
      <c r="G145" s="75">
        <v>533.33333333333337</v>
      </c>
      <c r="H145" s="75">
        <v>452.27272727272725</v>
      </c>
      <c r="I145" s="75">
        <v>328.40909090909093</v>
      </c>
      <c r="J145" s="75">
        <v>323.61111111111109</v>
      </c>
      <c r="K145" s="75">
        <v>348.75</v>
      </c>
      <c r="N145" s="102"/>
      <c r="O145" s="104">
        <v>416.66666666666669</v>
      </c>
      <c r="P145" s="104">
        <v>275</v>
      </c>
      <c r="Q145" s="104">
        <v>275</v>
      </c>
      <c r="R145" s="104">
        <v>250</v>
      </c>
      <c r="S145" s="104"/>
      <c r="T145" s="104">
        <v>400</v>
      </c>
      <c r="U145" s="104">
        <v>275</v>
      </c>
      <c r="V145" s="104"/>
      <c r="W145" s="152">
        <v>275</v>
      </c>
      <c r="X145" s="102">
        <v>300</v>
      </c>
      <c r="Y145" s="104">
        <v>410</v>
      </c>
      <c r="Z145" s="104">
        <v>275</v>
      </c>
      <c r="AA145" s="104">
        <v>275</v>
      </c>
      <c r="AB145" s="104">
        <v>250</v>
      </c>
      <c r="AC145" s="104"/>
      <c r="AD145" s="104">
        <v>400</v>
      </c>
      <c r="AE145" s="104">
        <v>275</v>
      </c>
      <c r="AF145" s="104"/>
      <c r="AG145" s="152">
        <v>275</v>
      </c>
      <c r="AH145" s="102">
        <v>300</v>
      </c>
      <c r="AI145" s="104">
        <v>500</v>
      </c>
      <c r="AJ145" s="104">
        <v>275</v>
      </c>
      <c r="AK145" s="104">
        <v>275</v>
      </c>
      <c r="AL145" s="104"/>
      <c r="AM145" s="104"/>
      <c r="AN145" s="104">
        <v>400</v>
      </c>
      <c r="AO145" s="104">
        <v>275</v>
      </c>
      <c r="AP145" s="104"/>
      <c r="AQ145" s="156">
        <v>275</v>
      </c>
      <c r="AR145" s="102">
        <v>225</v>
      </c>
      <c r="AS145" s="104"/>
      <c r="AT145" s="104">
        <v>275</v>
      </c>
      <c r="AU145" s="104">
        <v>275</v>
      </c>
      <c r="AV145" s="104">
        <v>250</v>
      </c>
      <c r="AW145" s="104"/>
      <c r="AX145" s="104">
        <v>400</v>
      </c>
      <c r="AY145" s="104">
        <v>275</v>
      </c>
      <c r="AZ145" s="104">
        <v>275</v>
      </c>
      <c r="BA145" s="156">
        <v>275</v>
      </c>
      <c r="BB145" s="102">
        <v>200</v>
      </c>
      <c r="BC145" s="104"/>
      <c r="BD145" s="104">
        <v>275</v>
      </c>
      <c r="BE145" s="104">
        <v>275</v>
      </c>
      <c r="BF145" s="104">
        <v>250</v>
      </c>
      <c r="BG145" s="104"/>
      <c r="BH145" s="104">
        <v>400</v>
      </c>
      <c r="BI145" s="104">
        <v>275</v>
      </c>
      <c r="BJ145" s="104"/>
      <c r="BK145" s="156">
        <v>275</v>
      </c>
      <c r="BL145" s="102">
        <v>200</v>
      </c>
      <c r="BM145" s="104"/>
      <c r="BN145" s="104">
        <v>275</v>
      </c>
      <c r="BO145" s="104">
        <v>275</v>
      </c>
      <c r="BP145" s="104"/>
      <c r="BQ145" s="104"/>
      <c r="BR145" s="104">
        <v>400</v>
      </c>
      <c r="BS145" s="104">
        <v>275</v>
      </c>
      <c r="BT145" s="104"/>
      <c r="BU145" s="156">
        <v>275</v>
      </c>
      <c r="BV145" s="102">
        <v>287.5</v>
      </c>
      <c r="BW145" s="104"/>
      <c r="BX145" s="104">
        <v>275</v>
      </c>
      <c r="BY145" s="104">
        <v>275</v>
      </c>
      <c r="BZ145" s="104"/>
      <c r="CA145" s="104"/>
      <c r="CB145" s="104">
        <v>400</v>
      </c>
      <c r="CC145" s="104">
        <v>275</v>
      </c>
      <c r="CD145" s="104"/>
      <c r="CE145" s="156">
        <v>275</v>
      </c>
      <c r="CF145" s="102">
        <v>337.5</v>
      </c>
      <c r="CG145" s="104"/>
      <c r="CH145" s="104">
        <v>275</v>
      </c>
      <c r="CI145" s="104">
        <v>275</v>
      </c>
      <c r="CJ145" s="104"/>
      <c r="CK145" s="104"/>
      <c r="CL145" s="104">
        <v>425</v>
      </c>
      <c r="CM145" s="104">
        <v>275</v>
      </c>
      <c r="CN145" s="104"/>
      <c r="CO145" s="156">
        <v>275</v>
      </c>
      <c r="CP145" s="102">
        <v>450</v>
      </c>
      <c r="CQ145" s="104">
        <v>500</v>
      </c>
      <c r="CR145" s="104">
        <v>275</v>
      </c>
      <c r="CS145" s="104">
        <v>275</v>
      </c>
      <c r="CT145" s="104"/>
      <c r="CU145" s="104"/>
      <c r="CV145" s="104">
        <v>400</v>
      </c>
      <c r="CW145" s="104">
        <v>275</v>
      </c>
      <c r="CX145" s="104"/>
      <c r="CY145" s="156">
        <v>281.25</v>
      </c>
      <c r="CZ145" s="102"/>
      <c r="DA145" s="104">
        <v>425</v>
      </c>
      <c r="DB145" s="104">
        <v>275</v>
      </c>
      <c r="DC145" s="104">
        <v>275</v>
      </c>
      <c r="DD145" s="104"/>
      <c r="DE145" s="104"/>
      <c r="DF145" s="104">
        <v>400</v>
      </c>
      <c r="DG145" s="104">
        <v>275</v>
      </c>
      <c r="DH145" s="104"/>
      <c r="DI145" s="152">
        <v>275</v>
      </c>
      <c r="DJ145" s="102"/>
      <c r="DK145" s="104">
        <v>400</v>
      </c>
      <c r="DL145" s="104">
        <v>262.5</v>
      </c>
      <c r="DM145" s="104">
        <v>262.5</v>
      </c>
      <c r="DN145" s="104"/>
      <c r="DO145" s="104"/>
      <c r="DP145" s="104">
        <v>400</v>
      </c>
      <c r="DQ145" s="104">
        <v>275</v>
      </c>
      <c r="DR145" s="104"/>
      <c r="DS145" s="152">
        <v>275</v>
      </c>
      <c r="DT145" s="102"/>
      <c r="DU145" s="104">
        <v>437.5</v>
      </c>
      <c r="DV145" s="104">
        <v>250</v>
      </c>
      <c r="DW145" s="104">
        <v>250</v>
      </c>
      <c r="DX145" s="104">
        <v>225</v>
      </c>
      <c r="DY145" s="104"/>
      <c r="DZ145" s="104">
        <v>400</v>
      </c>
      <c r="EA145" s="104">
        <v>275</v>
      </c>
      <c r="EB145" s="104"/>
      <c r="EC145" s="152">
        <v>275</v>
      </c>
    </row>
    <row r="146" spans="1:133" x14ac:dyDescent="0.25">
      <c r="A146" s="95">
        <v>44044</v>
      </c>
      <c r="B146" s="75">
        <v>493.93939393939394</v>
      </c>
      <c r="C146" s="75">
        <v>520.4545454545455</v>
      </c>
      <c r="D146" s="75">
        <v>290.15151515151518</v>
      </c>
      <c r="E146" s="75">
        <v>288.63636363636368</v>
      </c>
      <c r="F146" s="75">
        <v>236.9047619047619</v>
      </c>
      <c r="G146" s="75">
        <v>533.33333333333337</v>
      </c>
      <c r="H146" s="75">
        <v>454.54545454545456</v>
      </c>
      <c r="I146" s="75">
        <v>327.27272727272725</v>
      </c>
      <c r="J146" s="75">
        <v>322.91666666666663</v>
      </c>
      <c r="K146" s="75">
        <v>356.04166666666663</v>
      </c>
      <c r="N146" s="102"/>
      <c r="O146" s="104">
        <v>416.66666666666669</v>
      </c>
      <c r="P146" s="104">
        <v>225</v>
      </c>
      <c r="Q146" s="104">
        <v>250</v>
      </c>
      <c r="R146" s="104">
        <v>200</v>
      </c>
      <c r="S146" s="104"/>
      <c r="T146" s="104">
        <v>350</v>
      </c>
      <c r="U146" s="104">
        <v>270</v>
      </c>
      <c r="V146" s="104">
        <v>270</v>
      </c>
      <c r="W146" s="152">
        <v>250</v>
      </c>
      <c r="X146" s="102">
        <v>375</v>
      </c>
      <c r="Y146" s="104">
        <v>420</v>
      </c>
      <c r="Z146" s="104">
        <v>225</v>
      </c>
      <c r="AA146" s="104">
        <v>245</v>
      </c>
      <c r="AB146" s="104"/>
      <c r="AC146" s="104"/>
      <c r="AD146" s="104">
        <v>350</v>
      </c>
      <c r="AE146" s="104">
        <v>269</v>
      </c>
      <c r="AF146" s="104">
        <v>270</v>
      </c>
      <c r="AG146" s="152">
        <v>250</v>
      </c>
      <c r="AH146" s="102">
        <v>325</v>
      </c>
      <c r="AI146" s="104"/>
      <c r="AJ146" s="104">
        <v>225</v>
      </c>
      <c r="AK146" s="104">
        <v>250</v>
      </c>
      <c r="AL146" s="104"/>
      <c r="AM146" s="104"/>
      <c r="AN146" s="104">
        <v>350</v>
      </c>
      <c r="AO146" s="104">
        <v>270</v>
      </c>
      <c r="AP146" s="104">
        <v>270</v>
      </c>
      <c r="AQ146" s="156"/>
      <c r="AR146" s="102">
        <v>275</v>
      </c>
      <c r="AS146" s="104"/>
      <c r="AT146" s="104">
        <v>225</v>
      </c>
      <c r="AU146" s="104">
        <v>250</v>
      </c>
      <c r="AV146" s="104"/>
      <c r="AW146" s="104"/>
      <c r="AX146" s="104">
        <v>350</v>
      </c>
      <c r="AY146" s="104">
        <v>270</v>
      </c>
      <c r="AZ146" s="104"/>
      <c r="BA146" s="156"/>
      <c r="BB146" s="102">
        <v>237.5</v>
      </c>
      <c r="BC146" s="104"/>
      <c r="BD146" s="104">
        <v>250</v>
      </c>
      <c r="BE146" s="104">
        <v>262.5</v>
      </c>
      <c r="BF146" s="104"/>
      <c r="BG146" s="104"/>
      <c r="BH146" s="104">
        <v>350</v>
      </c>
      <c r="BI146" s="104">
        <v>270</v>
      </c>
      <c r="BJ146" s="104"/>
      <c r="BK146" s="156"/>
      <c r="BL146" s="102">
        <v>237.5</v>
      </c>
      <c r="BM146" s="104"/>
      <c r="BN146" s="104">
        <v>250</v>
      </c>
      <c r="BO146" s="104">
        <v>256.25</v>
      </c>
      <c r="BP146" s="104"/>
      <c r="BQ146" s="104"/>
      <c r="BR146" s="104">
        <v>350</v>
      </c>
      <c r="BS146" s="104">
        <v>270</v>
      </c>
      <c r="BT146" s="104"/>
      <c r="BU146" s="156"/>
      <c r="BV146" s="102">
        <v>331.25</v>
      </c>
      <c r="BW146" s="104"/>
      <c r="BX146" s="104">
        <v>250</v>
      </c>
      <c r="BY146" s="104">
        <v>275</v>
      </c>
      <c r="BZ146" s="104"/>
      <c r="CA146" s="104"/>
      <c r="CB146" s="104">
        <v>350</v>
      </c>
      <c r="CC146" s="104">
        <v>270</v>
      </c>
      <c r="CD146" s="104"/>
      <c r="CE146" s="156"/>
      <c r="CF146" s="102">
        <v>337.5</v>
      </c>
      <c r="CG146" s="104"/>
      <c r="CH146" s="104">
        <v>250</v>
      </c>
      <c r="CI146" s="104">
        <v>275</v>
      </c>
      <c r="CJ146" s="104"/>
      <c r="CK146" s="104"/>
      <c r="CL146" s="104">
        <v>362.5</v>
      </c>
      <c r="CM146" s="104">
        <v>270</v>
      </c>
      <c r="CN146" s="104"/>
      <c r="CO146" s="156"/>
      <c r="CP146" s="102">
        <v>425</v>
      </c>
      <c r="CQ146" s="104">
        <v>450</v>
      </c>
      <c r="CR146" s="104">
        <v>225</v>
      </c>
      <c r="CS146" s="104">
        <v>250</v>
      </c>
      <c r="CT146" s="104"/>
      <c r="CU146" s="104"/>
      <c r="CV146" s="104">
        <v>400</v>
      </c>
      <c r="CW146" s="104">
        <v>270</v>
      </c>
      <c r="CX146" s="104">
        <v>270</v>
      </c>
      <c r="CY146" s="156">
        <v>350</v>
      </c>
      <c r="CZ146" s="102"/>
      <c r="DA146" s="104">
        <v>387.5</v>
      </c>
      <c r="DB146" s="104">
        <v>225</v>
      </c>
      <c r="DC146" s="104">
        <v>262.5</v>
      </c>
      <c r="DD146" s="104"/>
      <c r="DE146" s="104"/>
      <c r="DF146" s="104">
        <v>387.5</v>
      </c>
      <c r="DG146" s="104">
        <v>270</v>
      </c>
      <c r="DH146" s="104">
        <v>310</v>
      </c>
      <c r="DI146" s="152">
        <v>350</v>
      </c>
      <c r="DJ146" s="102"/>
      <c r="DK146" s="104">
        <v>375</v>
      </c>
      <c r="DL146" s="104">
        <v>206.25</v>
      </c>
      <c r="DM146" s="104">
        <v>256.25</v>
      </c>
      <c r="DN146" s="104"/>
      <c r="DO146" s="104"/>
      <c r="DP146" s="104">
        <v>350</v>
      </c>
      <c r="DQ146" s="104">
        <v>270</v>
      </c>
      <c r="DR146" s="104">
        <v>270</v>
      </c>
      <c r="DS146" s="152">
        <v>341.66666666666669</v>
      </c>
      <c r="DT146" s="102"/>
      <c r="DU146" s="104">
        <v>425</v>
      </c>
      <c r="DV146" s="104">
        <v>200</v>
      </c>
      <c r="DW146" s="104">
        <v>250</v>
      </c>
      <c r="DX146" s="104"/>
      <c r="DY146" s="104"/>
      <c r="DZ146" s="104">
        <v>381.25</v>
      </c>
      <c r="EA146" s="104">
        <v>270</v>
      </c>
      <c r="EB146" s="104">
        <v>270</v>
      </c>
      <c r="EC146" s="152">
        <v>350</v>
      </c>
    </row>
    <row r="147" spans="1:133" x14ac:dyDescent="0.25">
      <c r="A147" s="95">
        <v>44075</v>
      </c>
      <c r="B147" s="75"/>
      <c r="C147" s="75">
        <v>427.5</v>
      </c>
      <c r="D147" s="75">
        <v>291.375</v>
      </c>
      <c r="E147" s="75">
        <v>285</v>
      </c>
      <c r="F147" s="75">
        <v>251.25</v>
      </c>
      <c r="G147" s="75">
        <v>533.33333333333337</v>
      </c>
      <c r="H147" s="75">
        <v>450</v>
      </c>
      <c r="I147" s="75">
        <v>330</v>
      </c>
      <c r="J147" s="75">
        <v>317.85714285714283</v>
      </c>
      <c r="K147" s="75">
        <v>357.5</v>
      </c>
      <c r="N147" s="102"/>
      <c r="O147" s="104">
        <v>383.33333333333331</v>
      </c>
      <c r="P147" s="104">
        <v>216.66666666666666</v>
      </c>
      <c r="Q147" s="104">
        <v>250</v>
      </c>
      <c r="R147" s="104">
        <v>200</v>
      </c>
      <c r="S147" s="104">
        <v>450</v>
      </c>
      <c r="T147" s="104">
        <v>300</v>
      </c>
      <c r="U147" s="104">
        <v>250</v>
      </c>
      <c r="V147" s="104">
        <v>250</v>
      </c>
      <c r="W147" s="152">
        <v>248.33333333333334</v>
      </c>
      <c r="X147" s="102">
        <v>350</v>
      </c>
      <c r="Y147" s="104">
        <v>390</v>
      </c>
      <c r="Z147" s="104">
        <v>210</v>
      </c>
      <c r="AA147" s="104">
        <v>235</v>
      </c>
      <c r="AB147" s="104">
        <v>210</v>
      </c>
      <c r="AC147" s="104">
        <v>450</v>
      </c>
      <c r="AD147" s="104">
        <v>300</v>
      </c>
      <c r="AE147" s="104">
        <v>265</v>
      </c>
      <c r="AF147" s="104">
        <v>262.5</v>
      </c>
      <c r="AG147" s="152">
        <v>245</v>
      </c>
      <c r="AH147" s="102">
        <v>312.5</v>
      </c>
      <c r="AI147" s="104"/>
      <c r="AJ147" s="104">
        <v>212.5</v>
      </c>
      <c r="AK147" s="104">
        <v>237.5</v>
      </c>
      <c r="AL147" s="104">
        <v>225</v>
      </c>
      <c r="AM147" s="104">
        <v>450</v>
      </c>
      <c r="AN147" s="104">
        <v>350</v>
      </c>
      <c r="AO147" s="104">
        <v>275</v>
      </c>
      <c r="AP147" s="104">
        <v>275</v>
      </c>
      <c r="AQ147" s="156"/>
      <c r="AR147" s="102">
        <v>268.75</v>
      </c>
      <c r="AS147" s="104"/>
      <c r="AT147" s="104">
        <v>218.75</v>
      </c>
      <c r="AU147" s="104">
        <v>231.25</v>
      </c>
      <c r="AV147" s="104">
        <v>218.75</v>
      </c>
      <c r="AW147" s="104">
        <v>450</v>
      </c>
      <c r="AX147" s="104">
        <v>350</v>
      </c>
      <c r="AY147" s="104">
        <v>275</v>
      </c>
      <c r="AZ147" s="104">
        <v>275</v>
      </c>
      <c r="BA147" s="156"/>
      <c r="BB147" s="102">
        <v>193.75</v>
      </c>
      <c r="BC147" s="104"/>
      <c r="BD147" s="104">
        <v>218.75</v>
      </c>
      <c r="BE147" s="104">
        <v>231.25</v>
      </c>
      <c r="BF147" s="104">
        <v>218.75</v>
      </c>
      <c r="BG147" s="104">
        <v>450</v>
      </c>
      <c r="BH147" s="104">
        <v>350</v>
      </c>
      <c r="BI147" s="104">
        <v>275</v>
      </c>
      <c r="BJ147" s="104">
        <v>275</v>
      </c>
      <c r="BK147" s="156">
        <v>258.33333333333331</v>
      </c>
      <c r="BL147" s="102">
        <v>231.25</v>
      </c>
      <c r="BM147" s="104"/>
      <c r="BN147" s="104">
        <v>225</v>
      </c>
      <c r="BO147" s="104">
        <v>231.25</v>
      </c>
      <c r="BP147" s="104">
        <v>225</v>
      </c>
      <c r="BQ147" s="104">
        <v>450</v>
      </c>
      <c r="BR147" s="104">
        <v>350</v>
      </c>
      <c r="BS147" s="104">
        <v>275</v>
      </c>
      <c r="BT147" s="104">
        <v>275</v>
      </c>
      <c r="BU147" s="156">
        <v>250</v>
      </c>
      <c r="BV147" s="102">
        <v>312.5</v>
      </c>
      <c r="BW147" s="104"/>
      <c r="BX147" s="104">
        <v>225</v>
      </c>
      <c r="BY147" s="104">
        <v>250</v>
      </c>
      <c r="BZ147" s="104">
        <v>225</v>
      </c>
      <c r="CA147" s="104">
        <v>450</v>
      </c>
      <c r="CB147" s="104">
        <v>350</v>
      </c>
      <c r="CC147" s="104">
        <v>275</v>
      </c>
      <c r="CD147" s="104">
        <v>275</v>
      </c>
      <c r="CE147" s="156">
        <v>250</v>
      </c>
      <c r="CF147" s="102">
        <v>350</v>
      </c>
      <c r="CG147" s="104"/>
      <c r="CH147" s="104">
        <v>225</v>
      </c>
      <c r="CI147" s="104">
        <v>250</v>
      </c>
      <c r="CJ147" s="104">
        <v>225</v>
      </c>
      <c r="CK147" s="104">
        <v>450</v>
      </c>
      <c r="CL147" s="104">
        <v>375</v>
      </c>
      <c r="CM147" s="104">
        <v>275</v>
      </c>
      <c r="CN147" s="104">
        <v>275</v>
      </c>
      <c r="CO147" s="156">
        <v>300</v>
      </c>
      <c r="CP147" s="102"/>
      <c r="CQ147" s="104">
        <v>406.25</v>
      </c>
      <c r="CR147" s="104">
        <v>225</v>
      </c>
      <c r="CS147" s="104">
        <v>250</v>
      </c>
      <c r="CT147" s="104">
        <v>225</v>
      </c>
      <c r="CU147" s="104">
        <v>450</v>
      </c>
      <c r="CV147" s="104">
        <v>375</v>
      </c>
      <c r="CW147" s="104">
        <v>275</v>
      </c>
      <c r="CX147" s="104">
        <v>272.5</v>
      </c>
      <c r="CY147" s="156">
        <v>253.75</v>
      </c>
      <c r="CZ147" s="102"/>
      <c r="DA147" s="104">
        <v>368.75</v>
      </c>
      <c r="DB147" s="104">
        <v>212.5</v>
      </c>
      <c r="DC147" s="104">
        <v>250</v>
      </c>
      <c r="DD147" s="104">
        <v>218.75</v>
      </c>
      <c r="DE147" s="104">
        <v>450</v>
      </c>
      <c r="DF147" s="104">
        <v>381.25</v>
      </c>
      <c r="DG147" s="104">
        <v>275</v>
      </c>
      <c r="DH147" s="104">
        <v>275</v>
      </c>
      <c r="DI147" s="152">
        <v>268.75</v>
      </c>
      <c r="DJ147" s="102"/>
      <c r="DK147" s="104">
        <v>400</v>
      </c>
      <c r="DL147" s="104">
        <v>181.25</v>
      </c>
      <c r="DM147" s="104">
        <v>250</v>
      </c>
      <c r="DN147" s="104">
        <v>200</v>
      </c>
      <c r="DO147" s="104">
        <v>450</v>
      </c>
      <c r="DP147" s="104">
        <v>400</v>
      </c>
      <c r="DQ147" s="104">
        <v>275</v>
      </c>
      <c r="DR147" s="104">
        <v>275</v>
      </c>
      <c r="DS147" s="152"/>
      <c r="DT147" s="102"/>
      <c r="DU147" s="104">
        <v>400</v>
      </c>
      <c r="DV147" s="104">
        <v>168.75</v>
      </c>
      <c r="DW147" s="104">
        <v>231.25</v>
      </c>
      <c r="DX147" s="104">
        <v>200</v>
      </c>
      <c r="DY147" s="104">
        <v>450</v>
      </c>
      <c r="DZ147" s="104">
        <v>400</v>
      </c>
      <c r="EA147" s="104">
        <v>275</v>
      </c>
      <c r="EB147" s="104">
        <v>275</v>
      </c>
      <c r="EC147" s="152"/>
    </row>
    <row r="148" spans="1:133" x14ac:dyDescent="0.25">
      <c r="A148" s="95">
        <v>44105</v>
      </c>
      <c r="B148" s="75"/>
      <c r="C148" s="75">
        <v>453.125</v>
      </c>
      <c r="D148" s="75">
        <v>295.52083333333331</v>
      </c>
      <c r="E148" s="75">
        <v>286.45833333333331</v>
      </c>
      <c r="F148" s="75">
        <v>237.5</v>
      </c>
      <c r="G148" s="75">
        <v>533.33333333333337</v>
      </c>
      <c r="H148" s="75">
        <v>451.04166666666669</v>
      </c>
      <c r="I148" s="75">
        <v>327.08333333333331</v>
      </c>
      <c r="J148" s="75">
        <v>316.66666666666669</v>
      </c>
      <c r="K148" s="75">
        <v>343.33333333333331</v>
      </c>
      <c r="N148" s="102"/>
      <c r="O148" s="104">
        <v>483.33333333333331</v>
      </c>
      <c r="P148" s="104">
        <v>241.66666666666666</v>
      </c>
      <c r="Q148" s="104">
        <v>233.33333333333334</v>
      </c>
      <c r="R148" s="104">
        <v>200</v>
      </c>
      <c r="S148" s="104"/>
      <c r="T148" s="104">
        <v>350</v>
      </c>
      <c r="U148" s="104">
        <v>275</v>
      </c>
      <c r="V148" s="104">
        <v>275</v>
      </c>
      <c r="W148" s="152">
        <v>275</v>
      </c>
      <c r="X148" s="102">
        <v>400</v>
      </c>
      <c r="Y148" s="104">
        <v>490</v>
      </c>
      <c r="Z148" s="104">
        <v>250</v>
      </c>
      <c r="AA148" s="104">
        <v>210</v>
      </c>
      <c r="AB148" s="104">
        <v>200</v>
      </c>
      <c r="AC148" s="104"/>
      <c r="AD148" s="104">
        <v>350</v>
      </c>
      <c r="AE148" s="104">
        <v>275</v>
      </c>
      <c r="AF148" s="104">
        <v>275</v>
      </c>
      <c r="AG148" s="152">
        <v>268.75</v>
      </c>
      <c r="AH148" s="102">
        <v>400</v>
      </c>
      <c r="AI148" s="104">
        <v>500</v>
      </c>
      <c r="AJ148" s="104">
        <v>250</v>
      </c>
      <c r="AK148" s="104">
        <v>225</v>
      </c>
      <c r="AL148" s="104">
        <v>200</v>
      </c>
      <c r="AM148" s="104"/>
      <c r="AN148" s="104">
        <v>350</v>
      </c>
      <c r="AO148" s="104">
        <v>275</v>
      </c>
      <c r="AP148" s="104">
        <v>280</v>
      </c>
      <c r="AQ148" s="156">
        <v>275</v>
      </c>
      <c r="AR148" s="102">
        <v>287.5</v>
      </c>
      <c r="AS148" s="104"/>
      <c r="AT148" s="104">
        <v>250</v>
      </c>
      <c r="AU148" s="104">
        <v>225</v>
      </c>
      <c r="AV148" s="104">
        <v>225</v>
      </c>
      <c r="AW148" s="104"/>
      <c r="AX148" s="104">
        <v>350</v>
      </c>
      <c r="AY148" s="104">
        <v>275</v>
      </c>
      <c r="AZ148" s="104">
        <v>275</v>
      </c>
      <c r="BA148" s="156">
        <v>262.5</v>
      </c>
      <c r="BB148" s="102">
        <v>250</v>
      </c>
      <c r="BC148" s="104"/>
      <c r="BD148" s="104">
        <v>250</v>
      </c>
      <c r="BE148" s="104">
        <v>231.25</v>
      </c>
      <c r="BF148" s="104">
        <v>212.5</v>
      </c>
      <c r="BG148" s="104"/>
      <c r="BH148" s="104">
        <v>350</v>
      </c>
      <c r="BI148" s="104">
        <v>275</v>
      </c>
      <c r="BJ148" s="104">
        <v>275</v>
      </c>
      <c r="BK148" s="156">
        <v>250</v>
      </c>
      <c r="BL148" s="102">
        <v>287.5</v>
      </c>
      <c r="BM148" s="104"/>
      <c r="BN148" s="104">
        <v>250</v>
      </c>
      <c r="BO148" s="104">
        <v>231.25</v>
      </c>
      <c r="BP148" s="104">
        <v>200</v>
      </c>
      <c r="BQ148" s="104"/>
      <c r="BR148" s="104">
        <v>350</v>
      </c>
      <c r="BS148" s="104">
        <v>275</v>
      </c>
      <c r="BT148" s="104">
        <v>275</v>
      </c>
      <c r="BU148" s="156">
        <v>256.25</v>
      </c>
      <c r="BV148" s="102">
        <v>300</v>
      </c>
      <c r="BW148" s="104"/>
      <c r="BX148" s="104">
        <v>250</v>
      </c>
      <c r="BY148" s="104">
        <v>225</v>
      </c>
      <c r="BZ148" s="104">
        <v>200</v>
      </c>
      <c r="CA148" s="104"/>
      <c r="CB148" s="104">
        <v>350</v>
      </c>
      <c r="CC148" s="104">
        <v>275</v>
      </c>
      <c r="CD148" s="104">
        <v>275</v>
      </c>
      <c r="CE148" s="156">
        <v>250</v>
      </c>
      <c r="CF148" s="102">
        <v>350</v>
      </c>
      <c r="CG148" s="104"/>
      <c r="CH148" s="104">
        <v>250</v>
      </c>
      <c r="CI148" s="104">
        <v>275</v>
      </c>
      <c r="CJ148" s="104">
        <v>200</v>
      </c>
      <c r="CK148" s="104"/>
      <c r="CL148" s="104">
        <v>350</v>
      </c>
      <c r="CM148" s="104">
        <v>275</v>
      </c>
      <c r="CN148" s="104">
        <v>276.25</v>
      </c>
      <c r="CO148" s="156"/>
      <c r="CP148" s="102">
        <v>412.5</v>
      </c>
      <c r="CQ148" s="104">
        <v>500</v>
      </c>
      <c r="CR148" s="104">
        <v>250</v>
      </c>
      <c r="CS148" s="104">
        <v>268.75</v>
      </c>
      <c r="CT148" s="104">
        <v>230</v>
      </c>
      <c r="CU148" s="104"/>
      <c r="CV148" s="104">
        <v>350</v>
      </c>
      <c r="CW148" s="104">
        <v>275</v>
      </c>
      <c r="CX148" s="104">
        <v>275</v>
      </c>
      <c r="CY148" s="156"/>
      <c r="CZ148" s="102"/>
      <c r="DA148" s="104">
        <v>462.5</v>
      </c>
      <c r="DB148" s="104">
        <v>250</v>
      </c>
      <c r="DC148" s="104">
        <v>268.75</v>
      </c>
      <c r="DD148" s="104">
        <v>200</v>
      </c>
      <c r="DE148" s="104"/>
      <c r="DF148" s="104">
        <v>387.5</v>
      </c>
      <c r="DG148" s="104">
        <v>275</v>
      </c>
      <c r="DH148" s="104">
        <v>275</v>
      </c>
      <c r="DI148" s="152"/>
      <c r="DJ148" s="102"/>
      <c r="DK148" s="104">
        <v>400</v>
      </c>
      <c r="DL148" s="104">
        <v>250</v>
      </c>
      <c r="DM148" s="104">
        <v>250</v>
      </c>
      <c r="DN148" s="104">
        <v>193.75</v>
      </c>
      <c r="DO148" s="104"/>
      <c r="DP148" s="104">
        <v>400</v>
      </c>
      <c r="DQ148" s="104">
        <v>275</v>
      </c>
      <c r="DR148" s="104">
        <v>275</v>
      </c>
      <c r="DS148" s="152"/>
      <c r="DT148" s="102"/>
      <c r="DU148" s="104">
        <v>450</v>
      </c>
      <c r="DV148" s="104">
        <v>225</v>
      </c>
      <c r="DW148" s="104">
        <v>212.5</v>
      </c>
      <c r="DX148" s="104">
        <v>193.75</v>
      </c>
      <c r="DY148" s="104"/>
      <c r="DZ148" s="104">
        <v>400</v>
      </c>
      <c r="EA148" s="104">
        <v>275</v>
      </c>
      <c r="EB148" s="104">
        <v>275</v>
      </c>
      <c r="EC148" s="152">
        <v>337.5</v>
      </c>
    </row>
    <row r="149" spans="1:133" x14ac:dyDescent="0.25">
      <c r="A149" s="95">
        <v>44136</v>
      </c>
      <c r="C149" s="75">
        <v>467.70833333333331</v>
      </c>
      <c r="D149" s="75">
        <v>282.1875</v>
      </c>
      <c r="E149" s="75">
        <v>289.77272727272725</v>
      </c>
      <c r="F149" s="75">
        <v>234.64285714285714</v>
      </c>
      <c r="G149" s="75">
        <v>533.33333333333337</v>
      </c>
      <c r="H149" s="75">
        <v>447.91666666666669</v>
      </c>
      <c r="I149" s="75">
        <v>325.3125</v>
      </c>
      <c r="J149" s="75">
        <v>316.66666666666669</v>
      </c>
      <c r="K149" s="75">
        <v>347.77777777777777</v>
      </c>
      <c r="N149" s="102"/>
      <c r="O149" s="104">
        <v>466.66666666666669</v>
      </c>
      <c r="P149" s="104">
        <v>250</v>
      </c>
      <c r="Q149" s="104">
        <v>216.66666666666666</v>
      </c>
      <c r="R149" s="104">
        <v>216.66666666666666</v>
      </c>
      <c r="S149" s="104"/>
      <c r="T149" s="104">
        <v>400</v>
      </c>
      <c r="U149" s="104">
        <v>275</v>
      </c>
      <c r="V149" s="104">
        <v>275</v>
      </c>
      <c r="W149" s="152"/>
      <c r="X149" s="102">
        <v>400</v>
      </c>
      <c r="Y149" s="104">
        <v>500</v>
      </c>
      <c r="Z149" s="104">
        <v>250</v>
      </c>
      <c r="AA149" s="104">
        <v>200</v>
      </c>
      <c r="AB149" s="104">
        <v>200</v>
      </c>
      <c r="AC149" s="104"/>
      <c r="AD149" s="104">
        <v>400</v>
      </c>
      <c r="AE149" s="104">
        <v>275</v>
      </c>
      <c r="AF149" s="104">
        <v>275</v>
      </c>
      <c r="AG149" s="152">
        <v>275</v>
      </c>
      <c r="AH149" s="102">
        <v>400</v>
      </c>
      <c r="AI149" s="104">
        <v>500</v>
      </c>
      <c r="AJ149" s="104">
        <v>250</v>
      </c>
      <c r="AK149" s="104">
        <v>200</v>
      </c>
      <c r="AL149" s="104">
        <v>200</v>
      </c>
      <c r="AM149" s="104"/>
      <c r="AN149" s="104">
        <v>400</v>
      </c>
      <c r="AO149" s="104">
        <v>275</v>
      </c>
      <c r="AP149" s="104">
        <v>275</v>
      </c>
      <c r="AQ149" s="156">
        <v>275</v>
      </c>
      <c r="AR149" s="102">
        <v>362.5</v>
      </c>
      <c r="AS149" s="104"/>
      <c r="AT149" s="104">
        <v>250</v>
      </c>
      <c r="AU149" s="104">
        <v>200</v>
      </c>
      <c r="AV149" s="104">
        <v>200</v>
      </c>
      <c r="AW149" s="104"/>
      <c r="AX149" s="104">
        <v>400</v>
      </c>
      <c r="AY149" s="104">
        <v>275</v>
      </c>
      <c r="AZ149" s="104">
        <v>275</v>
      </c>
      <c r="BA149" s="156">
        <v>262.5</v>
      </c>
      <c r="BB149" s="102">
        <v>312.5</v>
      </c>
      <c r="BC149" s="104"/>
      <c r="BD149" s="104">
        <v>250</v>
      </c>
      <c r="BE149" s="104">
        <v>200</v>
      </c>
      <c r="BF149" s="104">
        <v>200</v>
      </c>
      <c r="BG149" s="104"/>
      <c r="BH149" s="104">
        <v>400</v>
      </c>
      <c r="BI149" s="104">
        <v>273.75</v>
      </c>
      <c r="BJ149" s="104">
        <v>275</v>
      </c>
      <c r="BK149" s="156">
        <v>312.5</v>
      </c>
      <c r="BL149" s="102">
        <v>300</v>
      </c>
      <c r="BM149" s="104"/>
      <c r="BN149" s="104">
        <v>250</v>
      </c>
      <c r="BO149" s="104">
        <v>200</v>
      </c>
      <c r="BP149" s="104">
        <v>200</v>
      </c>
      <c r="BQ149" s="104"/>
      <c r="BR149" s="104">
        <v>400</v>
      </c>
      <c r="BS149" s="104">
        <v>276.25</v>
      </c>
      <c r="BT149" s="104">
        <v>275</v>
      </c>
      <c r="BU149" s="156">
        <v>275</v>
      </c>
      <c r="BV149" s="102">
        <v>350</v>
      </c>
      <c r="BW149" s="104"/>
      <c r="BX149" s="104">
        <v>250</v>
      </c>
      <c r="BY149" s="104">
        <v>200</v>
      </c>
      <c r="BZ149" s="104">
        <v>200</v>
      </c>
      <c r="CA149" s="104"/>
      <c r="CB149" s="104">
        <v>400</v>
      </c>
      <c r="CC149" s="104">
        <v>275</v>
      </c>
      <c r="CD149" s="104">
        <v>275</v>
      </c>
      <c r="CE149" s="156"/>
      <c r="CF149" s="102">
        <v>400</v>
      </c>
      <c r="CG149" s="104"/>
      <c r="CH149" s="104">
        <v>250</v>
      </c>
      <c r="CI149" s="104">
        <v>200</v>
      </c>
      <c r="CJ149" s="104">
        <v>212.5</v>
      </c>
      <c r="CK149" s="104"/>
      <c r="CL149" s="104">
        <v>400</v>
      </c>
      <c r="CM149" s="104">
        <v>275</v>
      </c>
      <c r="CN149" s="104">
        <v>275</v>
      </c>
      <c r="CO149" s="156"/>
      <c r="CP149" s="102"/>
      <c r="CQ149" s="104">
        <v>550</v>
      </c>
      <c r="CR149" s="104">
        <v>250</v>
      </c>
      <c r="CS149" s="104">
        <v>200</v>
      </c>
      <c r="CT149" s="104">
        <v>200</v>
      </c>
      <c r="CU149" s="104"/>
      <c r="CV149" s="104">
        <v>400</v>
      </c>
      <c r="CW149" s="104">
        <v>275</v>
      </c>
      <c r="CX149" s="104">
        <v>275</v>
      </c>
      <c r="CY149" s="156">
        <v>275</v>
      </c>
      <c r="CZ149" s="102"/>
      <c r="DA149" s="104">
        <v>450</v>
      </c>
      <c r="DB149" s="104">
        <v>250</v>
      </c>
      <c r="DC149" s="104">
        <v>200</v>
      </c>
      <c r="DD149" s="104">
        <v>200</v>
      </c>
      <c r="DE149" s="104"/>
      <c r="DF149" s="104">
        <v>400</v>
      </c>
      <c r="DG149" s="104">
        <v>275</v>
      </c>
      <c r="DH149" s="104">
        <v>275</v>
      </c>
      <c r="DI149" s="152">
        <v>275</v>
      </c>
      <c r="DJ149" s="102"/>
      <c r="DK149" s="104">
        <v>425</v>
      </c>
      <c r="DL149" s="104">
        <v>225</v>
      </c>
      <c r="DM149" s="104">
        <v>200</v>
      </c>
      <c r="DN149" s="104">
        <v>162.5</v>
      </c>
      <c r="DO149" s="104"/>
      <c r="DP149" s="104">
        <v>400</v>
      </c>
      <c r="DQ149" s="104">
        <v>275</v>
      </c>
      <c r="DR149" s="104">
        <v>275</v>
      </c>
      <c r="DS149" s="152"/>
      <c r="DT149" s="102"/>
      <c r="DU149" s="104">
        <v>500</v>
      </c>
      <c r="DV149" s="104">
        <v>200</v>
      </c>
      <c r="DW149" s="104">
        <v>200</v>
      </c>
      <c r="DX149" s="104">
        <v>150</v>
      </c>
      <c r="DY149" s="104"/>
      <c r="DZ149" s="104">
        <v>400</v>
      </c>
      <c r="EA149" s="104">
        <v>275</v>
      </c>
      <c r="EB149" s="104">
        <v>275</v>
      </c>
      <c r="EC149" s="152"/>
    </row>
    <row r="150" spans="1:133" x14ac:dyDescent="0.25">
      <c r="A150" s="95">
        <v>44166</v>
      </c>
      <c r="C150" s="75">
        <v>467.70833333333331</v>
      </c>
      <c r="D150" s="75">
        <v>285.72916666666669</v>
      </c>
      <c r="E150" s="75">
        <v>282.95454545454544</v>
      </c>
      <c r="F150" s="75">
        <v>230.69444444444446</v>
      </c>
      <c r="G150" s="75">
        <v>533.33333333333337</v>
      </c>
      <c r="H150" s="75">
        <v>446.875</v>
      </c>
      <c r="I150" s="75">
        <v>323.64583333333331</v>
      </c>
      <c r="J150" s="75">
        <v>312.5</v>
      </c>
      <c r="K150" s="75">
        <v>330</v>
      </c>
      <c r="N150" s="102"/>
      <c r="O150" s="104">
        <v>400</v>
      </c>
      <c r="P150" s="104">
        <v>250</v>
      </c>
      <c r="Q150" s="104">
        <v>250</v>
      </c>
      <c r="R150" s="104">
        <v>250</v>
      </c>
      <c r="S150" s="104">
        <v>500</v>
      </c>
      <c r="T150" s="104">
        <v>350</v>
      </c>
      <c r="U150" s="104">
        <v>280</v>
      </c>
      <c r="V150" s="104"/>
      <c r="W150" s="152"/>
      <c r="X150" s="102"/>
      <c r="Y150" s="104">
        <v>430</v>
      </c>
      <c r="Z150" s="104">
        <v>250</v>
      </c>
      <c r="AA150" s="104">
        <v>250</v>
      </c>
      <c r="AB150" s="104">
        <v>250</v>
      </c>
      <c r="AC150" s="104">
        <v>500</v>
      </c>
      <c r="AD150" s="104">
        <v>350</v>
      </c>
      <c r="AE150" s="104">
        <v>280</v>
      </c>
      <c r="AF150" s="104"/>
      <c r="AG150" s="152">
        <v>280</v>
      </c>
      <c r="AH150" s="102">
        <v>400</v>
      </c>
      <c r="AI150" s="104">
        <v>500</v>
      </c>
      <c r="AJ150" s="104">
        <v>262.5</v>
      </c>
      <c r="AK150" s="104">
        <v>275</v>
      </c>
      <c r="AL150" s="104">
        <v>250</v>
      </c>
      <c r="AM150" s="104">
        <v>500</v>
      </c>
      <c r="AN150" s="104">
        <v>375</v>
      </c>
      <c r="AO150" s="104">
        <v>280</v>
      </c>
      <c r="AP150" s="104"/>
      <c r="AQ150" s="156">
        <v>280</v>
      </c>
      <c r="AR150" s="102">
        <v>337.5</v>
      </c>
      <c r="AS150" s="104"/>
      <c r="AT150" s="104">
        <v>300</v>
      </c>
      <c r="AU150" s="104">
        <v>268.75</v>
      </c>
      <c r="AV150" s="104">
        <v>250</v>
      </c>
      <c r="AW150" s="104">
        <v>500</v>
      </c>
      <c r="AX150" s="104">
        <v>400</v>
      </c>
      <c r="AY150" s="104">
        <v>280</v>
      </c>
      <c r="AZ150" s="104"/>
      <c r="BA150" s="156">
        <v>286.66666666666669</v>
      </c>
      <c r="BB150" s="102">
        <v>250</v>
      </c>
      <c r="BC150" s="104"/>
      <c r="BD150" s="104">
        <v>287.5</v>
      </c>
      <c r="BE150" s="104">
        <v>275</v>
      </c>
      <c r="BF150" s="104">
        <v>250</v>
      </c>
      <c r="BG150" s="104">
        <v>500</v>
      </c>
      <c r="BH150" s="104">
        <v>400</v>
      </c>
      <c r="BI150" s="104">
        <v>280</v>
      </c>
      <c r="BJ150" s="104"/>
      <c r="BK150" s="156">
        <v>280</v>
      </c>
      <c r="BL150" s="102">
        <v>275</v>
      </c>
      <c r="BM150" s="104"/>
      <c r="BN150" s="104">
        <v>250</v>
      </c>
      <c r="BO150" s="104">
        <v>260</v>
      </c>
      <c r="BP150" s="104">
        <v>250</v>
      </c>
      <c r="BQ150" s="104">
        <v>500</v>
      </c>
      <c r="BR150" s="104">
        <v>400</v>
      </c>
      <c r="BS150" s="104">
        <v>282.5</v>
      </c>
      <c r="BT150" s="104"/>
      <c r="BU150" s="156">
        <v>280</v>
      </c>
      <c r="BV150" s="102">
        <v>350</v>
      </c>
      <c r="BW150" s="104"/>
      <c r="BX150" s="104">
        <v>250</v>
      </c>
      <c r="BY150" s="104">
        <v>250</v>
      </c>
      <c r="BZ150" s="104">
        <v>250</v>
      </c>
      <c r="CA150" s="104">
        <v>500</v>
      </c>
      <c r="CB150" s="104">
        <v>400</v>
      </c>
      <c r="CC150" s="104">
        <v>280</v>
      </c>
      <c r="CD150" s="104"/>
      <c r="CE150" s="156">
        <v>280</v>
      </c>
      <c r="CF150" s="102">
        <v>387.5</v>
      </c>
      <c r="CG150" s="104"/>
      <c r="CH150" s="104">
        <v>250</v>
      </c>
      <c r="CI150" s="104">
        <v>250</v>
      </c>
      <c r="CJ150" s="104">
        <v>250</v>
      </c>
      <c r="CK150" s="104">
        <v>500</v>
      </c>
      <c r="CL150" s="104">
        <v>400</v>
      </c>
      <c r="CM150" s="104">
        <v>280</v>
      </c>
      <c r="CN150" s="104"/>
      <c r="CO150" s="156">
        <v>280</v>
      </c>
      <c r="CP150" s="102">
        <v>700</v>
      </c>
      <c r="CQ150" s="104">
        <v>512.5</v>
      </c>
      <c r="CR150" s="104">
        <v>250</v>
      </c>
      <c r="CS150" s="104">
        <v>250</v>
      </c>
      <c r="CT150" s="104">
        <v>250</v>
      </c>
      <c r="CU150" s="104">
        <v>500</v>
      </c>
      <c r="CV150" s="104">
        <v>400</v>
      </c>
      <c r="CW150" s="104">
        <v>280</v>
      </c>
      <c r="CX150" s="104"/>
      <c r="CY150" s="156">
        <v>280</v>
      </c>
      <c r="CZ150" s="102"/>
      <c r="DA150" s="104">
        <v>425</v>
      </c>
      <c r="DB150" s="104">
        <v>250</v>
      </c>
      <c r="DC150" s="104">
        <v>287.5</v>
      </c>
      <c r="DD150" s="104">
        <v>250</v>
      </c>
      <c r="DE150" s="104">
        <v>500</v>
      </c>
      <c r="DF150" s="104">
        <v>400</v>
      </c>
      <c r="DG150" s="104">
        <v>280</v>
      </c>
      <c r="DH150" s="104"/>
      <c r="DI150" s="152">
        <v>280</v>
      </c>
      <c r="DJ150" s="102"/>
      <c r="DK150" s="104">
        <v>362.5</v>
      </c>
      <c r="DL150" s="104">
        <v>250</v>
      </c>
      <c r="DM150" s="104">
        <v>262.5</v>
      </c>
      <c r="DN150" s="104">
        <v>250</v>
      </c>
      <c r="DO150" s="104">
        <v>500</v>
      </c>
      <c r="DP150" s="104">
        <v>400</v>
      </c>
      <c r="DQ150" s="104">
        <v>280</v>
      </c>
      <c r="DR150" s="104"/>
      <c r="DS150" s="152">
        <v>280</v>
      </c>
      <c r="DT150" s="102"/>
      <c r="DU150" s="104">
        <v>400</v>
      </c>
      <c r="DV150" s="104">
        <v>250</v>
      </c>
      <c r="DW150" s="104">
        <v>275</v>
      </c>
      <c r="DX150" s="104">
        <v>250</v>
      </c>
      <c r="DY150" s="104">
        <v>500</v>
      </c>
      <c r="DZ150" s="104">
        <v>400</v>
      </c>
      <c r="EA150" s="104">
        <v>280</v>
      </c>
      <c r="EB150" s="104"/>
      <c r="EC150" s="152">
        <v>310</v>
      </c>
    </row>
    <row r="151" spans="1:133" ht="15.75" thickBot="1" x14ac:dyDescent="0.3">
      <c r="A151" s="95">
        <v>44197</v>
      </c>
      <c r="C151" s="75">
        <v>551.94444444444446</v>
      </c>
      <c r="D151" s="75">
        <v>280.33333333333331</v>
      </c>
      <c r="E151" s="75">
        <v>284.72222222222223</v>
      </c>
      <c r="F151" s="75">
        <v>232.56666666666669</v>
      </c>
      <c r="G151" s="75">
        <v>525</v>
      </c>
      <c r="H151" s="75">
        <v>447.22222222222223</v>
      </c>
      <c r="I151" s="75">
        <v>326.25</v>
      </c>
      <c r="J151" s="75">
        <v>313.88888888888891</v>
      </c>
      <c r="K151" s="75">
        <v>337.66666666666669</v>
      </c>
      <c r="N151" s="103"/>
      <c r="O151" s="105">
        <v>413.63636363636363</v>
      </c>
      <c r="P151" s="105">
        <v>245.30303030303031</v>
      </c>
      <c r="Q151" s="105">
        <v>250</v>
      </c>
      <c r="R151" s="105">
        <v>230.45454545454541</v>
      </c>
      <c r="S151" s="105">
        <v>450</v>
      </c>
      <c r="T151" s="105">
        <v>358.33333333333331</v>
      </c>
      <c r="U151" s="105">
        <v>270</v>
      </c>
      <c r="V151" s="105">
        <v>266.42857142857144</v>
      </c>
      <c r="W151" s="167">
        <v>264.07407407407413</v>
      </c>
      <c r="X151" s="103">
        <v>323.83333333333331</v>
      </c>
      <c r="Y151" s="105">
        <v>417.27272727272725</v>
      </c>
      <c r="Z151" s="105">
        <v>244.90909090909091</v>
      </c>
      <c r="AA151" s="105">
        <v>244</v>
      </c>
      <c r="AB151" s="105">
        <v>234.1</v>
      </c>
      <c r="AC151" s="105">
        <v>447.5</v>
      </c>
      <c r="AD151" s="105">
        <v>356.36363636363637</v>
      </c>
      <c r="AE151" s="105">
        <v>272.45454545454544</v>
      </c>
      <c r="AF151" s="105">
        <v>268.07142857142856</v>
      </c>
      <c r="AG151" s="167">
        <v>248.46818181818182</v>
      </c>
      <c r="AH151" s="103">
        <v>338.63636363636363</v>
      </c>
      <c r="AI151" s="105">
        <v>485.71428571428572</v>
      </c>
      <c r="AJ151" s="105">
        <v>245.90909090909091</v>
      </c>
      <c r="AK151" s="105">
        <v>250</v>
      </c>
      <c r="AL151" s="105">
        <v>233.33333333333334</v>
      </c>
      <c r="AM151" s="105">
        <v>450</v>
      </c>
      <c r="AN151" s="105">
        <v>368.18181818181819</v>
      </c>
      <c r="AO151" s="105">
        <v>273.18181818181819</v>
      </c>
      <c r="AP151" s="105">
        <v>270.71428571428572</v>
      </c>
      <c r="AQ151" s="168">
        <v>271.38888888888891</v>
      </c>
      <c r="AR151" s="103">
        <v>259.09090909090907</v>
      </c>
      <c r="AS151" s="105">
        <v>400</v>
      </c>
      <c r="AT151" s="105">
        <v>250.22727272727272</v>
      </c>
      <c r="AU151" s="105">
        <v>250</v>
      </c>
      <c r="AV151" s="105">
        <v>235.5</v>
      </c>
      <c r="AW151" s="105">
        <v>462.5</v>
      </c>
      <c r="AX151" s="105">
        <v>371.59090909090907</v>
      </c>
      <c r="AY151" s="105">
        <v>273.40909090909093</v>
      </c>
      <c r="AZ151" s="105">
        <v>271.96428571428572</v>
      </c>
      <c r="BA151" s="168">
        <v>270.18518518518516</v>
      </c>
      <c r="BB151" s="103">
        <v>219.25</v>
      </c>
      <c r="BC151" s="105"/>
      <c r="BD151" s="105">
        <v>250.68181818181819</v>
      </c>
      <c r="BE151" s="105">
        <v>255</v>
      </c>
      <c r="BF151" s="105">
        <v>235</v>
      </c>
      <c r="BG151" s="105">
        <v>475</v>
      </c>
      <c r="BH151" s="105">
        <v>372.15909090909093</v>
      </c>
      <c r="BI151" s="105">
        <v>273.63636363636363</v>
      </c>
      <c r="BJ151" s="105">
        <v>272.08333333333331</v>
      </c>
      <c r="BK151" s="168">
        <v>273.45833333333331</v>
      </c>
      <c r="BL151" s="103">
        <v>239.70454545454547</v>
      </c>
      <c r="BM151" s="105"/>
      <c r="BN151" s="105">
        <v>249.77272727272728</v>
      </c>
      <c r="BO151" s="105">
        <v>251</v>
      </c>
      <c r="BP151" s="105">
        <v>233.33333333333334</v>
      </c>
      <c r="BQ151" s="105">
        <v>475</v>
      </c>
      <c r="BR151" s="105">
        <v>372.72727272727275</v>
      </c>
      <c r="BS151" s="105">
        <v>274.20454545454544</v>
      </c>
      <c r="BT151" s="105">
        <v>272.08333333333331</v>
      </c>
      <c r="BU151" s="168">
        <v>270.5</v>
      </c>
      <c r="BV151" s="103">
        <v>298.40909090909093</v>
      </c>
      <c r="BW151" s="105"/>
      <c r="BX151" s="105">
        <v>250.56818181818181</v>
      </c>
      <c r="BY151" s="105">
        <v>253.33333333333331</v>
      </c>
      <c r="BZ151" s="105">
        <v>235.83333333333334</v>
      </c>
      <c r="CA151" s="105">
        <v>475</v>
      </c>
      <c r="CB151" s="105">
        <v>372.72727272727275</v>
      </c>
      <c r="CC151" s="105">
        <v>274.09090909090907</v>
      </c>
      <c r="CD151" s="105">
        <v>273.33333333333331</v>
      </c>
      <c r="CE151" s="168">
        <v>268.75</v>
      </c>
      <c r="CF151" s="103">
        <v>339.20454545454544</v>
      </c>
      <c r="CG151" s="105"/>
      <c r="CH151" s="105">
        <v>252.27272727272728</v>
      </c>
      <c r="CI151" s="105">
        <v>262.5</v>
      </c>
      <c r="CJ151" s="105">
        <v>238.61111111111111</v>
      </c>
      <c r="CK151" s="105">
        <v>475</v>
      </c>
      <c r="CL151" s="105">
        <v>379.54545454545456</v>
      </c>
      <c r="CM151" s="105">
        <v>274.09090909090907</v>
      </c>
      <c r="CN151" s="105">
        <v>273.54166666666669</v>
      </c>
      <c r="CO151" s="168">
        <v>280.15625</v>
      </c>
      <c r="CP151" s="103">
        <v>454.6875</v>
      </c>
      <c r="CQ151" s="105">
        <v>459.65909090909093</v>
      </c>
      <c r="CR151" s="105">
        <v>247.72727272727272</v>
      </c>
      <c r="CS151" s="105">
        <v>258.125</v>
      </c>
      <c r="CT151" s="105">
        <v>232.91666666666666</v>
      </c>
      <c r="CU151" s="105">
        <v>456.25</v>
      </c>
      <c r="CV151" s="105">
        <v>380.68181818181819</v>
      </c>
      <c r="CW151" s="105">
        <v>275.79545454545456</v>
      </c>
      <c r="CX151" s="105">
        <v>272.5</v>
      </c>
      <c r="CY151" s="168">
        <v>283</v>
      </c>
      <c r="CZ151" s="103"/>
      <c r="DA151" s="105">
        <v>400.56818181818181</v>
      </c>
      <c r="DB151" s="105">
        <v>246.59090909090909</v>
      </c>
      <c r="DC151" s="105">
        <v>263.75</v>
      </c>
      <c r="DD151" s="105">
        <v>228.05555555555554</v>
      </c>
      <c r="DE151" s="105">
        <v>459.375</v>
      </c>
      <c r="DF151" s="105">
        <v>392.61363636363637</v>
      </c>
      <c r="DG151" s="105">
        <v>274.54545454545456</v>
      </c>
      <c r="DH151" s="105">
        <v>278.21428571428572</v>
      </c>
      <c r="DI151" s="167">
        <v>283.25</v>
      </c>
      <c r="DJ151" s="103"/>
      <c r="DK151" s="105">
        <v>378.40909090909093</v>
      </c>
      <c r="DL151" s="105">
        <v>236.93181818181819</v>
      </c>
      <c r="DM151" s="105">
        <v>255.625</v>
      </c>
      <c r="DN151" s="105">
        <v>218.4375</v>
      </c>
      <c r="DO151" s="105">
        <v>450</v>
      </c>
      <c r="DP151" s="105">
        <v>393.18181818181819</v>
      </c>
      <c r="DQ151" s="105">
        <v>273.29545454545456</v>
      </c>
      <c r="DR151" s="105">
        <v>272.5</v>
      </c>
      <c r="DS151" s="167">
        <v>284.58333333333337</v>
      </c>
      <c r="DT151" s="103"/>
      <c r="DU151" s="105">
        <v>425</v>
      </c>
      <c r="DV151" s="105">
        <v>227.84090909090909</v>
      </c>
      <c r="DW151" s="105">
        <v>248.86363636363637</v>
      </c>
      <c r="DX151" s="105">
        <v>215</v>
      </c>
      <c r="DY151" s="105">
        <v>445.3125</v>
      </c>
      <c r="DZ151" s="105">
        <v>392.04545454545456</v>
      </c>
      <c r="EA151" s="105">
        <v>273.75</v>
      </c>
      <c r="EB151" s="105">
        <v>272.32142857142856</v>
      </c>
      <c r="EC151" s="167">
        <v>293.19444444444446</v>
      </c>
    </row>
    <row r="152" spans="1:133" x14ac:dyDescent="0.25">
      <c r="A152" s="95">
        <v>44228</v>
      </c>
      <c r="B152" s="75">
        <v>492.70833333333326</v>
      </c>
      <c r="C152" s="75">
        <v>593.05555555555554</v>
      </c>
      <c r="D152" s="75">
        <v>282.8125</v>
      </c>
      <c r="E152" s="75">
        <v>281.25</v>
      </c>
      <c r="F152" s="75">
        <v>230.55555555555554</v>
      </c>
      <c r="G152" s="75">
        <v>525</v>
      </c>
      <c r="H152" s="75">
        <v>450</v>
      </c>
      <c r="I152" s="75">
        <v>327.08333333333331</v>
      </c>
      <c r="J152" s="75">
        <v>311.25</v>
      </c>
      <c r="K152" s="75">
        <v>336.875</v>
      </c>
    </row>
    <row r="153" spans="1:133" x14ac:dyDescent="0.25">
      <c r="A153" s="95">
        <v>44256</v>
      </c>
      <c r="B153" s="75">
        <v>432.5</v>
      </c>
      <c r="C153" s="75">
        <v>593.75</v>
      </c>
      <c r="D153" s="75">
        <v>277.5</v>
      </c>
      <c r="E153" s="75">
        <v>283.63636363636363</v>
      </c>
      <c r="F153" s="75">
        <v>236.52777777777777</v>
      </c>
      <c r="G153" s="75">
        <v>525</v>
      </c>
      <c r="H153" s="75">
        <v>449.16666666666669</v>
      </c>
      <c r="I153" s="75">
        <v>329.58333333333331</v>
      </c>
      <c r="J153" s="75">
        <v>312.77777777777777</v>
      </c>
      <c r="K153" s="75">
        <v>345</v>
      </c>
    </row>
    <row r="154" spans="1:133" ht="15.75" thickBot="1" x14ac:dyDescent="0.3">
      <c r="A154" s="95">
        <v>44287</v>
      </c>
      <c r="B154" s="75">
        <v>339.42307692307691</v>
      </c>
      <c r="C154" s="75"/>
      <c r="D154" s="75">
        <v>280.28846153846155</v>
      </c>
      <c r="E154" s="75">
        <v>284.89583333333331</v>
      </c>
      <c r="F154" s="75">
        <v>239.20454545454547</v>
      </c>
      <c r="G154" s="75">
        <v>502.5</v>
      </c>
      <c r="H154" s="75">
        <v>434.61538461538464</v>
      </c>
      <c r="I154" s="75">
        <v>329.96794871794867</v>
      </c>
      <c r="J154" s="75">
        <v>313.125</v>
      </c>
      <c r="K154" s="75">
        <v>348.10606060606062</v>
      </c>
      <c r="N154" s="71">
        <v>2016</v>
      </c>
    </row>
    <row r="155" spans="1:133" ht="15.75" thickBot="1" x14ac:dyDescent="0.3">
      <c r="A155" s="95">
        <v>44317</v>
      </c>
      <c r="B155" s="75">
        <v>310.9375</v>
      </c>
      <c r="C155" s="75"/>
      <c r="D155" s="75">
        <v>280.20833333333331</v>
      </c>
      <c r="E155" s="75">
        <v>285.79545454545456</v>
      </c>
      <c r="F155" s="75">
        <v>243.75</v>
      </c>
      <c r="G155" s="75">
        <v>487.5</v>
      </c>
      <c r="H155" s="75">
        <v>431.25</v>
      </c>
      <c r="I155" s="75">
        <v>325.52083333333331</v>
      </c>
      <c r="J155" s="75">
        <v>307.40740740740745</v>
      </c>
      <c r="K155" s="75">
        <v>343.125</v>
      </c>
      <c r="N155" s="118"/>
      <c r="O155" s="109"/>
      <c r="P155" s="109"/>
      <c r="Q155" s="109"/>
      <c r="R155" s="110" t="s">
        <v>165</v>
      </c>
      <c r="S155" s="110"/>
      <c r="T155" s="109"/>
      <c r="U155" s="109"/>
      <c r="V155" s="109"/>
      <c r="W155" s="112"/>
      <c r="X155" s="118"/>
      <c r="Y155" s="109"/>
      <c r="Z155" s="109"/>
      <c r="AA155" s="109"/>
      <c r="AB155" s="110" t="s">
        <v>165</v>
      </c>
      <c r="AC155" s="110"/>
      <c r="AD155" s="109"/>
      <c r="AE155" s="109"/>
      <c r="AF155" s="109"/>
      <c r="AG155" s="112"/>
      <c r="AH155" s="118"/>
      <c r="AI155" s="109"/>
      <c r="AJ155" s="109"/>
      <c r="AK155" s="109"/>
      <c r="AL155" s="110" t="s">
        <v>165</v>
      </c>
      <c r="AM155" s="110"/>
      <c r="AN155" s="109"/>
      <c r="AO155" s="109"/>
      <c r="AP155" s="109"/>
      <c r="AQ155" s="112"/>
      <c r="AR155" s="118"/>
      <c r="AS155" s="109"/>
      <c r="AT155" s="109"/>
      <c r="AU155" s="109"/>
      <c r="AV155" s="110" t="s">
        <v>165</v>
      </c>
      <c r="AW155" s="110"/>
      <c r="AX155" s="109"/>
      <c r="AY155" s="109"/>
      <c r="AZ155" s="109"/>
      <c r="BA155" s="112"/>
      <c r="BB155" s="118"/>
      <c r="BC155" s="109"/>
      <c r="BD155" s="109"/>
      <c r="BE155" s="109"/>
      <c r="BF155" s="110" t="s">
        <v>165</v>
      </c>
      <c r="BG155" s="110"/>
      <c r="BH155" s="109"/>
      <c r="BI155" s="109"/>
      <c r="BJ155" s="109"/>
      <c r="BK155" s="112"/>
      <c r="BL155" s="118"/>
      <c r="BM155" s="109"/>
      <c r="BN155" s="109"/>
      <c r="BO155" s="110" t="s">
        <v>165</v>
      </c>
      <c r="BP155" s="110"/>
      <c r="BQ155" s="110"/>
      <c r="BR155" s="109"/>
      <c r="BS155" s="109"/>
      <c r="BT155" s="109"/>
      <c r="BU155" s="112"/>
      <c r="BV155" s="118"/>
      <c r="BW155" s="109"/>
      <c r="BX155" s="109"/>
      <c r="BY155" s="109"/>
      <c r="BZ155" s="110" t="s">
        <v>165</v>
      </c>
      <c r="CA155" s="110"/>
      <c r="CB155" s="109"/>
      <c r="CC155" s="109"/>
      <c r="CD155" s="109"/>
      <c r="CE155" s="112"/>
      <c r="CF155" s="118"/>
      <c r="CG155" s="109"/>
      <c r="CH155" s="109"/>
      <c r="CI155" s="109"/>
      <c r="CJ155" s="110" t="s">
        <v>165</v>
      </c>
      <c r="CK155" s="110"/>
      <c r="CL155" s="109"/>
      <c r="CM155" s="109"/>
      <c r="CN155" s="109"/>
      <c r="CO155" s="112"/>
      <c r="CP155" s="118"/>
      <c r="CQ155" s="109"/>
      <c r="CR155" s="109"/>
      <c r="CS155" s="109"/>
      <c r="CT155" s="110" t="s">
        <v>165</v>
      </c>
      <c r="CU155" s="110"/>
      <c r="CV155" s="109"/>
      <c r="CW155" s="109"/>
      <c r="CX155" s="109"/>
      <c r="CY155" s="112"/>
      <c r="CZ155" s="118"/>
      <c r="DA155" s="109"/>
      <c r="DB155" s="109"/>
      <c r="DC155" s="109"/>
      <c r="DD155" s="110" t="s">
        <v>165</v>
      </c>
      <c r="DE155" s="110"/>
      <c r="DF155" s="109"/>
      <c r="DG155" s="109"/>
      <c r="DH155" s="109"/>
      <c r="DI155" s="112"/>
      <c r="DJ155" s="118"/>
      <c r="DK155" s="109"/>
      <c r="DL155" s="109"/>
      <c r="DM155" s="110" t="s">
        <v>165</v>
      </c>
      <c r="DN155" s="110"/>
      <c r="DO155" s="110"/>
      <c r="DP155" s="109"/>
      <c r="DQ155" s="109"/>
      <c r="DR155" s="109"/>
      <c r="DS155" s="112"/>
      <c r="DT155" s="118"/>
      <c r="DU155" s="109"/>
      <c r="DV155" s="109"/>
      <c r="DW155" s="110" t="s">
        <v>165</v>
      </c>
      <c r="DX155" s="110"/>
      <c r="DY155" s="110"/>
      <c r="DZ155" s="109"/>
      <c r="EA155" s="109"/>
      <c r="EB155" s="109"/>
      <c r="EC155" s="112"/>
    </row>
    <row r="156" spans="1:133" ht="15.75" thickBot="1" x14ac:dyDescent="0.3">
      <c r="A156" s="95">
        <v>44348</v>
      </c>
      <c r="B156" s="75">
        <v>315</v>
      </c>
      <c r="C156" s="75"/>
      <c r="D156" s="75">
        <v>286.78571428571428</v>
      </c>
      <c r="E156" s="75">
        <v>291.15384615384613</v>
      </c>
      <c r="F156" s="75">
        <v>253.18181818181819</v>
      </c>
      <c r="G156" s="75">
        <v>492</v>
      </c>
      <c r="H156" s="75">
        <v>433.92857142857144</v>
      </c>
      <c r="I156" s="75">
        <v>325.71428571428572</v>
      </c>
      <c r="J156" s="75">
        <v>304.67272727272729</v>
      </c>
      <c r="K156" s="75">
        <v>350.41666666666669</v>
      </c>
      <c r="N156" s="137"/>
      <c r="O156" s="138"/>
      <c r="P156" s="138"/>
      <c r="Q156" s="138"/>
      <c r="R156" s="130" t="s">
        <v>252</v>
      </c>
      <c r="S156" s="130"/>
      <c r="T156" s="138"/>
      <c r="U156" s="138"/>
      <c r="V156" s="138"/>
      <c r="W156" s="139"/>
      <c r="X156" s="137"/>
      <c r="Y156" s="138"/>
      <c r="Z156" s="138"/>
      <c r="AA156" s="138"/>
      <c r="AB156" s="130" t="s">
        <v>253</v>
      </c>
      <c r="AC156" s="130"/>
      <c r="AD156" s="138"/>
      <c r="AE156" s="138"/>
      <c r="AF156" s="138"/>
      <c r="AG156" s="139"/>
      <c r="AH156" s="137"/>
      <c r="AI156" s="138"/>
      <c r="AJ156" s="138"/>
      <c r="AK156" s="138"/>
      <c r="AL156" s="130" t="s">
        <v>254</v>
      </c>
      <c r="AM156" s="130"/>
      <c r="AN156" s="138"/>
      <c r="AO156" s="138"/>
      <c r="AP156" s="138"/>
      <c r="AQ156" s="139"/>
      <c r="AR156" s="137"/>
      <c r="AS156" s="138"/>
      <c r="AT156" s="138"/>
      <c r="AU156" s="138"/>
      <c r="AV156" s="130" t="s">
        <v>255</v>
      </c>
      <c r="AW156" s="130"/>
      <c r="AX156" s="138"/>
      <c r="AY156" s="138"/>
      <c r="AZ156" s="138"/>
      <c r="BA156" s="139"/>
      <c r="BB156" s="137"/>
      <c r="BC156" s="138"/>
      <c r="BD156" s="138"/>
      <c r="BE156" s="138"/>
      <c r="BF156" s="130" t="s">
        <v>256</v>
      </c>
      <c r="BG156" s="130"/>
      <c r="BH156" s="138"/>
      <c r="BI156" s="138"/>
      <c r="BJ156" s="138"/>
      <c r="BK156" s="139"/>
      <c r="BL156" s="137"/>
      <c r="BM156" s="138"/>
      <c r="BN156" s="138"/>
      <c r="BO156" s="130" t="s">
        <v>257</v>
      </c>
      <c r="BP156" s="130"/>
      <c r="BQ156" s="130"/>
      <c r="BR156" s="138"/>
      <c r="BS156" s="138"/>
      <c r="BT156" s="138"/>
      <c r="BU156" s="139"/>
      <c r="BV156" s="137"/>
      <c r="BW156" s="138"/>
      <c r="BX156" s="138"/>
      <c r="BY156" s="138"/>
      <c r="BZ156" s="130" t="s">
        <v>258</v>
      </c>
      <c r="CA156" s="130"/>
      <c r="CB156" s="138"/>
      <c r="CC156" s="138"/>
      <c r="CD156" s="138"/>
      <c r="CE156" s="139"/>
      <c r="CF156" s="137"/>
      <c r="CG156" s="138"/>
      <c r="CH156" s="138"/>
      <c r="CI156" s="138"/>
      <c r="CJ156" s="130" t="s">
        <v>259</v>
      </c>
      <c r="CK156" s="130"/>
      <c r="CL156" s="138"/>
      <c r="CM156" s="138"/>
      <c r="CN156" s="138"/>
      <c r="CO156" s="139"/>
      <c r="CP156" s="137"/>
      <c r="CQ156" s="138"/>
      <c r="CR156" s="138"/>
      <c r="CS156" s="138"/>
      <c r="CT156" s="130" t="s">
        <v>260</v>
      </c>
      <c r="CU156" s="130"/>
      <c r="CV156" s="138"/>
      <c r="CW156" s="138"/>
      <c r="CX156" s="138"/>
      <c r="CY156" s="139"/>
      <c r="CZ156" s="137"/>
      <c r="DA156" s="138"/>
      <c r="DB156" s="138"/>
      <c r="DC156" s="138"/>
      <c r="DD156" s="130" t="s">
        <v>261</v>
      </c>
      <c r="DE156" s="130"/>
      <c r="DF156" s="138"/>
      <c r="DG156" s="138"/>
      <c r="DH156" s="138"/>
      <c r="DI156" s="139"/>
      <c r="DJ156" s="137"/>
      <c r="DK156" s="138"/>
      <c r="DL156" s="138"/>
      <c r="DM156" s="130" t="s">
        <v>262</v>
      </c>
      <c r="DN156" s="130"/>
      <c r="DO156" s="130"/>
      <c r="DP156" s="138"/>
      <c r="DQ156" s="138"/>
      <c r="DR156" s="138"/>
      <c r="DS156" s="139"/>
      <c r="DT156" s="137"/>
      <c r="DU156" s="138"/>
      <c r="DV156" s="138"/>
      <c r="DW156" s="130" t="s">
        <v>263</v>
      </c>
      <c r="DX156" s="130"/>
      <c r="DY156" s="130"/>
      <c r="DZ156" s="138"/>
      <c r="EA156" s="138"/>
      <c r="EB156" s="138"/>
      <c r="EC156" s="139"/>
    </row>
    <row r="157" spans="1:133" x14ac:dyDescent="0.25">
      <c r="A157" s="95">
        <v>44378</v>
      </c>
      <c r="B157" s="75">
        <v>313.46153846153845</v>
      </c>
      <c r="C157" s="75"/>
      <c r="D157" s="75">
        <v>287.01923076923077</v>
      </c>
      <c r="E157" s="75">
        <v>283.33333333333331</v>
      </c>
      <c r="F157" s="75">
        <v>246.04166666666669</v>
      </c>
      <c r="G157" s="75">
        <v>492.5</v>
      </c>
      <c r="H157" s="75">
        <v>434.61538461538464</v>
      </c>
      <c r="I157" s="75">
        <v>325.57692307692309</v>
      </c>
      <c r="J157" s="75">
        <v>311.875</v>
      </c>
      <c r="K157" s="75">
        <v>342.61363636363637</v>
      </c>
      <c r="N157" s="455" t="s">
        <v>152</v>
      </c>
      <c r="O157" s="463"/>
      <c r="P157" s="457" t="s">
        <v>153</v>
      </c>
      <c r="Q157" s="458"/>
      <c r="R157" s="456"/>
      <c r="S157" s="457" t="s">
        <v>290</v>
      </c>
      <c r="T157" s="458"/>
      <c r="U157" s="458"/>
      <c r="V157" s="458"/>
      <c r="W157" s="459"/>
      <c r="X157" s="455" t="s">
        <v>152</v>
      </c>
      <c r="Y157" s="463"/>
      <c r="Z157" s="457" t="s">
        <v>153</v>
      </c>
      <c r="AA157" s="458"/>
      <c r="AB157" s="456"/>
      <c r="AC157" s="457" t="s">
        <v>290</v>
      </c>
      <c r="AD157" s="458"/>
      <c r="AE157" s="458"/>
      <c r="AF157" s="458"/>
      <c r="AG157" s="459"/>
      <c r="AH157" s="455" t="s">
        <v>152</v>
      </c>
      <c r="AI157" s="463"/>
      <c r="AJ157" s="457" t="s">
        <v>153</v>
      </c>
      <c r="AK157" s="458"/>
      <c r="AL157" s="456"/>
      <c r="AM157" s="457" t="s">
        <v>290</v>
      </c>
      <c r="AN157" s="458"/>
      <c r="AO157" s="458"/>
      <c r="AP157" s="458"/>
      <c r="AQ157" s="459"/>
      <c r="AR157" s="455" t="s">
        <v>152</v>
      </c>
      <c r="AS157" s="463"/>
      <c r="AT157" s="457" t="s">
        <v>153</v>
      </c>
      <c r="AU157" s="458"/>
      <c r="AV157" s="456"/>
      <c r="AW157" s="457" t="s">
        <v>290</v>
      </c>
      <c r="AX157" s="458"/>
      <c r="AY157" s="458"/>
      <c r="AZ157" s="458"/>
      <c r="BA157" s="459"/>
      <c r="BB157" s="455" t="s">
        <v>152</v>
      </c>
      <c r="BC157" s="463"/>
      <c r="BD157" s="457" t="s">
        <v>153</v>
      </c>
      <c r="BE157" s="458"/>
      <c r="BF157" s="456"/>
      <c r="BG157" s="457" t="s">
        <v>290</v>
      </c>
      <c r="BH157" s="458"/>
      <c r="BI157" s="458"/>
      <c r="BJ157" s="458"/>
      <c r="BK157" s="459"/>
      <c r="BL157" s="455" t="s">
        <v>152</v>
      </c>
      <c r="BM157" s="463"/>
      <c r="BN157" s="457" t="s">
        <v>153</v>
      </c>
      <c r="BO157" s="458"/>
      <c r="BP157" s="456"/>
      <c r="BQ157" s="457" t="s">
        <v>290</v>
      </c>
      <c r="BR157" s="458"/>
      <c r="BS157" s="458"/>
      <c r="BT157" s="458"/>
      <c r="BU157" s="459"/>
      <c r="BV157" s="455" t="s">
        <v>152</v>
      </c>
      <c r="BW157" s="463"/>
      <c r="BX157" s="457" t="s">
        <v>153</v>
      </c>
      <c r="BY157" s="458"/>
      <c r="BZ157" s="456"/>
      <c r="CA157" s="457" t="s">
        <v>290</v>
      </c>
      <c r="CB157" s="458"/>
      <c r="CC157" s="458"/>
      <c r="CD157" s="458"/>
      <c r="CE157" s="459"/>
      <c r="CF157" s="455" t="s">
        <v>152</v>
      </c>
      <c r="CG157" s="463"/>
      <c r="CH157" s="457" t="s">
        <v>153</v>
      </c>
      <c r="CI157" s="458"/>
      <c r="CJ157" s="456"/>
      <c r="CK157" s="457" t="s">
        <v>290</v>
      </c>
      <c r="CL157" s="458"/>
      <c r="CM157" s="458"/>
      <c r="CN157" s="458"/>
      <c r="CO157" s="459"/>
      <c r="CP157" s="455" t="s">
        <v>152</v>
      </c>
      <c r="CQ157" s="463"/>
      <c r="CR157" s="457" t="s">
        <v>153</v>
      </c>
      <c r="CS157" s="458"/>
      <c r="CT157" s="456"/>
      <c r="CU157" s="457" t="s">
        <v>290</v>
      </c>
      <c r="CV157" s="458"/>
      <c r="CW157" s="458"/>
      <c r="CX157" s="458"/>
      <c r="CY157" s="459"/>
      <c r="CZ157" s="455" t="s">
        <v>152</v>
      </c>
      <c r="DA157" s="463"/>
      <c r="DB157" s="457" t="s">
        <v>153</v>
      </c>
      <c r="DC157" s="458"/>
      <c r="DD157" s="456"/>
      <c r="DE157" s="457" t="s">
        <v>290</v>
      </c>
      <c r="DF157" s="458"/>
      <c r="DG157" s="458"/>
      <c r="DH157" s="458"/>
      <c r="DI157" s="459"/>
      <c r="DJ157" s="455" t="s">
        <v>152</v>
      </c>
      <c r="DK157" s="463"/>
      <c r="DL157" s="457" t="s">
        <v>153</v>
      </c>
      <c r="DM157" s="458"/>
      <c r="DN157" s="456"/>
      <c r="DO157" s="457" t="s">
        <v>290</v>
      </c>
      <c r="DP157" s="458"/>
      <c r="DQ157" s="458"/>
      <c r="DR157" s="458"/>
      <c r="DS157" s="459"/>
      <c r="DT157" s="455" t="s">
        <v>152</v>
      </c>
      <c r="DU157" s="463"/>
      <c r="DV157" s="457" t="s">
        <v>153</v>
      </c>
      <c r="DW157" s="458"/>
      <c r="DX157" s="456"/>
      <c r="DY157" s="457" t="s">
        <v>290</v>
      </c>
      <c r="DZ157" s="458"/>
      <c r="EA157" s="458"/>
      <c r="EB157" s="458"/>
      <c r="EC157" s="459"/>
    </row>
    <row r="158" spans="1:133" x14ac:dyDescent="0.25">
      <c r="A158" s="95">
        <v>44409</v>
      </c>
      <c r="B158" s="75">
        <v>333.03571428571428</v>
      </c>
      <c r="C158" s="75"/>
      <c r="D158" s="75">
        <v>300</v>
      </c>
      <c r="E158" s="75">
        <v>291.82692307692309</v>
      </c>
      <c r="F158" s="75">
        <v>257.29166666666669</v>
      </c>
      <c r="G158" s="75">
        <v>500</v>
      </c>
      <c r="H158" s="75">
        <v>434.61538461538464</v>
      </c>
      <c r="I158" s="75">
        <v>337.01923076923077</v>
      </c>
      <c r="J158" s="75">
        <v>314.375</v>
      </c>
      <c r="K158" s="75">
        <v>347.72727272727275</v>
      </c>
      <c r="N158" s="464" t="s">
        <v>291</v>
      </c>
      <c r="O158" s="465"/>
      <c r="P158" s="449" t="s">
        <v>291</v>
      </c>
      <c r="Q158" s="461"/>
      <c r="R158" s="450"/>
      <c r="S158" s="449" t="s">
        <v>291</v>
      </c>
      <c r="T158" s="461"/>
      <c r="U158" s="461"/>
      <c r="V158" s="461"/>
      <c r="W158" s="462"/>
      <c r="X158" s="464" t="s">
        <v>291</v>
      </c>
      <c r="Y158" s="465"/>
      <c r="Z158" s="449" t="s">
        <v>291</v>
      </c>
      <c r="AA158" s="461"/>
      <c r="AB158" s="450"/>
      <c r="AC158" s="449" t="s">
        <v>291</v>
      </c>
      <c r="AD158" s="461"/>
      <c r="AE158" s="461"/>
      <c r="AF158" s="461"/>
      <c r="AG158" s="462"/>
      <c r="AH158" s="464" t="s">
        <v>291</v>
      </c>
      <c r="AI158" s="465"/>
      <c r="AJ158" s="449" t="s">
        <v>291</v>
      </c>
      <c r="AK158" s="461"/>
      <c r="AL158" s="450"/>
      <c r="AM158" s="449" t="s">
        <v>291</v>
      </c>
      <c r="AN158" s="461"/>
      <c r="AO158" s="461"/>
      <c r="AP158" s="461"/>
      <c r="AQ158" s="462"/>
      <c r="AR158" s="464" t="s">
        <v>291</v>
      </c>
      <c r="AS158" s="465"/>
      <c r="AT158" s="449" t="s">
        <v>291</v>
      </c>
      <c r="AU158" s="461"/>
      <c r="AV158" s="450"/>
      <c r="AW158" s="449" t="s">
        <v>291</v>
      </c>
      <c r="AX158" s="461"/>
      <c r="AY158" s="461"/>
      <c r="AZ158" s="461"/>
      <c r="BA158" s="462"/>
      <c r="BB158" s="464" t="s">
        <v>291</v>
      </c>
      <c r="BC158" s="465"/>
      <c r="BD158" s="449" t="s">
        <v>291</v>
      </c>
      <c r="BE158" s="461"/>
      <c r="BF158" s="450"/>
      <c r="BG158" s="449" t="s">
        <v>291</v>
      </c>
      <c r="BH158" s="461"/>
      <c r="BI158" s="461"/>
      <c r="BJ158" s="461"/>
      <c r="BK158" s="462"/>
      <c r="BL158" s="464" t="s">
        <v>291</v>
      </c>
      <c r="BM158" s="465"/>
      <c r="BN158" s="449" t="s">
        <v>291</v>
      </c>
      <c r="BO158" s="461"/>
      <c r="BP158" s="450"/>
      <c r="BQ158" s="449" t="s">
        <v>291</v>
      </c>
      <c r="BR158" s="461"/>
      <c r="BS158" s="461"/>
      <c r="BT158" s="461"/>
      <c r="BU158" s="462"/>
      <c r="BV158" s="464" t="s">
        <v>291</v>
      </c>
      <c r="BW158" s="465"/>
      <c r="BX158" s="449" t="s">
        <v>291</v>
      </c>
      <c r="BY158" s="461"/>
      <c r="BZ158" s="450"/>
      <c r="CA158" s="449" t="s">
        <v>291</v>
      </c>
      <c r="CB158" s="461"/>
      <c r="CC158" s="461"/>
      <c r="CD158" s="461"/>
      <c r="CE158" s="462"/>
      <c r="CF158" s="464" t="s">
        <v>291</v>
      </c>
      <c r="CG158" s="465"/>
      <c r="CH158" s="449" t="s">
        <v>291</v>
      </c>
      <c r="CI158" s="461"/>
      <c r="CJ158" s="450"/>
      <c r="CK158" s="449" t="s">
        <v>291</v>
      </c>
      <c r="CL158" s="461"/>
      <c r="CM158" s="461"/>
      <c r="CN158" s="461"/>
      <c r="CO158" s="462"/>
      <c r="CP158" s="464" t="s">
        <v>291</v>
      </c>
      <c r="CQ158" s="465"/>
      <c r="CR158" s="449" t="s">
        <v>291</v>
      </c>
      <c r="CS158" s="461"/>
      <c r="CT158" s="450"/>
      <c r="CU158" s="449" t="s">
        <v>291</v>
      </c>
      <c r="CV158" s="461"/>
      <c r="CW158" s="461"/>
      <c r="CX158" s="461"/>
      <c r="CY158" s="462"/>
      <c r="CZ158" s="464" t="s">
        <v>291</v>
      </c>
      <c r="DA158" s="465"/>
      <c r="DB158" s="449" t="s">
        <v>291</v>
      </c>
      <c r="DC158" s="461"/>
      <c r="DD158" s="450"/>
      <c r="DE158" s="449" t="s">
        <v>291</v>
      </c>
      <c r="DF158" s="461"/>
      <c r="DG158" s="461"/>
      <c r="DH158" s="461"/>
      <c r="DI158" s="462"/>
      <c r="DJ158" s="464" t="s">
        <v>291</v>
      </c>
      <c r="DK158" s="465"/>
      <c r="DL158" s="449" t="s">
        <v>291</v>
      </c>
      <c r="DM158" s="461"/>
      <c r="DN158" s="450"/>
      <c r="DO158" s="449" t="s">
        <v>291</v>
      </c>
      <c r="DP158" s="461"/>
      <c r="DQ158" s="461"/>
      <c r="DR158" s="461"/>
      <c r="DS158" s="462"/>
      <c r="DT158" s="464" t="s">
        <v>291</v>
      </c>
      <c r="DU158" s="465"/>
      <c r="DV158" s="449" t="s">
        <v>291</v>
      </c>
      <c r="DW158" s="461"/>
      <c r="DX158" s="450"/>
      <c r="DY158" s="449" t="s">
        <v>291</v>
      </c>
      <c r="DZ158" s="461"/>
      <c r="EA158" s="461"/>
      <c r="EB158" s="461"/>
      <c r="EC158" s="462"/>
    </row>
    <row r="159" spans="1:133" x14ac:dyDescent="0.25">
      <c r="A159" s="95">
        <v>44440</v>
      </c>
      <c r="B159" s="75">
        <v>421.52777777777783</v>
      </c>
      <c r="C159" s="75">
        <v>461.5384615384616</v>
      </c>
      <c r="D159" s="75">
        <v>298.26923076923077</v>
      </c>
      <c r="E159" s="75">
        <v>289.58333333333331</v>
      </c>
      <c r="F159" s="75">
        <v>275</v>
      </c>
      <c r="G159" s="75">
        <v>503.33333333333337</v>
      </c>
      <c r="H159" s="75">
        <v>436.21794871794867</v>
      </c>
      <c r="I159" s="75">
        <v>336.04166666666669</v>
      </c>
      <c r="J159" s="75">
        <v>306.16666666666669</v>
      </c>
      <c r="K159" s="75">
        <v>350.625</v>
      </c>
      <c r="N159" s="430" t="s">
        <v>163</v>
      </c>
      <c r="O159" s="422" t="s">
        <v>155</v>
      </c>
      <c r="P159" s="422" t="s">
        <v>293</v>
      </c>
      <c r="Q159" s="422" t="s">
        <v>294</v>
      </c>
      <c r="R159" s="422" t="s">
        <v>295</v>
      </c>
      <c r="S159" s="424" t="s">
        <v>296</v>
      </c>
      <c r="T159" s="425"/>
      <c r="U159" s="426" t="s">
        <v>297</v>
      </c>
      <c r="V159" s="426" t="s">
        <v>162</v>
      </c>
      <c r="W159" s="428" t="s">
        <v>163</v>
      </c>
      <c r="X159" s="430" t="s">
        <v>163</v>
      </c>
      <c r="Y159" s="422" t="s">
        <v>155</v>
      </c>
      <c r="Z159" s="422" t="s">
        <v>293</v>
      </c>
      <c r="AA159" s="422" t="s">
        <v>294</v>
      </c>
      <c r="AB159" s="422" t="s">
        <v>295</v>
      </c>
      <c r="AC159" s="424" t="s">
        <v>296</v>
      </c>
      <c r="AD159" s="425"/>
      <c r="AE159" s="426" t="s">
        <v>297</v>
      </c>
      <c r="AF159" s="426" t="s">
        <v>162</v>
      </c>
      <c r="AG159" s="428" t="s">
        <v>163</v>
      </c>
      <c r="AH159" s="430" t="s">
        <v>163</v>
      </c>
      <c r="AI159" s="422" t="s">
        <v>155</v>
      </c>
      <c r="AJ159" s="422" t="s">
        <v>293</v>
      </c>
      <c r="AK159" s="422" t="s">
        <v>294</v>
      </c>
      <c r="AL159" s="422" t="s">
        <v>295</v>
      </c>
      <c r="AM159" s="424" t="s">
        <v>296</v>
      </c>
      <c r="AN159" s="425"/>
      <c r="AO159" s="426" t="s">
        <v>297</v>
      </c>
      <c r="AP159" s="426" t="s">
        <v>162</v>
      </c>
      <c r="AQ159" s="428" t="s">
        <v>163</v>
      </c>
      <c r="AR159" s="430" t="s">
        <v>163</v>
      </c>
      <c r="AS159" s="422" t="s">
        <v>155</v>
      </c>
      <c r="AT159" s="422" t="s">
        <v>293</v>
      </c>
      <c r="AU159" s="422" t="s">
        <v>294</v>
      </c>
      <c r="AV159" s="422" t="s">
        <v>295</v>
      </c>
      <c r="AW159" s="424" t="s">
        <v>296</v>
      </c>
      <c r="AX159" s="425"/>
      <c r="AY159" s="426" t="s">
        <v>297</v>
      </c>
      <c r="AZ159" s="426" t="s">
        <v>162</v>
      </c>
      <c r="BA159" s="428" t="s">
        <v>163</v>
      </c>
      <c r="BB159" s="430" t="s">
        <v>163</v>
      </c>
      <c r="BC159" s="422" t="s">
        <v>155</v>
      </c>
      <c r="BD159" s="422" t="s">
        <v>293</v>
      </c>
      <c r="BE159" s="422" t="s">
        <v>294</v>
      </c>
      <c r="BF159" s="422" t="s">
        <v>295</v>
      </c>
      <c r="BG159" s="424" t="s">
        <v>296</v>
      </c>
      <c r="BH159" s="425"/>
      <c r="BI159" s="426" t="s">
        <v>297</v>
      </c>
      <c r="BJ159" s="426" t="s">
        <v>162</v>
      </c>
      <c r="BK159" s="428" t="s">
        <v>163</v>
      </c>
      <c r="BL159" s="430" t="s">
        <v>163</v>
      </c>
      <c r="BM159" s="422" t="s">
        <v>155</v>
      </c>
      <c r="BN159" s="422" t="s">
        <v>293</v>
      </c>
      <c r="BO159" s="422" t="s">
        <v>294</v>
      </c>
      <c r="BP159" s="422" t="s">
        <v>295</v>
      </c>
      <c r="BQ159" s="424" t="s">
        <v>296</v>
      </c>
      <c r="BR159" s="425"/>
      <c r="BS159" s="426" t="s">
        <v>297</v>
      </c>
      <c r="BT159" s="426" t="s">
        <v>162</v>
      </c>
      <c r="BU159" s="428" t="s">
        <v>163</v>
      </c>
      <c r="BV159" s="430" t="s">
        <v>163</v>
      </c>
      <c r="BW159" s="422" t="s">
        <v>155</v>
      </c>
      <c r="BX159" s="422" t="s">
        <v>293</v>
      </c>
      <c r="BY159" s="422" t="s">
        <v>294</v>
      </c>
      <c r="BZ159" s="422" t="s">
        <v>295</v>
      </c>
      <c r="CA159" s="424" t="s">
        <v>296</v>
      </c>
      <c r="CB159" s="425"/>
      <c r="CC159" s="426" t="s">
        <v>297</v>
      </c>
      <c r="CD159" s="426" t="s">
        <v>162</v>
      </c>
      <c r="CE159" s="428" t="s">
        <v>163</v>
      </c>
      <c r="CF159" s="430" t="s">
        <v>163</v>
      </c>
      <c r="CG159" s="422" t="s">
        <v>155</v>
      </c>
      <c r="CH159" s="422" t="s">
        <v>293</v>
      </c>
      <c r="CI159" s="422" t="s">
        <v>294</v>
      </c>
      <c r="CJ159" s="422" t="s">
        <v>295</v>
      </c>
      <c r="CK159" s="424" t="s">
        <v>296</v>
      </c>
      <c r="CL159" s="425"/>
      <c r="CM159" s="426" t="s">
        <v>297</v>
      </c>
      <c r="CN159" s="426" t="s">
        <v>162</v>
      </c>
      <c r="CO159" s="428" t="s">
        <v>163</v>
      </c>
      <c r="CP159" s="430" t="s">
        <v>163</v>
      </c>
      <c r="CQ159" s="422" t="s">
        <v>155</v>
      </c>
      <c r="CR159" s="422" t="s">
        <v>293</v>
      </c>
      <c r="CS159" s="422" t="s">
        <v>294</v>
      </c>
      <c r="CT159" s="422" t="s">
        <v>295</v>
      </c>
      <c r="CU159" s="424" t="s">
        <v>296</v>
      </c>
      <c r="CV159" s="425"/>
      <c r="CW159" s="426" t="s">
        <v>297</v>
      </c>
      <c r="CX159" s="426" t="s">
        <v>162</v>
      </c>
      <c r="CY159" s="428" t="s">
        <v>163</v>
      </c>
      <c r="CZ159" s="430" t="s">
        <v>163</v>
      </c>
      <c r="DA159" s="422" t="s">
        <v>155</v>
      </c>
      <c r="DB159" s="422" t="s">
        <v>293</v>
      </c>
      <c r="DC159" s="422" t="s">
        <v>294</v>
      </c>
      <c r="DD159" s="422" t="s">
        <v>295</v>
      </c>
      <c r="DE159" s="424" t="s">
        <v>296</v>
      </c>
      <c r="DF159" s="425"/>
      <c r="DG159" s="426" t="s">
        <v>297</v>
      </c>
      <c r="DH159" s="426" t="s">
        <v>162</v>
      </c>
      <c r="DI159" s="428" t="s">
        <v>163</v>
      </c>
      <c r="DJ159" s="430" t="s">
        <v>163</v>
      </c>
      <c r="DK159" s="422" t="s">
        <v>155</v>
      </c>
      <c r="DL159" s="422" t="s">
        <v>293</v>
      </c>
      <c r="DM159" s="422" t="s">
        <v>294</v>
      </c>
      <c r="DN159" s="422" t="s">
        <v>295</v>
      </c>
      <c r="DO159" s="424" t="s">
        <v>296</v>
      </c>
      <c r="DP159" s="425"/>
      <c r="DQ159" s="426" t="s">
        <v>297</v>
      </c>
      <c r="DR159" s="426" t="s">
        <v>162</v>
      </c>
      <c r="DS159" s="428" t="s">
        <v>163</v>
      </c>
      <c r="DT159" s="430" t="s">
        <v>163</v>
      </c>
      <c r="DU159" s="422" t="s">
        <v>155</v>
      </c>
      <c r="DV159" s="422" t="s">
        <v>293</v>
      </c>
      <c r="DW159" s="422" t="s">
        <v>294</v>
      </c>
      <c r="DX159" s="422" t="s">
        <v>295</v>
      </c>
      <c r="DY159" s="424" t="s">
        <v>296</v>
      </c>
      <c r="DZ159" s="425"/>
      <c r="EA159" s="426" t="s">
        <v>297</v>
      </c>
      <c r="EB159" s="426" t="s">
        <v>162</v>
      </c>
      <c r="EC159" s="428" t="s">
        <v>163</v>
      </c>
    </row>
    <row r="160" spans="1:133" x14ac:dyDescent="0.25">
      <c r="A160" s="95">
        <v>44470</v>
      </c>
      <c r="B160" s="75"/>
      <c r="C160" s="75">
        <v>437.94642857142856</v>
      </c>
      <c r="D160" s="75">
        <v>298.83928571428572</v>
      </c>
      <c r="E160" s="75">
        <v>281.42857142857144</v>
      </c>
      <c r="F160" s="75">
        <v>249.44444444444446</v>
      </c>
      <c r="G160" s="75">
        <v>512.5</v>
      </c>
      <c r="H160" s="75">
        <v>441.96428571428572</v>
      </c>
      <c r="I160" s="75">
        <v>330</v>
      </c>
      <c r="J160" s="75">
        <v>308.5</v>
      </c>
      <c r="K160" s="75">
        <v>350</v>
      </c>
      <c r="N160" s="431"/>
      <c r="O160" s="423"/>
      <c r="P160" s="423"/>
      <c r="Q160" s="423"/>
      <c r="R160" s="423"/>
      <c r="S160" s="146" t="s">
        <v>159</v>
      </c>
      <c r="T160" s="146" t="s">
        <v>160</v>
      </c>
      <c r="U160" s="427"/>
      <c r="V160" s="427"/>
      <c r="W160" s="429"/>
      <c r="X160" s="431"/>
      <c r="Y160" s="423"/>
      <c r="Z160" s="423"/>
      <c r="AA160" s="423"/>
      <c r="AB160" s="423"/>
      <c r="AC160" s="146" t="s">
        <v>159</v>
      </c>
      <c r="AD160" s="146" t="s">
        <v>160</v>
      </c>
      <c r="AE160" s="427"/>
      <c r="AF160" s="427"/>
      <c r="AG160" s="429"/>
      <c r="AH160" s="431"/>
      <c r="AI160" s="423"/>
      <c r="AJ160" s="423"/>
      <c r="AK160" s="423"/>
      <c r="AL160" s="423"/>
      <c r="AM160" s="146" t="s">
        <v>159</v>
      </c>
      <c r="AN160" s="146" t="s">
        <v>160</v>
      </c>
      <c r="AO160" s="427"/>
      <c r="AP160" s="427"/>
      <c r="AQ160" s="429"/>
      <c r="AR160" s="431"/>
      <c r="AS160" s="423"/>
      <c r="AT160" s="423"/>
      <c r="AU160" s="423"/>
      <c r="AV160" s="423"/>
      <c r="AW160" s="146" t="s">
        <v>159</v>
      </c>
      <c r="AX160" s="146" t="s">
        <v>160</v>
      </c>
      <c r="AY160" s="427"/>
      <c r="AZ160" s="427"/>
      <c r="BA160" s="429"/>
      <c r="BB160" s="431"/>
      <c r="BC160" s="423"/>
      <c r="BD160" s="423"/>
      <c r="BE160" s="423"/>
      <c r="BF160" s="423"/>
      <c r="BG160" s="146" t="s">
        <v>159</v>
      </c>
      <c r="BH160" s="146" t="s">
        <v>160</v>
      </c>
      <c r="BI160" s="427"/>
      <c r="BJ160" s="427"/>
      <c r="BK160" s="429"/>
      <c r="BL160" s="431"/>
      <c r="BM160" s="423"/>
      <c r="BN160" s="423"/>
      <c r="BO160" s="423"/>
      <c r="BP160" s="423"/>
      <c r="BQ160" s="146" t="s">
        <v>159</v>
      </c>
      <c r="BR160" s="146" t="s">
        <v>160</v>
      </c>
      <c r="BS160" s="427"/>
      <c r="BT160" s="427"/>
      <c r="BU160" s="429"/>
      <c r="BV160" s="431"/>
      <c r="BW160" s="423"/>
      <c r="BX160" s="423"/>
      <c r="BY160" s="423"/>
      <c r="BZ160" s="423"/>
      <c r="CA160" s="146" t="s">
        <v>159</v>
      </c>
      <c r="CB160" s="146" t="s">
        <v>160</v>
      </c>
      <c r="CC160" s="427"/>
      <c r="CD160" s="427"/>
      <c r="CE160" s="429"/>
      <c r="CF160" s="431"/>
      <c r="CG160" s="423"/>
      <c r="CH160" s="423"/>
      <c r="CI160" s="423"/>
      <c r="CJ160" s="423"/>
      <c r="CK160" s="146" t="s">
        <v>159</v>
      </c>
      <c r="CL160" s="146" t="s">
        <v>160</v>
      </c>
      <c r="CM160" s="427"/>
      <c r="CN160" s="427"/>
      <c r="CO160" s="429"/>
      <c r="CP160" s="431"/>
      <c r="CQ160" s="423"/>
      <c r="CR160" s="423"/>
      <c r="CS160" s="423"/>
      <c r="CT160" s="423"/>
      <c r="CU160" s="146" t="s">
        <v>159</v>
      </c>
      <c r="CV160" s="146" t="s">
        <v>160</v>
      </c>
      <c r="CW160" s="427"/>
      <c r="CX160" s="427"/>
      <c r="CY160" s="429"/>
      <c r="CZ160" s="431"/>
      <c r="DA160" s="423"/>
      <c r="DB160" s="423"/>
      <c r="DC160" s="423"/>
      <c r="DD160" s="423"/>
      <c r="DE160" s="146" t="s">
        <v>159</v>
      </c>
      <c r="DF160" s="146" t="s">
        <v>160</v>
      </c>
      <c r="DG160" s="427"/>
      <c r="DH160" s="427"/>
      <c r="DI160" s="429"/>
      <c r="DJ160" s="431"/>
      <c r="DK160" s="423"/>
      <c r="DL160" s="423"/>
      <c r="DM160" s="423"/>
      <c r="DN160" s="423"/>
      <c r="DO160" s="146" t="s">
        <v>159</v>
      </c>
      <c r="DP160" s="146" t="s">
        <v>160</v>
      </c>
      <c r="DQ160" s="427"/>
      <c r="DR160" s="427"/>
      <c r="DS160" s="429"/>
      <c r="DT160" s="431"/>
      <c r="DU160" s="423"/>
      <c r="DV160" s="423"/>
      <c r="DW160" s="423"/>
      <c r="DX160" s="423"/>
      <c r="DY160" s="146" t="s">
        <v>159</v>
      </c>
      <c r="DZ160" s="146" t="s">
        <v>160</v>
      </c>
      <c r="EA160" s="427"/>
      <c r="EB160" s="427"/>
      <c r="EC160" s="429"/>
    </row>
    <row r="161" spans="1:133" x14ac:dyDescent="0.25">
      <c r="A161" s="95">
        <v>44501</v>
      </c>
      <c r="B161" s="75"/>
      <c r="C161" s="75">
        <v>438.39285714285717</v>
      </c>
      <c r="D161" s="75">
        <v>299.34523809523807</v>
      </c>
      <c r="E161" s="75">
        <v>291.34615384615387</v>
      </c>
      <c r="F161" s="75">
        <v>271.42857142857144</v>
      </c>
      <c r="G161" s="75">
        <v>505</v>
      </c>
      <c r="H161" s="75">
        <v>444.64285714285717</v>
      </c>
      <c r="I161" s="75">
        <v>333.28205128205133</v>
      </c>
      <c r="J161" s="75">
        <v>314.58333333333337</v>
      </c>
      <c r="K161" s="75">
        <v>345.72916666666669</v>
      </c>
      <c r="N161" s="102"/>
      <c r="O161" s="104">
        <v>400</v>
      </c>
      <c r="P161" s="104">
        <v>250</v>
      </c>
      <c r="Q161" s="104">
        <v>255</v>
      </c>
      <c r="R161" s="104">
        <v>250</v>
      </c>
      <c r="S161" s="104">
        <v>400</v>
      </c>
      <c r="T161" s="104">
        <v>400</v>
      </c>
      <c r="U161" s="104">
        <v>275</v>
      </c>
      <c r="V161" s="104">
        <v>275</v>
      </c>
      <c r="W161" s="152">
        <v>300</v>
      </c>
      <c r="X161" s="102">
        <v>362.5</v>
      </c>
      <c r="Y161" s="104">
        <v>412.5</v>
      </c>
      <c r="Z161" s="104">
        <v>250</v>
      </c>
      <c r="AA161" s="104">
        <v>250</v>
      </c>
      <c r="AB161" s="104">
        <v>250</v>
      </c>
      <c r="AC161" s="104">
        <v>400</v>
      </c>
      <c r="AD161" s="104">
        <v>375</v>
      </c>
      <c r="AE161" s="104">
        <v>275</v>
      </c>
      <c r="AF161" s="104">
        <v>275</v>
      </c>
      <c r="AG161" s="152">
        <v>300</v>
      </c>
      <c r="AH161" s="102">
        <v>340</v>
      </c>
      <c r="AI161" s="104">
        <v>400</v>
      </c>
      <c r="AJ161" s="104">
        <v>255</v>
      </c>
      <c r="AK161" s="104">
        <v>250</v>
      </c>
      <c r="AL161" s="104">
        <v>250</v>
      </c>
      <c r="AM161" s="104">
        <v>410</v>
      </c>
      <c r="AN161" s="104">
        <v>350</v>
      </c>
      <c r="AO161" s="104">
        <v>275</v>
      </c>
      <c r="AP161" s="104">
        <v>275</v>
      </c>
      <c r="AQ161" s="152">
        <v>300</v>
      </c>
      <c r="AR161" s="102">
        <v>300</v>
      </c>
      <c r="AS161" s="104">
        <v>387.5</v>
      </c>
      <c r="AT161" s="104">
        <v>250</v>
      </c>
      <c r="AU161" s="104">
        <v>250</v>
      </c>
      <c r="AV161" s="104">
        <v>250</v>
      </c>
      <c r="AW161" s="104">
        <v>400</v>
      </c>
      <c r="AX161" s="104">
        <v>350</v>
      </c>
      <c r="AY161" s="104">
        <v>275</v>
      </c>
      <c r="AZ161" s="104">
        <v>275</v>
      </c>
      <c r="BA161" s="152">
        <v>300</v>
      </c>
      <c r="BB161" s="102">
        <v>237.5</v>
      </c>
      <c r="BC161" s="104"/>
      <c r="BD161" s="104">
        <v>250</v>
      </c>
      <c r="BE161" s="104">
        <v>250</v>
      </c>
      <c r="BF161" s="104">
        <v>250</v>
      </c>
      <c r="BG161" s="104">
        <v>400</v>
      </c>
      <c r="BH161" s="104">
        <v>350</v>
      </c>
      <c r="BI161" s="104">
        <v>275</v>
      </c>
      <c r="BJ161" s="104">
        <v>275</v>
      </c>
      <c r="BK161" s="152">
        <v>300</v>
      </c>
      <c r="BL161" s="102">
        <v>316.66666666666669</v>
      </c>
      <c r="BM161" s="104"/>
      <c r="BN161" s="104">
        <v>250</v>
      </c>
      <c r="BO161" s="104">
        <v>250</v>
      </c>
      <c r="BP161" s="104">
        <v>250</v>
      </c>
      <c r="BQ161" s="104">
        <v>400</v>
      </c>
      <c r="BR161" s="104">
        <v>350</v>
      </c>
      <c r="BS161" s="104">
        <v>275</v>
      </c>
      <c r="BT161" s="104">
        <v>275</v>
      </c>
      <c r="BU161" s="152">
        <v>300</v>
      </c>
      <c r="BV161" s="102">
        <v>380</v>
      </c>
      <c r="BW161" s="104"/>
      <c r="BX161" s="104">
        <v>250</v>
      </c>
      <c r="BY161" s="104">
        <v>250</v>
      </c>
      <c r="BZ161" s="104">
        <v>250</v>
      </c>
      <c r="CA161" s="104">
        <v>400</v>
      </c>
      <c r="CB161" s="104">
        <v>350</v>
      </c>
      <c r="CC161" s="104">
        <v>275</v>
      </c>
      <c r="CD161" s="104">
        <v>275</v>
      </c>
      <c r="CE161" s="152">
        <v>300</v>
      </c>
      <c r="CF161" s="102">
        <v>425</v>
      </c>
      <c r="CG161" s="104">
        <v>400</v>
      </c>
      <c r="CH161" s="104">
        <v>250</v>
      </c>
      <c r="CI161" s="104">
        <v>250</v>
      </c>
      <c r="CJ161" s="104">
        <v>250</v>
      </c>
      <c r="CK161" s="104">
        <v>400</v>
      </c>
      <c r="CL161" s="104">
        <v>325</v>
      </c>
      <c r="CM161" s="104">
        <v>275</v>
      </c>
      <c r="CN161" s="104">
        <v>275</v>
      </c>
      <c r="CO161" s="152">
        <v>300</v>
      </c>
      <c r="CP161" s="102"/>
      <c r="CQ161" s="104">
        <v>350</v>
      </c>
      <c r="CR161" s="104">
        <v>250</v>
      </c>
      <c r="CS161" s="104">
        <v>250</v>
      </c>
      <c r="CT161" s="104">
        <v>250</v>
      </c>
      <c r="CU161" s="104">
        <v>400</v>
      </c>
      <c r="CV161" s="104">
        <v>383.33333333333331</v>
      </c>
      <c r="CW161" s="104">
        <v>275</v>
      </c>
      <c r="CX161" s="104">
        <v>275</v>
      </c>
      <c r="CY161" s="152">
        <v>300</v>
      </c>
      <c r="CZ161" s="102"/>
      <c r="DA161" s="104">
        <v>300</v>
      </c>
      <c r="DB161" s="104">
        <v>250</v>
      </c>
      <c r="DC161" s="104">
        <v>250</v>
      </c>
      <c r="DD161" s="104">
        <v>250</v>
      </c>
      <c r="DE161" s="104">
        <v>400</v>
      </c>
      <c r="DF161" s="104">
        <v>350</v>
      </c>
      <c r="DG161" s="104">
        <v>275</v>
      </c>
      <c r="DH161" s="104">
        <v>275</v>
      </c>
      <c r="DI161" s="152">
        <v>300</v>
      </c>
      <c r="DJ161" s="102"/>
      <c r="DK161" s="104">
        <v>350</v>
      </c>
      <c r="DL161" s="104">
        <v>250</v>
      </c>
      <c r="DM161" s="104">
        <v>250</v>
      </c>
      <c r="DN161" s="104">
        <v>250</v>
      </c>
      <c r="DO161" s="104">
        <v>437.5</v>
      </c>
      <c r="DP161" s="104">
        <v>387.5</v>
      </c>
      <c r="DQ161" s="104">
        <v>275</v>
      </c>
      <c r="DR161" s="104">
        <v>275</v>
      </c>
      <c r="DS161" s="152">
        <v>300</v>
      </c>
      <c r="DT161" s="102"/>
      <c r="DU161" s="104">
        <v>350</v>
      </c>
      <c r="DV161" s="104">
        <v>250</v>
      </c>
      <c r="DW161" s="104">
        <v>250</v>
      </c>
      <c r="DX161" s="104">
        <v>250</v>
      </c>
      <c r="DY161" s="104">
        <v>450</v>
      </c>
      <c r="DZ161" s="104">
        <v>416.66666666666669</v>
      </c>
      <c r="EA161" s="104">
        <v>275</v>
      </c>
      <c r="EB161" s="104">
        <v>275</v>
      </c>
      <c r="EC161" s="152">
        <v>300</v>
      </c>
    </row>
    <row r="162" spans="1:133" x14ac:dyDescent="0.25">
      <c r="A162" s="95">
        <v>44531</v>
      </c>
      <c r="C162" s="75">
        <v>467.85714285714283</v>
      </c>
      <c r="D162" s="75">
        <v>295.8630952380953</v>
      </c>
      <c r="E162" s="75">
        <v>292.78846153846155</v>
      </c>
      <c r="F162" s="75">
        <v>275.83333333333331</v>
      </c>
      <c r="G162" s="75">
        <v>510</v>
      </c>
      <c r="H162" s="75">
        <v>447.76785714285717</v>
      </c>
      <c r="I162" s="75">
        <v>340</v>
      </c>
      <c r="J162" s="75">
        <v>318.02083333333331</v>
      </c>
      <c r="K162" s="75">
        <v>351.66666666666669</v>
      </c>
      <c r="N162" s="102"/>
      <c r="O162" s="104">
        <v>375</v>
      </c>
      <c r="P162" s="104">
        <v>240</v>
      </c>
      <c r="Q162" s="104">
        <v>230</v>
      </c>
      <c r="R162" s="104">
        <v>245</v>
      </c>
      <c r="S162" s="104">
        <v>425</v>
      </c>
      <c r="T162" s="104">
        <v>340</v>
      </c>
      <c r="U162" s="104">
        <v>262</v>
      </c>
      <c r="V162" s="104">
        <v>263</v>
      </c>
      <c r="W162" s="152">
        <v>262</v>
      </c>
      <c r="X162" s="102">
        <v>350</v>
      </c>
      <c r="Y162" s="104">
        <v>393.75</v>
      </c>
      <c r="Z162" s="104">
        <v>231.25</v>
      </c>
      <c r="AA162" s="104">
        <v>231.25</v>
      </c>
      <c r="AB162" s="104">
        <v>243.75</v>
      </c>
      <c r="AC162" s="104">
        <v>412.5</v>
      </c>
      <c r="AD162" s="104">
        <v>350</v>
      </c>
      <c r="AE162" s="104">
        <v>263.75</v>
      </c>
      <c r="AF162" s="104">
        <v>265</v>
      </c>
      <c r="AG162" s="152">
        <v>261.25</v>
      </c>
      <c r="AH162" s="102">
        <v>300</v>
      </c>
      <c r="AI162" s="104">
        <v>370</v>
      </c>
      <c r="AJ162" s="104">
        <v>235</v>
      </c>
      <c r="AK162" s="104">
        <v>235</v>
      </c>
      <c r="AL162" s="104">
        <v>245</v>
      </c>
      <c r="AM162" s="104">
        <v>410</v>
      </c>
      <c r="AN162" s="104">
        <v>350</v>
      </c>
      <c r="AO162" s="104">
        <v>265</v>
      </c>
      <c r="AP162" s="104">
        <v>264</v>
      </c>
      <c r="AQ162" s="152">
        <v>262</v>
      </c>
      <c r="AR162" s="102">
        <v>206.25</v>
      </c>
      <c r="AS162" s="104">
        <v>350</v>
      </c>
      <c r="AT162" s="104">
        <v>237.5</v>
      </c>
      <c r="AU162" s="104">
        <v>237.5</v>
      </c>
      <c r="AV162" s="104">
        <v>250</v>
      </c>
      <c r="AW162" s="104">
        <v>400</v>
      </c>
      <c r="AX162" s="104">
        <v>350</v>
      </c>
      <c r="AY162" s="104">
        <v>265</v>
      </c>
      <c r="AZ162" s="104">
        <v>263.75</v>
      </c>
      <c r="BA162" s="152">
        <v>260</v>
      </c>
      <c r="BB162" s="102">
        <v>193.75</v>
      </c>
      <c r="BC162" s="104"/>
      <c r="BD162" s="104">
        <v>225</v>
      </c>
      <c r="BE162" s="104">
        <v>225</v>
      </c>
      <c r="BF162" s="104">
        <v>243.75</v>
      </c>
      <c r="BG162" s="104">
        <v>400</v>
      </c>
      <c r="BH162" s="104">
        <v>350</v>
      </c>
      <c r="BI162" s="104">
        <v>265</v>
      </c>
      <c r="BJ162" s="104">
        <v>262.5</v>
      </c>
      <c r="BK162" s="152">
        <v>261.25</v>
      </c>
      <c r="BL162" s="102">
        <v>316.66666666666669</v>
      </c>
      <c r="BM162" s="104"/>
      <c r="BN162" s="104">
        <v>250</v>
      </c>
      <c r="BO162" s="104">
        <v>250</v>
      </c>
      <c r="BP162" s="104">
        <v>250</v>
      </c>
      <c r="BQ162" s="104">
        <v>400</v>
      </c>
      <c r="BR162" s="104">
        <v>350</v>
      </c>
      <c r="BS162" s="104">
        <v>265</v>
      </c>
      <c r="BT162" s="104">
        <v>265</v>
      </c>
      <c r="BU162" s="152">
        <v>260</v>
      </c>
      <c r="BV162" s="102">
        <v>340</v>
      </c>
      <c r="BW162" s="104"/>
      <c r="BX162" s="104">
        <v>250</v>
      </c>
      <c r="BY162" s="104">
        <v>250</v>
      </c>
      <c r="BZ162" s="104">
        <v>250</v>
      </c>
      <c r="CA162" s="104">
        <v>400</v>
      </c>
      <c r="CB162" s="104">
        <v>350</v>
      </c>
      <c r="CC162" s="104">
        <v>265</v>
      </c>
      <c r="CD162" s="104">
        <v>265</v>
      </c>
      <c r="CE162" s="152">
        <v>260</v>
      </c>
      <c r="CF162" s="102">
        <v>450</v>
      </c>
      <c r="CG162" s="104">
        <v>400</v>
      </c>
      <c r="CH162" s="104">
        <v>240</v>
      </c>
      <c r="CI162" s="104">
        <v>240</v>
      </c>
      <c r="CJ162" s="104">
        <v>240</v>
      </c>
      <c r="CK162" s="104">
        <v>400</v>
      </c>
      <c r="CL162" s="104">
        <v>350</v>
      </c>
      <c r="CM162" s="104">
        <v>267</v>
      </c>
      <c r="CN162" s="104">
        <v>263</v>
      </c>
      <c r="CO162" s="152">
        <v>260</v>
      </c>
      <c r="CP162" s="102"/>
      <c r="CQ162" s="104">
        <v>350</v>
      </c>
      <c r="CR162" s="104">
        <v>250</v>
      </c>
      <c r="CS162" s="104">
        <v>250</v>
      </c>
      <c r="CT162" s="104">
        <v>250</v>
      </c>
      <c r="CU162" s="104">
        <v>400</v>
      </c>
      <c r="CV162" s="104">
        <v>350</v>
      </c>
      <c r="CW162" s="104">
        <v>265</v>
      </c>
      <c r="CX162" s="104">
        <v>265</v>
      </c>
      <c r="CY162" s="152">
        <v>282.5</v>
      </c>
      <c r="CZ162" s="102"/>
      <c r="DA162" s="104">
        <v>300</v>
      </c>
      <c r="DB162" s="104">
        <v>250</v>
      </c>
      <c r="DC162" s="104">
        <v>250</v>
      </c>
      <c r="DD162" s="104">
        <v>250</v>
      </c>
      <c r="DE162" s="104">
        <v>400</v>
      </c>
      <c r="DF162" s="104">
        <v>350</v>
      </c>
      <c r="DG162" s="104">
        <v>265</v>
      </c>
      <c r="DH162" s="104">
        <v>265</v>
      </c>
      <c r="DI162" s="152">
        <v>265</v>
      </c>
      <c r="DJ162" s="102"/>
      <c r="DK162" s="104">
        <v>350</v>
      </c>
      <c r="DL162" s="104">
        <v>250</v>
      </c>
      <c r="DM162" s="104">
        <v>250</v>
      </c>
      <c r="DN162" s="104">
        <v>250</v>
      </c>
      <c r="DO162" s="104">
        <v>400</v>
      </c>
      <c r="DP162" s="104">
        <v>362.5</v>
      </c>
      <c r="DQ162" s="104">
        <v>265</v>
      </c>
      <c r="DR162" s="104">
        <v>265</v>
      </c>
      <c r="DS162" s="152">
        <v>281.25</v>
      </c>
      <c r="DT162" s="102"/>
      <c r="DU162" s="104">
        <v>383.33333333333331</v>
      </c>
      <c r="DV162" s="104">
        <v>250</v>
      </c>
      <c r="DW162" s="104">
        <v>250</v>
      </c>
      <c r="DX162" s="104">
        <v>233.33333333333334</v>
      </c>
      <c r="DY162" s="104">
        <v>450</v>
      </c>
      <c r="DZ162" s="104">
        <v>400</v>
      </c>
      <c r="EA162" s="104">
        <v>265</v>
      </c>
      <c r="EB162" s="104">
        <v>265</v>
      </c>
      <c r="EC162" s="152">
        <v>300</v>
      </c>
    </row>
    <row r="163" spans="1:133" x14ac:dyDescent="0.25">
      <c r="A163" s="95">
        <v>44562</v>
      </c>
      <c r="C163" s="75">
        <v>469.04761904761909</v>
      </c>
      <c r="D163" s="75">
        <v>295.71428571428572</v>
      </c>
      <c r="E163" s="75">
        <v>300.83333333333331</v>
      </c>
      <c r="F163" s="75">
        <v>272.96875</v>
      </c>
      <c r="G163" s="75">
        <v>516.66666666666663</v>
      </c>
      <c r="H163" s="75">
        <v>451.90476190476187</v>
      </c>
      <c r="I163" s="75">
        <v>331.35714285714283</v>
      </c>
      <c r="J163" s="75">
        <v>317.90909090909093</v>
      </c>
      <c r="K163" s="75">
        <v>347.90909090909093</v>
      </c>
      <c r="N163" s="102"/>
      <c r="O163" s="104">
        <v>400</v>
      </c>
      <c r="P163" s="104">
        <v>200</v>
      </c>
      <c r="Q163" s="104">
        <v>240</v>
      </c>
      <c r="R163" s="104">
        <v>220</v>
      </c>
      <c r="S163" s="104"/>
      <c r="T163" s="104">
        <v>400</v>
      </c>
      <c r="U163" s="104">
        <v>275</v>
      </c>
      <c r="V163" s="104">
        <v>274</v>
      </c>
      <c r="W163" s="152">
        <v>300</v>
      </c>
      <c r="X163" s="102">
        <v>325</v>
      </c>
      <c r="Y163" s="104">
        <v>425</v>
      </c>
      <c r="Z163" s="104">
        <v>200</v>
      </c>
      <c r="AA163" s="104">
        <v>225</v>
      </c>
      <c r="AB163" s="104">
        <v>225</v>
      </c>
      <c r="AC163" s="104"/>
      <c r="AD163" s="104">
        <v>400</v>
      </c>
      <c r="AE163" s="104">
        <v>275</v>
      </c>
      <c r="AF163" s="104">
        <v>275</v>
      </c>
      <c r="AG163" s="152">
        <v>250</v>
      </c>
      <c r="AH163" s="102">
        <v>300</v>
      </c>
      <c r="AI163" s="104">
        <v>400</v>
      </c>
      <c r="AJ163" s="104">
        <v>200</v>
      </c>
      <c r="AK163" s="104">
        <v>225</v>
      </c>
      <c r="AL163" s="104">
        <v>210</v>
      </c>
      <c r="AM163" s="104"/>
      <c r="AN163" s="104">
        <v>400</v>
      </c>
      <c r="AO163" s="104">
        <v>275</v>
      </c>
      <c r="AP163" s="104">
        <v>275</v>
      </c>
      <c r="AQ163" s="152">
        <v>280</v>
      </c>
      <c r="AR163" s="102">
        <v>231.25</v>
      </c>
      <c r="AS163" s="104"/>
      <c r="AT163" s="104">
        <v>200</v>
      </c>
      <c r="AU163" s="104">
        <v>225</v>
      </c>
      <c r="AV163" s="104">
        <v>225</v>
      </c>
      <c r="AW163" s="104"/>
      <c r="AX163" s="104">
        <v>400</v>
      </c>
      <c r="AY163" s="104">
        <v>275</v>
      </c>
      <c r="AZ163" s="104">
        <v>270</v>
      </c>
      <c r="BA163" s="152">
        <v>300</v>
      </c>
      <c r="BB163" s="102">
        <v>206.25</v>
      </c>
      <c r="BC163" s="104"/>
      <c r="BD163" s="104">
        <v>200</v>
      </c>
      <c r="BE163" s="104">
        <v>225</v>
      </c>
      <c r="BF163" s="104">
        <v>225</v>
      </c>
      <c r="BG163" s="104"/>
      <c r="BH163" s="104">
        <v>400</v>
      </c>
      <c r="BI163" s="104">
        <v>275</v>
      </c>
      <c r="BJ163" s="104">
        <v>270</v>
      </c>
      <c r="BK163" s="152">
        <v>300</v>
      </c>
      <c r="BL163" s="102">
        <v>333.33333333333331</v>
      </c>
      <c r="BM163" s="104"/>
      <c r="BN163" s="104">
        <v>175</v>
      </c>
      <c r="BO163" s="104">
        <v>241.66666666666666</v>
      </c>
      <c r="BP163" s="104">
        <v>225</v>
      </c>
      <c r="BQ163" s="104"/>
      <c r="BR163" s="104">
        <v>400</v>
      </c>
      <c r="BS163" s="104">
        <v>275</v>
      </c>
      <c r="BT163" s="104">
        <v>273.33333333333331</v>
      </c>
      <c r="BU163" s="152">
        <v>350</v>
      </c>
      <c r="BV163" s="102">
        <v>380</v>
      </c>
      <c r="BW163" s="104"/>
      <c r="BX163" s="104">
        <v>185</v>
      </c>
      <c r="BY163" s="104">
        <v>250</v>
      </c>
      <c r="BZ163" s="104">
        <v>225</v>
      </c>
      <c r="CA163" s="104"/>
      <c r="CB163" s="104">
        <v>400</v>
      </c>
      <c r="CC163" s="104">
        <v>275</v>
      </c>
      <c r="CD163" s="104">
        <v>274</v>
      </c>
      <c r="CE163" s="152">
        <v>350</v>
      </c>
      <c r="CF163" s="102">
        <v>425</v>
      </c>
      <c r="CG163" s="104">
        <v>450</v>
      </c>
      <c r="CH163" s="104">
        <v>200</v>
      </c>
      <c r="CI163" s="104">
        <v>250</v>
      </c>
      <c r="CJ163" s="104">
        <v>250</v>
      </c>
      <c r="CK163" s="104"/>
      <c r="CL163" s="104">
        <v>240</v>
      </c>
      <c r="CM163" s="104">
        <v>275</v>
      </c>
      <c r="CN163" s="104">
        <v>275</v>
      </c>
      <c r="CO163" s="152">
        <v>305</v>
      </c>
      <c r="CP163" s="102"/>
      <c r="CQ163" s="104">
        <v>383.33333333333331</v>
      </c>
      <c r="CR163" s="104">
        <v>200</v>
      </c>
      <c r="CS163" s="104">
        <v>250</v>
      </c>
      <c r="CT163" s="104"/>
      <c r="CU163" s="104"/>
      <c r="CV163" s="104">
        <v>400</v>
      </c>
      <c r="CW163" s="104">
        <v>280</v>
      </c>
      <c r="CX163" s="104">
        <v>275</v>
      </c>
      <c r="CY163" s="152">
        <v>275</v>
      </c>
      <c r="CZ163" s="102"/>
      <c r="DA163" s="104">
        <v>350</v>
      </c>
      <c r="DB163" s="104">
        <v>225</v>
      </c>
      <c r="DC163" s="104">
        <v>250</v>
      </c>
      <c r="DD163" s="104">
        <v>225</v>
      </c>
      <c r="DE163" s="104"/>
      <c r="DF163" s="104">
        <v>400</v>
      </c>
      <c r="DG163" s="104">
        <v>290</v>
      </c>
      <c r="DH163" s="104">
        <v>275</v>
      </c>
      <c r="DI163" s="152">
        <v>300</v>
      </c>
      <c r="DJ163" s="102"/>
      <c r="DK163" s="104">
        <v>362.5</v>
      </c>
      <c r="DL163" s="104">
        <v>218.75</v>
      </c>
      <c r="DM163" s="104">
        <v>237.5</v>
      </c>
      <c r="DN163" s="104">
        <v>225</v>
      </c>
      <c r="DO163" s="104"/>
      <c r="DP163" s="104">
        <v>412.5</v>
      </c>
      <c r="DQ163" s="104">
        <v>288.33333333333331</v>
      </c>
      <c r="DR163" s="104">
        <v>275</v>
      </c>
      <c r="DS163" s="152">
        <v>266.66666666666669</v>
      </c>
      <c r="DT163" s="102"/>
      <c r="DU163" s="104">
        <v>400</v>
      </c>
      <c r="DV163" s="104">
        <v>225</v>
      </c>
      <c r="DW163" s="104">
        <v>225</v>
      </c>
      <c r="DX163" s="104">
        <v>225</v>
      </c>
      <c r="DY163" s="104"/>
      <c r="DZ163" s="104">
        <v>450</v>
      </c>
      <c r="EA163" s="104">
        <v>300</v>
      </c>
      <c r="EB163" s="104">
        <v>275</v>
      </c>
      <c r="EC163" s="152">
        <v>287.5</v>
      </c>
    </row>
    <row r="164" spans="1:133" x14ac:dyDescent="0.25">
      <c r="A164" s="95">
        <v>44593</v>
      </c>
      <c r="B164" s="75">
        <v>423.71794871794867</v>
      </c>
      <c r="C164" s="75">
        <v>488.39285714285717</v>
      </c>
      <c r="D164" s="75">
        <v>296.875</v>
      </c>
      <c r="E164" s="75">
        <v>324.47916666666669</v>
      </c>
      <c r="F164" s="75">
        <v>286.80555555555554</v>
      </c>
      <c r="G164" s="75">
        <v>500</v>
      </c>
      <c r="H164" s="75">
        <v>458.33333333333337</v>
      </c>
      <c r="I164" s="75">
        <v>339.32692307692309</v>
      </c>
      <c r="J164" s="75">
        <v>321.70454545454544</v>
      </c>
      <c r="K164" s="75">
        <v>344.375</v>
      </c>
      <c r="N164" s="102"/>
      <c r="O164" s="104">
        <v>410</v>
      </c>
      <c r="P164" s="104">
        <v>210</v>
      </c>
      <c r="Q164" s="104">
        <v>240</v>
      </c>
      <c r="R164" s="104">
        <v>200</v>
      </c>
      <c r="S164" s="104"/>
      <c r="T164" s="104">
        <v>350</v>
      </c>
      <c r="U164" s="104">
        <v>275</v>
      </c>
      <c r="V164" s="104"/>
      <c r="W164" s="152">
        <v>250</v>
      </c>
      <c r="X164" s="102">
        <v>366.66666666666669</v>
      </c>
      <c r="Y164" s="104">
        <v>437.5</v>
      </c>
      <c r="Z164" s="104">
        <v>200</v>
      </c>
      <c r="AA164" s="104">
        <v>250</v>
      </c>
      <c r="AB164" s="104">
        <v>200</v>
      </c>
      <c r="AC164" s="104"/>
      <c r="AD164" s="104">
        <v>350</v>
      </c>
      <c r="AE164" s="104">
        <v>275</v>
      </c>
      <c r="AF164" s="104"/>
      <c r="AG164" s="152">
        <v>253.75</v>
      </c>
      <c r="AH164" s="102">
        <v>320</v>
      </c>
      <c r="AI164" s="104">
        <v>410</v>
      </c>
      <c r="AJ164" s="104">
        <v>200</v>
      </c>
      <c r="AK164" s="104">
        <v>250</v>
      </c>
      <c r="AL164" s="104">
        <v>200</v>
      </c>
      <c r="AM164" s="104"/>
      <c r="AN164" s="104">
        <v>350</v>
      </c>
      <c r="AO164" s="104">
        <v>275</v>
      </c>
      <c r="AP164" s="104"/>
      <c r="AQ164" s="152">
        <v>250</v>
      </c>
      <c r="AR164" s="102">
        <v>212.5</v>
      </c>
      <c r="AS164" s="104">
        <v>330</v>
      </c>
      <c r="AT164" s="104">
        <v>200</v>
      </c>
      <c r="AU164" s="104">
        <v>250</v>
      </c>
      <c r="AV164" s="104">
        <v>220</v>
      </c>
      <c r="AW164" s="104"/>
      <c r="AX164" s="104">
        <v>387.5</v>
      </c>
      <c r="AY164" s="104">
        <v>275</v>
      </c>
      <c r="AZ164" s="104"/>
      <c r="BA164" s="152">
        <v>257.5</v>
      </c>
      <c r="BB164" s="102">
        <v>212.5</v>
      </c>
      <c r="BC164" s="104"/>
      <c r="BD164" s="104">
        <v>200</v>
      </c>
      <c r="BE164" s="104">
        <v>250</v>
      </c>
      <c r="BF164" s="104">
        <v>200</v>
      </c>
      <c r="BG164" s="104"/>
      <c r="BH164" s="104">
        <v>400</v>
      </c>
      <c r="BI164" s="104">
        <v>275</v>
      </c>
      <c r="BJ164" s="104"/>
      <c r="BK164" s="152">
        <v>260</v>
      </c>
      <c r="BL164" s="102">
        <v>283.33333333333331</v>
      </c>
      <c r="BM164" s="104"/>
      <c r="BN164" s="104">
        <v>200</v>
      </c>
      <c r="BO164" s="104">
        <v>250</v>
      </c>
      <c r="BP164" s="104">
        <v>206.66666666666666</v>
      </c>
      <c r="BQ164" s="104"/>
      <c r="BR164" s="104">
        <v>400</v>
      </c>
      <c r="BS164" s="104">
        <v>275</v>
      </c>
      <c r="BT164" s="104"/>
      <c r="BU164" s="152">
        <v>256.66666666666669</v>
      </c>
      <c r="BV164" s="102">
        <v>320</v>
      </c>
      <c r="BW164" s="104"/>
      <c r="BX164" s="104">
        <v>200</v>
      </c>
      <c r="BY164" s="104">
        <v>250</v>
      </c>
      <c r="BZ164" s="104">
        <v>200</v>
      </c>
      <c r="CA164" s="104"/>
      <c r="CB164" s="104">
        <v>400</v>
      </c>
      <c r="CC164" s="104">
        <v>275</v>
      </c>
      <c r="CD164" s="104"/>
      <c r="CE164" s="152">
        <v>252</v>
      </c>
      <c r="CF164" s="102">
        <v>370</v>
      </c>
      <c r="CG164" s="104">
        <v>400</v>
      </c>
      <c r="CH164" s="104">
        <v>200</v>
      </c>
      <c r="CI164" s="104">
        <v>250</v>
      </c>
      <c r="CJ164" s="104">
        <v>205</v>
      </c>
      <c r="CK164" s="104"/>
      <c r="CL164" s="104">
        <v>240</v>
      </c>
      <c r="CM164" s="104">
        <v>275</v>
      </c>
      <c r="CN164" s="104"/>
      <c r="CO164" s="152">
        <v>250</v>
      </c>
      <c r="CP164" s="102"/>
      <c r="CQ164" s="104">
        <v>333.33333333333331</v>
      </c>
      <c r="CR164" s="104">
        <v>203.33333333333334</v>
      </c>
      <c r="CS164" s="104">
        <v>250</v>
      </c>
      <c r="CT164" s="104">
        <v>213.33333333333334</v>
      </c>
      <c r="CU164" s="104"/>
      <c r="CV164" s="104">
        <v>400</v>
      </c>
      <c r="CW164" s="104">
        <v>275</v>
      </c>
      <c r="CX164" s="104"/>
      <c r="CY164" s="152">
        <v>240</v>
      </c>
      <c r="CZ164" s="102"/>
      <c r="DA164" s="104">
        <v>300</v>
      </c>
      <c r="DB164" s="104">
        <v>220</v>
      </c>
      <c r="DC164" s="104">
        <v>250</v>
      </c>
      <c r="DD164" s="104">
        <v>220</v>
      </c>
      <c r="DE164" s="104"/>
      <c r="DF164" s="104">
        <v>400</v>
      </c>
      <c r="DG164" s="104">
        <v>275</v>
      </c>
      <c r="DH164" s="104"/>
      <c r="DI164" s="152">
        <v>250</v>
      </c>
      <c r="DJ164" s="102"/>
      <c r="DK164" s="104">
        <v>362.5</v>
      </c>
      <c r="DL164" s="104">
        <v>222.5</v>
      </c>
      <c r="DM164" s="104">
        <v>250</v>
      </c>
      <c r="DN164" s="104">
        <v>227.5</v>
      </c>
      <c r="DO164" s="104"/>
      <c r="DP164" s="104">
        <v>400</v>
      </c>
      <c r="DQ164" s="104">
        <v>281.25</v>
      </c>
      <c r="DR164" s="104"/>
      <c r="DS164" s="152">
        <v>275</v>
      </c>
      <c r="DT164" s="102"/>
      <c r="DU164" s="104">
        <v>350</v>
      </c>
      <c r="DV164" s="104">
        <v>225</v>
      </c>
      <c r="DW164" s="104">
        <v>250</v>
      </c>
      <c r="DX164" s="104">
        <v>213.33333333333334</v>
      </c>
      <c r="DY164" s="104"/>
      <c r="DZ164" s="104">
        <v>400</v>
      </c>
      <c r="EA164" s="104">
        <v>275</v>
      </c>
      <c r="EB164" s="104">
        <v>300</v>
      </c>
      <c r="EC164" s="152">
        <v>283.33333333333331</v>
      </c>
    </row>
    <row r="165" spans="1:133" x14ac:dyDescent="0.25">
      <c r="A165" s="95">
        <v>44621</v>
      </c>
      <c r="B165" s="75">
        <v>346.875</v>
      </c>
      <c r="C165" s="75">
        <v>508.33333333333337</v>
      </c>
      <c r="D165" s="75">
        <v>297.57142857142856</v>
      </c>
      <c r="E165" s="75">
        <v>335.41666666666669</v>
      </c>
      <c r="F165" s="75">
        <v>292.77777777777777</v>
      </c>
      <c r="G165" s="75">
        <v>500</v>
      </c>
      <c r="H165" s="75">
        <v>467.85714285714283</v>
      </c>
      <c r="I165" s="75">
        <v>335.91071428571428</v>
      </c>
      <c r="J165" s="75">
        <v>318.93181818181819</v>
      </c>
      <c r="K165" s="75">
        <v>352.14285714285717</v>
      </c>
      <c r="N165" s="102"/>
      <c r="O165" s="104">
        <v>420</v>
      </c>
      <c r="P165" s="104">
        <v>300</v>
      </c>
      <c r="Q165" s="104">
        <v>300</v>
      </c>
      <c r="R165" s="104">
        <v>240</v>
      </c>
      <c r="S165" s="104"/>
      <c r="T165" s="104">
        <v>430</v>
      </c>
      <c r="U165" s="104">
        <v>275</v>
      </c>
      <c r="V165" s="104"/>
      <c r="W165" s="152">
        <v>300</v>
      </c>
      <c r="X165" s="102">
        <v>300</v>
      </c>
      <c r="Y165" s="104">
        <v>400</v>
      </c>
      <c r="Z165" s="104">
        <v>300</v>
      </c>
      <c r="AA165" s="104">
        <v>300</v>
      </c>
      <c r="AB165" s="104">
        <v>281.25</v>
      </c>
      <c r="AC165" s="104"/>
      <c r="AD165" s="104">
        <v>400</v>
      </c>
      <c r="AE165" s="104">
        <v>275</v>
      </c>
      <c r="AF165" s="104"/>
      <c r="AG165" s="152">
        <v>300</v>
      </c>
      <c r="AH165" s="102">
        <v>300</v>
      </c>
      <c r="AI165" s="104">
        <v>400</v>
      </c>
      <c r="AJ165" s="104">
        <v>300</v>
      </c>
      <c r="AK165" s="104">
        <v>300</v>
      </c>
      <c r="AL165" s="104">
        <v>300</v>
      </c>
      <c r="AM165" s="104"/>
      <c r="AN165" s="104">
        <v>400</v>
      </c>
      <c r="AO165" s="104">
        <v>275</v>
      </c>
      <c r="AP165" s="104"/>
      <c r="AQ165" s="152">
        <v>300</v>
      </c>
      <c r="AR165" s="102">
        <v>212.5</v>
      </c>
      <c r="AS165" s="104">
        <v>400</v>
      </c>
      <c r="AT165" s="104">
        <v>300</v>
      </c>
      <c r="AU165" s="104">
        <v>300</v>
      </c>
      <c r="AV165" s="104">
        <v>300</v>
      </c>
      <c r="AW165" s="104"/>
      <c r="AX165" s="104">
        <v>400</v>
      </c>
      <c r="AY165" s="104">
        <v>275</v>
      </c>
      <c r="AZ165" s="104"/>
      <c r="BA165" s="152">
        <v>300</v>
      </c>
      <c r="BB165" s="102">
        <v>200</v>
      </c>
      <c r="BC165" s="104"/>
      <c r="BD165" s="104">
        <v>300</v>
      </c>
      <c r="BE165" s="104">
        <v>300</v>
      </c>
      <c r="BF165" s="104">
        <v>300</v>
      </c>
      <c r="BG165" s="104"/>
      <c r="BH165" s="104">
        <v>400</v>
      </c>
      <c r="BI165" s="104">
        <v>275</v>
      </c>
      <c r="BJ165" s="104"/>
      <c r="BK165" s="152">
        <v>293.75</v>
      </c>
      <c r="BL165" s="102">
        <v>266.66666666666669</v>
      </c>
      <c r="BM165" s="104"/>
      <c r="BN165" s="104">
        <v>300</v>
      </c>
      <c r="BO165" s="104">
        <v>300</v>
      </c>
      <c r="BP165" s="104">
        <v>300</v>
      </c>
      <c r="BQ165" s="104"/>
      <c r="BR165" s="104">
        <v>400</v>
      </c>
      <c r="BS165" s="104">
        <v>275</v>
      </c>
      <c r="BT165" s="104"/>
      <c r="BU165" s="152">
        <v>300</v>
      </c>
      <c r="BV165" s="102">
        <v>360</v>
      </c>
      <c r="BW165" s="104"/>
      <c r="BX165" s="104">
        <v>300</v>
      </c>
      <c r="BY165" s="104">
        <v>300</v>
      </c>
      <c r="BZ165" s="104">
        <v>300</v>
      </c>
      <c r="CA165" s="104"/>
      <c r="CB165" s="104">
        <v>400</v>
      </c>
      <c r="CC165" s="104">
        <v>275</v>
      </c>
      <c r="CD165" s="104"/>
      <c r="CE165" s="152">
        <v>300</v>
      </c>
      <c r="CF165" s="102">
        <v>400</v>
      </c>
      <c r="CG165" s="104">
        <v>500</v>
      </c>
      <c r="CH165" s="104">
        <v>300</v>
      </c>
      <c r="CI165" s="104">
        <v>300</v>
      </c>
      <c r="CJ165" s="104">
        <v>300</v>
      </c>
      <c r="CK165" s="104"/>
      <c r="CL165" s="104">
        <v>240</v>
      </c>
      <c r="CM165" s="104">
        <v>275</v>
      </c>
      <c r="CN165" s="104"/>
      <c r="CO165" s="152">
        <v>300</v>
      </c>
      <c r="CP165" s="102"/>
      <c r="CQ165" s="104">
        <v>400</v>
      </c>
      <c r="CR165" s="104">
        <v>300</v>
      </c>
      <c r="CS165" s="104">
        <v>300</v>
      </c>
      <c r="CT165" s="104">
        <v>300</v>
      </c>
      <c r="CU165" s="104"/>
      <c r="CV165" s="104">
        <v>400</v>
      </c>
      <c r="CW165" s="104">
        <v>275</v>
      </c>
      <c r="CX165" s="104"/>
      <c r="CY165" s="152">
        <v>300</v>
      </c>
      <c r="CZ165" s="102"/>
      <c r="DA165" s="104">
        <v>400</v>
      </c>
      <c r="DB165" s="104">
        <v>300</v>
      </c>
      <c r="DC165" s="104">
        <v>300</v>
      </c>
      <c r="DD165" s="104">
        <v>300</v>
      </c>
      <c r="DE165" s="104"/>
      <c r="DF165" s="104">
        <v>400</v>
      </c>
      <c r="DG165" s="104">
        <v>275</v>
      </c>
      <c r="DH165" s="104"/>
      <c r="DI165" s="152">
        <v>300</v>
      </c>
      <c r="DJ165" s="102"/>
      <c r="DK165" s="104">
        <v>400</v>
      </c>
      <c r="DL165" s="104">
        <v>300</v>
      </c>
      <c r="DM165" s="104">
        <v>300</v>
      </c>
      <c r="DN165" s="104">
        <v>300</v>
      </c>
      <c r="DO165" s="104"/>
      <c r="DP165" s="104">
        <v>400</v>
      </c>
      <c r="DQ165" s="104">
        <v>275</v>
      </c>
      <c r="DR165" s="104"/>
      <c r="DS165" s="152">
        <v>300</v>
      </c>
      <c r="DT165" s="102"/>
      <c r="DU165" s="104">
        <v>400</v>
      </c>
      <c r="DV165" s="104">
        <v>300</v>
      </c>
      <c r="DW165" s="104">
        <v>300</v>
      </c>
      <c r="DX165" s="104">
        <v>300</v>
      </c>
      <c r="DY165" s="104"/>
      <c r="DZ165" s="104">
        <v>400</v>
      </c>
      <c r="EA165" s="104">
        <v>275</v>
      </c>
      <c r="EB165" s="104"/>
      <c r="EC165" s="152">
        <v>300</v>
      </c>
    </row>
    <row r="166" spans="1:133" x14ac:dyDescent="0.25">
      <c r="A166" s="95">
        <v>44652</v>
      </c>
      <c r="B166" s="75">
        <v>325.64102564102569</v>
      </c>
      <c r="C166" s="75"/>
      <c r="D166" s="75">
        <v>301.79487179487177</v>
      </c>
      <c r="E166" s="75">
        <v>347.91666666666669</v>
      </c>
      <c r="F166" s="75">
        <v>299.47916666666669</v>
      </c>
      <c r="G166" s="75">
        <v>512.5</v>
      </c>
      <c r="H166" s="75">
        <v>473.07692307692309</v>
      </c>
      <c r="I166" s="75">
        <v>335.34722222222223</v>
      </c>
      <c r="J166" s="75">
        <v>315.30303030303025</v>
      </c>
      <c r="K166" s="75">
        <v>341.25</v>
      </c>
      <c r="N166" s="102"/>
      <c r="O166" s="104">
        <v>400</v>
      </c>
      <c r="P166" s="104">
        <v>255</v>
      </c>
      <c r="Q166" s="104">
        <v>250</v>
      </c>
      <c r="R166" s="104">
        <v>241.66666666666666</v>
      </c>
      <c r="S166" s="104"/>
      <c r="T166" s="104">
        <v>400</v>
      </c>
      <c r="U166" s="104">
        <v>275</v>
      </c>
      <c r="V166" s="104"/>
      <c r="W166" s="152">
        <v>275</v>
      </c>
      <c r="X166" s="102">
        <v>400</v>
      </c>
      <c r="Y166" s="104">
        <v>437.5</v>
      </c>
      <c r="Z166" s="104">
        <v>250</v>
      </c>
      <c r="AA166" s="104">
        <v>250</v>
      </c>
      <c r="AB166" s="104">
        <v>250</v>
      </c>
      <c r="AC166" s="104"/>
      <c r="AD166" s="104">
        <v>400</v>
      </c>
      <c r="AE166" s="104">
        <v>275</v>
      </c>
      <c r="AF166" s="104"/>
      <c r="AG166" s="152">
        <v>275</v>
      </c>
      <c r="AH166" s="102">
        <v>370</v>
      </c>
      <c r="AI166" s="104">
        <v>440</v>
      </c>
      <c r="AJ166" s="104">
        <v>250</v>
      </c>
      <c r="AK166" s="104">
        <v>250</v>
      </c>
      <c r="AL166" s="104"/>
      <c r="AM166" s="104"/>
      <c r="AN166" s="104">
        <v>400</v>
      </c>
      <c r="AO166" s="104">
        <v>285</v>
      </c>
      <c r="AP166" s="104"/>
      <c r="AQ166" s="152">
        <v>275</v>
      </c>
      <c r="AR166" s="102">
        <v>250</v>
      </c>
      <c r="AS166" s="104">
        <v>333.33333333333331</v>
      </c>
      <c r="AT166" s="104">
        <v>250</v>
      </c>
      <c r="AU166" s="104">
        <v>250</v>
      </c>
      <c r="AV166" s="104"/>
      <c r="AW166" s="104"/>
      <c r="AX166" s="104">
        <v>400</v>
      </c>
      <c r="AY166" s="104">
        <v>275</v>
      </c>
      <c r="AZ166" s="104"/>
      <c r="BA166" s="152">
        <v>275</v>
      </c>
      <c r="BB166" s="102">
        <v>212.5</v>
      </c>
      <c r="BC166" s="104">
        <v>300</v>
      </c>
      <c r="BD166" s="104">
        <v>250</v>
      </c>
      <c r="BE166" s="104">
        <v>250</v>
      </c>
      <c r="BF166" s="104"/>
      <c r="BG166" s="104"/>
      <c r="BH166" s="104">
        <v>400</v>
      </c>
      <c r="BI166" s="104">
        <v>281.25</v>
      </c>
      <c r="BJ166" s="104">
        <v>275</v>
      </c>
      <c r="BK166" s="152">
        <v>275</v>
      </c>
      <c r="BL166" s="102">
        <v>316.66666666666669</v>
      </c>
      <c r="BM166" s="104"/>
      <c r="BN166" s="104">
        <v>250</v>
      </c>
      <c r="BO166" s="104">
        <v>250</v>
      </c>
      <c r="BP166" s="104"/>
      <c r="BQ166" s="104"/>
      <c r="BR166" s="104">
        <v>400</v>
      </c>
      <c r="BS166" s="104">
        <v>275</v>
      </c>
      <c r="BT166" s="104"/>
      <c r="BU166" s="152">
        <v>275</v>
      </c>
      <c r="BV166" s="102">
        <v>400</v>
      </c>
      <c r="BW166" s="104"/>
      <c r="BX166" s="104">
        <v>250</v>
      </c>
      <c r="BY166" s="104">
        <v>250</v>
      </c>
      <c r="BZ166" s="104">
        <v>225</v>
      </c>
      <c r="CA166" s="104"/>
      <c r="CB166" s="104">
        <v>400</v>
      </c>
      <c r="CC166" s="104">
        <v>275</v>
      </c>
      <c r="CD166" s="104"/>
      <c r="CE166" s="152">
        <v>275</v>
      </c>
      <c r="CF166" s="102">
        <v>487.5</v>
      </c>
      <c r="CG166" s="104">
        <v>500</v>
      </c>
      <c r="CH166" s="104">
        <v>250</v>
      </c>
      <c r="CI166" s="104">
        <v>250</v>
      </c>
      <c r="CJ166" s="104">
        <v>237.5</v>
      </c>
      <c r="CK166" s="104"/>
      <c r="CL166" s="104">
        <v>240</v>
      </c>
      <c r="CM166" s="104">
        <v>275</v>
      </c>
      <c r="CN166" s="104"/>
      <c r="CO166" s="152">
        <v>275</v>
      </c>
      <c r="CP166" s="102"/>
      <c r="CQ166" s="104">
        <v>400</v>
      </c>
      <c r="CR166" s="104">
        <v>250</v>
      </c>
      <c r="CS166" s="104">
        <v>250</v>
      </c>
      <c r="CT166" s="104"/>
      <c r="CU166" s="104"/>
      <c r="CV166" s="104">
        <v>400</v>
      </c>
      <c r="CW166" s="104">
        <v>293.33333333333331</v>
      </c>
      <c r="CX166" s="104"/>
      <c r="CY166" s="152">
        <v>275</v>
      </c>
      <c r="CZ166" s="102"/>
      <c r="DA166" s="104">
        <v>350</v>
      </c>
      <c r="DB166" s="104">
        <v>250</v>
      </c>
      <c r="DC166" s="104">
        <v>250</v>
      </c>
      <c r="DD166" s="104"/>
      <c r="DE166" s="104"/>
      <c r="DF166" s="104">
        <v>400</v>
      </c>
      <c r="DG166" s="104">
        <v>275</v>
      </c>
      <c r="DH166" s="104"/>
      <c r="DI166" s="152">
        <v>275</v>
      </c>
      <c r="DJ166" s="102"/>
      <c r="DK166" s="104">
        <v>400</v>
      </c>
      <c r="DL166" s="104">
        <v>250</v>
      </c>
      <c r="DM166" s="104">
        <v>250</v>
      </c>
      <c r="DN166" s="104">
        <v>250</v>
      </c>
      <c r="DO166" s="104"/>
      <c r="DP166" s="104">
        <v>450</v>
      </c>
      <c r="DQ166" s="104">
        <v>293.75</v>
      </c>
      <c r="DR166" s="104"/>
      <c r="DS166" s="152">
        <v>275</v>
      </c>
      <c r="DT166" s="102"/>
      <c r="DU166" s="104">
        <v>400</v>
      </c>
      <c r="DV166" s="104">
        <v>250</v>
      </c>
      <c r="DW166" s="104">
        <v>250</v>
      </c>
      <c r="DX166" s="104"/>
      <c r="DY166" s="104"/>
      <c r="DZ166" s="104">
        <v>500</v>
      </c>
      <c r="EA166" s="104">
        <v>300</v>
      </c>
      <c r="EB166" s="104">
        <v>275</v>
      </c>
      <c r="EC166" s="152">
        <v>283.33333333333331</v>
      </c>
    </row>
    <row r="167" spans="1:133" x14ac:dyDescent="0.25">
      <c r="A167" s="95">
        <v>44682</v>
      </c>
      <c r="B167" s="75">
        <v>292.43933150183148</v>
      </c>
      <c r="C167" s="75"/>
      <c r="D167" s="75">
        <v>323.03685897435901</v>
      </c>
      <c r="E167" s="75">
        <v>374.57070707070704</v>
      </c>
      <c r="F167" s="75">
        <v>331.91964285714289</v>
      </c>
      <c r="G167" s="75">
        <v>520.83333333333326</v>
      </c>
      <c r="H167" s="75">
        <v>468.65946553446554</v>
      </c>
      <c r="I167" s="75">
        <v>335.20833333333331</v>
      </c>
      <c r="J167" s="75">
        <v>315.49147727272725</v>
      </c>
      <c r="K167" s="75">
        <v>359.22619047619048</v>
      </c>
      <c r="N167" s="102"/>
      <c r="O167" s="104"/>
      <c r="P167" s="104"/>
      <c r="Q167" s="104"/>
      <c r="R167" s="104"/>
      <c r="S167" s="104"/>
      <c r="T167" s="104"/>
      <c r="U167" s="104"/>
      <c r="V167" s="104"/>
      <c r="W167" s="152"/>
      <c r="X167" s="102">
        <v>350</v>
      </c>
      <c r="Y167" s="104">
        <v>443.75</v>
      </c>
      <c r="Z167" s="104">
        <v>200</v>
      </c>
      <c r="AA167" s="104">
        <v>225</v>
      </c>
      <c r="AB167" s="104"/>
      <c r="AC167" s="104"/>
      <c r="AD167" s="104">
        <v>400</v>
      </c>
      <c r="AE167" s="104">
        <v>270</v>
      </c>
      <c r="AF167" s="104">
        <v>270</v>
      </c>
      <c r="AG167" s="152">
        <v>318.75</v>
      </c>
      <c r="AH167" s="102">
        <v>365</v>
      </c>
      <c r="AI167" s="104">
        <v>425</v>
      </c>
      <c r="AJ167" s="104">
        <v>200</v>
      </c>
      <c r="AK167" s="104">
        <v>225</v>
      </c>
      <c r="AL167" s="104"/>
      <c r="AM167" s="104"/>
      <c r="AN167" s="104">
        <v>400</v>
      </c>
      <c r="AO167" s="104">
        <v>270</v>
      </c>
      <c r="AP167" s="104"/>
      <c r="AQ167" s="152">
        <v>325</v>
      </c>
      <c r="AR167" s="102">
        <v>275</v>
      </c>
      <c r="AS167" s="104"/>
      <c r="AT167" s="104">
        <v>200</v>
      </c>
      <c r="AU167" s="104">
        <v>225</v>
      </c>
      <c r="AV167" s="104"/>
      <c r="AW167" s="104"/>
      <c r="AX167" s="104">
        <v>400</v>
      </c>
      <c r="AY167" s="104">
        <v>270</v>
      </c>
      <c r="AZ167" s="104">
        <v>270</v>
      </c>
      <c r="BA167" s="152">
        <v>325</v>
      </c>
      <c r="BB167" s="102">
        <v>250</v>
      </c>
      <c r="BC167" s="104"/>
      <c r="BD167" s="104">
        <v>225</v>
      </c>
      <c r="BE167" s="104">
        <v>250</v>
      </c>
      <c r="BF167" s="104"/>
      <c r="BG167" s="104"/>
      <c r="BH167" s="104">
        <v>400</v>
      </c>
      <c r="BI167" s="104">
        <v>270</v>
      </c>
      <c r="BJ167" s="104">
        <v>270</v>
      </c>
      <c r="BK167" s="152">
        <v>325</v>
      </c>
      <c r="BL167" s="102">
        <v>316.66666666666669</v>
      </c>
      <c r="BM167" s="104"/>
      <c r="BN167" s="104">
        <v>225</v>
      </c>
      <c r="BO167" s="104">
        <v>250</v>
      </c>
      <c r="BP167" s="104"/>
      <c r="BQ167" s="104"/>
      <c r="BR167" s="104">
        <v>400</v>
      </c>
      <c r="BS167" s="104">
        <v>270</v>
      </c>
      <c r="BT167" s="104">
        <v>270</v>
      </c>
      <c r="BU167" s="152">
        <v>325</v>
      </c>
      <c r="BV167" s="102">
        <v>410</v>
      </c>
      <c r="BW167" s="104"/>
      <c r="BX167" s="104">
        <v>225</v>
      </c>
      <c r="BY167" s="104">
        <v>250</v>
      </c>
      <c r="BZ167" s="104"/>
      <c r="CA167" s="104"/>
      <c r="CB167" s="104">
        <v>395</v>
      </c>
      <c r="CC167" s="104">
        <v>270</v>
      </c>
      <c r="CD167" s="104">
        <v>270</v>
      </c>
      <c r="CE167" s="152">
        <v>325</v>
      </c>
      <c r="CF167" s="102">
        <v>533.33333333333337</v>
      </c>
      <c r="CG167" s="104">
        <v>450</v>
      </c>
      <c r="CH167" s="104">
        <v>237.5</v>
      </c>
      <c r="CI167" s="104">
        <v>250</v>
      </c>
      <c r="CJ167" s="104">
        <v>250</v>
      </c>
      <c r="CK167" s="104"/>
      <c r="CL167" s="104">
        <v>200</v>
      </c>
      <c r="CM167" s="104">
        <v>270</v>
      </c>
      <c r="CN167" s="104">
        <v>271.25</v>
      </c>
      <c r="CO167" s="152">
        <v>325</v>
      </c>
      <c r="CP167" s="102"/>
      <c r="CQ167" s="104">
        <v>400</v>
      </c>
      <c r="CR167" s="104">
        <v>225</v>
      </c>
      <c r="CS167" s="104">
        <v>275</v>
      </c>
      <c r="CT167" s="104"/>
      <c r="CU167" s="104"/>
      <c r="CV167" s="104">
        <v>400</v>
      </c>
      <c r="CW167" s="104">
        <v>270</v>
      </c>
      <c r="CX167" s="104"/>
      <c r="CY167" s="152">
        <v>325</v>
      </c>
      <c r="CZ167" s="102"/>
      <c r="DA167" s="104"/>
      <c r="DB167" s="104"/>
      <c r="DC167" s="104"/>
      <c r="DD167" s="104"/>
      <c r="DE167" s="104"/>
      <c r="DF167" s="104"/>
      <c r="DG167" s="104"/>
      <c r="DH167" s="104"/>
      <c r="DI167" s="152"/>
      <c r="DJ167" s="102"/>
      <c r="DK167" s="104">
        <v>400</v>
      </c>
      <c r="DL167" s="104">
        <v>237.5</v>
      </c>
      <c r="DM167" s="104">
        <v>268.75</v>
      </c>
      <c r="DN167" s="104">
        <v>250</v>
      </c>
      <c r="DO167" s="104"/>
      <c r="DP167" s="104">
        <v>400</v>
      </c>
      <c r="DQ167" s="104">
        <v>275</v>
      </c>
      <c r="DR167" s="104">
        <v>275</v>
      </c>
      <c r="DS167" s="152">
        <v>350</v>
      </c>
      <c r="DT167" s="102"/>
      <c r="DU167" s="104">
        <v>400</v>
      </c>
      <c r="DV167" s="104">
        <v>225</v>
      </c>
      <c r="DW167" s="104">
        <v>250</v>
      </c>
      <c r="DX167" s="104">
        <v>250</v>
      </c>
      <c r="DY167" s="104"/>
      <c r="DZ167" s="104">
        <v>400</v>
      </c>
      <c r="EA167" s="104">
        <v>275</v>
      </c>
      <c r="EB167" s="104">
        <v>275</v>
      </c>
      <c r="EC167" s="152">
        <v>350</v>
      </c>
    </row>
    <row r="168" spans="1:133" x14ac:dyDescent="0.25">
      <c r="A168" s="95">
        <v>44713</v>
      </c>
      <c r="B168" s="75">
        <v>350.37545787545787</v>
      </c>
      <c r="C168" s="75"/>
      <c r="D168" s="75">
        <v>366.81235431235433</v>
      </c>
      <c r="E168" s="75">
        <v>407.06313131313129</v>
      </c>
      <c r="F168" s="75">
        <v>370.26388888888886</v>
      </c>
      <c r="G168" s="75">
        <v>519.99999999999989</v>
      </c>
      <c r="H168" s="75">
        <v>479.06593406593402</v>
      </c>
      <c r="I168" s="75">
        <v>343.87121212121212</v>
      </c>
      <c r="J168" s="75">
        <v>326.10909090909092</v>
      </c>
      <c r="K168" s="75">
        <v>374.25</v>
      </c>
      <c r="N168" s="102"/>
      <c r="O168" s="104">
        <v>400</v>
      </c>
      <c r="P168" s="104">
        <v>178</v>
      </c>
      <c r="Q168" s="104">
        <v>226</v>
      </c>
      <c r="R168" s="104">
        <v>200</v>
      </c>
      <c r="S168" s="104">
        <v>445</v>
      </c>
      <c r="T168" s="104">
        <v>400</v>
      </c>
      <c r="U168" s="104">
        <v>275</v>
      </c>
      <c r="V168" s="104">
        <v>273</v>
      </c>
      <c r="W168" s="152"/>
      <c r="X168" s="102">
        <v>366.66666666666669</v>
      </c>
      <c r="Y168" s="104">
        <v>425</v>
      </c>
      <c r="Z168" s="104">
        <v>200</v>
      </c>
      <c r="AA168" s="104">
        <v>237.5</v>
      </c>
      <c r="AB168" s="104">
        <v>200</v>
      </c>
      <c r="AC168" s="104">
        <v>450</v>
      </c>
      <c r="AD168" s="104">
        <v>400</v>
      </c>
      <c r="AE168" s="104">
        <v>275</v>
      </c>
      <c r="AF168" s="104">
        <v>275</v>
      </c>
      <c r="AG168" s="152">
        <v>250</v>
      </c>
      <c r="AH168" s="102">
        <v>320</v>
      </c>
      <c r="AI168" s="104">
        <v>400</v>
      </c>
      <c r="AJ168" s="104">
        <v>200</v>
      </c>
      <c r="AK168" s="104">
        <v>240</v>
      </c>
      <c r="AL168" s="104">
        <v>200</v>
      </c>
      <c r="AM168" s="104">
        <v>450</v>
      </c>
      <c r="AN168" s="104">
        <v>400</v>
      </c>
      <c r="AO168" s="104">
        <v>275</v>
      </c>
      <c r="AP168" s="104">
        <v>275</v>
      </c>
      <c r="AQ168" s="152"/>
      <c r="AR168" s="102">
        <v>243.75</v>
      </c>
      <c r="AS168" s="104"/>
      <c r="AT168" s="104">
        <v>200</v>
      </c>
      <c r="AU168" s="104">
        <v>250</v>
      </c>
      <c r="AV168" s="104">
        <v>200</v>
      </c>
      <c r="AW168" s="104">
        <v>450</v>
      </c>
      <c r="AX168" s="104">
        <v>400</v>
      </c>
      <c r="AY168" s="104">
        <v>275</v>
      </c>
      <c r="AZ168" s="104">
        <v>275</v>
      </c>
      <c r="BA168" s="152"/>
      <c r="BB168" s="102">
        <v>225</v>
      </c>
      <c r="BC168" s="104"/>
      <c r="BD168" s="104">
        <v>193.75</v>
      </c>
      <c r="BE168" s="104">
        <v>250</v>
      </c>
      <c r="BF168" s="104">
        <v>200</v>
      </c>
      <c r="BG168" s="104">
        <v>450</v>
      </c>
      <c r="BH168" s="104">
        <v>375</v>
      </c>
      <c r="BI168" s="104">
        <v>275</v>
      </c>
      <c r="BJ168" s="104">
        <v>275</v>
      </c>
      <c r="BK168" s="152"/>
      <c r="BL168" s="102">
        <v>316.66666666666669</v>
      </c>
      <c r="BM168" s="104"/>
      <c r="BN168" s="104">
        <v>200</v>
      </c>
      <c r="BO168" s="104">
        <v>250</v>
      </c>
      <c r="BP168" s="104">
        <v>200</v>
      </c>
      <c r="BQ168" s="104">
        <v>450</v>
      </c>
      <c r="BR168" s="104">
        <v>350</v>
      </c>
      <c r="BS168" s="104">
        <v>275</v>
      </c>
      <c r="BT168" s="104">
        <v>275</v>
      </c>
      <c r="BU168" s="152">
        <v>325</v>
      </c>
      <c r="BV168" s="102">
        <v>355</v>
      </c>
      <c r="BW168" s="104"/>
      <c r="BX168" s="104">
        <v>200</v>
      </c>
      <c r="BY168" s="104">
        <v>250</v>
      </c>
      <c r="BZ168" s="104">
        <v>200</v>
      </c>
      <c r="CA168" s="104">
        <v>450</v>
      </c>
      <c r="CB168" s="104">
        <v>350</v>
      </c>
      <c r="CC168" s="104">
        <v>275</v>
      </c>
      <c r="CD168" s="104">
        <v>275</v>
      </c>
      <c r="CE168" s="152"/>
      <c r="CF168" s="102">
        <v>412.5</v>
      </c>
      <c r="CG168" s="104">
        <v>400</v>
      </c>
      <c r="CH168" s="104">
        <v>210</v>
      </c>
      <c r="CI168" s="104">
        <v>250</v>
      </c>
      <c r="CJ168" s="104">
        <v>200</v>
      </c>
      <c r="CK168" s="104">
        <v>450</v>
      </c>
      <c r="CL168" s="104">
        <v>325</v>
      </c>
      <c r="CM168" s="104">
        <v>275</v>
      </c>
      <c r="CN168" s="104">
        <v>275</v>
      </c>
      <c r="CO168" s="152"/>
      <c r="CP168" s="102"/>
      <c r="CQ168" s="104">
        <v>333.33333333333331</v>
      </c>
      <c r="CR168" s="104">
        <v>225</v>
      </c>
      <c r="CS168" s="104">
        <v>241.66666666666666</v>
      </c>
      <c r="CT168" s="104">
        <v>225</v>
      </c>
      <c r="CU168" s="104">
        <v>450</v>
      </c>
      <c r="CV168" s="104">
        <v>350</v>
      </c>
      <c r="CW168" s="104">
        <v>275</v>
      </c>
      <c r="CX168" s="104">
        <v>275</v>
      </c>
      <c r="CY168" s="152"/>
      <c r="CZ168" s="102"/>
      <c r="DA168" s="104">
        <v>350</v>
      </c>
      <c r="DB168" s="104">
        <v>225</v>
      </c>
      <c r="DC168" s="104">
        <v>275</v>
      </c>
      <c r="DD168" s="104">
        <v>250</v>
      </c>
      <c r="DE168" s="104">
        <v>450</v>
      </c>
      <c r="DF168" s="104">
        <v>350</v>
      </c>
      <c r="DG168" s="104">
        <v>275</v>
      </c>
      <c r="DH168" s="104">
        <v>275</v>
      </c>
      <c r="DI168" s="152"/>
      <c r="DJ168" s="102"/>
      <c r="DK168" s="104">
        <v>312.5</v>
      </c>
      <c r="DL168" s="104">
        <v>231.25</v>
      </c>
      <c r="DM168" s="104">
        <v>256.25</v>
      </c>
      <c r="DN168" s="104">
        <v>231.25</v>
      </c>
      <c r="DO168" s="104">
        <v>450</v>
      </c>
      <c r="DP168" s="104">
        <v>350</v>
      </c>
      <c r="DQ168" s="104">
        <v>275</v>
      </c>
      <c r="DR168" s="104">
        <v>275</v>
      </c>
      <c r="DS168" s="152"/>
      <c r="DT168" s="102"/>
      <c r="DU168" s="104">
        <v>366.66666666666669</v>
      </c>
      <c r="DV168" s="104">
        <v>225</v>
      </c>
      <c r="DW168" s="104">
        <v>250</v>
      </c>
      <c r="DX168" s="104">
        <v>225</v>
      </c>
      <c r="DY168" s="104">
        <v>450</v>
      </c>
      <c r="DZ168" s="104">
        <v>350</v>
      </c>
      <c r="EA168" s="104">
        <v>275</v>
      </c>
      <c r="EB168" s="104">
        <v>275</v>
      </c>
      <c r="EC168" s="152"/>
    </row>
    <row r="169" spans="1:133" x14ac:dyDescent="0.25">
      <c r="A169" s="95">
        <v>44743</v>
      </c>
      <c r="B169" s="75">
        <v>515.76999389499395</v>
      </c>
      <c r="C169" s="75"/>
      <c r="D169" s="75">
        <v>383.22382478632477</v>
      </c>
      <c r="E169" s="75">
        <v>427.20170454545456</v>
      </c>
      <c r="F169" s="75">
        <v>385.71428571428572</v>
      </c>
      <c r="G169" s="75">
        <v>520.83333333333326</v>
      </c>
      <c r="H169" s="75">
        <v>475.5437271062271</v>
      </c>
      <c r="I169" s="75">
        <v>349.24060314685312</v>
      </c>
      <c r="J169" s="75">
        <v>331.48263888888891</v>
      </c>
      <c r="K169" s="75">
        <v>359.0625</v>
      </c>
      <c r="N169" s="102"/>
      <c r="O169" s="104">
        <v>500</v>
      </c>
      <c r="P169" s="104">
        <v>220</v>
      </c>
      <c r="Q169" s="104">
        <v>220</v>
      </c>
      <c r="R169" s="104">
        <v>195</v>
      </c>
      <c r="S169" s="104"/>
      <c r="T169" s="104">
        <v>400</v>
      </c>
      <c r="U169" s="104">
        <v>275</v>
      </c>
      <c r="V169" s="104">
        <v>275</v>
      </c>
      <c r="W169" s="152">
        <v>300</v>
      </c>
      <c r="X169" s="102">
        <v>400</v>
      </c>
      <c r="Y169" s="104">
        <v>475</v>
      </c>
      <c r="Z169" s="104">
        <v>250</v>
      </c>
      <c r="AA169" s="104">
        <v>225</v>
      </c>
      <c r="AB169" s="104">
        <v>200</v>
      </c>
      <c r="AC169" s="104"/>
      <c r="AD169" s="104">
        <v>400</v>
      </c>
      <c r="AE169" s="104">
        <v>275</v>
      </c>
      <c r="AF169" s="104">
        <v>275</v>
      </c>
      <c r="AG169" s="152">
        <v>331.25</v>
      </c>
      <c r="AH169" s="102">
        <v>400</v>
      </c>
      <c r="AI169" s="104">
        <v>500</v>
      </c>
      <c r="AJ169" s="104">
        <v>250</v>
      </c>
      <c r="AK169" s="104">
        <v>225</v>
      </c>
      <c r="AL169" s="104">
        <v>200</v>
      </c>
      <c r="AM169" s="104"/>
      <c r="AN169" s="104">
        <v>400</v>
      </c>
      <c r="AO169" s="104">
        <v>275</v>
      </c>
      <c r="AP169" s="104">
        <v>275</v>
      </c>
      <c r="AQ169" s="152">
        <v>290</v>
      </c>
      <c r="AR169" s="102">
        <v>300</v>
      </c>
      <c r="AS169" s="104">
        <v>500</v>
      </c>
      <c r="AT169" s="104">
        <v>200</v>
      </c>
      <c r="AU169" s="104">
        <v>200</v>
      </c>
      <c r="AV169" s="104">
        <v>175</v>
      </c>
      <c r="AW169" s="104"/>
      <c r="AX169" s="104">
        <v>400</v>
      </c>
      <c r="AY169" s="104">
        <v>275</v>
      </c>
      <c r="AZ169" s="104">
        <v>275</v>
      </c>
      <c r="BA169" s="152">
        <v>275</v>
      </c>
      <c r="BB169" s="102">
        <v>287.5</v>
      </c>
      <c r="BC169" s="104"/>
      <c r="BD169" s="104">
        <v>212.5</v>
      </c>
      <c r="BE169" s="104">
        <v>250</v>
      </c>
      <c r="BF169" s="104">
        <v>200</v>
      </c>
      <c r="BG169" s="104"/>
      <c r="BH169" s="104">
        <v>400</v>
      </c>
      <c r="BI169" s="104">
        <v>275</v>
      </c>
      <c r="BJ169" s="104">
        <v>275</v>
      </c>
      <c r="BK169" s="152">
        <v>312.5</v>
      </c>
      <c r="BL169" s="102">
        <v>366.66666666666669</v>
      </c>
      <c r="BM169" s="104"/>
      <c r="BN169" s="104">
        <v>250</v>
      </c>
      <c r="BO169" s="104">
        <v>225</v>
      </c>
      <c r="BP169" s="104">
        <v>200</v>
      </c>
      <c r="BQ169" s="104"/>
      <c r="BR169" s="104">
        <v>400</v>
      </c>
      <c r="BS169" s="104">
        <v>275</v>
      </c>
      <c r="BT169" s="104">
        <v>275</v>
      </c>
      <c r="BU169" s="152">
        <v>300</v>
      </c>
      <c r="BV169" s="102">
        <v>420</v>
      </c>
      <c r="BW169" s="104"/>
      <c r="BX169" s="104">
        <v>250</v>
      </c>
      <c r="BY169" s="104">
        <v>230</v>
      </c>
      <c r="BZ169" s="104">
        <v>200</v>
      </c>
      <c r="CA169" s="104"/>
      <c r="CB169" s="104">
        <v>400</v>
      </c>
      <c r="CC169" s="104">
        <v>275</v>
      </c>
      <c r="CD169" s="104">
        <v>275</v>
      </c>
      <c r="CE169" s="152">
        <v>300</v>
      </c>
      <c r="CF169" s="102">
        <v>500</v>
      </c>
      <c r="CG169" s="104">
        <v>500</v>
      </c>
      <c r="CH169" s="104">
        <v>220</v>
      </c>
      <c r="CI169" s="104">
        <v>230</v>
      </c>
      <c r="CJ169" s="104">
        <v>200</v>
      </c>
      <c r="CK169" s="104"/>
      <c r="CL169" s="104">
        <v>240</v>
      </c>
      <c r="CM169" s="104">
        <v>275</v>
      </c>
      <c r="CN169" s="104">
        <v>275</v>
      </c>
      <c r="CO169" s="152">
        <v>300</v>
      </c>
      <c r="CP169" s="102"/>
      <c r="CQ169" s="104">
        <v>466.66666666666669</v>
      </c>
      <c r="CR169" s="104">
        <v>200</v>
      </c>
      <c r="CS169" s="104">
        <v>225</v>
      </c>
      <c r="CT169" s="104">
        <v>200</v>
      </c>
      <c r="CU169" s="104"/>
      <c r="CV169" s="104">
        <v>400</v>
      </c>
      <c r="CW169" s="104">
        <v>280</v>
      </c>
      <c r="CX169" s="104">
        <v>275</v>
      </c>
      <c r="CY169" s="152">
        <v>300</v>
      </c>
      <c r="CZ169" s="102"/>
      <c r="DA169" s="104">
        <v>400</v>
      </c>
      <c r="DB169" s="104">
        <v>200</v>
      </c>
      <c r="DC169" s="104">
        <v>225</v>
      </c>
      <c r="DD169" s="104">
        <v>200</v>
      </c>
      <c r="DE169" s="104"/>
      <c r="DF169" s="104">
        <v>400</v>
      </c>
      <c r="DG169" s="104">
        <v>275</v>
      </c>
      <c r="DH169" s="104">
        <v>275</v>
      </c>
      <c r="DI169" s="152">
        <v>300</v>
      </c>
      <c r="DJ169" s="102"/>
      <c r="DK169" s="104">
        <v>400</v>
      </c>
      <c r="DL169" s="104">
        <v>200</v>
      </c>
      <c r="DM169" s="104">
        <v>225</v>
      </c>
      <c r="DN169" s="104">
        <v>200</v>
      </c>
      <c r="DO169" s="104"/>
      <c r="DP169" s="104">
        <v>400</v>
      </c>
      <c r="DQ169" s="104"/>
      <c r="DR169" s="104">
        <v>275</v>
      </c>
      <c r="DS169" s="152">
        <v>300</v>
      </c>
      <c r="DT169" s="102"/>
      <c r="DU169" s="104">
        <v>400</v>
      </c>
      <c r="DV169" s="104">
        <v>200</v>
      </c>
      <c r="DW169" s="104">
        <v>225</v>
      </c>
      <c r="DX169" s="104">
        <v>200</v>
      </c>
      <c r="DY169" s="104"/>
      <c r="DZ169" s="104">
        <v>400</v>
      </c>
      <c r="EA169" s="104">
        <v>281.66666666666669</v>
      </c>
      <c r="EB169" s="104">
        <v>275</v>
      </c>
      <c r="EC169" s="152">
        <v>300</v>
      </c>
    </row>
    <row r="170" spans="1:133" x14ac:dyDescent="0.25">
      <c r="A170" s="95">
        <v>44774</v>
      </c>
      <c r="B170" s="75">
        <v>641.19318181818176</v>
      </c>
      <c r="C170" s="75">
        <v>744.79166666666663</v>
      </c>
      <c r="D170" s="75">
        <v>416.78904428904423</v>
      </c>
      <c r="E170" s="75">
        <v>460.65656565656565</v>
      </c>
      <c r="F170" s="75">
        <v>408.78968253968253</v>
      </c>
      <c r="G170" s="75">
        <v>550</v>
      </c>
      <c r="H170" s="75">
        <v>484.77272727272731</v>
      </c>
      <c r="I170" s="75">
        <v>354.77272727272731</v>
      </c>
      <c r="J170" s="75">
        <v>338.37121212121212</v>
      </c>
      <c r="K170" s="75">
        <v>368.83333333333337</v>
      </c>
      <c r="N170" s="102"/>
      <c r="O170" s="104">
        <v>500</v>
      </c>
      <c r="P170" s="104">
        <v>200</v>
      </c>
      <c r="Q170" s="104">
        <v>200</v>
      </c>
      <c r="R170" s="104">
        <v>150</v>
      </c>
      <c r="S170" s="104"/>
      <c r="T170" s="104">
        <v>400</v>
      </c>
      <c r="U170" s="104">
        <v>275</v>
      </c>
      <c r="V170" s="104">
        <v>275</v>
      </c>
      <c r="W170" s="152">
        <v>300</v>
      </c>
      <c r="X170" s="102">
        <v>450</v>
      </c>
      <c r="Y170" s="104">
        <v>525</v>
      </c>
      <c r="Z170" s="104">
        <v>200</v>
      </c>
      <c r="AA170" s="104">
        <v>200</v>
      </c>
      <c r="AB170" s="104">
        <v>150</v>
      </c>
      <c r="AC170" s="104"/>
      <c r="AD170" s="104">
        <v>400</v>
      </c>
      <c r="AE170" s="104">
        <v>275</v>
      </c>
      <c r="AF170" s="104">
        <v>275</v>
      </c>
      <c r="AG170" s="152">
        <v>287.5</v>
      </c>
      <c r="AH170" s="102">
        <v>410</v>
      </c>
      <c r="AI170" s="104">
        <v>500</v>
      </c>
      <c r="AJ170" s="104">
        <v>200</v>
      </c>
      <c r="AK170" s="104">
        <v>200</v>
      </c>
      <c r="AL170" s="104">
        <v>190</v>
      </c>
      <c r="AM170" s="104"/>
      <c r="AN170" s="104">
        <v>400</v>
      </c>
      <c r="AO170" s="104">
        <v>275</v>
      </c>
      <c r="AP170" s="104">
        <v>275</v>
      </c>
      <c r="AQ170" s="152">
        <v>275</v>
      </c>
      <c r="AR170" s="102">
        <v>375</v>
      </c>
      <c r="AS170" s="104">
        <v>500</v>
      </c>
      <c r="AT170" s="104">
        <v>225</v>
      </c>
      <c r="AU170" s="104">
        <v>200</v>
      </c>
      <c r="AV170" s="104">
        <v>200</v>
      </c>
      <c r="AW170" s="104"/>
      <c r="AX170" s="104">
        <v>400</v>
      </c>
      <c r="AY170" s="104">
        <v>275</v>
      </c>
      <c r="AZ170" s="104">
        <v>275</v>
      </c>
      <c r="BA170" s="152">
        <v>275</v>
      </c>
      <c r="BB170" s="102">
        <v>300</v>
      </c>
      <c r="BC170" s="104"/>
      <c r="BD170" s="104">
        <v>250</v>
      </c>
      <c r="BE170" s="104">
        <v>200</v>
      </c>
      <c r="BF170" s="104">
        <v>200</v>
      </c>
      <c r="BG170" s="104"/>
      <c r="BH170" s="104">
        <v>400</v>
      </c>
      <c r="BI170" s="104">
        <v>275</v>
      </c>
      <c r="BJ170" s="104">
        <v>275</v>
      </c>
      <c r="BK170" s="152">
        <v>275</v>
      </c>
      <c r="BL170" s="102">
        <v>350</v>
      </c>
      <c r="BM170" s="104"/>
      <c r="BN170" s="104">
        <v>225</v>
      </c>
      <c r="BO170" s="104">
        <v>200</v>
      </c>
      <c r="BP170" s="104">
        <v>200</v>
      </c>
      <c r="BQ170" s="104"/>
      <c r="BR170" s="104">
        <v>400</v>
      </c>
      <c r="BS170" s="104">
        <v>275</v>
      </c>
      <c r="BT170" s="104">
        <v>275</v>
      </c>
      <c r="BU170" s="152"/>
      <c r="BV170" s="102">
        <v>460</v>
      </c>
      <c r="BW170" s="104"/>
      <c r="BX170" s="104">
        <v>225</v>
      </c>
      <c r="BY170" s="104">
        <v>200</v>
      </c>
      <c r="BZ170" s="104">
        <v>200</v>
      </c>
      <c r="CA170" s="104"/>
      <c r="CB170" s="104">
        <v>400</v>
      </c>
      <c r="CC170" s="104">
        <v>275</v>
      </c>
      <c r="CD170" s="104">
        <v>275</v>
      </c>
      <c r="CE170" s="152"/>
      <c r="CF170" s="102">
        <v>575</v>
      </c>
      <c r="CG170" s="104">
        <v>600</v>
      </c>
      <c r="CH170" s="104">
        <v>205</v>
      </c>
      <c r="CI170" s="104">
        <v>210</v>
      </c>
      <c r="CJ170" s="104">
        <v>200</v>
      </c>
      <c r="CK170" s="104"/>
      <c r="CL170" s="104">
        <v>240</v>
      </c>
      <c r="CM170" s="104">
        <v>275</v>
      </c>
      <c r="CN170" s="104">
        <v>275</v>
      </c>
      <c r="CO170" s="152"/>
      <c r="CP170" s="102"/>
      <c r="CQ170" s="104">
        <v>500</v>
      </c>
      <c r="CR170" s="104">
        <v>216.66666666666666</v>
      </c>
      <c r="CS170" s="104">
        <v>206.66666666666666</v>
      </c>
      <c r="CT170" s="104">
        <v>200</v>
      </c>
      <c r="CU170" s="104"/>
      <c r="CV170" s="104">
        <v>400</v>
      </c>
      <c r="CW170" s="104">
        <v>275</v>
      </c>
      <c r="CX170" s="104">
        <v>275</v>
      </c>
      <c r="CY170" s="152"/>
      <c r="CZ170" s="102"/>
      <c r="DA170" s="104">
        <v>400</v>
      </c>
      <c r="DB170" s="104">
        <v>200</v>
      </c>
      <c r="DC170" s="104">
        <v>200</v>
      </c>
      <c r="DD170" s="104">
        <v>200</v>
      </c>
      <c r="DE170" s="104"/>
      <c r="DF170" s="104"/>
      <c r="DG170" s="104">
        <v>275</v>
      </c>
      <c r="DH170" s="104">
        <v>275</v>
      </c>
      <c r="DI170" s="152">
        <v>275</v>
      </c>
      <c r="DJ170" s="102"/>
      <c r="DK170" s="104">
        <v>425</v>
      </c>
      <c r="DL170" s="104">
        <v>200</v>
      </c>
      <c r="DM170" s="104">
        <v>200</v>
      </c>
      <c r="DN170" s="104">
        <v>200</v>
      </c>
      <c r="DO170" s="104"/>
      <c r="DP170" s="104">
        <v>400</v>
      </c>
      <c r="DQ170" s="104">
        <v>275</v>
      </c>
      <c r="DR170" s="104">
        <v>275</v>
      </c>
      <c r="DS170" s="152">
        <v>275</v>
      </c>
      <c r="DT170" s="102"/>
      <c r="DU170" s="104">
        <v>500</v>
      </c>
      <c r="DV170" s="104">
        <v>200</v>
      </c>
      <c r="DW170" s="104">
        <v>200</v>
      </c>
      <c r="DX170" s="104">
        <v>200</v>
      </c>
      <c r="DY170" s="104"/>
      <c r="DZ170" s="104">
        <v>400</v>
      </c>
      <c r="EA170" s="104">
        <v>275</v>
      </c>
      <c r="EB170" s="104">
        <v>275</v>
      </c>
      <c r="EC170" s="152">
        <v>275</v>
      </c>
    </row>
    <row r="171" spans="1:133" x14ac:dyDescent="0.25">
      <c r="A171" s="95">
        <v>44805</v>
      </c>
      <c r="B171" s="75"/>
      <c r="C171" s="75">
        <v>668.61263736263732</v>
      </c>
      <c r="D171" s="75">
        <v>472.3901098901099</v>
      </c>
      <c r="E171" s="75">
        <v>448.85416666666669</v>
      </c>
      <c r="F171" s="75">
        <v>415.17857142857144</v>
      </c>
      <c r="G171" s="75">
        <v>583.33333333333337</v>
      </c>
      <c r="H171" s="75">
        <v>497.18406593406593</v>
      </c>
      <c r="I171" s="75">
        <v>367.02547452547458</v>
      </c>
      <c r="J171" s="75">
        <v>351.07954545454544</v>
      </c>
      <c r="K171" s="75">
        <v>377.08333333333337</v>
      </c>
      <c r="N171" s="102"/>
      <c r="O171" s="104">
        <v>400</v>
      </c>
      <c r="P171" s="104">
        <v>250</v>
      </c>
      <c r="Q171" s="104">
        <v>285</v>
      </c>
      <c r="R171" s="104">
        <v>250</v>
      </c>
      <c r="S171" s="104">
        <v>500</v>
      </c>
      <c r="T171" s="104">
        <v>400</v>
      </c>
      <c r="U171" s="104">
        <v>280</v>
      </c>
      <c r="V171" s="104"/>
      <c r="W171" s="152">
        <v>280</v>
      </c>
      <c r="X171" s="102"/>
      <c r="Y171" s="104">
        <v>437.5</v>
      </c>
      <c r="Z171" s="104">
        <v>250</v>
      </c>
      <c r="AA171" s="104">
        <v>300</v>
      </c>
      <c r="AB171" s="104">
        <v>250</v>
      </c>
      <c r="AC171" s="104">
        <v>500</v>
      </c>
      <c r="AD171" s="104">
        <v>400</v>
      </c>
      <c r="AE171" s="104">
        <v>280</v>
      </c>
      <c r="AF171" s="104"/>
      <c r="AG171" s="152">
        <v>280</v>
      </c>
      <c r="AH171" s="102">
        <v>375</v>
      </c>
      <c r="AI171" s="104">
        <v>450</v>
      </c>
      <c r="AJ171" s="104">
        <v>250</v>
      </c>
      <c r="AK171" s="104">
        <v>300</v>
      </c>
      <c r="AL171" s="104">
        <v>250</v>
      </c>
      <c r="AM171" s="104">
        <v>500</v>
      </c>
      <c r="AN171" s="104">
        <v>400</v>
      </c>
      <c r="AO171" s="104">
        <v>280</v>
      </c>
      <c r="AP171" s="104"/>
      <c r="AQ171" s="152">
        <v>280</v>
      </c>
      <c r="AR171" s="102">
        <v>350</v>
      </c>
      <c r="AS171" s="104"/>
      <c r="AT171" s="104">
        <v>250</v>
      </c>
      <c r="AU171" s="104">
        <v>300</v>
      </c>
      <c r="AV171" s="104">
        <v>250</v>
      </c>
      <c r="AW171" s="104">
        <v>500</v>
      </c>
      <c r="AX171" s="104">
        <v>400</v>
      </c>
      <c r="AY171" s="104">
        <v>280</v>
      </c>
      <c r="AZ171" s="104"/>
      <c r="BA171" s="152">
        <v>280</v>
      </c>
      <c r="BB171" s="102">
        <v>312.5</v>
      </c>
      <c r="BC171" s="104"/>
      <c r="BD171" s="104">
        <v>275</v>
      </c>
      <c r="BE171" s="104">
        <v>300</v>
      </c>
      <c r="BF171" s="104">
        <v>250</v>
      </c>
      <c r="BG171" s="104">
        <v>500</v>
      </c>
      <c r="BH171" s="104">
        <v>400</v>
      </c>
      <c r="BI171" s="104">
        <v>280</v>
      </c>
      <c r="BJ171" s="104"/>
      <c r="BK171" s="152">
        <v>280</v>
      </c>
      <c r="BL171" s="102">
        <v>333.33333333333331</v>
      </c>
      <c r="BM171" s="104"/>
      <c r="BN171" s="104">
        <v>250</v>
      </c>
      <c r="BO171" s="104">
        <v>300</v>
      </c>
      <c r="BP171" s="104">
        <v>250</v>
      </c>
      <c r="BQ171" s="104">
        <v>500</v>
      </c>
      <c r="BR171" s="104">
        <v>400</v>
      </c>
      <c r="BS171" s="104">
        <v>280</v>
      </c>
      <c r="BT171" s="104"/>
      <c r="BU171" s="152">
        <v>280</v>
      </c>
      <c r="BV171" s="102">
        <v>380</v>
      </c>
      <c r="BW171" s="104"/>
      <c r="BX171" s="104">
        <v>250</v>
      </c>
      <c r="BY171" s="104">
        <v>300</v>
      </c>
      <c r="BZ171" s="104">
        <v>250</v>
      </c>
      <c r="CA171" s="104">
        <v>500</v>
      </c>
      <c r="CB171" s="104">
        <v>400</v>
      </c>
      <c r="CC171" s="104">
        <v>280</v>
      </c>
      <c r="CD171" s="104"/>
      <c r="CE171" s="152">
        <v>280</v>
      </c>
      <c r="CF171" s="102">
        <v>550</v>
      </c>
      <c r="CG171" s="104">
        <v>500</v>
      </c>
      <c r="CH171" s="104">
        <v>250</v>
      </c>
      <c r="CI171" s="104">
        <v>310</v>
      </c>
      <c r="CJ171" s="104">
        <v>250</v>
      </c>
      <c r="CK171" s="104">
        <v>500</v>
      </c>
      <c r="CL171" s="104">
        <v>400</v>
      </c>
      <c r="CM171" s="104">
        <v>280</v>
      </c>
      <c r="CN171" s="104"/>
      <c r="CO171" s="152">
        <v>280</v>
      </c>
      <c r="CP171" s="102"/>
      <c r="CQ171" s="104">
        <v>400</v>
      </c>
      <c r="CR171" s="104">
        <v>266.66666666666669</v>
      </c>
      <c r="CS171" s="104">
        <v>300</v>
      </c>
      <c r="CT171" s="104">
        <v>283.33333333333331</v>
      </c>
      <c r="CU171" s="104">
        <v>500</v>
      </c>
      <c r="CV171" s="104">
        <v>400</v>
      </c>
      <c r="CW171" s="104">
        <v>280</v>
      </c>
      <c r="CX171" s="104">
        <v>275</v>
      </c>
      <c r="CY171" s="152">
        <v>280</v>
      </c>
      <c r="CZ171" s="102"/>
      <c r="DA171" s="104">
        <v>350</v>
      </c>
      <c r="DB171" s="104">
        <v>300</v>
      </c>
      <c r="DC171" s="104">
        <v>300</v>
      </c>
      <c r="DD171" s="104">
        <v>250</v>
      </c>
      <c r="DE171" s="104">
        <v>500</v>
      </c>
      <c r="DF171" s="104">
        <v>400</v>
      </c>
      <c r="DG171" s="104">
        <v>280</v>
      </c>
      <c r="DH171" s="104"/>
      <c r="DI171" s="152">
        <v>280</v>
      </c>
      <c r="DJ171" s="102"/>
      <c r="DK171" s="104">
        <v>400</v>
      </c>
      <c r="DL171" s="104">
        <v>287.5</v>
      </c>
      <c r="DM171" s="104">
        <v>281.25</v>
      </c>
      <c r="DN171" s="104">
        <v>250</v>
      </c>
      <c r="DO171" s="104">
        <v>500</v>
      </c>
      <c r="DP171" s="104">
        <v>400</v>
      </c>
      <c r="DQ171" s="104">
        <v>280</v>
      </c>
      <c r="DR171" s="104"/>
      <c r="DS171" s="152">
        <v>280</v>
      </c>
      <c r="DT171" s="102"/>
      <c r="DU171" s="104">
        <v>400</v>
      </c>
      <c r="DV171" s="104">
        <v>300</v>
      </c>
      <c r="DW171" s="104">
        <v>275</v>
      </c>
      <c r="DX171" s="104">
        <v>250</v>
      </c>
      <c r="DY171" s="104">
        <v>500</v>
      </c>
      <c r="DZ171" s="104">
        <v>400</v>
      </c>
      <c r="EA171" s="104">
        <v>280</v>
      </c>
      <c r="EB171" s="104"/>
      <c r="EC171" s="152">
        <v>280</v>
      </c>
    </row>
    <row r="172" spans="1:133" x14ac:dyDescent="0.25">
      <c r="A172" s="95">
        <v>44835</v>
      </c>
      <c r="B172" s="75"/>
      <c r="C172" s="75">
        <v>593.61263736263732</v>
      </c>
      <c r="D172" s="75">
        <v>517.10164835164835</v>
      </c>
      <c r="E172" s="75">
        <v>483.80681818181813</v>
      </c>
      <c r="F172" s="75">
        <v>425.80605158730157</v>
      </c>
      <c r="G172" s="75">
        <v>616.66666666666663</v>
      </c>
      <c r="H172" s="75">
        <v>502.67857142857144</v>
      </c>
      <c r="I172" s="75">
        <v>383.59890109890114</v>
      </c>
      <c r="J172" s="75">
        <v>367.40909090909093</v>
      </c>
      <c r="K172" s="75">
        <v>383.92857142857144</v>
      </c>
      <c r="N172" s="295"/>
      <c r="O172" s="296"/>
      <c r="P172" s="296"/>
      <c r="Q172" s="296"/>
      <c r="R172" s="296"/>
      <c r="S172" s="296"/>
      <c r="T172" s="296"/>
      <c r="U172" s="296"/>
      <c r="V172" s="296"/>
      <c r="W172" s="297"/>
      <c r="X172" s="295"/>
      <c r="Y172" s="296"/>
      <c r="Z172" s="296"/>
      <c r="AA172" s="296"/>
      <c r="AB172" s="296"/>
      <c r="AC172" s="296"/>
      <c r="AD172" s="296"/>
      <c r="AE172" s="296"/>
      <c r="AF172" s="296"/>
      <c r="AG172" s="297"/>
      <c r="AH172" s="295"/>
      <c r="AI172" s="296"/>
      <c r="AJ172" s="296"/>
      <c r="AK172" s="296"/>
      <c r="AL172" s="296"/>
      <c r="AM172" s="296"/>
      <c r="AN172" s="296"/>
      <c r="AO172" s="296"/>
      <c r="AP172" s="296"/>
      <c r="AQ172" s="297"/>
      <c r="AR172" s="295"/>
      <c r="AS172" s="296"/>
      <c r="AT172" s="296"/>
      <c r="AU172" s="296"/>
      <c r="AV172" s="296"/>
      <c r="AW172" s="296"/>
      <c r="AX172" s="296"/>
      <c r="AY172" s="296"/>
      <c r="AZ172" s="296"/>
      <c r="BA172" s="297"/>
      <c r="BB172" s="295"/>
      <c r="BC172" s="296"/>
      <c r="BD172" s="296"/>
      <c r="BE172" s="296"/>
      <c r="BF172" s="296"/>
      <c r="BG172" s="296"/>
      <c r="BH172" s="296"/>
      <c r="BI172" s="296"/>
      <c r="BJ172" s="296"/>
      <c r="BK172" s="297"/>
      <c r="BL172" s="295"/>
      <c r="BM172" s="296"/>
      <c r="BN172" s="296"/>
      <c r="BO172" s="296"/>
      <c r="BP172" s="296"/>
      <c r="BQ172" s="296"/>
      <c r="BR172" s="296"/>
      <c r="BS172" s="296"/>
      <c r="BT172" s="296"/>
      <c r="BU172" s="297"/>
      <c r="BV172" s="295"/>
      <c r="BW172" s="296"/>
      <c r="BX172" s="296"/>
      <c r="BY172" s="296"/>
      <c r="BZ172" s="296"/>
      <c r="CA172" s="296"/>
      <c r="CB172" s="296"/>
      <c r="CC172" s="296"/>
      <c r="CD172" s="296"/>
      <c r="CE172" s="297"/>
      <c r="CF172" s="295"/>
      <c r="CG172" s="296"/>
      <c r="CH172" s="296"/>
      <c r="CI172" s="296"/>
      <c r="CJ172" s="296"/>
      <c r="CK172" s="296"/>
      <c r="CL172" s="296"/>
      <c r="CM172" s="296"/>
      <c r="CN172" s="296"/>
      <c r="CO172" s="297"/>
      <c r="CP172" s="295"/>
      <c r="CQ172" s="296"/>
      <c r="CR172" s="296"/>
      <c r="CS172" s="296"/>
      <c r="CT172" s="296"/>
      <c r="CU172" s="296"/>
      <c r="CV172" s="296"/>
      <c r="CW172" s="296"/>
      <c r="CX172" s="296"/>
      <c r="CY172" s="297"/>
      <c r="CZ172" s="295"/>
      <c r="DA172" s="296"/>
      <c r="DB172" s="296"/>
      <c r="DC172" s="296"/>
      <c r="DD172" s="296"/>
      <c r="DE172" s="296"/>
      <c r="DF172" s="296"/>
      <c r="DG172" s="296"/>
      <c r="DH172" s="296"/>
      <c r="DI172" s="297"/>
      <c r="DJ172" s="295"/>
      <c r="DK172" s="296"/>
      <c r="DL172" s="296"/>
      <c r="DM172" s="296"/>
      <c r="DN172" s="296"/>
      <c r="DO172" s="296"/>
      <c r="DP172" s="296"/>
      <c r="DQ172" s="296"/>
      <c r="DR172" s="296"/>
      <c r="DS172" s="297"/>
      <c r="DT172" s="295"/>
      <c r="DU172" s="296"/>
      <c r="DV172" s="296"/>
      <c r="DW172" s="296"/>
      <c r="DX172" s="296"/>
      <c r="DY172" s="296"/>
      <c r="DZ172" s="296"/>
      <c r="EA172" s="296"/>
      <c r="EB172" s="296"/>
      <c r="EC172" s="297"/>
    </row>
    <row r="173" spans="1:133" x14ac:dyDescent="0.25">
      <c r="A173" s="95">
        <v>44866</v>
      </c>
      <c r="B173" s="75"/>
      <c r="C173" s="75">
        <v>592.86813186813185</v>
      </c>
      <c r="D173" s="75">
        <v>465.46703296703299</v>
      </c>
      <c r="E173" s="75">
        <v>489.13636363636363</v>
      </c>
      <c r="F173" s="75">
        <v>396.80555555555554</v>
      </c>
      <c r="G173" s="75">
        <v>616.66666666666663</v>
      </c>
      <c r="H173" s="75">
        <v>506.53846153846155</v>
      </c>
      <c r="I173" s="75">
        <v>375.7802197802198</v>
      </c>
      <c r="J173" s="75">
        <v>354.54545454545456</v>
      </c>
      <c r="K173" s="75">
        <v>368.54166666666669</v>
      </c>
      <c r="N173" s="295"/>
      <c r="O173" s="296"/>
      <c r="P173" s="296"/>
      <c r="Q173" s="296"/>
      <c r="R173" s="296"/>
      <c r="S173" s="296"/>
      <c r="T173" s="296"/>
      <c r="U173" s="296"/>
      <c r="V173" s="296"/>
      <c r="W173" s="297"/>
      <c r="X173" s="295"/>
      <c r="Y173" s="296"/>
      <c r="Z173" s="296"/>
      <c r="AA173" s="296"/>
      <c r="AB173" s="296"/>
      <c r="AC173" s="296"/>
      <c r="AD173" s="296"/>
      <c r="AE173" s="296"/>
      <c r="AF173" s="296"/>
      <c r="AG173" s="297"/>
      <c r="AH173" s="295"/>
      <c r="AI173" s="296"/>
      <c r="AJ173" s="296"/>
      <c r="AK173" s="296"/>
      <c r="AL173" s="296"/>
      <c r="AM173" s="296"/>
      <c r="AN173" s="296"/>
      <c r="AO173" s="296"/>
      <c r="AP173" s="296"/>
      <c r="AQ173" s="297"/>
      <c r="AR173" s="295"/>
      <c r="AS173" s="296"/>
      <c r="AT173" s="296"/>
      <c r="AU173" s="296"/>
      <c r="AV173" s="296"/>
      <c r="AW173" s="296"/>
      <c r="AX173" s="296"/>
      <c r="AY173" s="296"/>
      <c r="AZ173" s="296"/>
      <c r="BA173" s="297"/>
      <c r="BB173" s="295"/>
      <c r="BC173" s="296"/>
      <c r="BD173" s="296"/>
      <c r="BE173" s="296"/>
      <c r="BF173" s="296"/>
      <c r="BG173" s="296"/>
      <c r="BH173" s="296"/>
      <c r="BI173" s="296"/>
      <c r="BJ173" s="296"/>
      <c r="BK173" s="297"/>
      <c r="BL173" s="295"/>
      <c r="BM173" s="296"/>
      <c r="BN173" s="296"/>
      <c r="BO173" s="296"/>
      <c r="BP173" s="296"/>
      <c r="BQ173" s="296"/>
      <c r="BR173" s="296"/>
      <c r="BS173" s="296"/>
      <c r="BT173" s="296"/>
      <c r="BU173" s="297"/>
      <c r="BV173" s="295"/>
      <c r="BW173" s="296"/>
      <c r="BX173" s="296"/>
      <c r="BY173" s="296"/>
      <c r="BZ173" s="296"/>
      <c r="CA173" s="296"/>
      <c r="CB173" s="296"/>
      <c r="CC173" s="296"/>
      <c r="CD173" s="296"/>
      <c r="CE173" s="297"/>
      <c r="CF173" s="295"/>
      <c r="CG173" s="296"/>
      <c r="CH173" s="296"/>
      <c r="CI173" s="296"/>
      <c r="CJ173" s="296"/>
      <c r="CK173" s="296"/>
      <c r="CL173" s="296"/>
      <c r="CM173" s="296"/>
      <c r="CN173" s="296"/>
      <c r="CO173" s="297"/>
      <c r="CP173" s="295"/>
      <c r="CQ173" s="296"/>
      <c r="CR173" s="296"/>
      <c r="CS173" s="296"/>
      <c r="CT173" s="296"/>
      <c r="CU173" s="296"/>
      <c r="CV173" s="296"/>
      <c r="CW173" s="296"/>
      <c r="CX173" s="296"/>
      <c r="CY173" s="297"/>
      <c r="CZ173" s="295"/>
      <c r="DA173" s="296"/>
      <c r="DB173" s="296"/>
      <c r="DC173" s="296"/>
      <c r="DD173" s="296"/>
      <c r="DE173" s="296"/>
      <c r="DF173" s="296"/>
      <c r="DG173" s="296"/>
      <c r="DH173" s="296"/>
      <c r="DI173" s="297"/>
      <c r="DJ173" s="295"/>
      <c r="DK173" s="296"/>
      <c r="DL173" s="296"/>
      <c r="DM173" s="296"/>
      <c r="DN173" s="296"/>
      <c r="DO173" s="296"/>
      <c r="DP173" s="296"/>
      <c r="DQ173" s="296"/>
      <c r="DR173" s="296"/>
      <c r="DS173" s="297"/>
      <c r="DT173" s="295"/>
      <c r="DU173" s="296"/>
      <c r="DV173" s="296"/>
      <c r="DW173" s="296"/>
      <c r="DX173" s="296"/>
      <c r="DY173" s="296"/>
      <c r="DZ173" s="296"/>
      <c r="EA173" s="296"/>
      <c r="EB173" s="296"/>
      <c r="EC173" s="297"/>
    </row>
    <row r="174" spans="1:133" x14ac:dyDescent="0.25">
      <c r="A174" s="95">
        <v>44896</v>
      </c>
      <c r="B174" s="75"/>
      <c r="C174" s="75">
        <v>760.08928571428578</v>
      </c>
      <c r="D174" s="75">
        <v>441.24999999999994</v>
      </c>
      <c r="E174" s="75">
        <v>475.56818181818181</v>
      </c>
      <c r="F174" s="75">
        <v>393.93601190476193</v>
      </c>
      <c r="G174" s="75">
        <v>615.625</v>
      </c>
      <c r="H174" s="75">
        <v>514.28571428571433</v>
      </c>
      <c r="I174" s="75">
        <v>366.67582417582418</v>
      </c>
      <c r="J174" s="75">
        <v>340.68181818181819</v>
      </c>
      <c r="K174" s="75">
        <v>368.75</v>
      </c>
      <c r="N174" s="295"/>
      <c r="O174" s="296"/>
      <c r="P174" s="296"/>
      <c r="Q174" s="296"/>
      <c r="R174" s="296"/>
      <c r="S174" s="296"/>
      <c r="T174" s="296"/>
      <c r="U174" s="296"/>
      <c r="V174" s="296"/>
      <c r="W174" s="297"/>
      <c r="X174" s="295"/>
      <c r="Y174" s="296"/>
      <c r="Z174" s="296"/>
      <c r="AA174" s="296"/>
      <c r="AB174" s="296"/>
      <c r="AC174" s="296"/>
      <c r="AD174" s="296"/>
      <c r="AE174" s="296"/>
      <c r="AF174" s="296"/>
      <c r="AG174" s="297"/>
      <c r="AH174" s="295"/>
      <c r="AI174" s="296"/>
      <c r="AJ174" s="296"/>
      <c r="AK174" s="296"/>
      <c r="AL174" s="296"/>
      <c r="AM174" s="296"/>
      <c r="AN174" s="296"/>
      <c r="AO174" s="296"/>
      <c r="AP174" s="296"/>
      <c r="AQ174" s="297"/>
      <c r="AR174" s="295"/>
      <c r="AS174" s="296"/>
      <c r="AT174" s="296"/>
      <c r="AU174" s="296"/>
      <c r="AV174" s="296"/>
      <c r="AW174" s="296"/>
      <c r="AX174" s="296"/>
      <c r="AY174" s="296"/>
      <c r="AZ174" s="296"/>
      <c r="BA174" s="297"/>
      <c r="BB174" s="295"/>
      <c r="BC174" s="296"/>
      <c r="BD174" s="296"/>
      <c r="BE174" s="296"/>
      <c r="BF174" s="296"/>
      <c r="BG174" s="296"/>
      <c r="BH174" s="296"/>
      <c r="BI174" s="296"/>
      <c r="BJ174" s="296"/>
      <c r="BK174" s="297"/>
      <c r="BL174" s="295"/>
      <c r="BM174" s="296"/>
      <c r="BN174" s="296"/>
      <c r="BO174" s="296"/>
      <c r="BP174" s="296"/>
      <c r="BQ174" s="296"/>
      <c r="BR174" s="296"/>
      <c r="BS174" s="296"/>
      <c r="BT174" s="296"/>
      <c r="BU174" s="297"/>
      <c r="BV174" s="295"/>
      <c r="BW174" s="296"/>
      <c r="BX174" s="296"/>
      <c r="BY174" s="296"/>
      <c r="BZ174" s="296"/>
      <c r="CA174" s="296"/>
      <c r="CB174" s="296"/>
      <c r="CC174" s="296"/>
      <c r="CD174" s="296"/>
      <c r="CE174" s="297"/>
      <c r="CF174" s="295"/>
      <c r="CG174" s="296"/>
      <c r="CH174" s="296"/>
      <c r="CI174" s="296"/>
      <c r="CJ174" s="296"/>
      <c r="CK174" s="296"/>
      <c r="CL174" s="296"/>
      <c r="CM174" s="296"/>
      <c r="CN174" s="296"/>
      <c r="CO174" s="297"/>
      <c r="CP174" s="295"/>
      <c r="CQ174" s="296"/>
      <c r="CR174" s="296"/>
      <c r="CS174" s="296"/>
      <c r="CT174" s="296"/>
      <c r="CU174" s="296"/>
      <c r="CV174" s="296"/>
      <c r="CW174" s="296"/>
      <c r="CX174" s="296"/>
      <c r="CY174" s="297"/>
      <c r="CZ174" s="295"/>
      <c r="DA174" s="296"/>
      <c r="DB174" s="296"/>
      <c r="DC174" s="296"/>
      <c r="DD174" s="296"/>
      <c r="DE174" s="296"/>
      <c r="DF174" s="296"/>
      <c r="DG174" s="296"/>
      <c r="DH174" s="296"/>
      <c r="DI174" s="297"/>
      <c r="DJ174" s="295"/>
      <c r="DK174" s="296"/>
      <c r="DL174" s="296"/>
      <c r="DM174" s="296"/>
      <c r="DN174" s="296"/>
      <c r="DO174" s="296"/>
      <c r="DP174" s="296"/>
      <c r="DQ174" s="296"/>
      <c r="DR174" s="296"/>
      <c r="DS174" s="297"/>
      <c r="DT174" s="295"/>
      <c r="DU174" s="296"/>
      <c r="DV174" s="296"/>
      <c r="DW174" s="296"/>
      <c r="DX174" s="296"/>
      <c r="DY174" s="296"/>
      <c r="DZ174" s="296"/>
      <c r="EA174" s="296"/>
      <c r="EB174" s="296"/>
      <c r="EC174" s="297"/>
    </row>
    <row r="175" spans="1:133" x14ac:dyDescent="0.25">
      <c r="A175" s="95">
        <v>44927</v>
      </c>
      <c r="B175" s="75"/>
      <c r="C175" s="75">
        <v>730.71428571428578</v>
      </c>
      <c r="D175" s="75">
        <v>474.82142857142856</v>
      </c>
      <c r="E175" s="75">
        <v>508.40909090909088</v>
      </c>
      <c r="F175" s="75">
        <v>397.07589285714289</v>
      </c>
      <c r="G175" s="75">
        <v>606.875</v>
      </c>
      <c r="H175" s="75">
        <v>506.25</v>
      </c>
      <c r="I175" s="75">
        <v>366.0302197802198</v>
      </c>
      <c r="J175" s="75">
        <v>339.77272727272725</v>
      </c>
      <c r="K175" s="75">
        <v>369.10714285714289</v>
      </c>
      <c r="N175" s="295"/>
      <c r="O175" s="296"/>
      <c r="P175" s="296"/>
      <c r="Q175" s="296"/>
      <c r="R175" s="296"/>
      <c r="S175" s="296"/>
      <c r="T175" s="296"/>
      <c r="U175" s="296"/>
      <c r="V175" s="296"/>
      <c r="W175" s="297"/>
      <c r="X175" s="295"/>
      <c r="Y175" s="296"/>
      <c r="Z175" s="296"/>
      <c r="AA175" s="296"/>
      <c r="AB175" s="296"/>
      <c r="AC175" s="296"/>
      <c r="AD175" s="296"/>
      <c r="AE175" s="296"/>
      <c r="AF175" s="296"/>
      <c r="AG175" s="297"/>
      <c r="AH175" s="295"/>
      <c r="AI175" s="296"/>
      <c r="AJ175" s="296"/>
      <c r="AK175" s="296"/>
      <c r="AL175" s="296"/>
      <c r="AM175" s="296"/>
      <c r="AN175" s="296"/>
      <c r="AO175" s="296"/>
      <c r="AP175" s="296"/>
      <c r="AQ175" s="297"/>
      <c r="AR175" s="295"/>
      <c r="AS175" s="296"/>
      <c r="AT175" s="296"/>
      <c r="AU175" s="296"/>
      <c r="AV175" s="296"/>
      <c r="AW175" s="296"/>
      <c r="AX175" s="296"/>
      <c r="AY175" s="296"/>
      <c r="AZ175" s="296"/>
      <c r="BA175" s="297"/>
      <c r="BB175" s="295"/>
      <c r="BC175" s="296"/>
      <c r="BD175" s="296"/>
      <c r="BE175" s="296"/>
      <c r="BF175" s="296"/>
      <c r="BG175" s="296"/>
      <c r="BH175" s="296"/>
      <c r="BI175" s="296"/>
      <c r="BJ175" s="296"/>
      <c r="BK175" s="297"/>
      <c r="BL175" s="295"/>
      <c r="BM175" s="296"/>
      <c r="BN175" s="296"/>
      <c r="BO175" s="296"/>
      <c r="BP175" s="296"/>
      <c r="BQ175" s="296"/>
      <c r="BR175" s="296"/>
      <c r="BS175" s="296"/>
      <c r="BT175" s="296"/>
      <c r="BU175" s="297"/>
      <c r="BV175" s="295"/>
      <c r="BW175" s="296"/>
      <c r="BX175" s="296"/>
      <c r="BY175" s="296"/>
      <c r="BZ175" s="296"/>
      <c r="CA175" s="296"/>
      <c r="CB175" s="296"/>
      <c r="CC175" s="296"/>
      <c r="CD175" s="296"/>
      <c r="CE175" s="297"/>
      <c r="CF175" s="295"/>
      <c r="CG175" s="296"/>
      <c r="CH175" s="296"/>
      <c r="CI175" s="296"/>
      <c r="CJ175" s="296"/>
      <c r="CK175" s="296"/>
      <c r="CL175" s="296"/>
      <c r="CM175" s="296"/>
      <c r="CN175" s="296"/>
      <c r="CO175" s="297"/>
      <c r="CP175" s="295"/>
      <c r="CQ175" s="296"/>
      <c r="CR175" s="296"/>
      <c r="CS175" s="296"/>
      <c r="CT175" s="296"/>
      <c r="CU175" s="296"/>
      <c r="CV175" s="296"/>
      <c r="CW175" s="296"/>
      <c r="CX175" s="296"/>
      <c r="CY175" s="297"/>
      <c r="CZ175" s="295"/>
      <c r="DA175" s="296"/>
      <c r="DB175" s="296"/>
      <c r="DC175" s="296"/>
      <c r="DD175" s="296"/>
      <c r="DE175" s="296"/>
      <c r="DF175" s="296"/>
      <c r="DG175" s="296"/>
      <c r="DH175" s="296"/>
      <c r="DI175" s="297"/>
      <c r="DJ175" s="295"/>
      <c r="DK175" s="296"/>
      <c r="DL175" s="296"/>
      <c r="DM175" s="296"/>
      <c r="DN175" s="296"/>
      <c r="DO175" s="296"/>
      <c r="DP175" s="296"/>
      <c r="DQ175" s="296"/>
      <c r="DR175" s="296"/>
      <c r="DS175" s="297"/>
      <c r="DT175" s="295"/>
      <c r="DU175" s="296"/>
      <c r="DV175" s="296"/>
      <c r="DW175" s="296"/>
      <c r="DX175" s="296"/>
      <c r="DY175" s="296"/>
      <c r="DZ175" s="296"/>
      <c r="EA175" s="296"/>
      <c r="EB175" s="296"/>
      <c r="EC175" s="297"/>
    </row>
    <row r="176" spans="1:133" x14ac:dyDescent="0.25">
      <c r="A176" s="95">
        <v>44958</v>
      </c>
      <c r="B176" s="75">
        <v>540.11904761904748</v>
      </c>
      <c r="C176" s="75">
        <v>701.20990120990132</v>
      </c>
      <c r="D176" s="75">
        <v>484.72527472527474</v>
      </c>
      <c r="E176" s="75">
        <v>469.95641025641027</v>
      </c>
      <c r="F176" s="75">
        <v>386.73412698412699</v>
      </c>
      <c r="G176" s="75">
        <v>612.5</v>
      </c>
      <c r="H176" s="75">
        <v>509.28571428571433</v>
      </c>
      <c r="I176" s="75">
        <v>370.69230769230768</v>
      </c>
      <c r="J176" s="75">
        <v>340.27272727272725</v>
      </c>
      <c r="K176" s="75">
        <v>368.73214285714283</v>
      </c>
      <c r="N176" s="295"/>
      <c r="O176" s="296"/>
      <c r="P176" s="296"/>
      <c r="Q176" s="296"/>
      <c r="R176" s="296"/>
      <c r="S176" s="296"/>
      <c r="T176" s="296"/>
      <c r="U176" s="296"/>
      <c r="V176" s="296"/>
      <c r="W176" s="297"/>
      <c r="X176" s="295"/>
      <c r="Y176" s="296"/>
      <c r="Z176" s="296"/>
      <c r="AA176" s="296"/>
      <c r="AB176" s="296"/>
      <c r="AC176" s="296"/>
      <c r="AD176" s="296"/>
      <c r="AE176" s="296"/>
      <c r="AF176" s="296"/>
      <c r="AG176" s="297"/>
      <c r="AH176" s="295"/>
      <c r="AI176" s="296"/>
      <c r="AJ176" s="296"/>
      <c r="AK176" s="296"/>
      <c r="AL176" s="296"/>
      <c r="AM176" s="296"/>
      <c r="AN176" s="296"/>
      <c r="AO176" s="296"/>
      <c r="AP176" s="296"/>
      <c r="AQ176" s="297"/>
      <c r="AR176" s="295"/>
      <c r="AS176" s="296"/>
      <c r="AT176" s="296"/>
      <c r="AU176" s="296"/>
      <c r="AV176" s="296"/>
      <c r="AW176" s="296"/>
      <c r="AX176" s="296"/>
      <c r="AY176" s="296"/>
      <c r="AZ176" s="296"/>
      <c r="BA176" s="297"/>
      <c r="BB176" s="295"/>
      <c r="BC176" s="296"/>
      <c r="BD176" s="296"/>
      <c r="BE176" s="296"/>
      <c r="BF176" s="296"/>
      <c r="BG176" s="296"/>
      <c r="BH176" s="296"/>
      <c r="BI176" s="296"/>
      <c r="BJ176" s="296"/>
      <c r="BK176" s="297"/>
      <c r="BL176" s="295"/>
      <c r="BM176" s="296"/>
      <c r="BN176" s="296"/>
      <c r="BO176" s="296"/>
      <c r="BP176" s="296"/>
      <c r="BQ176" s="296"/>
      <c r="BR176" s="296"/>
      <c r="BS176" s="296"/>
      <c r="BT176" s="296"/>
      <c r="BU176" s="297"/>
      <c r="BV176" s="295"/>
      <c r="BW176" s="296"/>
      <c r="BX176" s="296"/>
      <c r="BY176" s="296"/>
      <c r="BZ176" s="296"/>
      <c r="CA176" s="296"/>
      <c r="CB176" s="296"/>
      <c r="CC176" s="296"/>
      <c r="CD176" s="296"/>
      <c r="CE176" s="297"/>
      <c r="CF176" s="295"/>
      <c r="CG176" s="296"/>
      <c r="CH176" s="296"/>
      <c r="CI176" s="296"/>
      <c r="CJ176" s="296"/>
      <c r="CK176" s="296"/>
      <c r="CL176" s="296"/>
      <c r="CM176" s="296"/>
      <c r="CN176" s="296"/>
      <c r="CO176" s="297"/>
      <c r="CP176" s="295"/>
      <c r="CQ176" s="296"/>
      <c r="CR176" s="296"/>
      <c r="CS176" s="296"/>
      <c r="CT176" s="296"/>
      <c r="CU176" s="296"/>
      <c r="CV176" s="296"/>
      <c r="CW176" s="296"/>
      <c r="CX176" s="296"/>
      <c r="CY176" s="297"/>
      <c r="CZ176" s="295"/>
      <c r="DA176" s="296"/>
      <c r="DB176" s="296"/>
      <c r="DC176" s="296"/>
      <c r="DD176" s="296"/>
      <c r="DE176" s="296"/>
      <c r="DF176" s="296"/>
      <c r="DG176" s="296"/>
      <c r="DH176" s="296"/>
      <c r="DI176" s="297"/>
      <c r="DJ176" s="295"/>
      <c r="DK176" s="296"/>
      <c r="DL176" s="296"/>
      <c r="DM176" s="296"/>
      <c r="DN176" s="296"/>
      <c r="DO176" s="296"/>
      <c r="DP176" s="296"/>
      <c r="DQ176" s="296"/>
      <c r="DR176" s="296"/>
      <c r="DS176" s="297"/>
      <c r="DT176" s="295"/>
      <c r="DU176" s="296"/>
      <c r="DV176" s="296"/>
      <c r="DW176" s="296"/>
      <c r="DX176" s="296"/>
      <c r="DY176" s="296"/>
      <c r="DZ176" s="296"/>
      <c r="EA176" s="296"/>
      <c r="EB176" s="296"/>
      <c r="EC176" s="297"/>
    </row>
    <row r="177" spans="1:133" x14ac:dyDescent="0.25">
      <c r="A177" s="95">
        <v>44986</v>
      </c>
      <c r="B177" s="75">
        <v>450</v>
      </c>
      <c r="C177" s="75">
        <v>677.5</v>
      </c>
      <c r="D177" s="75">
        <v>483.92857142857144</v>
      </c>
      <c r="E177" s="75">
        <v>483.46153846153845</v>
      </c>
      <c r="F177" s="75">
        <v>393.6947601010101</v>
      </c>
      <c r="G177" s="75">
        <v>613.54166666666663</v>
      </c>
      <c r="H177" s="75">
        <v>505.35714285714283</v>
      </c>
      <c r="I177" s="75">
        <v>369.51923076923072</v>
      </c>
      <c r="J177" s="75">
        <v>341.47727272727275</v>
      </c>
      <c r="K177" s="75">
        <v>368.21428571428567</v>
      </c>
      <c r="N177" s="295"/>
      <c r="O177" s="296"/>
      <c r="P177" s="296"/>
      <c r="Q177" s="296"/>
      <c r="R177" s="296"/>
      <c r="S177" s="296"/>
      <c r="T177" s="296"/>
      <c r="U177" s="296"/>
      <c r="V177" s="296"/>
      <c r="W177" s="297"/>
      <c r="X177" s="295"/>
      <c r="Y177" s="296"/>
      <c r="Z177" s="296"/>
      <c r="AA177" s="296"/>
      <c r="AB177" s="296"/>
      <c r="AC177" s="296"/>
      <c r="AD177" s="296"/>
      <c r="AE177" s="296"/>
      <c r="AF177" s="296"/>
      <c r="AG177" s="297"/>
      <c r="AH177" s="295"/>
      <c r="AI177" s="296"/>
      <c r="AJ177" s="296"/>
      <c r="AK177" s="296"/>
      <c r="AL177" s="296"/>
      <c r="AM177" s="296"/>
      <c r="AN177" s="296"/>
      <c r="AO177" s="296"/>
      <c r="AP177" s="296"/>
      <c r="AQ177" s="297"/>
      <c r="AR177" s="295"/>
      <c r="AS177" s="296"/>
      <c r="AT177" s="296"/>
      <c r="AU177" s="296"/>
      <c r="AV177" s="296"/>
      <c r="AW177" s="296"/>
      <c r="AX177" s="296"/>
      <c r="AY177" s="296"/>
      <c r="AZ177" s="296"/>
      <c r="BA177" s="297"/>
      <c r="BB177" s="295"/>
      <c r="BC177" s="296"/>
      <c r="BD177" s="296"/>
      <c r="BE177" s="296"/>
      <c r="BF177" s="296"/>
      <c r="BG177" s="296"/>
      <c r="BH177" s="296"/>
      <c r="BI177" s="296"/>
      <c r="BJ177" s="296"/>
      <c r="BK177" s="297"/>
      <c r="BL177" s="295"/>
      <c r="BM177" s="296"/>
      <c r="BN177" s="296"/>
      <c r="BO177" s="296"/>
      <c r="BP177" s="296"/>
      <c r="BQ177" s="296"/>
      <c r="BR177" s="296"/>
      <c r="BS177" s="296"/>
      <c r="BT177" s="296"/>
      <c r="BU177" s="297"/>
      <c r="BV177" s="295"/>
      <c r="BW177" s="296"/>
      <c r="BX177" s="296"/>
      <c r="BY177" s="296"/>
      <c r="BZ177" s="296"/>
      <c r="CA177" s="296"/>
      <c r="CB177" s="296"/>
      <c r="CC177" s="296"/>
      <c r="CD177" s="296"/>
      <c r="CE177" s="297"/>
      <c r="CF177" s="295"/>
      <c r="CG177" s="296"/>
      <c r="CH177" s="296"/>
      <c r="CI177" s="296"/>
      <c r="CJ177" s="296"/>
      <c r="CK177" s="296"/>
      <c r="CL177" s="296"/>
      <c r="CM177" s="296"/>
      <c r="CN177" s="296"/>
      <c r="CO177" s="297"/>
      <c r="CP177" s="295"/>
      <c r="CQ177" s="296"/>
      <c r="CR177" s="296"/>
      <c r="CS177" s="296"/>
      <c r="CT177" s="296"/>
      <c r="CU177" s="296"/>
      <c r="CV177" s="296"/>
      <c r="CW177" s="296"/>
      <c r="CX177" s="296"/>
      <c r="CY177" s="297"/>
      <c r="CZ177" s="295"/>
      <c r="DA177" s="296"/>
      <c r="DB177" s="296"/>
      <c r="DC177" s="296"/>
      <c r="DD177" s="296"/>
      <c r="DE177" s="296"/>
      <c r="DF177" s="296"/>
      <c r="DG177" s="296"/>
      <c r="DH177" s="296"/>
      <c r="DI177" s="297"/>
      <c r="DJ177" s="295"/>
      <c r="DK177" s="296"/>
      <c r="DL177" s="296"/>
      <c r="DM177" s="296"/>
      <c r="DN177" s="296"/>
      <c r="DO177" s="296"/>
      <c r="DP177" s="296"/>
      <c r="DQ177" s="296"/>
      <c r="DR177" s="296"/>
      <c r="DS177" s="297"/>
      <c r="DT177" s="295"/>
      <c r="DU177" s="296"/>
      <c r="DV177" s="296"/>
      <c r="DW177" s="296"/>
      <c r="DX177" s="296"/>
      <c r="DY177" s="296"/>
      <c r="DZ177" s="296"/>
      <c r="EA177" s="296"/>
      <c r="EB177" s="296"/>
      <c r="EC177" s="297"/>
    </row>
    <row r="178" spans="1:133" x14ac:dyDescent="0.25">
      <c r="A178" s="95">
        <v>45017</v>
      </c>
      <c r="B178" s="75">
        <v>429.46428571428572</v>
      </c>
      <c r="C178" s="75"/>
      <c r="D178" s="75">
        <v>478.125</v>
      </c>
      <c r="E178" s="75">
        <v>484.2387820512821</v>
      </c>
      <c r="F178" s="75">
        <v>409.28819444444446</v>
      </c>
      <c r="G178" s="75">
        <v>609.375</v>
      </c>
      <c r="H178" s="75">
        <v>507.14285714285717</v>
      </c>
      <c r="I178" s="75">
        <v>366.02335164835165</v>
      </c>
      <c r="J178" s="75">
        <v>341.70454545454544</v>
      </c>
      <c r="K178" s="75">
        <v>375.13392857142856</v>
      </c>
      <c r="N178" s="295">
        <v>2017</v>
      </c>
      <c r="O178" s="296"/>
      <c r="P178" s="296"/>
      <c r="Q178" s="296"/>
      <c r="R178" s="296"/>
      <c r="S178" s="296"/>
      <c r="T178" s="296"/>
      <c r="U178" s="296"/>
      <c r="V178" s="296"/>
      <c r="W178" s="297"/>
      <c r="X178" s="295"/>
      <c r="Y178" s="296"/>
      <c r="Z178" s="296"/>
      <c r="AA178" s="296"/>
      <c r="AB178" s="296"/>
      <c r="AC178" s="296"/>
      <c r="AD178" s="296"/>
      <c r="AE178" s="296"/>
      <c r="AF178" s="296"/>
      <c r="AG178" s="297"/>
      <c r="AH178" s="295"/>
      <c r="AI178" s="296"/>
      <c r="AJ178" s="296"/>
      <c r="AK178" s="296"/>
      <c r="AL178" s="296"/>
      <c r="AM178" s="296"/>
      <c r="AN178" s="296"/>
      <c r="AO178" s="296"/>
      <c r="AP178" s="296"/>
      <c r="AQ178" s="297"/>
      <c r="AR178" s="295"/>
      <c r="AS178" s="296"/>
      <c r="AT178" s="296"/>
      <c r="AU178" s="296"/>
      <c r="AV178" s="296"/>
      <c r="AW178" s="296"/>
      <c r="AX178" s="296"/>
      <c r="AY178" s="296"/>
      <c r="AZ178" s="296"/>
      <c r="BA178" s="297"/>
      <c r="BB178" s="295"/>
      <c r="BC178" s="296"/>
      <c r="BD178" s="296"/>
      <c r="BE178" s="296"/>
      <c r="BF178" s="296"/>
      <c r="BG178" s="296"/>
      <c r="BH178" s="296"/>
      <c r="BI178" s="296"/>
      <c r="BJ178" s="296"/>
      <c r="BK178" s="297"/>
      <c r="BL178" s="295"/>
      <c r="BM178" s="296"/>
      <c r="BN178" s="296"/>
      <c r="BO178" s="296"/>
      <c r="BP178" s="296"/>
      <c r="BQ178" s="296"/>
      <c r="BR178" s="296"/>
      <c r="BS178" s="296"/>
      <c r="BT178" s="296"/>
      <c r="BU178" s="297"/>
      <c r="BV178" s="295"/>
      <c r="BW178" s="296"/>
      <c r="BX178" s="296"/>
      <c r="BY178" s="296"/>
      <c r="BZ178" s="296"/>
      <c r="CA178" s="296"/>
      <c r="CB178" s="296"/>
      <c r="CC178" s="296"/>
      <c r="CD178" s="296"/>
      <c r="CE178" s="297"/>
      <c r="CF178" s="295"/>
      <c r="CG178" s="296"/>
      <c r="CH178" s="296"/>
      <c r="CI178" s="296"/>
      <c r="CJ178" s="296"/>
      <c r="CK178" s="296"/>
      <c r="CL178" s="296"/>
      <c r="CM178" s="296"/>
      <c r="CN178" s="296"/>
      <c r="CO178" s="297"/>
      <c r="CP178" s="295"/>
      <c r="CQ178" s="296"/>
      <c r="CR178" s="296"/>
      <c r="CS178" s="296"/>
      <c r="CT178" s="296"/>
      <c r="CU178" s="296"/>
      <c r="CV178" s="296"/>
      <c r="CW178" s="296"/>
      <c r="CX178" s="296"/>
      <c r="CY178" s="297"/>
      <c r="CZ178" s="295"/>
      <c r="DA178" s="296"/>
      <c r="DB178" s="296"/>
      <c r="DC178" s="296"/>
      <c r="DD178" s="296"/>
      <c r="DE178" s="296"/>
      <c r="DF178" s="296"/>
      <c r="DG178" s="296"/>
      <c r="DH178" s="296"/>
      <c r="DI178" s="297"/>
      <c r="DJ178" s="295"/>
      <c r="DK178" s="296"/>
      <c r="DL178" s="296"/>
      <c r="DM178" s="296"/>
      <c r="DN178" s="296"/>
      <c r="DO178" s="296"/>
      <c r="DP178" s="296"/>
      <c r="DQ178" s="296"/>
      <c r="DR178" s="296"/>
      <c r="DS178" s="297"/>
      <c r="DT178" s="295"/>
      <c r="DU178" s="296"/>
      <c r="DV178" s="296"/>
      <c r="DW178" s="296"/>
      <c r="DX178" s="296"/>
      <c r="DY178" s="296"/>
      <c r="DZ178" s="296"/>
      <c r="EA178" s="296"/>
      <c r="EB178" s="296"/>
      <c r="EC178" s="297"/>
    </row>
    <row r="179" spans="1:133" x14ac:dyDescent="0.25">
      <c r="A179" s="95">
        <v>45047</v>
      </c>
      <c r="B179" s="75">
        <v>530.35714285714289</v>
      </c>
      <c r="C179" s="75"/>
      <c r="D179" s="75">
        <v>477.08791208791206</v>
      </c>
      <c r="E179" s="75">
        <v>479.71153846153845</v>
      </c>
      <c r="F179" s="75">
        <v>406.48561507936512</v>
      </c>
      <c r="G179" s="75">
        <v>600</v>
      </c>
      <c r="H179" s="75">
        <v>507.2802197802198</v>
      </c>
      <c r="I179" s="75">
        <v>365.77724358974359</v>
      </c>
      <c r="J179" s="75">
        <v>345.2329545454545</v>
      </c>
      <c r="K179" s="75">
        <v>375.28769841269843</v>
      </c>
      <c r="N179" s="295"/>
      <c r="O179" s="296"/>
      <c r="P179" s="296"/>
      <c r="Q179" s="296"/>
      <c r="R179" s="296" t="s">
        <v>165</v>
      </c>
      <c r="S179" s="296"/>
      <c r="T179" s="296"/>
      <c r="U179" s="296"/>
      <c r="V179" s="296"/>
      <c r="W179" s="297"/>
      <c r="X179" s="295"/>
      <c r="Y179" s="296"/>
      <c r="Z179" s="296"/>
      <c r="AA179" s="296"/>
      <c r="AB179" s="296" t="s">
        <v>165</v>
      </c>
      <c r="AC179" s="296"/>
      <c r="AD179" s="296"/>
      <c r="AE179" s="296"/>
      <c r="AF179" s="296"/>
      <c r="AG179" s="297"/>
      <c r="AH179" s="295"/>
      <c r="AI179" s="296"/>
      <c r="AJ179" s="296"/>
      <c r="AK179" s="296" t="s">
        <v>165</v>
      </c>
      <c r="AL179" s="296"/>
      <c r="AM179" s="296"/>
      <c r="AN179" s="296"/>
      <c r="AO179" s="296"/>
      <c r="AP179" s="296"/>
      <c r="AQ179" s="297"/>
      <c r="AR179" s="295"/>
      <c r="AS179" s="296"/>
      <c r="AT179" s="296"/>
      <c r="AU179" s="296" t="s">
        <v>165</v>
      </c>
      <c r="AV179" s="296"/>
      <c r="AW179" s="296"/>
      <c r="AX179" s="296"/>
      <c r="AY179" s="296"/>
      <c r="AZ179" s="296"/>
      <c r="BA179" s="297"/>
      <c r="BB179" s="295"/>
      <c r="BC179" s="296"/>
      <c r="BD179" s="296"/>
      <c r="BE179" s="296"/>
      <c r="BF179" s="296" t="s">
        <v>165</v>
      </c>
      <c r="BG179" s="296"/>
      <c r="BH179" s="296"/>
      <c r="BI179" s="296"/>
      <c r="BJ179" s="296"/>
      <c r="BK179" s="297"/>
      <c r="BL179" s="295"/>
      <c r="BM179" s="296"/>
      <c r="BN179" s="296"/>
      <c r="BO179" s="296"/>
      <c r="BP179" s="296" t="s">
        <v>165</v>
      </c>
      <c r="BQ179" s="296"/>
      <c r="BR179" s="296"/>
      <c r="BS179" s="296"/>
      <c r="BT179" s="296"/>
      <c r="BU179" s="297"/>
      <c r="BV179" s="295"/>
      <c r="BW179" s="296"/>
      <c r="BX179" s="296"/>
      <c r="BY179" s="296"/>
      <c r="BZ179" s="296" t="s">
        <v>165</v>
      </c>
      <c r="CA179" s="296"/>
      <c r="CB179" s="296"/>
      <c r="CC179" s="296"/>
      <c r="CD179" s="296"/>
      <c r="CE179" s="297"/>
      <c r="CF179" s="295"/>
      <c r="CG179" s="296"/>
      <c r="CH179" s="296"/>
      <c r="CI179" s="296"/>
      <c r="CJ179" s="296" t="s">
        <v>165</v>
      </c>
      <c r="CK179" s="296"/>
      <c r="CL179" s="296"/>
      <c r="CM179" s="296"/>
      <c r="CN179" s="296"/>
      <c r="CO179" s="297"/>
      <c r="CP179" s="295"/>
      <c r="CQ179" s="296"/>
      <c r="CR179" s="296"/>
      <c r="CS179" s="296"/>
      <c r="CT179" s="296" t="s">
        <v>165</v>
      </c>
      <c r="CU179" s="296"/>
      <c r="CV179" s="296"/>
      <c r="CW179" s="296"/>
      <c r="CX179" s="296"/>
      <c r="CY179" s="297"/>
      <c r="CZ179" s="295"/>
      <c r="DA179" s="296"/>
      <c r="DB179" s="296"/>
      <c r="DC179" s="296"/>
      <c r="DD179" s="296" t="s">
        <v>165</v>
      </c>
      <c r="DE179" s="296"/>
      <c r="DF179" s="296"/>
      <c r="DG179" s="296"/>
      <c r="DH179" s="296"/>
      <c r="DI179" s="297"/>
      <c r="DJ179" s="295"/>
      <c r="DK179" s="296"/>
      <c r="DL179" s="296"/>
      <c r="DM179" s="296"/>
      <c r="DN179" s="296" t="s">
        <v>165</v>
      </c>
      <c r="DO179" s="296"/>
      <c r="DP179" s="296"/>
      <c r="DQ179" s="296"/>
      <c r="DR179" s="296"/>
      <c r="DS179" s="297"/>
      <c r="DT179" s="295"/>
      <c r="DU179" s="296"/>
      <c r="DV179" s="296"/>
      <c r="DW179" s="296"/>
      <c r="DX179" s="296" t="s">
        <v>165</v>
      </c>
      <c r="DY179" s="296"/>
      <c r="DZ179" s="296"/>
      <c r="EA179" s="296"/>
      <c r="EB179" s="296"/>
      <c r="EC179" s="297"/>
    </row>
    <row r="180" spans="1:133" ht="15.75" thickBot="1" x14ac:dyDescent="0.3">
      <c r="A180" s="95">
        <v>45078</v>
      </c>
      <c r="B180" s="75">
        <v>692.85714285714278</v>
      </c>
      <c r="C180" s="75"/>
      <c r="D180" s="75">
        <v>475.89285714285711</v>
      </c>
      <c r="E180" s="75">
        <v>483.94230769230774</v>
      </c>
      <c r="F180" s="75">
        <v>413.61607142857144</v>
      </c>
      <c r="G180" s="75">
        <v>598.4375</v>
      </c>
      <c r="H180" s="75">
        <v>507.41758241758242</v>
      </c>
      <c r="I180" s="75">
        <v>356.73611111111109</v>
      </c>
      <c r="J180" s="75">
        <v>343.57323232323233</v>
      </c>
      <c r="K180" s="75">
        <v>381.97767857142856</v>
      </c>
      <c r="N180" s="295"/>
      <c r="O180" s="296"/>
      <c r="P180" s="296"/>
      <c r="Q180" s="296"/>
      <c r="R180" s="296" t="s">
        <v>264</v>
      </c>
      <c r="S180" s="296"/>
      <c r="T180" s="296"/>
      <c r="U180" s="296"/>
      <c r="V180" s="296"/>
      <c r="W180" s="297"/>
      <c r="X180" s="295"/>
      <c r="Y180" s="296"/>
      <c r="Z180" s="296"/>
      <c r="AA180" s="296"/>
      <c r="AB180" s="296" t="s">
        <v>265</v>
      </c>
      <c r="AC180" s="296"/>
      <c r="AD180" s="296"/>
      <c r="AE180" s="296"/>
      <c r="AF180" s="296"/>
      <c r="AG180" s="297"/>
      <c r="AH180" s="295"/>
      <c r="AI180" s="296"/>
      <c r="AJ180" s="296"/>
      <c r="AK180" s="296" t="s">
        <v>266</v>
      </c>
      <c r="AL180" s="296"/>
      <c r="AM180" s="296"/>
      <c r="AN180" s="296"/>
      <c r="AO180" s="296"/>
      <c r="AP180" s="296"/>
      <c r="AQ180" s="297"/>
      <c r="AR180" s="295"/>
      <c r="AS180" s="296"/>
      <c r="AT180" s="296"/>
      <c r="AU180" s="296" t="s">
        <v>267</v>
      </c>
      <c r="AV180" s="296"/>
      <c r="AW180" s="296"/>
      <c r="AX180" s="296"/>
      <c r="AY180" s="296"/>
      <c r="AZ180" s="296"/>
      <c r="BA180" s="297"/>
      <c r="BB180" s="295"/>
      <c r="BC180" s="296"/>
      <c r="BD180" s="296"/>
      <c r="BE180" s="296"/>
      <c r="BF180" s="296" t="s">
        <v>268</v>
      </c>
      <c r="BG180" s="296"/>
      <c r="BH180" s="296"/>
      <c r="BI180" s="296"/>
      <c r="BJ180" s="296"/>
      <c r="BK180" s="297"/>
      <c r="BL180" s="295"/>
      <c r="BM180" s="296"/>
      <c r="BN180" s="296"/>
      <c r="BO180" s="296"/>
      <c r="BP180" s="296" t="s">
        <v>269</v>
      </c>
      <c r="BQ180" s="296"/>
      <c r="BR180" s="296"/>
      <c r="BS180" s="296"/>
      <c r="BT180" s="296"/>
      <c r="BU180" s="297"/>
      <c r="BV180" s="295"/>
      <c r="BW180" s="296"/>
      <c r="BX180" s="296"/>
      <c r="BY180" s="296"/>
      <c r="BZ180" s="296" t="s">
        <v>270</v>
      </c>
      <c r="CA180" s="296"/>
      <c r="CB180" s="296"/>
      <c r="CC180" s="296"/>
      <c r="CD180" s="296"/>
      <c r="CE180" s="297"/>
      <c r="CF180" s="295"/>
      <c r="CG180" s="296"/>
      <c r="CH180" s="296"/>
      <c r="CI180" s="296"/>
      <c r="CJ180" s="296" t="s">
        <v>271</v>
      </c>
      <c r="CK180" s="296"/>
      <c r="CL180" s="296"/>
      <c r="CM180" s="296"/>
      <c r="CN180" s="296"/>
      <c r="CO180" s="297"/>
      <c r="CP180" s="295"/>
      <c r="CQ180" s="296"/>
      <c r="CR180" s="296"/>
      <c r="CS180" s="296"/>
      <c r="CT180" s="296" t="s">
        <v>272</v>
      </c>
      <c r="CU180" s="296"/>
      <c r="CV180" s="296"/>
      <c r="CW180" s="296"/>
      <c r="CX180" s="296"/>
      <c r="CY180" s="297"/>
      <c r="CZ180" s="295"/>
      <c r="DA180" s="296"/>
      <c r="DB180" s="296"/>
      <c r="DC180" s="296"/>
      <c r="DD180" s="296" t="s">
        <v>273</v>
      </c>
      <c r="DE180" s="296"/>
      <c r="DF180" s="296"/>
      <c r="DG180" s="296"/>
      <c r="DH180" s="296"/>
      <c r="DI180" s="297"/>
      <c r="DJ180" s="295"/>
      <c r="DK180" s="296"/>
      <c r="DL180" s="296"/>
      <c r="DM180" s="296"/>
      <c r="DN180" s="296" t="s">
        <v>274</v>
      </c>
      <c r="DO180" s="296"/>
      <c r="DP180" s="296"/>
      <c r="DQ180" s="296"/>
      <c r="DR180" s="296"/>
      <c r="DS180" s="297"/>
      <c r="DT180" s="295"/>
      <c r="DU180" s="296"/>
      <c r="DV180" s="296"/>
      <c r="DW180" s="296"/>
      <c r="DX180" s="296" t="s">
        <v>275</v>
      </c>
      <c r="DY180" s="296"/>
      <c r="DZ180" s="296"/>
      <c r="EA180" s="296"/>
      <c r="EB180" s="296"/>
      <c r="EC180" s="297"/>
    </row>
    <row r="181" spans="1:133" x14ac:dyDescent="0.25">
      <c r="A181" s="95">
        <v>45108</v>
      </c>
      <c r="B181" s="75">
        <v>866.4835164835165</v>
      </c>
      <c r="C181" s="75"/>
      <c r="D181" s="75">
        <v>504.1266025641026</v>
      </c>
      <c r="E181" s="75">
        <v>486.29516317016316</v>
      </c>
      <c r="F181" s="75">
        <v>430.46875</v>
      </c>
      <c r="G181" s="75">
        <v>598.4375</v>
      </c>
      <c r="H181" s="75">
        <v>503.84615384615381</v>
      </c>
      <c r="I181" s="75">
        <v>357.13541666666663</v>
      </c>
      <c r="J181" s="75">
        <v>345.41666666666669</v>
      </c>
      <c r="K181" s="75">
        <v>386.67857142857144</v>
      </c>
      <c r="N181" s="455" t="s">
        <v>152</v>
      </c>
      <c r="O181" s="463"/>
      <c r="P181" s="457" t="s">
        <v>153</v>
      </c>
      <c r="Q181" s="458"/>
      <c r="R181" s="456"/>
      <c r="S181" s="457" t="s">
        <v>290</v>
      </c>
      <c r="T181" s="458"/>
      <c r="U181" s="458"/>
      <c r="V181" s="458"/>
      <c r="W181" s="459"/>
      <c r="X181" s="455" t="s">
        <v>152</v>
      </c>
      <c r="Y181" s="463"/>
      <c r="Z181" s="457" t="s">
        <v>153</v>
      </c>
      <c r="AA181" s="458"/>
      <c r="AB181" s="456"/>
      <c r="AC181" s="457" t="s">
        <v>290</v>
      </c>
      <c r="AD181" s="458"/>
      <c r="AE181" s="458"/>
      <c r="AF181" s="458"/>
      <c r="AG181" s="459"/>
      <c r="AH181" s="455" t="s">
        <v>152</v>
      </c>
      <c r="AI181" s="463"/>
      <c r="AJ181" s="457" t="s">
        <v>153</v>
      </c>
      <c r="AK181" s="458"/>
      <c r="AL181" s="456"/>
      <c r="AM181" s="457" t="s">
        <v>290</v>
      </c>
      <c r="AN181" s="458"/>
      <c r="AO181" s="458"/>
      <c r="AP181" s="458"/>
      <c r="AQ181" s="459"/>
      <c r="AR181" s="455" t="s">
        <v>152</v>
      </c>
      <c r="AS181" s="463"/>
      <c r="AT181" s="457" t="s">
        <v>153</v>
      </c>
      <c r="AU181" s="458"/>
      <c r="AV181" s="456"/>
      <c r="AW181" s="457" t="s">
        <v>290</v>
      </c>
      <c r="AX181" s="458"/>
      <c r="AY181" s="458"/>
      <c r="AZ181" s="458"/>
      <c r="BA181" s="459"/>
      <c r="BB181" s="455" t="s">
        <v>152</v>
      </c>
      <c r="BC181" s="463"/>
      <c r="BD181" s="457" t="s">
        <v>153</v>
      </c>
      <c r="BE181" s="458"/>
      <c r="BF181" s="456"/>
      <c r="BG181" s="457" t="s">
        <v>290</v>
      </c>
      <c r="BH181" s="458"/>
      <c r="BI181" s="458"/>
      <c r="BJ181" s="458"/>
      <c r="BK181" s="459"/>
      <c r="BL181" s="455" t="s">
        <v>152</v>
      </c>
      <c r="BM181" s="463"/>
      <c r="BN181" s="457" t="s">
        <v>153</v>
      </c>
      <c r="BO181" s="458"/>
      <c r="BP181" s="456"/>
      <c r="BQ181" s="457" t="s">
        <v>290</v>
      </c>
      <c r="BR181" s="458"/>
      <c r="BS181" s="458"/>
      <c r="BT181" s="458"/>
      <c r="BU181" s="459"/>
      <c r="BV181" s="455" t="s">
        <v>152</v>
      </c>
      <c r="BW181" s="463"/>
      <c r="BX181" s="457" t="s">
        <v>153</v>
      </c>
      <c r="BY181" s="458"/>
      <c r="BZ181" s="456"/>
      <c r="CA181" s="457" t="s">
        <v>290</v>
      </c>
      <c r="CB181" s="458"/>
      <c r="CC181" s="458"/>
      <c r="CD181" s="458"/>
      <c r="CE181" s="459"/>
      <c r="CF181" s="455" t="s">
        <v>152</v>
      </c>
      <c r="CG181" s="463"/>
      <c r="CH181" s="457" t="s">
        <v>153</v>
      </c>
      <c r="CI181" s="458"/>
      <c r="CJ181" s="456"/>
      <c r="CK181" s="457" t="s">
        <v>290</v>
      </c>
      <c r="CL181" s="458"/>
      <c r="CM181" s="458"/>
      <c r="CN181" s="458"/>
      <c r="CO181" s="459"/>
      <c r="CP181" s="455" t="s">
        <v>152</v>
      </c>
      <c r="CQ181" s="463"/>
      <c r="CR181" s="457" t="s">
        <v>153</v>
      </c>
      <c r="CS181" s="458"/>
      <c r="CT181" s="456"/>
      <c r="CU181" s="457" t="s">
        <v>290</v>
      </c>
      <c r="CV181" s="458"/>
      <c r="CW181" s="458"/>
      <c r="CX181" s="458"/>
      <c r="CY181" s="459"/>
      <c r="CZ181" s="455" t="s">
        <v>152</v>
      </c>
      <c r="DA181" s="463"/>
      <c r="DB181" s="457" t="s">
        <v>153</v>
      </c>
      <c r="DC181" s="458"/>
      <c r="DD181" s="456"/>
      <c r="DE181" s="457" t="s">
        <v>290</v>
      </c>
      <c r="DF181" s="458"/>
      <c r="DG181" s="458"/>
      <c r="DH181" s="458"/>
      <c r="DI181" s="459"/>
      <c r="DJ181" s="455" t="s">
        <v>152</v>
      </c>
      <c r="DK181" s="463"/>
      <c r="DL181" s="457" t="s">
        <v>153</v>
      </c>
      <c r="DM181" s="458"/>
      <c r="DN181" s="456"/>
      <c r="DO181" s="457" t="s">
        <v>290</v>
      </c>
      <c r="DP181" s="458"/>
      <c r="DQ181" s="458"/>
      <c r="DR181" s="458"/>
      <c r="DS181" s="459"/>
      <c r="DT181" s="455" t="s">
        <v>152</v>
      </c>
      <c r="DU181" s="463"/>
      <c r="DV181" s="457" t="s">
        <v>153</v>
      </c>
      <c r="DW181" s="458"/>
      <c r="DX181" s="456"/>
      <c r="DY181" s="457" t="s">
        <v>290</v>
      </c>
      <c r="DZ181" s="458"/>
      <c r="EA181" s="458"/>
      <c r="EB181" s="458"/>
      <c r="EC181" s="459"/>
    </row>
    <row r="182" spans="1:133" x14ac:dyDescent="0.25">
      <c r="A182" s="95">
        <v>45139</v>
      </c>
      <c r="B182" s="75">
        <v>963.19444444444434</v>
      </c>
      <c r="C182" s="75">
        <v>1035.3571428571427</v>
      </c>
      <c r="D182" s="75">
        <v>518.92857142857133</v>
      </c>
      <c r="E182" s="75">
        <v>483.07692307692304</v>
      </c>
      <c r="F182" s="75">
        <v>421.57142857142861</v>
      </c>
      <c r="G182" s="75">
        <v>592</v>
      </c>
      <c r="H182" s="75">
        <v>510</v>
      </c>
      <c r="I182" s="75">
        <v>357.4</v>
      </c>
      <c r="J182" s="75">
        <v>346.57777777777778</v>
      </c>
      <c r="K182" s="75">
        <v>397.08333333333331</v>
      </c>
      <c r="N182" s="309"/>
      <c r="O182" s="314"/>
      <c r="P182" s="311"/>
      <c r="Q182" s="312"/>
      <c r="R182" s="310"/>
      <c r="S182" s="311"/>
      <c r="T182" s="312"/>
      <c r="U182" s="312"/>
      <c r="V182" s="312"/>
      <c r="W182" s="313"/>
      <c r="X182" s="309"/>
      <c r="Y182" s="314"/>
      <c r="Z182" s="311"/>
      <c r="AA182" s="312"/>
      <c r="AB182" s="310"/>
      <c r="AC182" s="311"/>
      <c r="AD182" s="312"/>
      <c r="AE182" s="312"/>
      <c r="AF182" s="312"/>
      <c r="AG182" s="313"/>
      <c r="AH182" s="309"/>
      <c r="AI182" s="314"/>
      <c r="AJ182" s="311"/>
      <c r="AK182" s="312"/>
      <c r="AL182" s="310"/>
      <c r="AM182" s="311"/>
      <c r="AN182" s="312"/>
      <c r="AO182" s="312"/>
      <c r="AP182" s="312"/>
      <c r="AQ182" s="313"/>
      <c r="AR182" s="309"/>
      <c r="AS182" s="314"/>
      <c r="AT182" s="311"/>
      <c r="AU182" s="312"/>
      <c r="AV182" s="310"/>
      <c r="AW182" s="311"/>
      <c r="AX182" s="312"/>
      <c r="AY182" s="312"/>
      <c r="AZ182" s="312"/>
      <c r="BA182" s="313"/>
      <c r="BB182" s="309"/>
      <c r="BC182" s="314"/>
      <c r="BD182" s="311"/>
      <c r="BE182" s="312"/>
      <c r="BF182" s="310"/>
      <c r="BG182" s="311"/>
      <c r="BH182" s="312"/>
      <c r="BI182" s="312"/>
      <c r="BJ182" s="312"/>
      <c r="BK182" s="313"/>
      <c r="BL182" s="309"/>
      <c r="BM182" s="314"/>
      <c r="BN182" s="311"/>
      <c r="BO182" s="312"/>
      <c r="BP182" s="310"/>
      <c r="BQ182" s="311"/>
      <c r="BR182" s="312"/>
      <c r="BS182" s="312"/>
      <c r="BT182" s="312"/>
      <c r="BU182" s="313"/>
      <c r="BV182" s="309"/>
      <c r="BW182" s="314"/>
      <c r="BX182" s="311"/>
      <c r="BY182" s="312"/>
      <c r="BZ182" s="310"/>
      <c r="CA182" s="311"/>
      <c r="CB182" s="312"/>
      <c r="CC182" s="312"/>
      <c r="CD182" s="312"/>
      <c r="CE182" s="313"/>
      <c r="CF182" s="309"/>
      <c r="CG182" s="314"/>
      <c r="CH182" s="311"/>
      <c r="CI182" s="312"/>
      <c r="CJ182" s="310"/>
      <c r="CK182" s="311"/>
      <c r="CL182" s="312"/>
      <c r="CM182" s="312"/>
      <c r="CN182" s="312"/>
      <c r="CO182" s="313"/>
      <c r="CP182" s="309"/>
      <c r="CQ182" s="314"/>
      <c r="CR182" s="311"/>
      <c r="CS182" s="312"/>
      <c r="CT182" s="310"/>
      <c r="CU182" s="311"/>
      <c r="CV182" s="312"/>
      <c r="CW182" s="312"/>
      <c r="CX182" s="312"/>
      <c r="CY182" s="313"/>
      <c r="CZ182" s="309"/>
      <c r="DA182" s="314"/>
      <c r="DB182" s="311"/>
      <c r="DC182" s="312"/>
      <c r="DD182" s="310"/>
      <c r="DE182" s="311"/>
      <c r="DF182" s="312"/>
      <c r="DG182" s="312"/>
      <c r="DH182" s="312"/>
      <c r="DI182" s="313"/>
      <c r="DJ182" s="309"/>
      <c r="DK182" s="314"/>
      <c r="DL182" s="311"/>
      <c r="DM182" s="312"/>
      <c r="DN182" s="310"/>
      <c r="DO182" s="311"/>
      <c r="DP182" s="312"/>
      <c r="DQ182" s="312"/>
      <c r="DR182" s="312"/>
      <c r="DS182" s="313"/>
      <c r="DT182" s="309"/>
      <c r="DU182" s="314"/>
      <c r="DV182" s="311"/>
      <c r="DW182" s="312"/>
      <c r="DX182" s="310"/>
      <c r="DY182" s="311"/>
      <c r="DZ182" s="312"/>
      <c r="EA182" s="312"/>
      <c r="EB182" s="312"/>
      <c r="EC182" s="313"/>
    </row>
    <row r="183" spans="1:133" x14ac:dyDescent="0.25">
      <c r="A183" s="95">
        <v>45170</v>
      </c>
      <c r="B183" s="75"/>
      <c r="C183" s="75">
        <v>840.17857142857133</v>
      </c>
      <c r="D183" s="75">
        <v>503.57142857142856</v>
      </c>
      <c r="E183" s="75">
        <v>483.10897435897442</v>
      </c>
      <c r="F183" s="75">
        <v>407.70833333333331</v>
      </c>
      <c r="G183" s="75">
        <v>585.83333333333337</v>
      </c>
      <c r="H183" s="75">
        <v>514.28571428571433</v>
      </c>
      <c r="I183" s="75">
        <v>330.25793650793651</v>
      </c>
      <c r="J183" s="75">
        <v>349.26500582750583</v>
      </c>
      <c r="K183" s="75">
        <v>384.84375</v>
      </c>
      <c r="N183" s="309" t="s">
        <v>291</v>
      </c>
      <c r="O183" s="314"/>
      <c r="P183" s="311" t="s">
        <v>291</v>
      </c>
      <c r="Q183" s="312"/>
      <c r="R183" s="310"/>
      <c r="S183" s="311" t="s">
        <v>291</v>
      </c>
      <c r="T183" s="312"/>
      <c r="U183" s="312"/>
      <c r="V183" s="312"/>
      <c r="W183" s="313"/>
      <c r="X183" s="309" t="s">
        <v>291</v>
      </c>
      <c r="Y183" s="314"/>
      <c r="Z183" s="311" t="s">
        <v>291</v>
      </c>
      <c r="AA183" s="312"/>
      <c r="AB183" s="310"/>
      <c r="AC183" s="311" t="s">
        <v>291</v>
      </c>
      <c r="AD183" s="312"/>
      <c r="AE183" s="312"/>
      <c r="AF183" s="312"/>
      <c r="AG183" s="313"/>
      <c r="AH183" s="309" t="s">
        <v>291</v>
      </c>
      <c r="AI183" s="314"/>
      <c r="AJ183" s="311" t="s">
        <v>291</v>
      </c>
      <c r="AK183" s="312"/>
      <c r="AL183" s="310"/>
      <c r="AM183" s="311" t="s">
        <v>291</v>
      </c>
      <c r="AN183" s="312"/>
      <c r="AO183" s="312"/>
      <c r="AP183" s="312"/>
      <c r="AQ183" s="313"/>
      <c r="AR183" s="309" t="s">
        <v>291</v>
      </c>
      <c r="AS183" s="314"/>
      <c r="AT183" s="311" t="s">
        <v>291</v>
      </c>
      <c r="AU183" s="312"/>
      <c r="AV183" s="310"/>
      <c r="AW183" s="311" t="s">
        <v>291</v>
      </c>
      <c r="AX183" s="312"/>
      <c r="AY183" s="312"/>
      <c r="AZ183" s="312"/>
      <c r="BA183" s="313"/>
      <c r="BB183" s="309" t="s">
        <v>291</v>
      </c>
      <c r="BC183" s="314"/>
      <c r="BD183" s="311" t="s">
        <v>291</v>
      </c>
      <c r="BE183" s="312"/>
      <c r="BF183" s="310"/>
      <c r="BG183" s="311" t="s">
        <v>291</v>
      </c>
      <c r="BH183" s="312"/>
      <c r="BI183" s="312"/>
      <c r="BJ183" s="312"/>
      <c r="BK183" s="313"/>
      <c r="BL183" s="309" t="s">
        <v>291</v>
      </c>
      <c r="BM183" s="314"/>
      <c r="BN183" s="311" t="s">
        <v>291</v>
      </c>
      <c r="BO183" s="312"/>
      <c r="BP183" s="310"/>
      <c r="BQ183" s="311" t="s">
        <v>291</v>
      </c>
      <c r="BR183" s="312"/>
      <c r="BS183" s="312"/>
      <c r="BT183" s="312"/>
      <c r="BU183" s="313"/>
      <c r="BV183" s="309" t="s">
        <v>291</v>
      </c>
      <c r="BW183" s="314"/>
      <c r="BX183" s="311" t="s">
        <v>291</v>
      </c>
      <c r="BY183" s="312"/>
      <c r="BZ183" s="310"/>
      <c r="CA183" s="311" t="s">
        <v>291</v>
      </c>
      <c r="CB183" s="312"/>
      <c r="CC183" s="312"/>
      <c r="CD183" s="312"/>
      <c r="CE183" s="313"/>
      <c r="CF183" s="309" t="s">
        <v>291</v>
      </c>
      <c r="CG183" s="314"/>
      <c r="CH183" s="311" t="s">
        <v>291</v>
      </c>
      <c r="CI183" s="312"/>
      <c r="CJ183" s="310"/>
      <c r="CK183" s="311" t="s">
        <v>291</v>
      </c>
      <c r="CL183" s="312"/>
      <c r="CM183" s="312"/>
      <c r="CN183" s="312"/>
      <c r="CO183" s="313"/>
      <c r="CP183" s="309" t="s">
        <v>291</v>
      </c>
      <c r="CQ183" s="314"/>
      <c r="CR183" s="311" t="s">
        <v>291</v>
      </c>
      <c r="CS183" s="312"/>
      <c r="CT183" s="310"/>
      <c r="CU183" s="311" t="s">
        <v>291</v>
      </c>
      <c r="CV183" s="312"/>
      <c r="CW183" s="312"/>
      <c r="CX183" s="312"/>
      <c r="CY183" s="313"/>
      <c r="CZ183" s="309" t="s">
        <v>291</v>
      </c>
      <c r="DA183" s="314"/>
      <c r="DB183" s="311" t="s">
        <v>291</v>
      </c>
      <c r="DC183" s="312"/>
      <c r="DD183" s="310"/>
      <c r="DE183" s="311" t="s">
        <v>291</v>
      </c>
      <c r="DF183" s="312"/>
      <c r="DG183" s="312"/>
      <c r="DH183" s="312"/>
      <c r="DI183" s="313"/>
      <c r="DJ183" s="309" t="s">
        <v>291</v>
      </c>
      <c r="DK183" s="314"/>
      <c r="DL183" s="311" t="s">
        <v>291</v>
      </c>
      <c r="DM183" s="312"/>
      <c r="DN183" s="310"/>
      <c r="DO183" s="311" t="s">
        <v>291</v>
      </c>
      <c r="DP183" s="312"/>
      <c r="DQ183" s="312"/>
      <c r="DR183" s="312"/>
      <c r="DS183" s="313"/>
      <c r="DT183" s="309" t="s">
        <v>291</v>
      </c>
      <c r="DU183" s="314"/>
      <c r="DV183" s="311" t="s">
        <v>291</v>
      </c>
      <c r="DW183" s="312"/>
      <c r="DX183" s="310"/>
      <c r="DY183" s="311" t="s">
        <v>291</v>
      </c>
      <c r="DZ183" s="312"/>
      <c r="EA183" s="312"/>
      <c r="EB183" s="312"/>
      <c r="EC183" s="313"/>
    </row>
    <row r="184" spans="1:133" x14ac:dyDescent="0.25">
      <c r="A184" s="95">
        <v>45200</v>
      </c>
      <c r="C184" s="75">
        <v>670</v>
      </c>
      <c r="D184" s="75">
        <v>484.28571428571433</v>
      </c>
      <c r="E184" s="75">
        <v>475</v>
      </c>
      <c r="F184" s="75">
        <v>374.79047619047623</v>
      </c>
      <c r="G184" s="75">
        <v>574.33333333333337</v>
      </c>
      <c r="H184" s="75">
        <v>511.20879120879124</v>
      </c>
      <c r="I184" s="75">
        <v>375</v>
      </c>
      <c r="J184" s="75">
        <v>349.6717449217449</v>
      </c>
      <c r="K184" s="75">
        <v>405.52380952380952</v>
      </c>
      <c r="N184" s="430" t="s">
        <v>163</v>
      </c>
      <c r="O184" s="422" t="s">
        <v>155</v>
      </c>
      <c r="P184" s="422" t="s">
        <v>293</v>
      </c>
      <c r="Q184" s="422" t="s">
        <v>294</v>
      </c>
      <c r="R184" s="422" t="s">
        <v>295</v>
      </c>
      <c r="S184" s="424" t="s">
        <v>296</v>
      </c>
      <c r="T184" s="425"/>
      <c r="U184" s="426" t="s">
        <v>297</v>
      </c>
      <c r="V184" s="426" t="s">
        <v>162</v>
      </c>
      <c r="W184" s="428" t="s">
        <v>163</v>
      </c>
      <c r="X184" s="430" t="s">
        <v>163</v>
      </c>
      <c r="Y184" s="422" t="s">
        <v>155</v>
      </c>
      <c r="Z184" s="422" t="s">
        <v>293</v>
      </c>
      <c r="AA184" s="422" t="s">
        <v>294</v>
      </c>
      <c r="AB184" s="422" t="s">
        <v>295</v>
      </c>
      <c r="AC184" s="424" t="s">
        <v>296</v>
      </c>
      <c r="AD184" s="425"/>
      <c r="AE184" s="426" t="s">
        <v>297</v>
      </c>
      <c r="AF184" s="426" t="s">
        <v>162</v>
      </c>
      <c r="AG184" s="428" t="s">
        <v>163</v>
      </c>
      <c r="AH184" s="430" t="s">
        <v>163</v>
      </c>
      <c r="AI184" s="422" t="s">
        <v>155</v>
      </c>
      <c r="AJ184" s="422" t="s">
        <v>293</v>
      </c>
      <c r="AK184" s="422" t="s">
        <v>294</v>
      </c>
      <c r="AL184" s="422" t="s">
        <v>295</v>
      </c>
      <c r="AM184" s="424" t="s">
        <v>296</v>
      </c>
      <c r="AN184" s="425"/>
      <c r="AO184" s="426" t="s">
        <v>297</v>
      </c>
      <c r="AP184" s="426" t="s">
        <v>162</v>
      </c>
      <c r="AQ184" s="428" t="s">
        <v>163</v>
      </c>
      <c r="AR184" s="430" t="s">
        <v>163</v>
      </c>
      <c r="AS184" s="422" t="s">
        <v>155</v>
      </c>
      <c r="AT184" s="422" t="s">
        <v>293</v>
      </c>
      <c r="AU184" s="422" t="s">
        <v>294</v>
      </c>
      <c r="AV184" s="422" t="s">
        <v>295</v>
      </c>
      <c r="AW184" s="424" t="s">
        <v>296</v>
      </c>
      <c r="AX184" s="425"/>
      <c r="AY184" s="426" t="s">
        <v>297</v>
      </c>
      <c r="AZ184" s="426" t="s">
        <v>162</v>
      </c>
      <c r="BA184" s="428" t="s">
        <v>163</v>
      </c>
      <c r="BB184" s="430" t="s">
        <v>163</v>
      </c>
      <c r="BC184" s="422" t="s">
        <v>155</v>
      </c>
      <c r="BD184" s="422" t="s">
        <v>293</v>
      </c>
      <c r="BE184" s="422" t="s">
        <v>294</v>
      </c>
      <c r="BF184" s="422" t="s">
        <v>295</v>
      </c>
      <c r="BG184" s="424" t="s">
        <v>296</v>
      </c>
      <c r="BH184" s="425"/>
      <c r="BI184" s="426" t="s">
        <v>297</v>
      </c>
      <c r="BJ184" s="426" t="s">
        <v>162</v>
      </c>
      <c r="BK184" s="428" t="s">
        <v>163</v>
      </c>
      <c r="BL184" s="430" t="s">
        <v>163</v>
      </c>
      <c r="BM184" s="422" t="s">
        <v>155</v>
      </c>
      <c r="BN184" s="422" t="s">
        <v>293</v>
      </c>
      <c r="BO184" s="422" t="s">
        <v>294</v>
      </c>
      <c r="BP184" s="422" t="s">
        <v>295</v>
      </c>
      <c r="BQ184" s="424" t="s">
        <v>296</v>
      </c>
      <c r="BR184" s="425"/>
      <c r="BS184" s="426" t="s">
        <v>297</v>
      </c>
      <c r="BT184" s="426" t="s">
        <v>162</v>
      </c>
      <c r="BU184" s="428" t="s">
        <v>163</v>
      </c>
      <c r="BV184" s="430" t="s">
        <v>163</v>
      </c>
      <c r="BW184" s="422" t="s">
        <v>155</v>
      </c>
      <c r="BX184" s="422" t="s">
        <v>293</v>
      </c>
      <c r="BY184" s="422" t="s">
        <v>294</v>
      </c>
      <c r="BZ184" s="422" t="s">
        <v>295</v>
      </c>
      <c r="CA184" s="424" t="s">
        <v>296</v>
      </c>
      <c r="CB184" s="425"/>
      <c r="CC184" s="426" t="s">
        <v>297</v>
      </c>
      <c r="CD184" s="426" t="s">
        <v>162</v>
      </c>
      <c r="CE184" s="428" t="s">
        <v>163</v>
      </c>
      <c r="CF184" s="430" t="s">
        <v>163</v>
      </c>
      <c r="CG184" s="422" t="s">
        <v>155</v>
      </c>
      <c r="CH184" s="422" t="s">
        <v>293</v>
      </c>
      <c r="CI184" s="422" t="s">
        <v>294</v>
      </c>
      <c r="CJ184" s="422" t="s">
        <v>295</v>
      </c>
      <c r="CK184" s="424" t="s">
        <v>296</v>
      </c>
      <c r="CL184" s="425"/>
      <c r="CM184" s="426" t="s">
        <v>297</v>
      </c>
      <c r="CN184" s="426" t="s">
        <v>162</v>
      </c>
      <c r="CO184" s="428" t="s">
        <v>163</v>
      </c>
      <c r="CP184" s="430" t="s">
        <v>163</v>
      </c>
      <c r="CQ184" s="422" t="s">
        <v>155</v>
      </c>
      <c r="CR184" s="422" t="s">
        <v>293</v>
      </c>
      <c r="CS184" s="422" t="s">
        <v>294</v>
      </c>
      <c r="CT184" s="422" t="s">
        <v>295</v>
      </c>
      <c r="CU184" s="424" t="s">
        <v>296</v>
      </c>
      <c r="CV184" s="425"/>
      <c r="CW184" s="426" t="s">
        <v>297</v>
      </c>
      <c r="CX184" s="426" t="s">
        <v>162</v>
      </c>
      <c r="CY184" s="428" t="s">
        <v>163</v>
      </c>
      <c r="CZ184" s="430" t="s">
        <v>163</v>
      </c>
      <c r="DA184" s="422" t="s">
        <v>155</v>
      </c>
      <c r="DB184" s="422" t="s">
        <v>293</v>
      </c>
      <c r="DC184" s="422" t="s">
        <v>294</v>
      </c>
      <c r="DD184" s="422" t="s">
        <v>295</v>
      </c>
      <c r="DE184" s="424" t="s">
        <v>296</v>
      </c>
      <c r="DF184" s="425"/>
      <c r="DG184" s="426" t="s">
        <v>297</v>
      </c>
      <c r="DH184" s="426" t="s">
        <v>162</v>
      </c>
      <c r="DI184" s="428" t="s">
        <v>163</v>
      </c>
      <c r="DJ184" s="430" t="s">
        <v>163</v>
      </c>
      <c r="DK184" s="422" t="s">
        <v>155</v>
      </c>
      <c r="DL184" s="422" t="s">
        <v>293</v>
      </c>
      <c r="DM184" s="422" t="s">
        <v>294</v>
      </c>
      <c r="DN184" s="422" t="s">
        <v>295</v>
      </c>
      <c r="DO184" s="424" t="s">
        <v>296</v>
      </c>
      <c r="DP184" s="425"/>
      <c r="DQ184" s="426" t="s">
        <v>297</v>
      </c>
      <c r="DR184" s="426" t="s">
        <v>162</v>
      </c>
      <c r="DS184" s="428" t="s">
        <v>163</v>
      </c>
      <c r="DT184" s="430" t="s">
        <v>163</v>
      </c>
      <c r="DU184" s="422" t="s">
        <v>155</v>
      </c>
      <c r="DV184" s="422" t="s">
        <v>293</v>
      </c>
      <c r="DW184" s="422" t="s">
        <v>294</v>
      </c>
      <c r="DX184" s="422" t="s">
        <v>295</v>
      </c>
      <c r="DY184" s="424" t="s">
        <v>296</v>
      </c>
      <c r="DZ184" s="425"/>
      <c r="EA184" s="426" t="s">
        <v>297</v>
      </c>
      <c r="EB184" s="426" t="s">
        <v>162</v>
      </c>
      <c r="EC184" s="428" t="s">
        <v>163</v>
      </c>
    </row>
    <row r="185" spans="1:133" x14ac:dyDescent="0.25">
      <c r="A185" s="95">
        <v>45231</v>
      </c>
      <c r="C185" s="75">
        <v>667.47939560439556</v>
      </c>
      <c r="D185" s="75">
        <v>439.21703296703294</v>
      </c>
      <c r="E185" s="75">
        <v>448.95833333333331</v>
      </c>
      <c r="F185" s="75">
        <v>340.95982142857144</v>
      </c>
      <c r="G185" s="75">
        <v>575</v>
      </c>
      <c r="H185" s="75">
        <v>507.2802197802198</v>
      </c>
      <c r="I185" s="75">
        <v>363.39285714285711</v>
      </c>
      <c r="J185" s="75">
        <v>347.74725274725273</v>
      </c>
      <c r="K185" s="75">
        <v>384.09722222222223</v>
      </c>
      <c r="N185" s="431"/>
      <c r="O185" s="423"/>
      <c r="P185" s="423"/>
      <c r="Q185" s="423"/>
      <c r="R185" s="423"/>
      <c r="S185" s="146" t="s">
        <v>159</v>
      </c>
      <c r="T185" s="146" t="s">
        <v>160</v>
      </c>
      <c r="U185" s="427"/>
      <c r="V185" s="427"/>
      <c r="W185" s="429"/>
      <c r="X185" s="431"/>
      <c r="Y185" s="423"/>
      <c r="Z185" s="423"/>
      <c r="AA185" s="423"/>
      <c r="AB185" s="423"/>
      <c r="AC185" s="146" t="s">
        <v>159</v>
      </c>
      <c r="AD185" s="146" t="s">
        <v>160</v>
      </c>
      <c r="AE185" s="427"/>
      <c r="AF185" s="427"/>
      <c r="AG185" s="429"/>
      <c r="AH185" s="431"/>
      <c r="AI185" s="423"/>
      <c r="AJ185" s="423"/>
      <c r="AK185" s="423"/>
      <c r="AL185" s="423"/>
      <c r="AM185" s="146" t="s">
        <v>159</v>
      </c>
      <c r="AN185" s="146" t="s">
        <v>160</v>
      </c>
      <c r="AO185" s="427"/>
      <c r="AP185" s="427"/>
      <c r="AQ185" s="429"/>
      <c r="AR185" s="431"/>
      <c r="AS185" s="423"/>
      <c r="AT185" s="423"/>
      <c r="AU185" s="423"/>
      <c r="AV185" s="423"/>
      <c r="AW185" s="146" t="s">
        <v>159</v>
      </c>
      <c r="AX185" s="146" t="s">
        <v>160</v>
      </c>
      <c r="AY185" s="427"/>
      <c r="AZ185" s="427"/>
      <c r="BA185" s="429"/>
      <c r="BB185" s="431"/>
      <c r="BC185" s="423"/>
      <c r="BD185" s="423"/>
      <c r="BE185" s="423"/>
      <c r="BF185" s="423"/>
      <c r="BG185" s="146" t="s">
        <v>159</v>
      </c>
      <c r="BH185" s="146" t="s">
        <v>160</v>
      </c>
      <c r="BI185" s="427"/>
      <c r="BJ185" s="427"/>
      <c r="BK185" s="429"/>
      <c r="BL185" s="431"/>
      <c r="BM185" s="423"/>
      <c r="BN185" s="423"/>
      <c r="BO185" s="423"/>
      <c r="BP185" s="423"/>
      <c r="BQ185" s="146" t="s">
        <v>159</v>
      </c>
      <c r="BR185" s="146" t="s">
        <v>160</v>
      </c>
      <c r="BS185" s="427"/>
      <c r="BT185" s="427"/>
      <c r="BU185" s="429"/>
      <c r="BV185" s="431"/>
      <c r="BW185" s="423"/>
      <c r="BX185" s="423"/>
      <c r="BY185" s="423"/>
      <c r="BZ185" s="423"/>
      <c r="CA185" s="146" t="s">
        <v>159</v>
      </c>
      <c r="CB185" s="146" t="s">
        <v>160</v>
      </c>
      <c r="CC185" s="427"/>
      <c r="CD185" s="427"/>
      <c r="CE185" s="429"/>
      <c r="CF185" s="431"/>
      <c r="CG185" s="423"/>
      <c r="CH185" s="423"/>
      <c r="CI185" s="423"/>
      <c r="CJ185" s="423"/>
      <c r="CK185" s="146" t="s">
        <v>159</v>
      </c>
      <c r="CL185" s="146" t="s">
        <v>160</v>
      </c>
      <c r="CM185" s="427"/>
      <c r="CN185" s="427"/>
      <c r="CO185" s="429"/>
      <c r="CP185" s="431"/>
      <c r="CQ185" s="423"/>
      <c r="CR185" s="423"/>
      <c r="CS185" s="423"/>
      <c r="CT185" s="423"/>
      <c r="CU185" s="146" t="s">
        <v>159</v>
      </c>
      <c r="CV185" s="146" t="s">
        <v>160</v>
      </c>
      <c r="CW185" s="427"/>
      <c r="CX185" s="427"/>
      <c r="CY185" s="429"/>
      <c r="CZ185" s="431"/>
      <c r="DA185" s="423"/>
      <c r="DB185" s="423"/>
      <c r="DC185" s="423"/>
      <c r="DD185" s="423"/>
      <c r="DE185" s="146" t="s">
        <v>159</v>
      </c>
      <c r="DF185" s="146" t="s">
        <v>160</v>
      </c>
      <c r="DG185" s="427"/>
      <c r="DH185" s="427"/>
      <c r="DI185" s="429"/>
      <c r="DJ185" s="431"/>
      <c r="DK185" s="423"/>
      <c r="DL185" s="423"/>
      <c r="DM185" s="423"/>
      <c r="DN185" s="423"/>
      <c r="DO185" s="146" t="s">
        <v>159</v>
      </c>
      <c r="DP185" s="146" t="s">
        <v>160</v>
      </c>
      <c r="DQ185" s="427"/>
      <c r="DR185" s="427"/>
      <c r="DS185" s="429"/>
      <c r="DT185" s="431"/>
      <c r="DU185" s="423"/>
      <c r="DV185" s="423"/>
      <c r="DW185" s="423"/>
      <c r="DX185" s="423"/>
      <c r="DY185" s="146" t="s">
        <v>159</v>
      </c>
      <c r="DZ185" s="146" t="s">
        <v>160</v>
      </c>
      <c r="EA185" s="427"/>
      <c r="EB185" s="427"/>
      <c r="EC185" s="429"/>
    </row>
    <row r="186" spans="1:133" x14ac:dyDescent="0.25">
      <c r="A186" s="95">
        <v>45261</v>
      </c>
      <c r="C186" s="75">
        <v>751.78571428571422</v>
      </c>
      <c r="D186" s="75">
        <v>435.71428571428572</v>
      </c>
      <c r="E186" s="75">
        <v>446.59090909090912</v>
      </c>
      <c r="F186" s="75">
        <v>367.34375</v>
      </c>
      <c r="G186" s="75">
        <v>616.25</v>
      </c>
      <c r="H186" s="75">
        <v>507.14285714285717</v>
      </c>
      <c r="I186" s="75">
        <v>368.00595238095241</v>
      </c>
      <c r="J186" s="75">
        <v>349.72402597402601</v>
      </c>
      <c r="K186" s="75">
        <v>384.16666666666669</v>
      </c>
      <c r="N186" s="102"/>
      <c r="O186" s="104">
        <v>350</v>
      </c>
      <c r="P186" s="104">
        <v>250</v>
      </c>
      <c r="Q186" s="104">
        <v>250</v>
      </c>
      <c r="R186" s="104">
        <v>250</v>
      </c>
      <c r="S186" s="146">
        <v>437.5</v>
      </c>
      <c r="T186" s="146">
        <v>400</v>
      </c>
      <c r="U186" s="104">
        <v>275</v>
      </c>
      <c r="V186" s="104">
        <v>281.25</v>
      </c>
      <c r="W186" s="152">
        <v>300</v>
      </c>
      <c r="X186" s="102">
        <v>281.25</v>
      </c>
      <c r="Y186" s="102">
        <v>337.5</v>
      </c>
      <c r="Z186" s="102">
        <v>256.25</v>
      </c>
      <c r="AA186" s="102">
        <v>250</v>
      </c>
      <c r="AB186" s="102">
        <v>250</v>
      </c>
      <c r="AC186" s="146">
        <v>450</v>
      </c>
      <c r="AD186" s="146">
        <v>400</v>
      </c>
      <c r="AE186" s="102">
        <v>291.66666666666669</v>
      </c>
      <c r="AF186" s="102">
        <v>291.66666666666669</v>
      </c>
      <c r="AG186" s="157">
        <v>300</v>
      </c>
      <c r="AH186" s="102">
        <v>268.75</v>
      </c>
      <c r="AI186" s="102">
        <v>337.5</v>
      </c>
      <c r="AJ186" s="102">
        <v>256.25</v>
      </c>
      <c r="AK186" s="102">
        <v>250</v>
      </c>
      <c r="AL186" s="102">
        <v>250</v>
      </c>
      <c r="AM186" s="146">
        <v>450</v>
      </c>
      <c r="AN186" s="146">
        <v>400</v>
      </c>
      <c r="AO186" s="102">
        <v>300</v>
      </c>
      <c r="AP186" s="102">
        <v>300</v>
      </c>
      <c r="AQ186" s="157">
        <v>300</v>
      </c>
      <c r="AR186" s="102">
        <v>200</v>
      </c>
      <c r="AS186" s="102">
        <v>316.66666666666669</v>
      </c>
      <c r="AT186" s="102">
        <v>250</v>
      </c>
      <c r="AU186" s="102">
        <v>250</v>
      </c>
      <c r="AV186" s="102">
        <v>250</v>
      </c>
      <c r="AW186" s="146">
        <v>450</v>
      </c>
      <c r="AX186" s="146">
        <v>400</v>
      </c>
      <c r="AY186" s="102">
        <v>300</v>
      </c>
      <c r="AZ186" s="102">
        <v>300</v>
      </c>
      <c r="BA186" s="157">
        <v>300</v>
      </c>
      <c r="BB186" s="102">
        <v>283.33333333333331</v>
      </c>
      <c r="BC186" s="102"/>
      <c r="BD186" s="102">
        <v>250</v>
      </c>
      <c r="BE186" s="102">
        <v>250</v>
      </c>
      <c r="BF186" s="102">
        <v>250</v>
      </c>
      <c r="BG186" s="146">
        <v>450</v>
      </c>
      <c r="BH186" s="146">
        <v>400</v>
      </c>
      <c r="BI186" s="102">
        <v>300</v>
      </c>
      <c r="BJ186" s="102">
        <v>300</v>
      </c>
      <c r="BK186" s="157">
        <v>300</v>
      </c>
      <c r="BL186" s="102">
        <v>350</v>
      </c>
      <c r="BM186" s="102"/>
      <c r="BN186" s="102">
        <v>250</v>
      </c>
      <c r="BO186" s="102">
        <v>250</v>
      </c>
      <c r="BP186" s="102">
        <v>250</v>
      </c>
      <c r="BQ186" s="146">
        <v>450</v>
      </c>
      <c r="BR186" s="146">
        <v>400</v>
      </c>
      <c r="BS186" s="102">
        <v>300</v>
      </c>
      <c r="BT186" s="102">
        <v>300</v>
      </c>
      <c r="BU186" s="157">
        <v>300</v>
      </c>
      <c r="BV186" s="102">
        <v>433.33333333333331</v>
      </c>
      <c r="BW186" s="102"/>
      <c r="BX186" s="102">
        <v>250</v>
      </c>
      <c r="BY186" s="102">
        <v>283.33333333333331</v>
      </c>
      <c r="BZ186" s="102">
        <v>266.66666666666669</v>
      </c>
      <c r="CA186" s="146">
        <v>450</v>
      </c>
      <c r="CB186" s="146">
        <v>400</v>
      </c>
      <c r="CC186" s="102">
        <v>300</v>
      </c>
      <c r="CD186" s="102">
        <v>300</v>
      </c>
      <c r="CE186" s="102">
        <v>300</v>
      </c>
      <c r="CF186" s="102">
        <v>550</v>
      </c>
      <c r="CG186" s="102">
        <v>450</v>
      </c>
      <c r="CH186" s="102">
        <v>250</v>
      </c>
      <c r="CI186" s="102">
        <v>250</v>
      </c>
      <c r="CJ186" s="102">
        <v>250</v>
      </c>
      <c r="CK186" s="146">
        <v>450</v>
      </c>
      <c r="CL186" s="146">
        <v>400</v>
      </c>
      <c r="CM186" s="102">
        <v>300</v>
      </c>
      <c r="CN186" s="102">
        <v>300</v>
      </c>
      <c r="CO186" s="102">
        <v>300</v>
      </c>
      <c r="CP186" s="102"/>
      <c r="CQ186" s="102">
        <v>366.66666666666669</v>
      </c>
      <c r="CR186" s="102">
        <v>250</v>
      </c>
      <c r="CS186" s="102">
        <v>253.33333333333334</v>
      </c>
      <c r="CT186" s="102">
        <v>250</v>
      </c>
      <c r="CU186" s="146">
        <v>450</v>
      </c>
      <c r="CV186" s="146">
        <v>400</v>
      </c>
      <c r="CW186" s="102">
        <v>300</v>
      </c>
      <c r="CX186" s="102">
        <v>300</v>
      </c>
      <c r="CY186" s="102">
        <v>300</v>
      </c>
      <c r="CZ186" s="102"/>
      <c r="DA186" s="102">
        <v>350</v>
      </c>
      <c r="DB186" s="102">
        <v>250</v>
      </c>
      <c r="DC186" s="102">
        <v>250</v>
      </c>
      <c r="DD186" s="102">
        <v>250</v>
      </c>
      <c r="DE186" s="146">
        <v>450</v>
      </c>
      <c r="DF186" s="146">
        <v>400</v>
      </c>
      <c r="DG186" s="102">
        <v>300</v>
      </c>
      <c r="DH186" s="102">
        <v>300</v>
      </c>
      <c r="DI186" s="157">
        <v>300</v>
      </c>
      <c r="DJ186" s="102"/>
      <c r="DK186" s="102">
        <v>350</v>
      </c>
      <c r="DL186" s="102">
        <v>300</v>
      </c>
      <c r="DM186" s="102">
        <v>300</v>
      </c>
      <c r="DN186" s="102"/>
      <c r="DO186" s="146">
        <v>450</v>
      </c>
      <c r="DP186" s="146">
        <v>416.66666666666669</v>
      </c>
      <c r="DQ186" s="102">
        <v>300</v>
      </c>
      <c r="DR186" s="102">
        <v>300</v>
      </c>
      <c r="DS186" s="157">
        <v>300</v>
      </c>
      <c r="DT186" s="102"/>
      <c r="DU186" s="102">
        <v>387.5</v>
      </c>
      <c r="DV186" s="102">
        <v>268.75</v>
      </c>
      <c r="DW186" s="102">
        <v>293.75</v>
      </c>
      <c r="DX186" s="102">
        <v>200</v>
      </c>
      <c r="DY186" s="146">
        <v>450</v>
      </c>
      <c r="DZ186" s="146">
        <v>362.5</v>
      </c>
      <c r="EA186" s="102">
        <v>300</v>
      </c>
      <c r="EB186" s="102">
        <v>300</v>
      </c>
      <c r="EC186" s="157">
        <v>300</v>
      </c>
    </row>
    <row r="187" spans="1:133" x14ac:dyDescent="0.25">
      <c r="A187" s="95">
        <v>45292</v>
      </c>
      <c r="C187" s="75">
        <v>713.57142857142867</v>
      </c>
      <c r="D187" s="75">
        <v>435.82857142857148</v>
      </c>
      <c r="E187" s="75">
        <v>447.27272727272731</v>
      </c>
      <c r="F187" s="75">
        <v>374</v>
      </c>
      <c r="G187" s="75">
        <v>602.5</v>
      </c>
      <c r="H187" s="75">
        <v>513.73626373626371</v>
      </c>
      <c r="I187" s="75">
        <v>403.95833333333337</v>
      </c>
      <c r="J187" s="75">
        <v>390.54365079365084</v>
      </c>
      <c r="K187" s="75">
        <v>388.97777777777776</v>
      </c>
      <c r="N187" s="102"/>
      <c r="O187" s="104">
        <v>337.5</v>
      </c>
      <c r="P187" s="104">
        <v>250</v>
      </c>
      <c r="Q187" s="104">
        <v>250</v>
      </c>
      <c r="R187" s="104">
        <v>243.75</v>
      </c>
      <c r="S187" s="146">
        <v>500</v>
      </c>
      <c r="T187" s="146">
        <v>400</v>
      </c>
      <c r="U187" s="104">
        <v>270</v>
      </c>
      <c r="V187" s="104">
        <v>271.66666666666669</v>
      </c>
      <c r="W187" s="152">
        <v>300</v>
      </c>
      <c r="X187" s="102">
        <v>250</v>
      </c>
      <c r="Y187" s="102">
        <v>300</v>
      </c>
      <c r="Z187" s="102">
        <v>250</v>
      </c>
      <c r="AA187" s="102">
        <v>250</v>
      </c>
      <c r="AB187" s="102">
        <v>250</v>
      </c>
      <c r="AC187" s="146">
        <v>462.5</v>
      </c>
      <c r="AD187" s="146">
        <v>400</v>
      </c>
      <c r="AE187" s="102">
        <v>281.25</v>
      </c>
      <c r="AF187" s="102">
        <v>263.33333333333331</v>
      </c>
      <c r="AG187" s="157">
        <v>300</v>
      </c>
      <c r="AH187" s="102">
        <v>250</v>
      </c>
      <c r="AI187" s="102">
        <v>300</v>
      </c>
      <c r="AJ187" s="102">
        <v>250</v>
      </c>
      <c r="AK187" s="102">
        <v>250</v>
      </c>
      <c r="AL187" s="102">
        <v>250</v>
      </c>
      <c r="AM187" s="146">
        <v>450</v>
      </c>
      <c r="AN187" s="146">
        <v>400</v>
      </c>
      <c r="AO187" s="102">
        <v>287.5</v>
      </c>
      <c r="AP187" s="102">
        <v>272.5</v>
      </c>
      <c r="AQ187" s="157">
        <v>300</v>
      </c>
      <c r="AR187" s="102">
        <v>191.66666666666666</v>
      </c>
      <c r="AS187" s="102">
        <v>300</v>
      </c>
      <c r="AT187" s="102">
        <v>250</v>
      </c>
      <c r="AU187" s="102">
        <v>250</v>
      </c>
      <c r="AV187" s="102">
        <v>250</v>
      </c>
      <c r="AW187" s="146">
        <v>450</v>
      </c>
      <c r="AX187" s="146">
        <v>400</v>
      </c>
      <c r="AY187" s="102">
        <v>300</v>
      </c>
      <c r="AZ187" s="102">
        <v>263.33333333333331</v>
      </c>
      <c r="BA187" s="157">
        <v>300</v>
      </c>
      <c r="BB187" s="102">
        <v>208.33333333333334</v>
      </c>
      <c r="BC187" s="102"/>
      <c r="BD187" s="102">
        <v>250</v>
      </c>
      <c r="BE187" s="102">
        <v>250</v>
      </c>
      <c r="BF187" s="102">
        <v>250</v>
      </c>
      <c r="BG187" s="146">
        <v>450</v>
      </c>
      <c r="BH187" s="146">
        <v>400</v>
      </c>
      <c r="BI187" s="102">
        <v>300</v>
      </c>
      <c r="BJ187" s="102">
        <v>265</v>
      </c>
      <c r="BK187" s="157">
        <v>300</v>
      </c>
      <c r="BL187" s="102">
        <v>316.66666666666669</v>
      </c>
      <c r="BM187" s="102"/>
      <c r="BN187" s="102">
        <v>250</v>
      </c>
      <c r="BO187" s="102">
        <v>250</v>
      </c>
      <c r="BP187" s="102">
        <v>250</v>
      </c>
      <c r="BQ187" s="146">
        <v>450</v>
      </c>
      <c r="BR187" s="146">
        <v>400</v>
      </c>
      <c r="BS187" s="102">
        <v>300</v>
      </c>
      <c r="BT187" s="102">
        <v>275</v>
      </c>
      <c r="BU187" s="157">
        <v>300</v>
      </c>
      <c r="BV187" s="102">
        <v>383.33333333333331</v>
      </c>
      <c r="BW187" s="102"/>
      <c r="BX187" s="102">
        <v>250</v>
      </c>
      <c r="BY187" s="102">
        <v>250</v>
      </c>
      <c r="BZ187" s="102">
        <v>250</v>
      </c>
      <c r="CA187" s="146">
        <v>450</v>
      </c>
      <c r="CB187" s="146">
        <v>400</v>
      </c>
      <c r="CC187" s="102">
        <v>300</v>
      </c>
      <c r="CD187" s="102">
        <v>265</v>
      </c>
      <c r="CE187" s="102">
        <v>300</v>
      </c>
      <c r="CF187" s="102">
        <v>600</v>
      </c>
      <c r="CG187" s="102">
        <v>425</v>
      </c>
      <c r="CH187" s="102">
        <v>268.75</v>
      </c>
      <c r="CI187" s="102">
        <v>275</v>
      </c>
      <c r="CJ187" s="102">
        <v>262.5</v>
      </c>
      <c r="CK187" s="146">
        <v>450</v>
      </c>
      <c r="CL187" s="146">
        <v>400</v>
      </c>
      <c r="CM187" s="102">
        <v>300</v>
      </c>
      <c r="CN187" s="102">
        <v>275</v>
      </c>
      <c r="CO187" s="102">
        <v>300</v>
      </c>
      <c r="CP187" s="102"/>
      <c r="CQ187" s="102">
        <v>366.66666666666669</v>
      </c>
      <c r="CR187" s="102">
        <v>300</v>
      </c>
      <c r="CS187" s="102">
        <v>300</v>
      </c>
      <c r="CT187" s="102">
        <v>250</v>
      </c>
      <c r="CU187" s="146">
        <v>450</v>
      </c>
      <c r="CV187" s="146">
        <v>400</v>
      </c>
      <c r="CW187" s="102">
        <v>291.66666666666669</v>
      </c>
      <c r="CX187" s="102">
        <v>265</v>
      </c>
      <c r="CY187" s="102">
        <v>291.66666666666669</v>
      </c>
      <c r="CZ187" s="102"/>
      <c r="DA187" s="102">
        <v>350</v>
      </c>
      <c r="DB187" s="102">
        <v>300</v>
      </c>
      <c r="DC187" s="102">
        <v>300</v>
      </c>
      <c r="DD187" s="102">
        <v>250</v>
      </c>
      <c r="DE187" s="146">
        <v>450</v>
      </c>
      <c r="DF187" s="146">
        <v>400</v>
      </c>
      <c r="DG187" s="102">
        <v>300</v>
      </c>
      <c r="DH187" s="102">
        <v>275</v>
      </c>
      <c r="DI187" s="157">
        <v>300</v>
      </c>
      <c r="DJ187" s="102"/>
      <c r="DK187" s="102">
        <v>350</v>
      </c>
      <c r="DL187" s="102">
        <v>300</v>
      </c>
      <c r="DM187" s="102">
        <v>300</v>
      </c>
      <c r="DN187" s="102">
        <v>250</v>
      </c>
      <c r="DO187" s="146">
        <v>450</v>
      </c>
      <c r="DP187" s="146">
        <v>383.33333333333331</v>
      </c>
      <c r="DQ187" s="102">
        <v>283.33333333333331</v>
      </c>
      <c r="DR187" s="102">
        <v>280</v>
      </c>
      <c r="DS187" s="157">
        <v>283.33333333333331</v>
      </c>
      <c r="DT187" s="102"/>
      <c r="DU187" s="102">
        <v>387.5</v>
      </c>
      <c r="DV187" s="102">
        <v>293.75</v>
      </c>
      <c r="DW187" s="102">
        <v>293.75</v>
      </c>
      <c r="DX187" s="102">
        <v>250</v>
      </c>
      <c r="DY187" s="146">
        <v>450</v>
      </c>
      <c r="DZ187" s="146">
        <v>350</v>
      </c>
      <c r="EA187" s="102">
        <v>275</v>
      </c>
      <c r="EB187" s="102">
        <v>270</v>
      </c>
      <c r="EC187" s="157">
        <v>281.25</v>
      </c>
    </row>
    <row r="188" spans="1:133" x14ac:dyDescent="0.25">
      <c r="A188" s="95">
        <v>45323</v>
      </c>
      <c r="B188" s="75">
        <v>548.21428571428578</v>
      </c>
      <c r="C188" s="75">
        <v>699.29258241758237</v>
      </c>
      <c r="D188" s="75">
        <v>440.17857142857144</v>
      </c>
      <c r="E188" s="75">
        <v>471.30681818181824</v>
      </c>
      <c r="F188" s="75">
        <v>380</v>
      </c>
      <c r="G188" s="75">
        <v>602.5</v>
      </c>
      <c r="H188" s="75">
        <v>525.89285714285711</v>
      </c>
      <c r="I188" s="75">
        <v>417.41071428571433</v>
      </c>
      <c r="J188" s="75">
        <v>407.97619047619042</v>
      </c>
      <c r="K188" s="75">
        <v>402.5</v>
      </c>
      <c r="N188" s="102"/>
      <c r="O188" s="104">
        <v>362.5</v>
      </c>
      <c r="P188" s="104">
        <v>200</v>
      </c>
      <c r="Q188" s="104">
        <v>250</v>
      </c>
      <c r="R188" s="104">
        <v>225</v>
      </c>
      <c r="S188" s="146"/>
      <c r="T188" s="146">
        <v>425</v>
      </c>
      <c r="U188" s="104">
        <v>295</v>
      </c>
      <c r="V188" s="104">
        <v>275</v>
      </c>
      <c r="W188" s="152">
        <v>300</v>
      </c>
      <c r="X188" s="102"/>
      <c r="Y188" s="102">
        <v>350</v>
      </c>
      <c r="Z188" s="102">
        <v>212.5</v>
      </c>
      <c r="AA188" s="102">
        <v>250</v>
      </c>
      <c r="AB188" s="102">
        <v>200</v>
      </c>
      <c r="AC188" s="146"/>
      <c r="AD188" s="146">
        <v>412.5</v>
      </c>
      <c r="AE188" s="102">
        <v>297.5</v>
      </c>
      <c r="AF188" s="102">
        <v>281.25</v>
      </c>
      <c r="AG188" s="157">
        <v>300</v>
      </c>
      <c r="AH188" s="102">
        <v>250</v>
      </c>
      <c r="AI188" s="102">
        <v>350</v>
      </c>
      <c r="AJ188" s="102">
        <v>212.5</v>
      </c>
      <c r="AK188" s="102">
        <v>250</v>
      </c>
      <c r="AL188" s="102">
        <v>206.25</v>
      </c>
      <c r="AM188" s="146"/>
      <c r="AN188" s="146">
        <v>412.5</v>
      </c>
      <c r="AO188" s="102">
        <v>300</v>
      </c>
      <c r="AP188" s="102">
        <v>287.5</v>
      </c>
      <c r="AQ188" s="157">
        <v>300</v>
      </c>
      <c r="AR188" s="102">
        <v>175</v>
      </c>
      <c r="AS188" s="102">
        <v>283.33333333333331</v>
      </c>
      <c r="AT188" s="102">
        <v>225</v>
      </c>
      <c r="AU188" s="102">
        <v>250</v>
      </c>
      <c r="AV188" s="102">
        <v>233.33333333333334</v>
      </c>
      <c r="AW188" s="146"/>
      <c r="AX188" s="146">
        <v>416.66666666666669</v>
      </c>
      <c r="AY188" s="102">
        <v>300</v>
      </c>
      <c r="AZ188" s="102">
        <v>293.33333333333331</v>
      </c>
      <c r="BA188" s="157">
        <v>283.33333333333331</v>
      </c>
      <c r="BB188" s="102">
        <v>291.66666666666669</v>
      </c>
      <c r="BC188" s="102"/>
      <c r="BD188" s="102">
        <v>225</v>
      </c>
      <c r="BE188" s="102">
        <v>250</v>
      </c>
      <c r="BF188" s="102">
        <v>258.33333333333331</v>
      </c>
      <c r="BG188" s="146"/>
      <c r="BH188" s="146">
        <v>400</v>
      </c>
      <c r="BI188" s="102">
        <v>300</v>
      </c>
      <c r="BJ188" s="102">
        <v>293.33333333333331</v>
      </c>
      <c r="BK188" s="157">
        <v>250</v>
      </c>
      <c r="BL188" s="102">
        <v>366.66666666666669</v>
      </c>
      <c r="BM188" s="102"/>
      <c r="BN188" s="102">
        <v>225</v>
      </c>
      <c r="BO188" s="102">
        <v>283.33333333333331</v>
      </c>
      <c r="BP188" s="102">
        <v>241.66666666666666</v>
      </c>
      <c r="BQ188" s="146"/>
      <c r="BR188" s="146">
        <v>400</v>
      </c>
      <c r="BS188" s="102">
        <v>300</v>
      </c>
      <c r="BT188" s="102">
        <v>296.66666666666669</v>
      </c>
      <c r="BU188" s="157">
        <v>266.66666666666669</v>
      </c>
      <c r="BV188" s="102">
        <v>466.66666666666669</v>
      </c>
      <c r="BW188" s="102"/>
      <c r="BX188" s="102">
        <v>233.33333333333334</v>
      </c>
      <c r="BY188" s="102">
        <v>300</v>
      </c>
      <c r="BZ188" s="102"/>
      <c r="CA188" s="146"/>
      <c r="CB188" s="146">
        <v>400</v>
      </c>
      <c r="CC188" s="102">
        <v>300</v>
      </c>
      <c r="CD188" s="102">
        <v>300</v>
      </c>
      <c r="CE188" s="102">
        <v>283.33333333333331</v>
      </c>
      <c r="CF188" s="102">
        <v>500</v>
      </c>
      <c r="CG188" s="102">
        <v>550</v>
      </c>
      <c r="CH188" s="102">
        <v>253.75</v>
      </c>
      <c r="CI188" s="102">
        <v>300</v>
      </c>
      <c r="CJ188" s="102"/>
      <c r="CK188" s="146"/>
      <c r="CL188" s="146">
        <v>400</v>
      </c>
      <c r="CM188" s="102">
        <v>300</v>
      </c>
      <c r="CN188" s="102">
        <v>300</v>
      </c>
      <c r="CO188" s="102">
        <v>300</v>
      </c>
      <c r="CP188" s="102"/>
      <c r="CQ188" s="102">
        <v>350</v>
      </c>
      <c r="CR188" s="102">
        <v>266.66666666666669</v>
      </c>
      <c r="CS188" s="102">
        <v>300</v>
      </c>
      <c r="CT188" s="102">
        <v>200</v>
      </c>
      <c r="CU188" s="146"/>
      <c r="CV188" s="146">
        <v>400</v>
      </c>
      <c r="CW188" s="102">
        <v>300</v>
      </c>
      <c r="CX188" s="102">
        <v>300</v>
      </c>
      <c r="CY188" s="102">
        <v>266.66666666666669</v>
      </c>
      <c r="CZ188" s="102"/>
      <c r="DA188" s="102">
        <v>350</v>
      </c>
      <c r="DB188" s="102">
        <v>275</v>
      </c>
      <c r="DC188" s="102">
        <v>300</v>
      </c>
      <c r="DD188" s="102"/>
      <c r="DE188" s="146"/>
      <c r="DF188" s="146">
        <v>400</v>
      </c>
      <c r="DG188" s="102">
        <v>300</v>
      </c>
      <c r="DH188" s="102">
        <v>300</v>
      </c>
      <c r="DI188" s="157">
        <v>300</v>
      </c>
      <c r="DJ188" s="102"/>
      <c r="DK188" s="102">
        <v>341.66666666666669</v>
      </c>
      <c r="DL188" s="102">
        <v>233.33333333333334</v>
      </c>
      <c r="DM188" s="102">
        <v>287.5</v>
      </c>
      <c r="DN188" s="102"/>
      <c r="DO188" s="146"/>
      <c r="DP188" s="146">
        <v>400</v>
      </c>
      <c r="DQ188" s="102">
        <v>300</v>
      </c>
      <c r="DR188" s="102">
        <v>300</v>
      </c>
      <c r="DS188" s="157">
        <v>300</v>
      </c>
      <c r="DT188" s="102"/>
      <c r="DU188" s="102">
        <v>412.5</v>
      </c>
      <c r="DV188" s="102">
        <v>256.25</v>
      </c>
      <c r="DW188" s="102">
        <v>291.66666666666669</v>
      </c>
      <c r="DX188" s="102">
        <v>200</v>
      </c>
      <c r="DY188" s="146"/>
      <c r="DZ188" s="146">
        <v>400</v>
      </c>
      <c r="EA188" s="102">
        <v>300</v>
      </c>
      <c r="EB188" s="102">
        <v>300</v>
      </c>
      <c r="EC188" s="157">
        <v>325</v>
      </c>
    </row>
    <row r="189" spans="1:133" x14ac:dyDescent="0.25">
      <c r="A189" s="95">
        <v>45352</v>
      </c>
      <c r="B189" s="75">
        <v>458.48214285714289</v>
      </c>
      <c r="C189" s="75"/>
      <c r="D189" s="75">
        <v>442.85714285714289</v>
      </c>
      <c r="E189" s="75">
        <v>468.75</v>
      </c>
      <c r="F189" s="75">
        <v>380</v>
      </c>
      <c r="G189" s="75">
        <v>610</v>
      </c>
      <c r="H189" s="75">
        <v>523.21428571428578</v>
      </c>
      <c r="I189" s="75">
        <v>438.19444444444446</v>
      </c>
      <c r="J189" s="75">
        <v>433.33333333333331</v>
      </c>
      <c r="K189" s="75">
        <v>405.57291666666663</v>
      </c>
      <c r="N189" s="102"/>
      <c r="O189" s="104">
        <v>350</v>
      </c>
      <c r="P189" s="104">
        <v>250</v>
      </c>
      <c r="Q189" s="104">
        <v>250</v>
      </c>
      <c r="R189" s="104">
        <v>237.5</v>
      </c>
      <c r="S189" s="146"/>
      <c r="T189" s="146">
        <v>400</v>
      </c>
      <c r="U189" s="104">
        <v>275</v>
      </c>
      <c r="V189" s="104"/>
      <c r="W189" s="152">
        <v>268.75</v>
      </c>
      <c r="X189" s="102">
        <v>258.33333333333331</v>
      </c>
      <c r="Y189" s="102">
        <v>337.5</v>
      </c>
      <c r="Z189" s="102">
        <v>242.5</v>
      </c>
      <c r="AA189" s="102">
        <v>250</v>
      </c>
      <c r="AB189" s="102">
        <v>218.75</v>
      </c>
      <c r="AC189" s="146"/>
      <c r="AD189" s="146">
        <v>400</v>
      </c>
      <c r="AE189" s="102">
        <v>275</v>
      </c>
      <c r="AF189" s="102"/>
      <c r="AG189" s="157">
        <v>275</v>
      </c>
      <c r="AH189" s="102">
        <v>256.25</v>
      </c>
      <c r="AI189" s="102">
        <v>312.5</v>
      </c>
      <c r="AJ189" s="102">
        <v>242.5</v>
      </c>
      <c r="AK189" s="102">
        <v>250</v>
      </c>
      <c r="AL189" s="102">
        <v>218.75</v>
      </c>
      <c r="AM189" s="146"/>
      <c r="AN189" s="146">
        <v>400</v>
      </c>
      <c r="AO189" s="102">
        <v>275</v>
      </c>
      <c r="AP189" s="102">
        <v>275</v>
      </c>
      <c r="AQ189" s="157">
        <v>275</v>
      </c>
      <c r="AR189" s="102">
        <v>200</v>
      </c>
      <c r="AS189" s="102">
        <v>300</v>
      </c>
      <c r="AT189" s="102">
        <v>250</v>
      </c>
      <c r="AU189" s="102">
        <v>250</v>
      </c>
      <c r="AV189" s="102">
        <v>225</v>
      </c>
      <c r="AW189" s="146"/>
      <c r="AX189" s="146">
        <v>383.33333333333331</v>
      </c>
      <c r="AY189" s="102">
        <v>275</v>
      </c>
      <c r="AZ189" s="102"/>
      <c r="BA189" s="157">
        <v>275</v>
      </c>
      <c r="BB189" s="102">
        <v>258.33333333333331</v>
      </c>
      <c r="BC189" s="102"/>
      <c r="BD189" s="102">
        <v>250</v>
      </c>
      <c r="BE189" s="102">
        <v>250</v>
      </c>
      <c r="BF189" s="102">
        <v>225</v>
      </c>
      <c r="BG189" s="146"/>
      <c r="BH189" s="146">
        <v>400</v>
      </c>
      <c r="BI189" s="102">
        <v>275</v>
      </c>
      <c r="BJ189" s="102"/>
      <c r="BK189" s="157">
        <v>266.66666666666669</v>
      </c>
      <c r="BL189" s="102">
        <v>333.33333333333331</v>
      </c>
      <c r="BM189" s="102"/>
      <c r="BN189" s="102">
        <v>241.66666666666666</v>
      </c>
      <c r="BO189" s="102">
        <v>241.66666666666666</v>
      </c>
      <c r="BP189" s="102">
        <v>225</v>
      </c>
      <c r="BQ189" s="146"/>
      <c r="BR189" s="146">
        <v>416.66666666666669</v>
      </c>
      <c r="BS189" s="102">
        <v>275</v>
      </c>
      <c r="BT189" s="102"/>
      <c r="BU189" s="157">
        <v>300</v>
      </c>
      <c r="BV189" s="102">
        <v>400</v>
      </c>
      <c r="BW189" s="102"/>
      <c r="BX189" s="102">
        <v>250</v>
      </c>
      <c r="BY189" s="102">
        <v>250</v>
      </c>
      <c r="BZ189" s="102">
        <v>225</v>
      </c>
      <c r="CA189" s="146"/>
      <c r="CB189" s="146">
        <v>400</v>
      </c>
      <c r="CC189" s="102">
        <v>300</v>
      </c>
      <c r="CD189" s="102"/>
      <c r="CE189" s="102">
        <v>275</v>
      </c>
      <c r="CF189" s="102">
        <v>500</v>
      </c>
      <c r="CG189" s="102">
        <v>450</v>
      </c>
      <c r="CH189" s="102">
        <v>260</v>
      </c>
      <c r="CI189" s="102">
        <v>262.5</v>
      </c>
      <c r="CJ189" s="102">
        <v>210</v>
      </c>
      <c r="CK189" s="146"/>
      <c r="CL189" s="146">
        <v>400</v>
      </c>
      <c r="CM189" s="102">
        <v>300</v>
      </c>
      <c r="CN189" s="102"/>
      <c r="CO189" s="102">
        <v>275</v>
      </c>
      <c r="CP189" s="102"/>
      <c r="CQ189" s="102">
        <v>366.66666666666669</v>
      </c>
      <c r="CR189" s="102">
        <v>288.33333333333331</v>
      </c>
      <c r="CS189" s="102"/>
      <c r="CT189" s="102"/>
      <c r="CU189" s="146"/>
      <c r="CV189" s="146">
        <v>400</v>
      </c>
      <c r="CW189" s="102">
        <v>300</v>
      </c>
      <c r="CX189" s="102"/>
      <c r="CY189" s="102">
        <v>291.66666666666669</v>
      </c>
      <c r="CZ189" s="102"/>
      <c r="DA189" s="102">
        <v>350</v>
      </c>
      <c r="DB189" s="102">
        <v>260</v>
      </c>
      <c r="DC189" s="102">
        <v>250</v>
      </c>
      <c r="DD189" s="102">
        <v>210</v>
      </c>
      <c r="DE189" s="146"/>
      <c r="DF189" s="146">
        <v>400</v>
      </c>
      <c r="DG189" s="102">
        <v>300</v>
      </c>
      <c r="DH189" s="102"/>
      <c r="DI189" s="157">
        <v>275</v>
      </c>
      <c r="DJ189" s="102"/>
      <c r="DK189" s="102">
        <v>350</v>
      </c>
      <c r="DL189" s="102">
        <v>350</v>
      </c>
      <c r="DM189" s="102"/>
      <c r="DN189" s="102"/>
      <c r="DO189" s="146"/>
      <c r="DP189" s="146">
        <v>400</v>
      </c>
      <c r="DQ189" s="102">
        <v>300</v>
      </c>
      <c r="DR189" s="102"/>
      <c r="DS189" s="157">
        <v>300</v>
      </c>
      <c r="DT189" s="102"/>
      <c r="DU189" s="102">
        <v>412.5</v>
      </c>
      <c r="DV189" s="102">
        <v>337.5</v>
      </c>
      <c r="DW189" s="102">
        <v>250</v>
      </c>
      <c r="DX189" s="102">
        <v>250</v>
      </c>
      <c r="DY189" s="146"/>
      <c r="DZ189" s="146">
        <v>400</v>
      </c>
      <c r="EA189" s="102">
        <v>300</v>
      </c>
      <c r="EB189" s="102">
        <v>300</v>
      </c>
      <c r="EC189" s="157">
        <v>293.75</v>
      </c>
    </row>
    <row r="190" spans="1:133" x14ac:dyDescent="0.25">
      <c r="A190" s="95">
        <v>45383</v>
      </c>
      <c r="B190" s="75">
        <v>392.14285714285717</v>
      </c>
      <c r="C190" s="75"/>
      <c r="D190" s="75">
        <v>435.35714285714283</v>
      </c>
      <c r="E190" s="75">
        <v>460.83333333333331</v>
      </c>
      <c r="F190" s="75">
        <v>372.05555555555554</v>
      </c>
      <c r="G190" s="75">
        <v>578</v>
      </c>
      <c r="H190" s="75">
        <v>525.71428571428578</v>
      </c>
      <c r="I190" s="75">
        <v>442.22222222222229</v>
      </c>
      <c r="J190" s="75">
        <v>433.33333333333331</v>
      </c>
      <c r="K190" s="75">
        <v>410.83333333333337</v>
      </c>
      <c r="N190" s="102"/>
      <c r="O190" s="104">
        <v>387.5</v>
      </c>
      <c r="P190" s="104">
        <v>300</v>
      </c>
      <c r="Q190" s="104">
        <v>300</v>
      </c>
      <c r="R190" s="104">
        <v>300</v>
      </c>
      <c r="S190" s="104"/>
      <c r="T190" s="104">
        <v>400</v>
      </c>
      <c r="U190" s="104">
        <v>275</v>
      </c>
      <c r="V190" s="104"/>
      <c r="W190" s="152">
        <v>300</v>
      </c>
      <c r="X190" s="102">
        <v>325</v>
      </c>
      <c r="Y190" s="102">
        <v>400</v>
      </c>
      <c r="Z190" s="102">
        <v>300</v>
      </c>
      <c r="AA190" s="102">
        <v>300</v>
      </c>
      <c r="AB190" s="102">
        <v>300</v>
      </c>
      <c r="AC190" s="102"/>
      <c r="AD190" s="102">
        <v>400</v>
      </c>
      <c r="AE190" s="102">
        <v>275</v>
      </c>
      <c r="AF190" s="102"/>
      <c r="AG190" s="157">
        <v>300</v>
      </c>
      <c r="AH190" s="102">
        <v>316.66666666666669</v>
      </c>
      <c r="AI190" s="102">
        <v>400</v>
      </c>
      <c r="AJ190" s="102">
        <v>300</v>
      </c>
      <c r="AK190" s="102">
        <v>300</v>
      </c>
      <c r="AL190" s="102">
        <v>300</v>
      </c>
      <c r="AM190" s="102"/>
      <c r="AN190" s="102">
        <v>400</v>
      </c>
      <c r="AO190" s="102">
        <v>275</v>
      </c>
      <c r="AP190" s="102">
        <v>275</v>
      </c>
      <c r="AQ190" s="157">
        <v>300</v>
      </c>
      <c r="AR190" s="102">
        <v>283.33333333333331</v>
      </c>
      <c r="AS190" s="102">
        <v>400</v>
      </c>
      <c r="AT190" s="102">
        <v>300</v>
      </c>
      <c r="AU190" s="102">
        <v>300</v>
      </c>
      <c r="AV190" s="102">
        <v>300</v>
      </c>
      <c r="AW190" s="102"/>
      <c r="AX190" s="102">
        <v>400</v>
      </c>
      <c r="AY190" s="102">
        <v>275</v>
      </c>
      <c r="AZ190" s="102"/>
      <c r="BA190" s="157">
        <v>300</v>
      </c>
      <c r="BB190" s="102">
        <v>300</v>
      </c>
      <c r="BC190" s="102"/>
      <c r="BD190" s="102">
        <v>300</v>
      </c>
      <c r="BE190" s="102">
        <v>300</v>
      </c>
      <c r="BF190" s="102">
        <v>300</v>
      </c>
      <c r="BG190" s="102"/>
      <c r="BH190" s="102">
        <v>400</v>
      </c>
      <c r="BI190" s="102">
        <v>275</v>
      </c>
      <c r="BJ190" s="102"/>
      <c r="BK190" s="157">
        <v>300</v>
      </c>
      <c r="BL190" s="102">
        <v>291.66666666666669</v>
      </c>
      <c r="BM190" s="102"/>
      <c r="BN190" s="102">
        <v>300</v>
      </c>
      <c r="BO190" s="102">
        <v>300</v>
      </c>
      <c r="BP190" s="102">
        <v>300</v>
      </c>
      <c r="BQ190" s="102"/>
      <c r="BR190" s="102">
        <v>416.66666666666669</v>
      </c>
      <c r="BS190" s="102">
        <v>275</v>
      </c>
      <c r="BT190" s="102"/>
      <c r="BU190" s="157">
        <v>300</v>
      </c>
      <c r="BV190" s="102">
        <v>363.33333333333331</v>
      </c>
      <c r="BW190" s="102"/>
      <c r="BX190" s="102">
        <v>300</v>
      </c>
      <c r="BY190" s="102">
        <v>300</v>
      </c>
      <c r="BZ190" s="102">
        <v>300</v>
      </c>
      <c r="CA190" s="102"/>
      <c r="CB190" s="102">
        <v>400</v>
      </c>
      <c r="CC190" s="102">
        <v>275</v>
      </c>
      <c r="CD190" s="102"/>
      <c r="CE190" s="102">
        <v>300</v>
      </c>
      <c r="CF190" s="102">
        <v>550</v>
      </c>
      <c r="CG190" s="102">
        <v>450</v>
      </c>
      <c r="CH190" s="102">
        <v>300</v>
      </c>
      <c r="CI190" s="102">
        <v>300</v>
      </c>
      <c r="CJ190" s="102">
        <v>300</v>
      </c>
      <c r="CK190" s="102"/>
      <c r="CL190" s="102">
        <v>400</v>
      </c>
      <c r="CM190" s="102">
        <v>275</v>
      </c>
      <c r="CN190" s="102"/>
      <c r="CO190" s="102">
        <v>287.5</v>
      </c>
      <c r="CP190" s="102"/>
      <c r="CQ190" s="102">
        <v>383.33333333333331</v>
      </c>
      <c r="CR190" s="102">
        <v>300</v>
      </c>
      <c r="CS190" s="102">
        <v>300</v>
      </c>
      <c r="CT190" s="102">
        <v>300</v>
      </c>
      <c r="CU190" s="102"/>
      <c r="CV190" s="102">
        <v>400</v>
      </c>
      <c r="CW190" s="102">
        <v>275</v>
      </c>
      <c r="CX190" s="102"/>
      <c r="CY190" s="102">
        <v>283.33333333333331</v>
      </c>
      <c r="CZ190" s="102"/>
      <c r="DA190" s="102">
        <v>350</v>
      </c>
      <c r="DB190" s="102">
        <v>300</v>
      </c>
      <c r="DC190" s="102">
        <v>300</v>
      </c>
      <c r="DD190" s="102">
        <v>300</v>
      </c>
      <c r="DE190" s="102"/>
      <c r="DF190" s="102">
        <v>400</v>
      </c>
      <c r="DG190" s="102">
        <v>275</v>
      </c>
      <c r="DH190" s="102"/>
      <c r="DI190" s="157">
        <v>300</v>
      </c>
      <c r="DJ190" s="102"/>
      <c r="DK190" s="102">
        <v>350</v>
      </c>
      <c r="DL190" s="102">
        <v>283.33333333333331</v>
      </c>
      <c r="DM190" s="102">
        <v>283.33333333333331</v>
      </c>
      <c r="DN190" s="102">
        <v>283.33333333333331</v>
      </c>
      <c r="DO190" s="102"/>
      <c r="DP190" s="102">
        <v>416.66666666666669</v>
      </c>
      <c r="DQ190" s="102">
        <v>300</v>
      </c>
      <c r="DR190" s="102"/>
      <c r="DS190" s="157">
        <v>300</v>
      </c>
      <c r="DT190" s="102"/>
      <c r="DU190" s="102">
        <v>400</v>
      </c>
      <c r="DV190" s="102">
        <v>275</v>
      </c>
      <c r="DW190" s="102">
        <v>266.66666666666669</v>
      </c>
      <c r="DX190" s="102">
        <v>256.25</v>
      </c>
      <c r="DY190" s="102"/>
      <c r="DZ190" s="102">
        <v>400</v>
      </c>
      <c r="EA190" s="102">
        <v>300</v>
      </c>
      <c r="EB190" s="102"/>
      <c r="EC190" s="157">
        <v>300</v>
      </c>
    </row>
    <row r="191" spans="1:133" x14ac:dyDescent="0.25">
      <c r="A191" s="95">
        <v>45413</v>
      </c>
      <c r="B191" s="75">
        <v>390.17857142857144</v>
      </c>
      <c r="C191" s="75"/>
      <c r="D191" s="75">
        <v>417.85714285714289</v>
      </c>
      <c r="E191" s="75">
        <v>454.16666666666669</v>
      </c>
      <c r="F191" s="75">
        <v>355.55555555555554</v>
      </c>
      <c r="G191" s="75">
        <v>610</v>
      </c>
      <c r="H191" s="75">
        <v>537.5</v>
      </c>
      <c r="I191" s="75">
        <v>447.36111111111109</v>
      </c>
      <c r="J191" s="75">
        <v>433.33333333333331</v>
      </c>
      <c r="K191" s="75">
        <v>423.61111111111109</v>
      </c>
      <c r="N191" s="102"/>
      <c r="O191" s="104">
        <v>400</v>
      </c>
      <c r="P191" s="104">
        <v>250</v>
      </c>
      <c r="Q191" s="104">
        <v>250</v>
      </c>
      <c r="R191" s="104">
        <v>250</v>
      </c>
      <c r="S191" s="146"/>
      <c r="T191" s="146">
        <v>462.5</v>
      </c>
      <c r="U191" s="104">
        <v>300</v>
      </c>
      <c r="V191" s="104">
        <v>300</v>
      </c>
      <c r="W191" s="152">
        <v>300</v>
      </c>
      <c r="X191" s="102">
        <v>333.33333333333331</v>
      </c>
      <c r="Y191" s="102">
        <v>400</v>
      </c>
      <c r="Z191" s="102">
        <v>250</v>
      </c>
      <c r="AA191" s="102">
        <v>250</v>
      </c>
      <c r="AB191" s="102">
        <v>250</v>
      </c>
      <c r="AC191" s="146"/>
      <c r="AD191" s="146">
        <v>450</v>
      </c>
      <c r="AE191" s="102">
        <v>293.75</v>
      </c>
      <c r="AF191" s="102">
        <v>300</v>
      </c>
      <c r="AG191" s="157">
        <v>318.75</v>
      </c>
      <c r="AH191" s="102">
        <v>266.66666666666669</v>
      </c>
      <c r="AI191" s="102">
        <v>387.5</v>
      </c>
      <c r="AJ191" s="102">
        <v>250</v>
      </c>
      <c r="AK191" s="102">
        <v>250</v>
      </c>
      <c r="AL191" s="102">
        <v>250</v>
      </c>
      <c r="AM191" s="146"/>
      <c r="AN191" s="146">
        <v>450</v>
      </c>
      <c r="AO191" s="102">
        <v>293.75</v>
      </c>
      <c r="AP191" s="102">
        <v>300</v>
      </c>
      <c r="AQ191" s="157">
        <v>312.5</v>
      </c>
      <c r="AR191" s="102">
        <v>200</v>
      </c>
      <c r="AS191" s="102">
        <v>400</v>
      </c>
      <c r="AT191" s="102">
        <v>250</v>
      </c>
      <c r="AU191" s="102">
        <v>250</v>
      </c>
      <c r="AV191" s="102"/>
      <c r="AW191" s="146"/>
      <c r="AX191" s="146">
        <v>450</v>
      </c>
      <c r="AY191" s="102">
        <v>300</v>
      </c>
      <c r="AZ191" s="102">
        <v>300</v>
      </c>
      <c r="BA191" s="157">
        <v>275</v>
      </c>
      <c r="BB191" s="102">
        <v>316.66666666666669</v>
      </c>
      <c r="BC191" s="102"/>
      <c r="BD191" s="102">
        <v>250</v>
      </c>
      <c r="BE191" s="102">
        <v>250</v>
      </c>
      <c r="BF191" s="102"/>
      <c r="BG191" s="146"/>
      <c r="BH191" s="146">
        <v>450</v>
      </c>
      <c r="BI191" s="102">
        <v>300</v>
      </c>
      <c r="BJ191" s="102">
        <v>300</v>
      </c>
      <c r="BK191" s="157">
        <v>275</v>
      </c>
      <c r="BL191" s="102">
        <v>400</v>
      </c>
      <c r="BM191" s="102"/>
      <c r="BN191" s="102">
        <v>250</v>
      </c>
      <c r="BO191" s="102">
        <v>250</v>
      </c>
      <c r="BP191" s="102">
        <v>250</v>
      </c>
      <c r="BQ191" s="146"/>
      <c r="BR191" s="146">
        <v>433.33333333333331</v>
      </c>
      <c r="BS191" s="102">
        <v>293.33333333333331</v>
      </c>
      <c r="BT191" s="102">
        <v>300</v>
      </c>
      <c r="BU191" s="157">
        <v>291.66666666666669</v>
      </c>
      <c r="BV191" s="102">
        <v>466.66666666666669</v>
      </c>
      <c r="BW191" s="102"/>
      <c r="BX191" s="102">
        <v>250</v>
      </c>
      <c r="BY191" s="102">
        <v>250</v>
      </c>
      <c r="BZ191" s="102"/>
      <c r="CA191" s="146"/>
      <c r="CB191" s="146">
        <v>450</v>
      </c>
      <c r="CC191" s="102">
        <v>300</v>
      </c>
      <c r="CD191" s="102">
        <v>300</v>
      </c>
      <c r="CE191" s="102">
        <v>300</v>
      </c>
      <c r="CF191" s="102">
        <v>600</v>
      </c>
      <c r="CG191" s="102">
        <v>550</v>
      </c>
      <c r="CH191" s="102">
        <v>250</v>
      </c>
      <c r="CI191" s="102">
        <v>262.5</v>
      </c>
      <c r="CJ191" s="102">
        <v>250</v>
      </c>
      <c r="CK191" s="146"/>
      <c r="CL191" s="146">
        <v>412.5</v>
      </c>
      <c r="CM191" s="102">
        <v>300</v>
      </c>
      <c r="CN191" s="102">
        <v>300</v>
      </c>
      <c r="CO191" s="102">
        <v>300</v>
      </c>
      <c r="CP191" s="102"/>
      <c r="CQ191" s="102">
        <v>400</v>
      </c>
      <c r="CR191" s="102">
        <v>300</v>
      </c>
      <c r="CS191" s="102">
        <v>300</v>
      </c>
      <c r="CT191" s="102"/>
      <c r="CU191" s="146"/>
      <c r="CV191" s="146">
        <v>400</v>
      </c>
      <c r="CW191" s="102">
        <v>287.5</v>
      </c>
      <c r="CX191" s="102"/>
      <c r="CY191" s="102">
        <v>300</v>
      </c>
      <c r="CZ191" s="102"/>
      <c r="DA191" s="102">
        <v>400</v>
      </c>
      <c r="DB191" s="102">
        <v>300</v>
      </c>
      <c r="DC191" s="102">
        <v>300</v>
      </c>
      <c r="DD191" s="102"/>
      <c r="DE191" s="146"/>
      <c r="DF191" s="146">
        <v>400</v>
      </c>
      <c r="DG191" s="102">
        <v>300</v>
      </c>
      <c r="DH191" s="102">
        <v>300</v>
      </c>
      <c r="DI191" s="157">
        <v>300</v>
      </c>
      <c r="DJ191" s="102"/>
      <c r="DK191" s="102">
        <v>400</v>
      </c>
      <c r="DL191" s="102">
        <v>366.66666666666669</v>
      </c>
      <c r="DM191" s="102">
        <v>300</v>
      </c>
      <c r="DN191" s="102">
        <v>300</v>
      </c>
      <c r="DO191" s="146"/>
      <c r="DP191" s="146">
        <v>400</v>
      </c>
      <c r="DQ191" s="102">
        <v>300</v>
      </c>
      <c r="DR191" s="102">
        <v>300</v>
      </c>
      <c r="DS191" s="157">
        <v>300</v>
      </c>
      <c r="DT191" s="102"/>
      <c r="DU191" s="102">
        <v>475</v>
      </c>
      <c r="DV191" s="102">
        <v>325</v>
      </c>
      <c r="DW191" s="102">
        <v>300</v>
      </c>
      <c r="DX191" s="102">
        <v>300</v>
      </c>
      <c r="DY191" s="146"/>
      <c r="DZ191" s="146">
        <v>400</v>
      </c>
      <c r="EA191" s="102">
        <v>300</v>
      </c>
      <c r="EB191" s="102">
        <v>300</v>
      </c>
      <c r="EC191" s="157">
        <v>300</v>
      </c>
    </row>
    <row r="192" spans="1:133" x14ac:dyDescent="0.25">
      <c r="A192" s="95">
        <v>45444</v>
      </c>
      <c r="B192" s="75">
        <v>362.5</v>
      </c>
      <c r="C192" s="75"/>
      <c r="D192" s="75">
        <v>405.95238095238096</v>
      </c>
      <c r="E192" s="75">
        <v>383.28525641025641</v>
      </c>
      <c r="F192" s="75">
        <v>329.58333333333331</v>
      </c>
      <c r="G192" s="75">
        <v>610</v>
      </c>
      <c r="H192" s="75">
        <v>547.32142857142856</v>
      </c>
      <c r="I192" s="75">
        <v>452.5</v>
      </c>
      <c r="J192" s="75">
        <v>433.33333333333331</v>
      </c>
      <c r="K192" s="75">
        <v>428.88888888888886</v>
      </c>
      <c r="N192" s="102"/>
      <c r="O192" s="104">
        <v>400</v>
      </c>
      <c r="P192" s="104">
        <v>243.75</v>
      </c>
      <c r="Q192" s="104">
        <v>250</v>
      </c>
      <c r="R192" s="104">
        <v>250</v>
      </c>
      <c r="S192" s="146"/>
      <c r="T192" s="146">
        <v>400</v>
      </c>
      <c r="U192" s="104">
        <v>275</v>
      </c>
      <c r="V192" s="104">
        <v>275</v>
      </c>
      <c r="W192" s="152">
        <v>350</v>
      </c>
      <c r="X192" s="102"/>
      <c r="Y192" s="102">
        <v>383.33333333333331</v>
      </c>
      <c r="Z192" s="102">
        <v>225</v>
      </c>
      <c r="AA192" s="102">
        <v>233.33333333333334</v>
      </c>
      <c r="AB192" s="102">
        <v>250</v>
      </c>
      <c r="AC192" s="146"/>
      <c r="AD192" s="146">
        <v>400</v>
      </c>
      <c r="AE192" s="102">
        <v>275</v>
      </c>
      <c r="AF192" s="102"/>
      <c r="AG192" s="157">
        <v>350</v>
      </c>
      <c r="AH192" s="102"/>
      <c r="AI192" s="102">
        <v>375</v>
      </c>
      <c r="AJ192" s="102">
        <v>225</v>
      </c>
      <c r="AK192" s="102">
        <v>237.5</v>
      </c>
      <c r="AL192" s="102">
        <v>250</v>
      </c>
      <c r="AM192" s="146"/>
      <c r="AN192" s="146">
        <v>400</v>
      </c>
      <c r="AO192" s="102">
        <v>275</v>
      </c>
      <c r="AP192" s="102">
        <v>275</v>
      </c>
      <c r="AQ192" s="157">
        <v>350</v>
      </c>
      <c r="AR192" s="102">
        <v>250</v>
      </c>
      <c r="AS192" s="102">
        <v>350</v>
      </c>
      <c r="AT192" s="102">
        <v>225</v>
      </c>
      <c r="AU192" s="102">
        <v>250</v>
      </c>
      <c r="AV192" s="102">
        <v>250</v>
      </c>
      <c r="AW192" s="146"/>
      <c r="AX192" s="146">
        <v>400</v>
      </c>
      <c r="AY192" s="102">
        <v>275</v>
      </c>
      <c r="AZ192" s="102">
        <v>275</v>
      </c>
      <c r="BA192" s="157">
        <v>350</v>
      </c>
      <c r="BB192" s="102">
        <v>250</v>
      </c>
      <c r="BC192" s="102"/>
      <c r="BD192" s="102">
        <v>250</v>
      </c>
      <c r="BE192" s="102">
        <v>250</v>
      </c>
      <c r="BF192" s="102">
        <v>250</v>
      </c>
      <c r="BG192" s="146"/>
      <c r="BH192" s="146">
        <v>400</v>
      </c>
      <c r="BI192" s="102">
        <v>275</v>
      </c>
      <c r="BJ192" s="102">
        <v>275</v>
      </c>
      <c r="BK192" s="157">
        <v>350</v>
      </c>
      <c r="BL192" s="102">
        <v>350</v>
      </c>
      <c r="BM192" s="102"/>
      <c r="BN192" s="102">
        <v>250</v>
      </c>
      <c r="BO192" s="102">
        <v>250</v>
      </c>
      <c r="BP192" s="102">
        <v>250</v>
      </c>
      <c r="BQ192" s="146"/>
      <c r="BR192" s="146">
        <v>400</v>
      </c>
      <c r="BS192" s="102">
        <v>275</v>
      </c>
      <c r="BT192" s="102"/>
      <c r="BU192" s="157">
        <v>358.33333333333331</v>
      </c>
      <c r="BV192" s="102">
        <v>416.66666666666669</v>
      </c>
      <c r="BW192" s="102"/>
      <c r="BX192" s="102">
        <v>266.66666666666669</v>
      </c>
      <c r="BY192" s="102">
        <v>275</v>
      </c>
      <c r="BZ192" s="102">
        <v>250</v>
      </c>
      <c r="CA192" s="146"/>
      <c r="CB192" s="146">
        <v>400</v>
      </c>
      <c r="CC192" s="102">
        <v>275</v>
      </c>
      <c r="CD192" s="102">
        <v>275</v>
      </c>
      <c r="CE192" s="102">
        <v>350</v>
      </c>
      <c r="CF192" s="102">
        <v>600</v>
      </c>
      <c r="CG192" s="102">
        <v>500</v>
      </c>
      <c r="CH192" s="102">
        <v>262.5</v>
      </c>
      <c r="CI192" s="102">
        <v>275</v>
      </c>
      <c r="CJ192" s="102">
        <v>250</v>
      </c>
      <c r="CK192" s="146"/>
      <c r="CL192" s="146">
        <v>400</v>
      </c>
      <c r="CM192" s="102">
        <v>275</v>
      </c>
      <c r="CN192" s="102"/>
      <c r="CO192" s="102">
        <v>350</v>
      </c>
      <c r="CP192" s="102"/>
      <c r="CQ192" s="102"/>
      <c r="CR192" s="102"/>
      <c r="CS192" s="102"/>
      <c r="CT192" s="102"/>
      <c r="CU192" s="146"/>
      <c r="CV192" s="146"/>
      <c r="CW192" s="102"/>
      <c r="CX192" s="102"/>
      <c r="CY192" s="102"/>
      <c r="CZ192" s="102"/>
      <c r="DA192" s="102">
        <v>400</v>
      </c>
      <c r="DB192" s="102">
        <v>275</v>
      </c>
      <c r="DC192" s="102">
        <v>275</v>
      </c>
      <c r="DD192" s="102">
        <v>250</v>
      </c>
      <c r="DE192" s="146"/>
      <c r="DF192" s="146">
        <v>400</v>
      </c>
      <c r="DG192" s="102">
        <v>275</v>
      </c>
      <c r="DH192" s="102">
        <v>275</v>
      </c>
      <c r="DI192" s="157">
        <v>350</v>
      </c>
      <c r="DJ192" s="102"/>
      <c r="DK192" s="102">
        <v>400</v>
      </c>
      <c r="DL192" s="102">
        <v>258.33333333333331</v>
      </c>
      <c r="DM192" s="102">
        <v>308.33333333333331</v>
      </c>
      <c r="DN192" s="102">
        <v>250</v>
      </c>
      <c r="DO192" s="146"/>
      <c r="DP192" s="146">
        <v>400</v>
      </c>
      <c r="DQ192" s="102">
        <v>275</v>
      </c>
      <c r="DR192" s="102">
        <v>275</v>
      </c>
      <c r="DS192" s="157">
        <v>350</v>
      </c>
      <c r="DT192" s="102"/>
      <c r="DU192" s="102">
        <v>400</v>
      </c>
      <c r="DV192" s="102">
        <v>237.5</v>
      </c>
      <c r="DW192" s="102">
        <v>287.5</v>
      </c>
      <c r="DX192" s="102">
        <v>237.5</v>
      </c>
      <c r="DY192" s="146"/>
      <c r="DZ192" s="146">
        <v>400</v>
      </c>
      <c r="EA192" s="102">
        <v>275</v>
      </c>
      <c r="EB192" s="102">
        <v>275</v>
      </c>
      <c r="EC192" s="157">
        <v>350</v>
      </c>
    </row>
    <row r="193" spans="1:133" x14ac:dyDescent="0.25">
      <c r="A193" s="95">
        <v>45474</v>
      </c>
      <c r="B193" s="75">
        <v>443.0844156</v>
      </c>
      <c r="C193" s="75"/>
      <c r="D193" s="75">
        <v>419.2857143</v>
      </c>
      <c r="E193" s="75">
        <v>442.12121209999998</v>
      </c>
      <c r="F193" s="75">
        <v>337.94444440000001</v>
      </c>
      <c r="G193" s="75">
        <v>594.66666669999995</v>
      </c>
      <c r="H193" s="75">
        <v>523.48051950000001</v>
      </c>
      <c r="I193" s="75">
        <v>403.10909090000001</v>
      </c>
      <c r="J193" s="75">
        <v>399.65</v>
      </c>
      <c r="K193" s="75">
        <v>428.69523809999998</v>
      </c>
      <c r="N193" s="102"/>
      <c r="O193" s="104">
        <v>350</v>
      </c>
      <c r="P193" s="104">
        <v>225</v>
      </c>
      <c r="Q193" s="104">
        <v>237.5</v>
      </c>
      <c r="R193" s="104">
        <v>218.75</v>
      </c>
      <c r="S193" s="146">
        <v>450</v>
      </c>
      <c r="T193" s="146">
        <v>362.5</v>
      </c>
      <c r="U193" s="104">
        <v>275</v>
      </c>
      <c r="V193" s="104">
        <v>275</v>
      </c>
      <c r="W193" s="152">
        <v>275</v>
      </c>
      <c r="X193" s="102"/>
      <c r="Y193" s="102">
        <v>312.5</v>
      </c>
      <c r="Z193" s="102">
        <v>225</v>
      </c>
      <c r="AA193" s="102">
        <v>250</v>
      </c>
      <c r="AB193" s="102">
        <v>225</v>
      </c>
      <c r="AC193" s="146">
        <v>450</v>
      </c>
      <c r="AD193" s="146">
        <v>350</v>
      </c>
      <c r="AE193" s="102">
        <v>275</v>
      </c>
      <c r="AF193" s="102">
        <v>293.75</v>
      </c>
      <c r="AG193" s="157">
        <v>275</v>
      </c>
      <c r="AH193" s="102">
        <v>275</v>
      </c>
      <c r="AI193" s="102">
        <v>300</v>
      </c>
      <c r="AJ193" s="102">
        <v>225</v>
      </c>
      <c r="AK193" s="102">
        <v>250</v>
      </c>
      <c r="AL193" s="102">
        <v>225</v>
      </c>
      <c r="AM193" s="146">
        <v>450</v>
      </c>
      <c r="AN193" s="146">
        <v>350</v>
      </c>
      <c r="AO193" s="102">
        <v>275</v>
      </c>
      <c r="AP193" s="102">
        <v>293.75</v>
      </c>
      <c r="AQ193" s="157">
        <v>275</v>
      </c>
      <c r="AR193" s="102">
        <v>208.33333333333334</v>
      </c>
      <c r="AS193" s="102">
        <v>300</v>
      </c>
      <c r="AT193" s="102">
        <v>225</v>
      </c>
      <c r="AU193" s="102">
        <v>250</v>
      </c>
      <c r="AV193" s="102">
        <v>165</v>
      </c>
      <c r="AW193" s="146">
        <v>450</v>
      </c>
      <c r="AX193" s="146">
        <v>350</v>
      </c>
      <c r="AY193" s="102">
        <v>300</v>
      </c>
      <c r="AZ193" s="102">
        <v>291.66666666666669</v>
      </c>
      <c r="BA193" s="157">
        <v>275</v>
      </c>
      <c r="BB193" s="102">
        <v>266.66666666666669</v>
      </c>
      <c r="BC193" s="102"/>
      <c r="BD193" s="102">
        <v>225</v>
      </c>
      <c r="BE193" s="102">
        <v>266.66666666666669</v>
      </c>
      <c r="BF193" s="102">
        <v>250</v>
      </c>
      <c r="BG193" s="146">
        <v>450</v>
      </c>
      <c r="BH193" s="146">
        <v>350</v>
      </c>
      <c r="BI193" s="102">
        <v>275</v>
      </c>
      <c r="BJ193" s="102">
        <v>275</v>
      </c>
      <c r="BK193" s="157">
        <v>275</v>
      </c>
      <c r="BL193" s="102">
        <v>333.33333333333331</v>
      </c>
      <c r="BM193" s="102"/>
      <c r="BN193" s="102">
        <v>225</v>
      </c>
      <c r="BO193" s="102">
        <v>275</v>
      </c>
      <c r="BP193" s="102">
        <v>200</v>
      </c>
      <c r="BQ193" s="146">
        <v>450</v>
      </c>
      <c r="BR193" s="146">
        <v>350</v>
      </c>
      <c r="BS193" s="102">
        <v>291.66666666666669</v>
      </c>
      <c r="BT193" s="102">
        <v>291.66666666666669</v>
      </c>
      <c r="BU193" s="157">
        <v>275</v>
      </c>
      <c r="BV193" s="102">
        <v>400</v>
      </c>
      <c r="BW193" s="102"/>
      <c r="BX193" s="102">
        <v>250</v>
      </c>
      <c r="BY193" s="102">
        <v>291.66666666666669</v>
      </c>
      <c r="BZ193" s="102">
        <v>233.33333333333334</v>
      </c>
      <c r="CA193" s="146">
        <v>450</v>
      </c>
      <c r="CB193" s="146">
        <v>350</v>
      </c>
      <c r="CC193" s="102">
        <v>291.66666666666669</v>
      </c>
      <c r="CD193" s="102">
        <v>291.66666666666669</v>
      </c>
      <c r="CE193" s="102">
        <v>350</v>
      </c>
      <c r="CF193" s="102">
        <v>600</v>
      </c>
      <c r="CG193" s="102">
        <v>475</v>
      </c>
      <c r="CH193" s="102">
        <v>250</v>
      </c>
      <c r="CI193" s="102">
        <v>293.75</v>
      </c>
      <c r="CJ193" s="102">
        <v>225</v>
      </c>
      <c r="CK193" s="146">
        <v>450</v>
      </c>
      <c r="CL193" s="146">
        <v>350</v>
      </c>
      <c r="CM193" s="102">
        <v>300</v>
      </c>
      <c r="CN193" s="102">
        <v>300</v>
      </c>
      <c r="CO193" s="102">
        <v>343.75</v>
      </c>
      <c r="CP193" s="102"/>
      <c r="CQ193" s="102">
        <v>366.66666666666669</v>
      </c>
      <c r="CR193" s="102">
        <v>258.33333333333331</v>
      </c>
      <c r="CS193" s="102">
        <v>300</v>
      </c>
      <c r="CT193" s="102">
        <v>225</v>
      </c>
      <c r="CU193" s="146">
        <v>450</v>
      </c>
      <c r="CV193" s="146">
        <v>350</v>
      </c>
      <c r="CW193" s="102">
        <v>300</v>
      </c>
      <c r="CX193" s="102">
        <v>300</v>
      </c>
      <c r="CY193" s="102">
        <v>300</v>
      </c>
      <c r="CZ193" s="102"/>
      <c r="DA193" s="102">
        <v>350</v>
      </c>
      <c r="DB193" s="102">
        <v>250</v>
      </c>
      <c r="DC193" s="102">
        <v>300</v>
      </c>
      <c r="DD193" s="102">
        <v>225</v>
      </c>
      <c r="DE193" s="146">
        <v>450</v>
      </c>
      <c r="DF193" s="146">
        <v>350</v>
      </c>
      <c r="DG193" s="102">
        <v>300</v>
      </c>
      <c r="DH193" s="102">
        <v>300</v>
      </c>
      <c r="DI193" s="157"/>
      <c r="DJ193" s="102"/>
      <c r="DK193" s="102">
        <v>333.33333333333331</v>
      </c>
      <c r="DL193" s="102">
        <v>250</v>
      </c>
      <c r="DM193" s="102">
        <v>300</v>
      </c>
      <c r="DN193" s="102">
        <v>225</v>
      </c>
      <c r="DO193" s="146">
        <v>450</v>
      </c>
      <c r="DP193" s="146">
        <v>350</v>
      </c>
      <c r="DQ193" s="102">
        <v>300</v>
      </c>
      <c r="DR193" s="102">
        <v>300</v>
      </c>
      <c r="DS193" s="157">
        <v>300</v>
      </c>
      <c r="DT193" s="102"/>
      <c r="DU193" s="102">
        <v>406.25</v>
      </c>
      <c r="DV193" s="102">
        <v>231.25</v>
      </c>
      <c r="DW193" s="102">
        <v>293.75</v>
      </c>
      <c r="DX193" s="102">
        <v>218.75</v>
      </c>
      <c r="DY193" s="146">
        <v>450</v>
      </c>
      <c r="DZ193" s="146">
        <v>350</v>
      </c>
      <c r="EA193" s="102">
        <v>300</v>
      </c>
      <c r="EB193" s="102">
        <v>300</v>
      </c>
      <c r="EC193" s="157">
        <v>300</v>
      </c>
    </row>
    <row r="194" spans="1:133" x14ac:dyDescent="0.25">
      <c r="A194" s="95">
        <v>45505</v>
      </c>
      <c r="B194" s="75">
        <v>466.07142857142856</v>
      </c>
      <c r="C194" s="75">
        <v>641.02564102564099</v>
      </c>
      <c r="D194" s="75">
        <v>413.39285714285711</v>
      </c>
      <c r="E194" s="75">
        <v>435.41666666666663</v>
      </c>
      <c r="F194" s="75">
        <v>352.77777777777783</v>
      </c>
      <c r="G194" s="75">
        <v>610</v>
      </c>
      <c r="H194" s="75">
        <v>541.60714285714278</v>
      </c>
      <c r="I194" s="75">
        <v>412.79195804195803</v>
      </c>
      <c r="J194" s="75">
        <v>417.33333333333331</v>
      </c>
      <c r="K194" s="75">
        <v>427.85714285714283</v>
      </c>
      <c r="N194" s="102"/>
      <c r="O194" s="104">
        <v>400</v>
      </c>
      <c r="P194" s="104">
        <v>225</v>
      </c>
      <c r="Q194" s="104">
        <v>218.75</v>
      </c>
      <c r="R194" s="104">
        <v>200</v>
      </c>
      <c r="S194" s="146"/>
      <c r="T194" s="146">
        <v>400</v>
      </c>
      <c r="U194" s="104">
        <v>277.5</v>
      </c>
      <c r="V194" s="104">
        <v>275</v>
      </c>
      <c r="W194" s="152">
        <v>287.5</v>
      </c>
      <c r="X194" s="102">
        <v>400</v>
      </c>
      <c r="Y194" s="102">
        <v>400</v>
      </c>
      <c r="Z194" s="102">
        <v>231.25</v>
      </c>
      <c r="AA194" s="102">
        <v>225</v>
      </c>
      <c r="AB194" s="102">
        <v>200</v>
      </c>
      <c r="AC194" s="146"/>
      <c r="AD194" s="146">
        <v>437.5</v>
      </c>
      <c r="AE194" s="102">
        <v>275</v>
      </c>
      <c r="AF194" s="102">
        <v>275</v>
      </c>
      <c r="AG194" s="157">
        <v>293.75</v>
      </c>
      <c r="AH194" s="102">
        <v>333.33333333333331</v>
      </c>
      <c r="AI194" s="102">
        <v>400</v>
      </c>
      <c r="AJ194" s="102">
        <v>243.75</v>
      </c>
      <c r="AK194" s="102">
        <v>237.5</v>
      </c>
      <c r="AL194" s="102">
        <v>200</v>
      </c>
      <c r="AM194" s="146"/>
      <c r="AN194" s="146">
        <v>437.5</v>
      </c>
      <c r="AO194" s="102">
        <v>281.25</v>
      </c>
      <c r="AP194" s="102">
        <v>287.5</v>
      </c>
      <c r="AQ194" s="157">
        <v>293.75</v>
      </c>
      <c r="AR194" s="102">
        <v>250</v>
      </c>
      <c r="AS194" s="102">
        <v>383.33333333333331</v>
      </c>
      <c r="AT194" s="102">
        <v>250</v>
      </c>
      <c r="AU194" s="102">
        <v>250</v>
      </c>
      <c r="AV194" s="102">
        <v>200</v>
      </c>
      <c r="AW194" s="146"/>
      <c r="AX194" s="146">
        <v>450</v>
      </c>
      <c r="AY194" s="102">
        <v>300</v>
      </c>
      <c r="AZ194" s="102"/>
      <c r="BA194" s="157">
        <v>300</v>
      </c>
      <c r="BB194" s="102">
        <v>316.66666666666669</v>
      </c>
      <c r="BC194" s="102"/>
      <c r="BD194" s="102">
        <v>250</v>
      </c>
      <c r="BE194" s="102">
        <v>258.33333333333331</v>
      </c>
      <c r="BF194" s="102">
        <v>200</v>
      </c>
      <c r="BG194" s="146"/>
      <c r="BH194" s="146">
        <v>450</v>
      </c>
      <c r="BI194" s="102">
        <v>300</v>
      </c>
      <c r="BJ194" s="102">
        <v>300</v>
      </c>
      <c r="BK194" s="157">
        <v>300</v>
      </c>
      <c r="BL194" s="102">
        <v>383.33333333333331</v>
      </c>
      <c r="BM194" s="102"/>
      <c r="BN194" s="102">
        <v>250</v>
      </c>
      <c r="BO194" s="102">
        <v>250</v>
      </c>
      <c r="BP194" s="102">
        <v>200</v>
      </c>
      <c r="BQ194" s="146"/>
      <c r="BR194" s="146">
        <v>433.33333333333331</v>
      </c>
      <c r="BS194" s="102">
        <v>300</v>
      </c>
      <c r="BT194" s="102">
        <v>300</v>
      </c>
      <c r="BU194" s="157">
        <v>350</v>
      </c>
      <c r="BV194" s="102">
        <v>466.66666666666669</v>
      </c>
      <c r="BW194" s="102"/>
      <c r="BX194" s="102">
        <v>250</v>
      </c>
      <c r="BY194" s="102">
        <v>250</v>
      </c>
      <c r="BZ194" s="102">
        <v>250</v>
      </c>
      <c r="CA194" s="146"/>
      <c r="CB194" s="146">
        <v>450</v>
      </c>
      <c r="CC194" s="102">
        <v>300</v>
      </c>
      <c r="CD194" s="102">
        <v>300</v>
      </c>
      <c r="CE194" s="102">
        <v>300</v>
      </c>
      <c r="CF194" s="102">
        <v>700</v>
      </c>
      <c r="CG194" s="102">
        <v>550</v>
      </c>
      <c r="CH194" s="102">
        <v>250</v>
      </c>
      <c r="CI194" s="102">
        <v>250</v>
      </c>
      <c r="CJ194" s="102">
        <v>225</v>
      </c>
      <c r="CK194" s="146"/>
      <c r="CL194" s="146">
        <v>425</v>
      </c>
      <c r="CM194" s="102">
        <v>300</v>
      </c>
      <c r="CN194" s="102">
        <v>300</v>
      </c>
      <c r="CO194" s="102">
        <v>350</v>
      </c>
      <c r="CP194" s="102"/>
      <c r="CQ194" s="102">
        <v>400</v>
      </c>
      <c r="CR194" s="102">
        <v>250</v>
      </c>
      <c r="CS194" s="102">
        <v>250</v>
      </c>
      <c r="CT194" s="102">
        <v>250</v>
      </c>
      <c r="CU194" s="146"/>
      <c r="CV194" s="146">
        <v>450</v>
      </c>
      <c r="CW194" s="102">
        <v>300</v>
      </c>
      <c r="CX194" s="102">
        <v>300</v>
      </c>
      <c r="CY194" s="102">
        <v>300</v>
      </c>
      <c r="CZ194" s="102"/>
      <c r="DA194" s="102">
        <v>400</v>
      </c>
      <c r="DB194" s="102">
        <v>250</v>
      </c>
      <c r="DC194" s="102">
        <v>250</v>
      </c>
      <c r="DD194" s="102">
        <v>200</v>
      </c>
      <c r="DE194" s="146"/>
      <c r="DF194" s="146">
        <v>450</v>
      </c>
      <c r="DG194" s="102"/>
      <c r="DH194" s="102">
        <v>300</v>
      </c>
      <c r="DI194" s="157">
        <v>300</v>
      </c>
      <c r="DJ194" s="102"/>
      <c r="DK194" s="102">
        <v>400</v>
      </c>
      <c r="DL194" s="102">
        <v>233.33333333333334</v>
      </c>
      <c r="DM194" s="102">
        <v>250</v>
      </c>
      <c r="DN194" s="102">
        <v>250</v>
      </c>
      <c r="DO194" s="146"/>
      <c r="DP194" s="146">
        <v>416.66666666666669</v>
      </c>
      <c r="DQ194" s="102">
        <v>300</v>
      </c>
      <c r="DR194" s="102">
        <v>300</v>
      </c>
      <c r="DS194" s="157">
        <v>300</v>
      </c>
      <c r="DT194" s="102"/>
      <c r="DU194" s="102">
        <v>450</v>
      </c>
      <c r="DV194" s="102">
        <v>212.5</v>
      </c>
      <c r="DW194" s="102">
        <v>212.5</v>
      </c>
      <c r="DX194" s="102">
        <v>212.5</v>
      </c>
      <c r="DY194" s="146"/>
      <c r="DZ194" s="146">
        <v>400</v>
      </c>
      <c r="EA194" s="102">
        <v>300</v>
      </c>
      <c r="EB194" s="102">
        <v>300</v>
      </c>
      <c r="EC194" s="157">
        <v>300</v>
      </c>
    </row>
    <row r="195" spans="1:133" x14ac:dyDescent="0.25">
      <c r="A195" s="95">
        <v>45536</v>
      </c>
      <c r="B195" s="75">
        <v>527.35389610389609</v>
      </c>
      <c r="C195" s="75">
        <v>722.61904761904759</v>
      </c>
      <c r="D195" s="75">
        <v>392.85714285714289</v>
      </c>
      <c r="E195" s="75">
        <v>432.29166666666669</v>
      </c>
      <c r="F195" s="75">
        <v>343.05555555555554</v>
      </c>
      <c r="G195" s="75">
        <v>610</v>
      </c>
      <c r="H195" s="75">
        <v>544.28571428571433</v>
      </c>
      <c r="I195" s="75">
        <v>428.06818181818181</v>
      </c>
      <c r="J195" s="75">
        <v>418.57142857142856</v>
      </c>
      <c r="K195" s="75">
        <v>429.64285714285711</v>
      </c>
      <c r="N195" s="102"/>
      <c r="O195" s="104">
        <v>500</v>
      </c>
      <c r="P195" s="104">
        <v>237.5</v>
      </c>
      <c r="Q195" s="104">
        <v>225</v>
      </c>
      <c r="R195" s="104">
        <v>200</v>
      </c>
      <c r="S195" s="146"/>
      <c r="T195" s="146">
        <v>406.25</v>
      </c>
      <c r="U195" s="104">
        <v>275</v>
      </c>
      <c r="V195" s="104">
        <v>275</v>
      </c>
      <c r="W195" s="152">
        <v>275</v>
      </c>
      <c r="X195" s="102"/>
      <c r="Y195" s="102">
        <v>412.5</v>
      </c>
      <c r="Z195" s="102">
        <v>218.75</v>
      </c>
      <c r="AA195" s="102">
        <v>212.5</v>
      </c>
      <c r="AB195" s="102">
        <v>200</v>
      </c>
      <c r="AC195" s="146"/>
      <c r="AD195" s="146">
        <v>412.5</v>
      </c>
      <c r="AE195" s="102">
        <v>275</v>
      </c>
      <c r="AF195" s="102">
        <v>276.66666666666669</v>
      </c>
      <c r="AG195" s="157">
        <v>281.25</v>
      </c>
      <c r="AH195" s="102"/>
      <c r="AI195" s="102">
        <v>400</v>
      </c>
      <c r="AJ195" s="102">
        <v>218.75</v>
      </c>
      <c r="AK195" s="102">
        <v>218.75</v>
      </c>
      <c r="AL195" s="102">
        <v>200</v>
      </c>
      <c r="AM195" s="146"/>
      <c r="AN195" s="146">
        <v>412.5</v>
      </c>
      <c r="AO195" s="102">
        <v>275</v>
      </c>
      <c r="AP195" s="102">
        <v>276.66666666666669</v>
      </c>
      <c r="AQ195" s="157">
        <v>281.25</v>
      </c>
      <c r="AR195" s="102">
        <v>300</v>
      </c>
      <c r="AS195" s="102">
        <v>400</v>
      </c>
      <c r="AT195" s="102">
        <v>208.33333333333334</v>
      </c>
      <c r="AU195" s="102">
        <v>233.33333333333334</v>
      </c>
      <c r="AV195" s="102">
        <v>225</v>
      </c>
      <c r="AW195" s="146"/>
      <c r="AX195" s="146">
        <v>400</v>
      </c>
      <c r="AY195" s="102">
        <v>275</v>
      </c>
      <c r="AZ195" s="102">
        <v>276.66666666666669</v>
      </c>
      <c r="BA195" s="157">
        <v>275</v>
      </c>
      <c r="BB195" s="102">
        <v>366.66666666666669</v>
      </c>
      <c r="BC195" s="102"/>
      <c r="BD195" s="102">
        <v>225</v>
      </c>
      <c r="BE195" s="102">
        <v>241.66666666666666</v>
      </c>
      <c r="BF195" s="102">
        <v>216.66666666666666</v>
      </c>
      <c r="BG195" s="146"/>
      <c r="BH195" s="146">
        <v>400</v>
      </c>
      <c r="BI195" s="102">
        <v>275</v>
      </c>
      <c r="BJ195" s="102">
        <v>275</v>
      </c>
      <c r="BK195" s="157">
        <v>283.33333333333331</v>
      </c>
      <c r="BL195" s="102">
        <v>400</v>
      </c>
      <c r="BM195" s="102"/>
      <c r="BN195" s="102">
        <v>233.33333333333334</v>
      </c>
      <c r="BO195" s="102">
        <v>225</v>
      </c>
      <c r="BP195" s="102">
        <v>200</v>
      </c>
      <c r="BQ195" s="146"/>
      <c r="BR195" s="146">
        <v>400</v>
      </c>
      <c r="BS195" s="102">
        <v>275</v>
      </c>
      <c r="BT195" s="102">
        <v>275</v>
      </c>
      <c r="BU195" s="157">
        <v>275</v>
      </c>
      <c r="BV195" s="102">
        <v>450</v>
      </c>
      <c r="BW195" s="102"/>
      <c r="BX195" s="102">
        <v>250</v>
      </c>
      <c r="BY195" s="102">
        <v>233.33333333333334</v>
      </c>
      <c r="BZ195" s="102">
        <v>212.5</v>
      </c>
      <c r="CA195" s="146"/>
      <c r="CB195" s="146">
        <v>400</v>
      </c>
      <c r="CC195" s="102">
        <v>286.66666666666669</v>
      </c>
      <c r="CD195" s="102">
        <v>275</v>
      </c>
      <c r="CE195" s="102">
        <v>275</v>
      </c>
      <c r="CF195" s="102">
        <v>650</v>
      </c>
      <c r="CG195" s="102">
        <v>550</v>
      </c>
      <c r="CH195" s="102">
        <v>243.75</v>
      </c>
      <c r="CI195" s="102">
        <v>237.5</v>
      </c>
      <c r="CJ195" s="102">
        <v>237.5</v>
      </c>
      <c r="CK195" s="146"/>
      <c r="CL195" s="146">
        <v>400</v>
      </c>
      <c r="CM195" s="102">
        <v>275</v>
      </c>
      <c r="CN195" s="102">
        <v>275</v>
      </c>
      <c r="CO195" s="102">
        <v>275</v>
      </c>
      <c r="CP195" s="102"/>
      <c r="CQ195" s="102">
        <v>500</v>
      </c>
      <c r="CR195" s="102">
        <v>283.33333333333331</v>
      </c>
      <c r="CS195" s="102">
        <v>283.33333333333331</v>
      </c>
      <c r="CT195" s="102">
        <v>191.66666666666666</v>
      </c>
      <c r="CU195" s="146"/>
      <c r="CV195" s="146">
        <v>400</v>
      </c>
      <c r="CW195" s="102">
        <v>283.33333333333331</v>
      </c>
      <c r="CX195" s="102">
        <v>283.33333333333331</v>
      </c>
      <c r="CY195" s="102">
        <v>275</v>
      </c>
      <c r="CZ195" s="102"/>
      <c r="DA195" s="102">
        <v>500</v>
      </c>
      <c r="DB195" s="102">
        <v>250</v>
      </c>
      <c r="DC195" s="102">
        <v>250</v>
      </c>
      <c r="DD195" s="102">
        <v>225</v>
      </c>
      <c r="DE195" s="146"/>
      <c r="DF195" s="146">
        <v>400</v>
      </c>
      <c r="DG195" s="102">
        <v>275</v>
      </c>
      <c r="DH195" s="102">
        <v>275</v>
      </c>
      <c r="DI195" s="157">
        <v>275</v>
      </c>
      <c r="DJ195" s="102"/>
      <c r="DK195" s="102">
        <v>433.33333333333331</v>
      </c>
      <c r="DL195" s="102">
        <v>250</v>
      </c>
      <c r="DM195" s="102">
        <v>250</v>
      </c>
      <c r="DN195" s="102">
        <v>250</v>
      </c>
      <c r="DO195" s="146"/>
      <c r="DP195" s="146">
        <v>400</v>
      </c>
      <c r="DQ195" s="102">
        <v>300</v>
      </c>
      <c r="DR195" s="102">
        <v>300</v>
      </c>
      <c r="DS195" s="157">
        <v>300</v>
      </c>
      <c r="DT195" s="102"/>
      <c r="DU195" s="102">
        <v>475</v>
      </c>
      <c r="DV195" s="102">
        <v>243.75</v>
      </c>
      <c r="DW195" s="102">
        <v>225</v>
      </c>
      <c r="DX195" s="102">
        <v>200</v>
      </c>
      <c r="DY195" s="146"/>
      <c r="DZ195" s="146">
        <v>400</v>
      </c>
      <c r="EA195" s="102">
        <v>300</v>
      </c>
      <c r="EB195" s="102">
        <v>300</v>
      </c>
      <c r="EC195" s="157">
        <v>300</v>
      </c>
    </row>
    <row r="196" spans="1:133" x14ac:dyDescent="0.25">
      <c r="A196" s="95">
        <v>45566</v>
      </c>
      <c r="B196" s="75">
        <v>496.71266233766232</v>
      </c>
      <c r="C196" s="75">
        <v>681.82234432234429</v>
      </c>
      <c r="D196" s="75">
        <v>403.125</v>
      </c>
      <c r="E196" s="75">
        <v>433.85416666666663</v>
      </c>
      <c r="F196" s="75">
        <v>347.91666666666669</v>
      </c>
      <c r="G196" s="75">
        <v>610</v>
      </c>
      <c r="H196" s="75">
        <v>542.94642857142856</v>
      </c>
      <c r="I196" s="75">
        <v>420.43006993006992</v>
      </c>
      <c r="J196" s="75">
        <v>417.95238095238096</v>
      </c>
      <c r="K196" s="75">
        <v>428.75</v>
      </c>
      <c r="N196" s="102"/>
      <c r="O196" s="104">
        <v>350</v>
      </c>
      <c r="P196" s="104">
        <v>293.75</v>
      </c>
      <c r="Q196" s="104">
        <v>306.25</v>
      </c>
      <c r="R196" s="104">
        <v>250</v>
      </c>
      <c r="S196" s="146">
        <v>500</v>
      </c>
      <c r="T196" s="146">
        <v>400</v>
      </c>
      <c r="U196" s="104">
        <v>280</v>
      </c>
      <c r="V196" s="104"/>
      <c r="W196" s="152">
        <v>280</v>
      </c>
      <c r="X196" s="102">
        <v>500</v>
      </c>
      <c r="Y196" s="102">
        <v>362.5</v>
      </c>
      <c r="Z196" s="102">
        <v>250</v>
      </c>
      <c r="AA196" s="102">
        <v>300</v>
      </c>
      <c r="AB196" s="102">
        <v>262.5</v>
      </c>
      <c r="AC196" s="146">
        <v>500</v>
      </c>
      <c r="AD196" s="146">
        <v>400</v>
      </c>
      <c r="AE196" s="102">
        <v>290</v>
      </c>
      <c r="AF196" s="102"/>
      <c r="AG196" s="157">
        <v>280</v>
      </c>
      <c r="AH196" s="102">
        <v>500</v>
      </c>
      <c r="AI196" s="102">
        <v>350</v>
      </c>
      <c r="AJ196" s="102">
        <v>250</v>
      </c>
      <c r="AK196" s="102">
        <v>300</v>
      </c>
      <c r="AL196" s="102">
        <v>250</v>
      </c>
      <c r="AM196" s="146">
        <v>500</v>
      </c>
      <c r="AN196" s="146">
        <v>400</v>
      </c>
      <c r="AO196" s="102">
        <v>295</v>
      </c>
      <c r="AP196" s="102">
        <v>300</v>
      </c>
      <c r="AQ196" s="157">
        <v>280</v>
      </c>
      <c r="AR196" s="102">
        <v>300</v>
      </c>
      <c r="AS196" s="102">
        <v>350</v>
      </c>
      <c r="AT196" s="102">
        <v>250</v>
      </c>
      <c r="AU196" s="102">
        <v>283.33333333333331</v>
      </c>
      <c r="AV196" s="102">
        <v>250</v>
      </c>
      <c r="AW196" s="146">
        <v>500</v>
      </c>
      <c r="AX196" s="146">
        <v>400</v>
      </c>
      <c r="AY196" s="102">
        <v>280</v>
      </c>
      <c r="AZ196" s="102"/>
      <c r="BA196" s="157">
        <v>280</v>
      </c>
      <c r="BB196" s="102">
        <v>333.33333333333331</v>
      </c>
      <c r="BC196" s="102"/>
      <c r="BD196" s="102">
        <v>250</v>
      </c>
      <c r="BE196" s="102">
        <v>300</v>
      </c>
      <c r="BF196" s="102">
        <v>250</v>
      </c>
      <c r="BG196" s="146">
        <v>500</v>
      </c>
      <c r="BH196" s="146">
        <v>400</v>
      </c>
      <c r="BI196" s="102">
        <v>320</v>
      </c>
      <c r="BJ196" s="102"/>
      <c r="BK196" s="157">
        <v>280</v>
      </c>
      <c r="BL196" s="102">
        <v>383.33333333333331</v>
      </c>
      <c r="BM196" s="102"/>
      <c r="BN196" s="102">
        <v>250</v>
      </c>
      <c r="BO196" s="102">
        <v>300</v>
      </c>
      <c r="BP196" s="102">
        <v>250</v>
      </c>
      <c r="BQ196" s="146">
        <v>500</v>
      </c>
      <c r="BR196" s="146">
        <v>400</v>
      </c>
      <c r="BS196" s="102">
        <v>280</v>
      </c>
      <c r="BT196" s="102"/>
      <c r="BU196" s="157">
        <v>280</v>
      </c>
      <c r="BV196" s="102">
        <v>433.33333333333331</v>
      </c>
      <c r="BW196" s="102"/>
      <c r="BX196" s="102">
        <v>250</v>
      </c>
      <c r="BY196" s="102">
        <v>300</v>
      </c>
      <c r="BZ196" s="102">
        <v>250</v>
      </c>
      <c r="CA196" s="146">
        <v>500</v>
      </c>
      <c r="CB196" s="146">
        <v>400</v>
      </c>
      <c r="CC196" s="102">
        <v>300</v>
      </c>
      <c r="CD196" s="102"/>
      <c r="CE196" s="102">
        <v>280</v>
      </c>
      <c r="CF196" s="102">
        <v>650</v>
      </c>
      <c r="CG196" s="102">
        <v>575</v>
      </c>
      <c r="CH196" s="102">
        <v>262.5</v>
      </c>
      <c r="CI196" s="102">
        <v>287.5</v>
      </c>
      <c r="CJ196" s="102">
        <v>250</v>
      </c>
      <c r="CK196" s="146">
        <v>500</v>
      </c>
      <c r="CL196" s="146">
        <v>400</v>
      </c>
      <c r="CM196" s="102">
        <v>300</v>
      </c>
      <c r="CN196" s="102"/>
      <c r="CO196" s="102">
        <v>280</v>
      </c>
      <c r="CP196" s="102"/>
      <c r="CQ196" s="102">
        <v>416.66666666666669</v>
      </c>
      <c r="CR196" s="102">
        <v>275</v>
      </c>
      <c r="CS196" s="102">
        <v>300</v>
      </c>
      <c r="CT196" s="102">
        <v>250</v>
      </c>
      <c r="CU196" s="146">
        <v>500</v>
      </c>
      <c r="CV196" s="146">
        <v>400</v>
      </c>
      <c r="CW196" s="102">
        <v>286.66666666666669</v>
      </c>
      <c r="CX196" s="102"/>
      <c r="CY196" s="102">
        <v>278.33333333333331</v>
      </c>
      <c r="CZ196" s="102"/>
      <c r="DA196" s="102">
        <v>400</v>
      </c>
      <c r="DB196" s="102">
        <v>275</v>
      </c>
      <c r="DC196" s="102">
        <v>300</v>
      </c>
      <c r="DD196" s="102">
        <v>250</v>
      </c>
      <c r="DE196" s="146">
        <v>500</v>
      </c>
      <c r="DF196" s="146">
        <v>400</v>
      </c>
      <c r="DG196" s="102">
        <v>280</v>
      </c>
      <c r="DH196" s="102"/>
      <c r="DI196" s="157">
        <v>280</v>
      </c>
      <c r="DJ196" s="102"/>
      <c r="DK196" s="102">
        <v>383.33333333333331</v>
      </c>
      <c r="DL196" s="102">
        <v>300</v>
      </c>
      <c r="DM196" s="102">
        <v>300</v>
      </c>
      <c r="DN196" s="102">
        <v>250</v>
      </c>
      <c r="DO196" s="146">
        <v>500</v>
      </c>
      <c r="DP196" s="146">
        <v>400</v>
      </c>
      <c r="DQ196" s="102">
        <v>300</v>
      </c>
      <c r="DR196" s="102">
        <v>275</v>
      </c>
      <c r="DS196" s="157">
        <v>280</v>
      </c>
      <c r="DT196" s="102"/>
      <c r="DU196" s="102">
        <v>400</v>
      </c>
      <c r="DV196" s="102">
        <v>293.75</v>
      </c>
      <c r="DW196" s="102">
        <v>300</v>
      </c>
      <c r="DX196" s="102">
        <v>250</v>
      </c>
      <c r="DY196" s="146">
        <v>500</v>
      </c>
      <c r="DZ196" s="146">
        <v>400</v>
      </c>
      <c r="EA196" s="102">
        <v>300</v>
      </c>
      <c r="EB196" s="102"/>
      <c r="EC196" s="157">
        <v>280</v>
      </c>
    </row>
    <row r="197" spans="1:133" x14ac:dyDescent="0.25">
      <c r="A197" s="95">
        <v>45597</v>
      </c>
      <c r="B197" s="75"/>
      <c r="C197" s="75">
        <v>511.90476190476193</v>
      </c>
      <c r="D197" s="75">
        <v>360.71428571428572</v>
      </c>
      <c r="E197" s="75">
        <v>446.969696969697</v>
      </c>
      <c r="F197" s="75">
        <v>309.92592592592592</v>
      </c>
      <c r="G197" s="75">
        <v>610</v>
      </c>
      <c r="H197" s="75">
        <v>557.14285714285711</v>
      </c>
      <c r="I197" s="75">
        <v>421.86868686868684</v>
      </c>
      <c r="J197" s="75">
        <v>411.11111111111114</v>
      </c>
      <c r="K197" s="75">
        <v>419.44444444444451</v>
      </c>
      <c r="N197" s="102"/>
      <c r="O197" s="104">
        <v>380.68181818181819</v>
      </c>
      <c r="P197" s="104">
        <v>247.72727272727272</v>
      </c>
      <c r="Q197" s="104">
        <v>253.40909090909091</v>
      </c>
      <c r="R197" s="104">
        <v>238.63636363636363</v>
      </c>
      <c r="S197" s="146">
        <v>471.875</v>
      </c>
      <c r="T197" s="146">
        <v>405.11363636363637</v>
      </c>
      <c r="U197" s="104">
        <v>279.31818181818181</v>
      </c>
      <c r="V197" s="104">
        <v>278.48958333333337</v>
      </c>
      <c r="W197" s="152">
        <v>294.20454545454544</v>
      </c>
      <c r="X197" s="102">
        <v>335.41666666666663</v>
      </c>
      <c r="Y197" s="102">
        <v>363.25757575757575</v>
      </c>
      <c r="Z197" s="102">
        <v>241.93181818181819</v>
      </c>
      <c r="AA197" s="102">
        <v>251.89393939393938</v>
      </c>
      <c r="AB197" s="102">
        <v>236.93181818181819</v>
      </c>
      <c r="AC197" s="146">
        <v>465.625</v>
      </c>
      <c r="AD197" s="146">
        <v>405.68181818181819</v>
      </c>
      <c r="AE197" s="102">
        <v>282.19696969696975</v>
      </c>
      <c r="AF197" s="102">
        <v>283.09523809523813</v>
      </c>
      <c r="AG197" s="157">
        <v>297.61363636363637</v>
      </c>
      <c r="AH197" s="102">
        <v>301.8518518518519</v>
      </c>
      <c r="AI197" s="102">
        <v>355.68181818181819</v>
      </c>
      <c r="AJ197" s="102">
        <v>243.06818181818181</v>
      </c>
      <c r="AK197" s="102">
        <v>253.97727272727272</v>
      </c>
      <c r="AL197" s="102">
        <v>236.36363636363637</v>
      </c>
      <c r="AM197" s="146">
        <v>462.5</v>
      </c>
      <c r="AN197" s="146">
        <v>405.68181818181819</v>
      </c>
      <c r="AO197" s="102">
        <v>284.77272727272725</v>
      </c>
      <c r="AP197" s="102">
        <v>285.71969696969694</v>
      </c>
      <c r="AQ197" s="157">
        <v>297.04545454545456</v>
      </c>
      <c r="AR197" s="102">
        <v>232.57575757575754</v>
      </c>
      <c r="AS197" s="102">
        <v>343.93939393939394</v>
      </c>
      <c r="AT197" s="102">
        <v>243.93939393939397</v>
      </c>
      <c r="AU197" s="102">
        <v>256.06060606060606</v>
      </c>
      <c r="AV197" s="102">
        <v>234.83333333333334</v>
      </c>
      <c r="AW197" s="146">
        <v>462.5</v>
      </c>
      <c r="AX197" s="146">
        <v>404.54545454545456</v>
      </c>
      <c r="AY197" s="102">
        <v>289.09090909090907</v>
      </c>
      <c r="AZ197" s="102">
        <v>285.71428571428572</v>
      </c>
      <c r="BA197" s="157">
        <v>292.12121212121207</v>
      </c>
      <c r="BB197" s="102">
        <v>290.15151515151513</v>
      </c>
      <c r="BC197" s="102"/>
      <c r="BD197" s="102">
        <v>247.72727272727272</v>
      </c>
      <c r="BE197" s="102">
        <v>260.60606060606057</v>
      </c>
      <c r="BF197" s="102">
        <v>245</v>
      </c>
      <c r="BG197" s="146">
        <v>462.5</v>
      </c>
      <c r="BH197" s="146">
        <v>404.54545454545456</v>
      </c>
      <c r="BI197" s="102">
        <v>290.45454545454544</v>
      </c>
      <c r="BJ197" s="102">
        <v>285.41666666666663</v>
      </c>
      <c r="BK197" s="157">
        <v>289.09090909090912</v>
      </c>
      <c r="BL197" s="102">
        <v>355.30303030303037</v>
      </c>
      <c r="BM197" s="102"/>
      <c r="BN197" s="102">
        <v>247.72727272727272</v>
      </c>
      <c r="BO197" s="102">
        <v>261.36363636363637</v>
      </c>
      <c r="BP197" s="102">
        <v>237.87878787878788</v>
      </c>
      <c r="BQ197" s="146">
        <v>462.5</v>
      </c>
      <c r="BR197" s="146">
        <v>404.54545454545456</v>
      </c>
      <c r="BS197" s="102">
        <v>287.72727272727275</v>
      </c>
      <c r="BT197" s="102">
        <v>291.1904761904762</v>
      </c>
      <c r="BU197" s="157">
        <v>299.69696969696975</v>
      </c>
      <c r="BV197" s="102">
        <v>425.45454545454538</v>
      </c>
      <c r="BW197" s="102"/>
      <c r="BX197" s="102">
        <v>254.54545454545453</v>
      </c>
      <c r="BY197" s="102">
        <v>271.21212121212125</v>
      </c>
      <c r="BZ197" s="102">
        <v>248.61111111111111</v>
      </c>
      <c r="CA197" s="146">
        <v>462.5</v>
      </c>
      <c r="CB197" s="146">
        <v>404.54545454545456</v>
      </c>
      <c r="CC197" s="102">
        <v>293.48484848484844</v>
      </c>
      <c r="CD197" s="102">
        <v>288.33333333333337</v>
      </c>
      <c r="CE197" s="102">
        <v>301.21212121212119</v>
      </c>
      <c r="CF197" s="102">
        <v>590.90909090909088</v>
      </c>
      <c r="CG197" s="102">
        <v>502.27272727272725</v>
      </c>
      <c r="CH197" s="102">
        <v>259.20454545454544</v>
      </c>
      <c r="CI197" s="102">
        <v>272.15909090909093</v>
      </c>
      <c r="CJ197" s="102">
        <v>246</v>
      </c>
      <c r="CK197" s="146">
        <v>462.5</v>
      </c>
      <c r="CL197" s="146">
        <v>398.86363636363637</v>
      </c>
      <c r="CM197" s="102">
        <v>293.18181818181819</v>
      </c>
      <c r="CN197" s="102">
        <v>292.85714285714283</v>
      </c>
      <c r="CO197" s="102">
        <v>305.56818181818181</v>
      </c>
      <c r="CP197" s="102"/>
      <c r="CQ197" s="102">
        <v>391.66666666666663</v>
      </c>
      <c r="CR197" s="102">
        <v>277.16666666666663</v>
      </c>
      <c r="CS197" s="102">
        <v>287.40740740740745</v>
      </c>
      <c r="CT197" s="102">
        <v>239.58333333333334</v>
      </c>
      <c r="CU197" s="146">
        <v>462.5</v>
      </c>
      <c r="CV197" s="146">
        <v>400</v>
      </c>
      <c r="CW197" s="102">
        <v>292.41666666666669</v>
      </c>
      <c r="CX197" s="102">
        <v>291.38888888888886</v>
      </c>
      <c r="CY197" s="102">
        <v>288.66666666666669</v>
      </c>
      <c r="CZ197" s="102"/>
      <c r="DA197" s="102">
        <v>381.81818181818181</v>
      </c>
      <c r="DB197" s="102">
        <v>271.36363636363637</v>
      </c>
      <c r="DC197" s="102">
        <v>279.54545454545456</v>
      </c>
      <c r="DD197" s="102">
        <v>240</v>
      </c>
      <c r="DE197" s="146">
        <v>462.5</v>
      </c>
      <c r="DF197" s="146">
        <v>400</v>
      </c>
      <c r="DG197" s="102">
        <v>290.5</v>
      </c>
      <c r="DH197" s="102">
        <v>290.625</v>
      </c>
      <c r="DI197" s="157">
        <v>298</v>
      </c>
      <c r="DJ197" s="102"/>
      <c r="DK197" s="102">
        <v>371.96969696969705</v>
      </c>
      <c r="DL197" s="102">
        <v>284.09090909090912</v>
      </c>
      <c r="DM197" s="102">
        <v>287.91666666666663</v>
      </c>
      <c r="DN197" s="102">
        <v>257.29166666666663</v>
      </c>
      <c r="DO197" s="146">
        <v>462.5</v>
      </c>
      <c r="DP197" s="146">
        <v>398.48484848484856</v>
      </c>
      <c r="DQ197" s="102">
        <v>296.21212121212119</v>
      </c>
      <c r="DR197" s="102">
        <v>292.22222222222223</v>
      </c>
      <c r="DS197" s="157">
        <v>301.21212121212119</v>
      </c>
      <c r="DT197" s="102"/>
      <c r="DU197" s="102">
        <v>418.75</v>
      </c>
      <c r="DV197" s="102">
        <v>270.45454545454544</v>
      </c>
      <c r="DW197" s="102">
        <v>274.05303030303031</v>
      </c>
      <c r="DX197" s="102">
        <v>234.09090909090909</v>
      </c>
      <c r="DY197" s="146">
        <v>462.5</v>
      </c>
      <c r="DZ197" s="146">
        <v>387.5</v>
      </c>
      <c r="EA197" s="102">
        <v>295.45454545454544</v>
      </c>
      <c r="EB197" s="102">
        <v>293.88888888888891</v>
      </c>
      <c r="EC197" s="157">
        <v>302.72727272727275</v>
      </c>
    </row>
    <row r="198" spans="1:133" x14ac:dyDescent="0.25">
      <c r="A198" s="95">
        <v>45627</v>
      </c>
      <c r="B198" s="75"/>
      <c r="C198" s="75">
        <v>608.03571428571433</v>
      </c>
      <c r="D198" s="75">
        <v>353.57142857142856</v>
      </c>
      <c r="E198" s="75">
        <v>444.31818181818181</v>
      </c>
      <c r="F198" s="75">
        <v>298.55454545454546</v>
      </c>
      <c r="G198" s="75">
        <v>610</v>
      </c>
      <c r="H198" s="75">
        <v>560.71428571428567</v>
      </c>
      <c r="I198" s="75">
        <v>421.66666666666669</v>
      </c>
      <c r="J198" s="75">
        <v>411.66666666666669</v>
      </c>
      <c r="K198" s="75">
        <v>413.54166666666669</v>
      </c>
      <c r="N198" s="102"/>
      <c r="O198" s="104"/>
      <c r="P198" s="104"/>
      <c r="Q198" s="104"/>
      <c r="R198" s="104"/>
      <c r="S198" s="146"/>
      <c r="T198" s="146"/>
      <c r="U198" s="104"/>
      <c r="V198" s="104"/>
      <c r="W198" s="152"/>
      <c r="X198" s="102"/>
      <c r="Y198" s="102"/>
      <c r="Z198" s="102"/>
      <c r="AA198" s="102"/>
      <c r="AB198" s="102"/>
      <c r="AC198" s="146"/>
      <c r="AD198" s="146"/>
      <c r="AE198" s="102"/>
      <c r="AF198" s="102"/>
      <c r="AG198" s="157"/>
      <c r="AH198" s="102"/>
      <c r="AI198" s="102"/>
      <c r="AJ198" s="102"/>
      <c r="AK198" s="102"/>
      <c r="AL198" s="102"/>
      <c r="AM198" s="146"/>
      <c r="AN198" s="146"/>
      <c r="AO198" s="102"/>
      <c r="AP198" s="102"/>
      <c r="AQ198" s="157"/>
      <c r="AR198" s="102"/>
      <c r="AS198" s="102"/>
      <c r="AT198" s="102"/>
      <c r="AU198" s="102"/>
      <c r="AV198" s="102"/>
      <c r="AW198" s="146"/>
      <c r="AX198" s="146"/>
      <c r="AY198" s="102"/>
      <c r="AZ198" s="102"/>
      <c r="BA198" s="157"/>
      <c r="BB198" s="102"/>
      <c r="BC198" s="102"/>
      <c r="BD198" s="102"/>
      <c r="BE198" s="102"/>
      <c r="BF198" s="102"/>
      <c r="BG198" s="146"/>
      <c r="BH198" s="146"/>
      <c r="BI198" s="102"/>
      <c r="BJ198" s="102"/>
      <c r="BK198" s="157"/>
      <c r="BL198" s="102"/>
      <c r="BM198" s="102"/>
      <c r="BN198" s="102"/>
      <c r="BO198" s="102"/>
      <c r="BP198" s="102"/>
      <c r="BQ198" s="146"/>
      <c r="BR198" s="146"/>
      <c r="BS198" s="102"/>
      <c r="BT198" s="102"/>
      <c r="BU198" s="157"/>
      <c r="BV198" s="102"/>
      <c r="BW198" s="102"/>
      <c r="BX198" s="102"/>
      <c r="BY198" s="102"/>
      <c r="BZ198" s="102"/>
      <c r="CA198" s="146"/>
      <c r="CB198" s="146"/>
      <c r="CC198" s="102"/>
      <c r="CD198" s="102"/>
      <c r="CE198" s="102"/>
      <c r="CF198" s="102"/>
      <c r="CG198" s="102"/>
      <c r="CH198" s="102"/>
      <c r="CI198" s="102"/>
      <c r="CJ198" s="102"/>
      <c r="CK198" s="146"/>
      <c r="CL198" s="146"/>
      <c r="CM198" s="102"/>
      <c r="CN198" s="102"/>
      <c r="CO198" s="102"/>
      <c r="CP198" s="102"/>
      <c r="CQ198" s="102"/>
      <c r="CR198" s="102"/>
      <c r="CS198" s="102"/>
      <c r="CT198" s="102"/>
      <c r="CU198" s="146"/>
      <c r="CV198" s="146"/>
      <c r="CW198" s="102"/>
      <c r="CX198" s="102"/>
      <c r="CY198" s="102"/>
      <c r="CZ198" s="102"/>
      <c r="DA198" s="102"/>
      <c r="DB198" s="102"/>
      <c r="DC198" s="102"/>
      <c r="DD198" s="102"/>
      <c r="DE198" s="146"/>
      <c r="DF198" s="146"/>
      <c r="DG198" s="102"/>
      <c r="DH198" s="102"/>
      <c r="DI198" s="157"/>
      <c r="DJ198" s="102"/>
      <c r="DK198" s="102"/>
      <c r="DL198" s="102"/>
      <c r="DM198" s="102"/>
      <c r="DN198" s="102"/>
      <c r="DO198" s="146"/>
      <c r="DP198" s="146"/>
      <c r="DQ198" s="102"/>
      <c r="DR198" s="102"/>
      <c r="DS198" s="157"/>
      <c r="DT198" s="102"/>
      <c r="DU198" s="102"/>
      <c r="DV198" s="102"/>
      <c r="DW198" s="102"/>
      <c r="DX198" s="102"/>
      <c r="DY198" s="146"/>
      <c r="DZ198" s="146"/>
      <c r="EA198" s="102"/>
      <c r="EB198" s="102"/>
      <c r="EC198" s="157"/>
    </row>
    <row r="199" spans="1:133" x14ac:dyDescent="0.25">
      <c r="A199" s="95">
        <v>45658</v>
      </c>
      <c r="B199" s="75">
        <v>485.71428571428572</v>
      </c>
      <c r="C199" s="75">
        <v>577.67857142857133</v>
      </c>
      <c r="D199" s="75">
        <v>346.875</v>
      </c>
      <c r="E199" s="75">
        <v>412.02272727272725</v>
      </c>
      <c r="F199" s="75">
        <v>299.33838383838383</v>
      </c>
      <c r="G199" s="75">
        <v>610</v>
      </c>
      <c r="H199" s="75">
        <v>558.92857142857133</v>
      </c>
      <c r="I199" s="75">
        <v>417.50000000000006</v>
      </c>
      <c r="J199" s="75">
        <v>408.85416666666663</v>
      </c>
      <c r="K199" s="75">
        <v>410.9375</v>
      </c>
      <c r="N199" s="102"/>
      <c r="O199" s="104"/>
      <c r="P199" s="104"/>
      <c r="Q199" s="104"/>
      <c r="R199" s="104"/>
      <c r="S199" s="146"/>
      <c r="T199" s="146"/>
      <c r="U199" s="104"/>
      <c r="V199" s="104"/>
      <c r="W199" s="152"/>
      <c r="X199" s="102"/>
      <c r="Y199" s="102"/>
      <c r="Z199" s="102"/>
      <c r="AA199" s="102"/>
      <c r="AB199" s="102"/>
      <c r="AC199" s="146"/>
      <c r="AD199" s="146"/>
      <c r="AE199" s="102"/>
      <c r="AF199" s="102"/>
      <c r="AG199" s="157"/>
      <c r="AH199" s="102"/>
      <c r="AI199" s="102"/>
      <c r="AJ199" s="102"/>
      <c r="AK199" s="102"/>
      <c r="AL199" s="102"/>
      <c r="AM199" s="146"/>
      <c r="AN199" s="146"/>
      <c r="AO199" s="102"/>
      <c r="AP199" s="102"/>
      <c r="AQ199" s="157"/>
      <c r="AR199" s="102"/>
      <c r="AS199" s="102"/>
      <c r="AT199" s="102"/>
      <c r="AU199" s="102"/>
      <c r="AV199" s="102"/>
      <c r="AW199" s="146"/>
      <c r="AX199" s="146"/>
      <c r="AY199" s="102"/>
      <c r="AZ199" s="102"/>
      <c r="BA199" s="157"/>
      <c r="BB199" s="102"/>
      <c r="BC199" s="102"/>
      <c r="BD199" s="102"/>
      <c r="BE199" s="102"/>
      <c r="BF199" s="102"/>
      <c r="BG199" s="146"/>
      <c r="BH199" s="146"/>
      <c r="BI199" s="102"/>
      <c r="BJ199" s="102"/>
      <c r="BK199" s="157"/>
      <c r="BL199" s="102"/>
      <c r="BM199" s="102"/>
      <c r="BN199" s="102"/>
      <c r="BO199" s="102"/>
      <c r="BP199" s="102"/>
      <c r="BQ199" s="146"/>
      <c r="BR199" s="146"/>
      <c r="BS199" s="102"/>
      <c r="BT199" s="102"/>
      <c r="BU199" s="157"/>
      <c r="BV199" s="102"/>
      <c r="BW199" s="102"/>
      <c r="BX199" s="102"/>
      <c r="BY199" s="102"/>
      <c r="BZ199" s="102"/>
      <c r="CA199" s="146"/>
      <c r="CB199" s="146"/>
      <c r="CC199" s="102"/>
      <c r="CD199" s="102"/>
      <c r="CE199" s="102"/>
      <c r="CF199" s="102"/>
      <c r="CG199" s="102"/>
      <c r="CH199" s="102"/>
      <c r="CI199" s="102"/>
      <c r="CJ199" s="102"/>
      <c r="CK199" s="146"/>
      <c r="CL199" s="146"/>
      <c r="CM199" s="102"/>
      <c r="CN199" s="102"/>
      <c r="CO199" s="102"/>
      <c r="CP199" s="102"/>
      <c r="CQ199" s="102"/>
      <c r="CR199" s="102"/>
      <c r="CS199" s="102"/>
      <c r="CT199" s="102"/>
      <c r="CU199" s="146"/>
      <c r="CV199" s="146"/>
      <c r="CW199" s="102"/>
      <c r="CX199" s="102"/>
      <c r="CY199" s="102"/>
      <c r="CZ199" s="102"/>
      <c r="DA199" s="102"/>
      <c r="DB199" s="102"/>
      <c r="DC199" s="102"/>
      <c r="DD199" s="102"/>
      <c r="DE199" s="146"/>
      <c r="DF199" s="146"/>
      <c r="DG199" s="102"/>
      <c r="DH199" s="102"/>
      <c r="DI199" s="157"/>
      <c r="DJ199" s="102"/>
      <c r="DK199" s="102"/>
      <c r="DL199" s="102"/>
      <c r="DM199" s="102"/>
      <c r="DN199" s="102"/>
      <c r="DO199" s="146"/>
      <c r="DP199" s="146"/>
      <c r="DQ199" s="102"/>
      <c r="DR199" s="102"/>
      <c r="DS199" s="157"/>
      <c r="DT199" s="102"/>
      <c r="DU199" s="102"/>
      <c r="DV199" s="102"/>
      <c r="DW199" s="102"/>
      <c r="DX199" s="102"/>
      <c r="DY199" s="146"/>
      <c r="DZ199" s="146"/>
      <c r="EA199" s="102"/>
      <c r="EB199" s="102"/>
      <c r="EC199" s="157"/>
    </row>
    <row r="200" spans="1:133" x14ac:dyDescent="0.25">
      <c r="A200" s="95">
        <v>45689</v>
      </c>
      <c r="B200" s="75">
        <v>519.64285714285711</v>
      </c>
      <c r="C200" s="75">
        <v>650.1488095238094</v>
      </c>
      <c r="D200" s="75">
        <v>345.98214285714283</v>
      </c>
      <c r="E200" s="75">
        <v>382.30519480519479</v>
      </c>
      <c r="F200" s="75">
        <v>276.5625</v>
      </c>
      <c r="G200" s="75">
        <v>511.96428571428572</v>
      </c>
      <c r="H200" s="75">
        <v>553.57142857142856</v>
      </c>
      <c r="I200" s="75">
        <v>401.78571428571433</v>
      </c>
      <c r="J200" s="75">
        <v>395.75892857142861</v>
      </c>
      <c r="K200" s="75">
        <v>375.66105769230768</v>
      </c>
      <c r="N200" s="71">
        <v>2018</v>
      </c>
    </row>
    <row r="201" spans="1:133" x14ac:dyDescent="0.25">
      <c r="A201" s="95">
        <v>45717</v>
      </c>
      <c r="B201" s="75">
        <v>474.07142857142861</v>
      </c>
      <c r="C201" s="75"/>
      <c r="D201" s="75">
        <v>344.28571428571433</v>
      </c>
      <c r="E201" s="75">
        <v>403.67424242424244</v>
      </c>
      <c r="F201" s="75">
        <v>305.45279720279717</v>
      </c>
      <c r="G201" s="75">
        <v>593</v>
      </c>
      <c r="H201" s="75">
        <v>532.14285714285711</v>
      </c>
      <c r="I201" s="75">
        <v>399.91666666666669</v>
      </c>
      <c r="J201" s="75">
        <v>390.5</v>
      </c>
      <c r="K201" s="75">
        <v>401.25</v>
      </c>
      <c r="N201" s="71"/>
    </row>
    <row r="202" spans="1:133" x14ac:dyDescent="0.25">
      <c r="A202" s="95">
        <v>45748</v>
      </c>
      <c r="B202" s="75">
        <v>375.44642857142856</v>
      </c>
      <c r="C202" s="75"/>
      <c r="D202" s="75">
        <v>338.39285714285717</v>
      </c>
      <c r="E202" s="75">
        <v>397.91666666666663</v>
      </c>
      <c r="F202" s="75">
        <v>296.81013431013434</v>
      </c>
      <c r="G202" s="75">
        <v>610</v>
      </c>
      <c r="H202" s="75">
        <v>550</v>
      </c>
      <c r="I202" s="75">
        <v>406.04166666666669</v>
      </c>
      <c r="J202" s="75">
        <v>395.35714285714289</v>
      </c>
      <c r="K202" s="75">
        <v>425</v>
      </c>
      <c r="N202" s="71"/>
      <c r="R202" t="s">
        <v>165</v>
      </c>
      <c r="AB202" t="s">
        <v>165</v>
      </c>
      <c r="AL202" t="s">
        <v>165</v>
      </c>
      <c r="AV202" t="s">
        <v>165</v>
      </c>
      <c r="BG202" t="s">
        <v>165</v>
      </c>
      <c r="BP202" t="s">
        <v>165</v>
      </c>
      <c r="BZ202" t="s">
        <v>165</v>
      </c>
      <c r="CJ202" t="s">
        <v>165</v>
      </c>
      <c r="CT202" t="s">
        <v>165</v>
      </c>
      <c r="DD202" t="s">
        <v>165</v>
      </c>
      <c r="DN202" t="s">
        <v>165</v>
      </c>
      <c r="DX202" t="s">
        <v>165</v>
      </c>
    </row>
    <row r="203" spans="1:133" x14ac:dyDescent="0.25">
      <c r="A203" s="95">
        <v>45778</v>
      </c>
      <c r="B203" s="75">
        <v>331.69642857142856</v>
      </c>
      <c r="C203" s="75"/>
      <c r="D203" s="75">
        <v>327.67857142857139</v>
      </c>
      <c r="E203" s="75">
        <v>389.58333333333331</v>
      </c>
      <c r="F203" s="75">
        <v>295.53571428571433</v>
      </c>
      <c r="G203" s="75">
        <v>610</v>
      </c>
      <c r="H203" s="75">
        <v>550</v>
      </c>
      <c r="I203" s="75">
        <v>384.58333333333331</v>
      </c>
      <c r="J203" s="75">
        <v>365</v>
      </c>
      <c r="K203" s="75">
        <v>344.0230138888889</v>
      </c>
      <c r="N203" s="71"/>
      <c r="R203" t="s">
        <v>276</v>
      </c>
      <c r="AB203" t="s">
        <v>277</v>
      </c>
      <c r="AL203" t="s">
        <v>278</v>
      </c>
      <c r="AV203" t="s">
        <v>279</v>
      </c>
      <c r="BG203" t="s">
        <v>280</v>
      </c>
      <c r="BP203" t="s">
        <v>281</v>
      </c>
      <c r="BZ203" t="s">
        <v>282</v>
      </c>
      <c r="CJ203" t="s">
        <v>283</v>
      </c>
      <c r="CT203" t="s">
        <v>284</v>
      </c>
      <c r="DD203" t="s">
        <v>285</v>
      </c>
      <c r="DN203" t="s">
        <v>286</v>
      </c>
      <c r="DX203" t="s">
        <v>287</v>
      </c>
    </row>
    <row r="204" spans="1:133" x14ac:dyDescent="0.25">
      <c r="A204" s="95">
        <v>45809</v>
      </c>
      <c r="B204" s="75">
        <v>333.21428571428567</v>
      </c>
      <c r="C204" s="75"/>
      <c r="D204" s="75">
        <v>334.28571428571428</v>
      </c>
      <c r="E204" s="75">
        <v>394.16666666666663</v>
      </c>
      <c r="F204" s="75">
        <v>296.98412698412704</v>
      </c>
      <c r="G204" s="75">
        <v>610</v>
      </c>
      <c r="H204" s="75">
        <v>550</v>
      </c>
      <c r="I204" s="75">
        <v>378.5128205128205</v>
      </c>
      <c r="J204" s="75">
        <v>364.85714285714283</v>
      </c>
      <c r="K204" s="75">
        <v>411.11111111111114</v>
      </c>
      <c r="N204" s="71" t="s">
        <v>152</v>
      </c>
      <c r="P204" t="s">
        <v>153</v>
      </c>
      <c r="S204" t="s">
        <v>290</v>
      </c>
      <c r="X204" t="s">
        <v>152</v>
      </c>
      <c r="Z204" t="s">
        <v>153</v>
      </c>
      <c r="AC204" t="s">
        <v>290</v>
      </c>
      <c r="AH204" t="s">
        <v>152</v>
      </c>
      <c r="AJ204" t="s">
        <v>153</v>
      </c>
      <c r="AM204" t="s">
        <v>290</v>
      </c>
      <c r="AR204" t="s">
        <v>152</v>
      </c>
      <c r="AT204" t="s">
        <v>153</v>
      </c>
      <c r="AW204" t="s">
        <v>290</v>
      </c>
      <c r="BB204" t="s">
        <v>152</v>
      </c>
      <c r="BD204" t="s">
        <v>153</v>
      </c>
      <c r="BG204" t="s">
        <v>290</v>
      </c>
      <c r="BL204" t="s">
        <v>152</v>
      </c>
      <c r="BN204" t="s">
        <v>153</v>
      </c>
      <c r="BQ204" t="s">
        <v>290</v>
      </c>
      <c r="BV204" t="s">
        <v>152</v>
      </c>
      <c r="BX204" t="s">
        <v>153</v>
      </c>
      <c r="CA204" t="s">
        <v>290</v>
      </c>
      <c r="CF204" t="s">
        <v>152</v>
      </c>
      <c r="CH204" t="s">
        <v>153</v>
      </c>
      <c r="CK204" t="s">
        <v>290</v>
      </c>
      <c r="CP204" t="s">
        <v>152</v>
      </c>
      <c r="CR204" t="s">
        <v>153</v>
      </c>
      <c r="CU204" t="s">
        <v>290</v>
      </c>
      <c r="CZ204" t="s">
        <v>152</v>
      </c>
      <c r="DB204" t="s">
        <v>153</v>
      </c>
      <c r="DE204" t="s">
        <v>290</v>
      </c>
      <c r="DJ204" t="s">
        <v>152</v>
      </c>
      <c r="DL204" t="s">
        <v>153</v>
      </c>
      <c r="DO204" t="s">
        <v>290</v>
      </c>
      <c r="DT204" t="s">
        <v>152</v>
      </c>
      <c r="DV204" t="s">
        <v>153</v>
      </c>
      <c r="DY204" t="s">
        <v>290</v>
      </c>
    </row>
    <row r="205" spans="1:133" x14ac:dyDescent="0.25">
      <c r="A205" s="95">
        <v>45839</v>
      </c>
      <c r="B205" s="75">
        <v>369.64285714285717</v>
      </c>
      <c r="C205" s="75"/>
      <c r="D205" s="75">
        <v>340.17857142857144</v>
      </c>
      <c r="E205" s="75">
        <v>363.46153846153845</v>
      </c>
      <c r="F205" s="75">
        <v>276.09577922077921</v>
      </c>
      <c r="G205" s="75">
        <v>610</v>
      </c>
      <c r="H205" s="75">
        <v>550</v>
      </c>
      <c r="I205" s="75">
        <v>368.43749999999994</v>
      </c>
      <c r="J205" s="75">
        <v>362.85714285714283</v>
      </c>
      <c r="K205" s="75">
        <v>411.11111111111109</v>
      </c>
      <c r="N205" s="71" t="s">
        <v>291</v>
      </c>
      <c r="P205" t="s">
        <v>291</v>
      </c>
      <c r="S205" t="s">
        <v>291</v>
      </c>
      <c r="X205" t="s">
        <v>291</v>
      </c>
      <c r="Z205" t="s">
        <v>291</v>
      </c>
      <c r="AC205" t="s">
        <v>291</v>
      </c>
      <c r="AH205" t="s">
        <v>291</v>
      </c>
      <c r="AJ205" t="s">
        <v>291</v>
      </c>
      <c r="AM205" t="s">
        <v>291</v>
      </c>
      <c r="AR205" t="s">
        <v>291</v>
      </c>
      <c r="AT205" t="s">
        <v>291</v>
      </c>
      <c r="AW205" t="s">
        <v>291</v>
      </c>
      <c r="BB205" t="s">
        <v>291</v>
      </c>
      <c r="BD205" t="s">
        <v>291</v>
      </c>
      <c r="BG205" t="s">
        <v>291</v>
      </c>
      <c r="BL205" t="s">
        <v>291</v>
      </c>
      <c r="BN205" t="s">
        <v>291</v>
      </c>
      <c r="BQ205" t="s">
        <v>291</v>
      </c>
      <c r="BV205" t="s">
        <v>291</v>
      </c>
      <c r="BX205" t="s">
        <v>291</v>
      </c>
      <c r="CA205" t="s">
        <v>291</v>
      </c>
      <c r="CF205" t="s">
        <v>291</v>
      </c>
      <c r="CH205" t="s">
        <v>291</v>
      </c>
      <c r="CK205" t="s">
        <v>291</v>
      </c>
      <c r="CP205" t="s">
        <v>291</v>
      </c>
      <c r="CR205" t="s">
        <v>291</v>
      </c>
      <c r="CU205" t="s">
        <v>291</v>
      </c>
      <c r="CZ205" t="s">
        <v>291</v>
      </c>
      <c r="DB205" t="s">
        <v>291</v>
      </c>
      <c r="DE205" t="s">
        <v>291</v>
      </c>
      <c r="DJ205" t="s">
        <v>291</v>
      </c>
      <c r="DL205" t="s">
        <v>291</v>
      </c>
      <c r="DO205" t="s">
        <v>291</v>
      </c>
      <c r="DT205" t="s">
        <v>291</v>
      </c>
      <c r="DV205" t="s">
        <v>291</v>
      </c>
      <c r="DY205" t="s">
        <v>291</v>
      </c>
    </row>
    <row r="206" spans="1:133" x14ac:dyDescent="0.25">
      <c r="A206" s="95">
        <v>45870</v>
      </c>
      <c r="B206" s="75">
        <v>454.46428571428567</v>
      </c>
      <c r="C206" s="75"/>
      <c r="D206" s="75">
        <v>323.21428571428567</v>
      </c>
      <c r="E206" s="75">
        <v>345.53571428571428</v>
      </c>
      <c r="F206" s="75">
        <v>308.03571428571428</v>
      </c>
      <c r="G206" s="75">
        <v>217.85714285714286</v>
      </c>
      <c r="H206" s="75">
        <v>550</v>
      </c>
      <c r="I206" s="75">
        <v>327.5</v>
      </c>
      <c r="J206" s="75">
        <v>362.85714285714283</v>
      </c>
      <c r="K206" s="75">
        <v>261.53846153846155</v>
      </c>
      <c r="N206" s="71" t="s">
        <v>163</v>
      </c>
      <c r="O206" t="s">
        <v>155</v>
      </c>
      <c r="P206" t="s">
        <v>293</v>
      </c>
      <c r="Q206" t="s">
        <v>294</v>
      </c>
      <c r="R206" t="s">
        <v>295</v>
      </c>
      <c r="S206" t="s">
        <v>296</v>
      </c>
      <c r="U206" t="s">
        <v>297</v>
      </c>
      <c r="V206" t="s">
        <v>162</v>
      </c>
      <c r="W206" t="s">
        <v>163</v>
      </c>
      <c r="X206" t="s">
        <v>163</v>
      </c>
      <c r="Y206" t="s">
        <v>155</v>
      </c>
      <c r="Z206" t="s">
        <v>293</v>
      </c>
      <c r="AA206" t="s">
        <v>294</v>
      </c>
      <c r="AB206" t="s">
        <v>295</v>
      </c>
      <c r="AC206" t="s">
        <v>296</v>
      </c>
      <c r="AE206" t="s">
        <v>297</v>
      </c>
      <c r="AF206" t="s">
        <v>162</v>
      </c>
      <c r="AG206" t="s">
        <v>163</v>
      </c>
      <c r="AH206" t="s">
        <v>163</v>
      </c>
      <c r="AI206" t="s">
        <v>155</v>
      </c>
      <c r="AJ206" t="s">
        <v>293</v>
      </c>
      <c r="AK206" t="s">
        <v>294</v>
      </c>
      <c r="AL206" t="s">
        <v>295</v>
      </c>
      <c r="AM206" t="s">
        <v>296</v>
      </c>
      <c r="AO206" t="s">
        <v>297</v>
      </c>
      <c r="AP206" t="s">
        <v>162</v>
      </c>
      <c r="AQ206" t="s">
        <v>163</v>
      </c>
      <c r="AR206" t="s">
        <v>163</v>
      </c>
      <c r="AS206" t="s">
        <v>155</v>
      </c>
      <c r="AT206" t="s">
        <v>293</v>
      </c>
      <c r="AU206" t="s">
        <v>294</v>
      </c>
      <c r="AV206" t="s">
        <v>295</v>
      </c>
      <c r="AW206" t="s">
        <v>296</v>
      </c>
      <c r="AY206" t="s">
        <v>297</v>
      </c>
      <c r="AZ206" t="s">
        <v>162</v>
      </c>
      <c r="BA206" t="s">
        <v>163</v>
      </c>
      <c r="BB206" t="s">
        <v>163</v>
      </c>
      <c r="BC206" t="s">
        <v>155</v>
      </c>
      <c r="BD206" t="s">
        <v>293</v>
      </c>
      <c r="BE206" t="s">
        <v>294</v>
      </c>
      <c r="BF206" t="s">
        <v>295</v>
      </c>
      <c r="BG206" t="s">
        <v>296</v>
      </c>
      <c r="BI206" t="s">
        <v>297</v>
      </c>
      <c r="BJ206" t="s">
        <v>162</v>
      </c>
      <c r="BK206" t="s">
        <v>163</v>
      </c>
      <c r="BL206" t="s">
        <v>163</v>
      </c>
      <c r="BM206" t="s">
        <v>155</v>
      </c>
      <c r="BN206" t="s">
        <v>293</v>
      </c>
      <c r="BO206" t="s">
        <v>294</v>
      </c>
      <c r="BP206" t="s">
        <v>295</v>
      </c>
      <c r="BQ206" t="s">
        <v>296</v>
      </c>
      <c r="BS206" t="s">
        <v>297</v>
      </c>
      <c r="BT206" t="s">
        <v>162</v>
      </c>
      <c r="BU206" t="s">
        <v>163</v>
      </c>
      <c r="BV206" t="s">
        <v>163</v>
      </c>
      <c r="BW206" t="s">
        <v>155</v>
      </c>
      <c r="BX206" t="s">
        <v>293</v>
      </c>
      <c r="BY206" t="s">
        <v>294</v>
      </c>
      <c r="BZ206" t="s">
        <v>295</v>
      </c>
      <c r="CA206" t="s">
        <v>296</v>
      </c>
      <c r="CC206" t="s">
        <v>297</v>
      </c>
      <c r="CD206" t="s">
        <v>162</v>
      </c>
      <c r="CE206" t="s">
        <v>163</v>
      </c>
      <c r="CF206" t="s">
        <v>163</v>
      </c>
      <c r="CG206" t="s">
        <v>155</v>
      </c>
      <c r="CH206" t="s">
        <v>293</v>
      </c>
      <c r="CI206" t="s">
        <v>294</v>
      </c>
      <c r="CJ206" t="s">
        <v>295</v>
      </c>
      <c r="CK206" t="s">
        <v>296</v>
      </c>
      <c r="CM206" t="s">
        <v>297</v>
      </c>
      <c r="CN206" t="s">
        <v>162</v>
      </c>
      <c r="CO206" t="s">
        <v>163</v>
      </c>
      <c r="CP206" t="s">
        <v>163</v>
      </c>
      <c r="CQ206" t="s">
        <v>155</v>
      </c>
      <c r="CR206" t="s">
        <v>293</v>
      </c>
      <c r="CS206" t="s">
        <v>294</v>
      </c>
      <c r="CT206" t="s">
        <v>295</v>
      </c>
      <c r="CU206" t="s">
        <v>296</v>
      </c>
      <c r="CW206" t="s">
        <v>297</v>
      </c>
      <c r="CX206" t="s">
        <v>162</v>
      </c>
      <c r="CY206" t="s">
        <v>163</v>
      </c>
      <c r="CZ206" t="s">
        <v>163</v>
      </c>
      <c r="DA206" t="s">
        <v>155</v>
      </c>
      <c r="DB206" t="s">
        <v>293</v>
      </c>
      <c r="DC206" t="s">
        <v>294</v>
      </c>
      <c r="DD206" t="s">
        <v>295</v>
      </c>
      <c r="DE206" t="s">
        <v>296</v>
      </c>
      <c r="DG206" t="s">
        <v>297</v>
      </c>
      <c r="DH206" t="s">
        <v>162</v>
      </c>
      <c r="DI206" t="s">
        <v>163</v>
      </c>
      <c r="DJ206" t="s">
        <v>163</v>
      </c>
      <c r="DK206" t="s">
        <v>155</v>
      </c>
      <c r="DL206" t="s">
        <v>293</v>
      </c>
      <c r="DM206" t="s">
        <v>294</v>
      </c>
      <c r="DN206" t="s">
        <v>295</v>
      </c>
      <c r="DO206" t="s">
        <v>296</v>
      </c>
      <c r="DQ206" t="s">
        <v>297</v>
      </c>
      <c r="DR206" t="s">
        <v>162</v>
      </c>
      <c r="DS206" t="s">
        <v>163</v>
      </c>
      <c r="DT206" t="s">
        <v>163</v>
      </c>
      <c r="DU206" t="s">
        <v>155</v>
      </c>
      <c r="DV206" t="s">
        <v>293</v>
      </c>
      <c r="DW206" t="s">
        <v>294</v>
      </c>
      <c r="DX206" t="s">
        <v>295</v>
      </c>
      <c r="DY206" t="s">
        <v>296</v>
      </c>
      <c r="EA206" t="s">
        <v>297</v>
      </c>
      <c r="EB206" t="s">
        <v>162</v>
      </c>
      <c r="EC206" t="s">
        <v>163</v>
      </c>
    </row>
    <row r="207" spans="1:133" x14ac:dyDescent="0.25">
      <c r="A207" s="95">
        <v>45901</v>
      </c>
      <c r="B207" s="75"/>
      <c r="C207" s="75">
        <v>585.35714285714278</v>
      </c>
      <c r="D207" s="75">
        <v>335</v>
      </c>
      <c r="E207" s="75">
        <v>349.28571428571433</v>
      </c>
      <c r="F207" s="75">
        <v>308.92857142857144</v>
      </c>
      <c r="G207" s="75">
        <v>217.85714285714283</v>
      </c>
      <c r="H207" s="75">
        <v>550</v>
      </c>
      <c r="I207" s="75">
        <v>317.07142857142856</v>
      </c>
      <c r="J207" s="75">
        <v>358.57142857142856</v>
      </c>
      <c r="K207" s="75">
        <v>253.53846153846152</v>
      </c>
      <c r="N207" s="71"/>
      <c r="S207" t="s">
        <v>159</v>
      </c>
      <c r="T207" t="s">
        <v>160</v>
      </c>
      <c r="AC207" t="s">
        <v>159</v>
      </c>
      <c r="AD207" t="s">
        <v>160</v>
      </c>
      <c r="AM207" t="s">
        <v>159</v>
      </c>
      <c r="AN207" t="s">
        <v>160</v>
      </c>
      <c r="AW207" t="s">
        <v>159</v>
      </c>
      <c r="AX207" t="s">
        <v>160</v>
      </c>
      <c r="BG207" t="s">
        <v>159</v>
      </c>
      <c r="BH207" t="s">
        <v>160</v>
      </c>
      <c r="BQ207" t="s">
        <v>159</v>
      </c>
      <c r="BR207" t="s">
        <v>160</v>
      </c>
      <c r="CA207" t="s">
        <v>159</v>
      </c>
      <c r="CB207" t="s">
        <v>160</v>
      </c>
      <c r="CK207" t="s">
        <v>159</v>
      </c>
      <c r="CL207" t="s">
        <v>160</v>
      </c>
      <c r="CU207" t="s">
        <v>159</v>
      </c>
      <c r="CV207" t="s">
        <v>160</v>
      </c>
      <c r="DE207" t="s">
        <v>159</v>
      </c>
      <c r="DF207" t="s">
        <v>160</v>
      </c>
      <c r="DO207" t="s">
        <v>159</v>
      </c>
      <c r="DP207" t="s">
        <v>160</v>
      </c>
      <c r="DY207" t="s">
        <v>159</v>
      </c>
      <c r="DZ207" t="s">
        <v>160</v>
      </c>
    </row>
    <row r="208" spans="1:133" x14ac:dyDescent="0.25">
      <c r="A208" s="95">
        <v>45931</v>
      </c>
      <c r="B208" s="75"/>
      <c r="C208" s="75">
        <v>543.30357142857133</v>
      </c>
      <c r="D208" s="75">
        <v>332.14285714285717</v>
      </c>
      <c r="E208" s="75">
        <v>365.47619047619042</v>
      </c>
      <c r="F208" s="75">
        <v>308.92857142857144</v>
      </c>
      <c r="G208" s="75">
        <v>310.53571428571428</v>
      </c>
      <c r="H208" s="75">
        <v>548.21428571428578</v>
      </c>
      <c r="I208" s="75">
        <v>310.21915584415581</v>
      </c>
      <c r="J208" s="75">
        <v>356.49107142857144</v>
      </c>
      <c r="K208" s="75">
        <v>278.58173076923077</v>
      </c>
      <c r="N208" s="71"/>
      <c r="O208">
        <v>412.5</v>
      </c>
      <c r="P208">
        <v>250</v>
      </c>
      <c r="Q208">
        <v>256.25</v>
      </c>
      <c r="R208">
        <v>212.5</v>
      </c>
      <c r="S208">
        <v>450</v>
      </c>
      <c r="T208">
        <v>350</v>
      </c>
      <c r="U208">
        <v>300</v>
      </c>
      <c r="V208">
        <v>300</v>
      </c>
      <c r="W208">
        <v>300</v>
      </c>
      <c r="Y208">
        <v>487.5</v>
      </c>
      <c r="Z208">
        <v>250</v>
      </c>
      <c r="AA208">
        <v>250</v>
      </c>
      <c r="AB208">
        <v>212.5</v>
      </c>
      <c r="AC208">
        <v>450</v>
      </c>
      <c r="AD208">
        <v>362.5</v>
      </c>
      <c r="AE208">
        <v>300</v>
      </c>
      <c r="AF208">
        <v>300</v>
      </c>
      <c r="AG208">
        <v>300</v>
      </c>
      <c r="AH208">
        <v>425</v>
      </c>
      <c r="AI208">
        <v>600</v>
      </c>
      <c r="AJ208">
        <v>250</v>
      </c>
      <c r="AK208">
        <v>250</v>
      </c>
      <c r="AL208">
        <v>225</v>
      </c>
      <c r="AM208">
        <v>450</v>
      </c>
      <c r="AN208">
        <v>350</v>
      </c>
      <c r="AO208">
        <v>300</v>
      </c>
      <c r="AP208">
        <v>300</v>
      </c>
      <c r="AQ208">
        <v>300</v>
      </c>
      <c r="AR208">
        <v>337.5</v>
      </c>
      <c r="AS208">
        <v>600</v>
      </c>
      <c r="AT208">
        <v>250</v>
      </c>
      <c r="AU208">
        <v>268.75</v>
      </c>
      <c r="AV208">
        <v>225</v>
      </c>
      <c r="AW208">
        <v>450</v>
      </c>
      <c r="AX208">
        <v>350</v>
      </c>
      <c r="AY208">
        <v>300</v>
      </c>
      <c r="AZ208">
        <v>300</v>
      </c>
      <c r="BA208">
        <v>300</v>
      </c>
      <c r="BB208">
        <v>300</v>
      </c>
      <c r="BD208">
        <v>250</v>
      </c>
      <c r="BE208">
        <v>281.25</v>
      </c>
      <c r="BF208">
        <v>231.25</v>
      </c>
      <c r="BG208">
        <v>450</v>
      </c>
      <c r="BH208">
        <v>350</v>
      </c>
      <c r="BI208">
        <v>300</v>
      </c>
      <c r="BJ208">
        <v>300</v>
      </c>
      <c r="BK208">
        <v>300</v>
      </c>
      <c r="BL208">
        <v>340</v>
      </c>
      <c r="BN208">
        <v>250</v>
      </c>
      <c r="BO208">
        <v>285</v>
      </c>
      <c r="BP208">
        <v>235</v>
      </c>
      <c r="BQ208">
        <v>440</v>
      </c>
      <c r="BR208">
        <v>350</v>
      </c>
      <c r="BS208">
        <v>300</v>
      </c>
      <c r="BT208">
        <v>300</v>
      </c>
      <c r="BU208">
        <v>300</v>
      </c>
      <c r="BV208">
        <v>420.95238095238091</v>
      </c>
      <c r="BX208">
        <v>250</v>
      </c>
      <c r="BY208">
        <v>323</v>
      </c>
      <c r="BZ208">
        <v>250.66666666666669</v>
      </c>
      <c r="CA208">
        <v>440</v>
      </c>
      <c r="CB208">
        <v>350</v>
      </c>
      <c r="CC208">
        <v>300</v>
      </c>
      <c r="CD208">
        <v>300</v>
      </c>
      <c r="CE208">
        <v>300</v>
      </c>
      <c r="CF208">
        <v>425</v>
      </c>
      <c r="CH208">
        <v>250</v>
      </c>
      <c r="CI208">
        <v>293.75</v>
      </c>
      <c r="CJ208">
        <v>250</v>
      </c>
      <c r="CK208">
        <v>450</v>
      </c>
      <c r="CL208">
        <v>350</v>
      </c>
      <c r="CM208">
        <v>300</v>
      </c>
      <c r="CN208">
        <v>300</v>
      </c>
      <c r="CO208">
        <v>300</v>
      </c>
      <c r="CP208">
        <v>500</v>
      </c>
      <c r="CQ208">
        <v>462.5</v>
      </c>
      <c r="CR208">
        <v>250</v>
      </c>
      <c r="CS208">
        <v>300</v>
      </c>
      <c r="CT208">
        <v>256.25</v>
      </c>
      <c r="CU208">
        <v>412.5</v>
      </c>
      <c r="CV208">
        <v>350</v>
      </c>
      <c r="CW208">
        <v>300</v>
      </c>
      <c r="CX208">
        <v>300</v>
      </c>
      <c r="CY208">
        <v>300</v>
      </c>
      <c r="DA208">
        <v>487.5</v>
      </c>
      <c r="DB208">
        <v>250</v>
      </c>
      <c r="DC208">
        <v>300</v>
      </c>
      <c r="DD208">
        <v>237.5</v>
      </c>
      <c r="DE208">
        <v>450</v>
      </c>
      <c r="DF208">
        <v>350</v>
      </c>
      <c r="DG208">
        <v>300</v>
      </c>
      <c r="DH208">
        <v>300</v>
      </c>
      <c r="DI208">
        <v>262.5</v>
      </c>
      <c r="DK208">
        <v>600</v>
      </c>
      <c r="DL208">
        <v>250</v>
      </c>
      <c r="DM208">
        <v>300</v>
      </c>
      <c r="DN208">
        <v>250</v>
      </c>
      <c r="DO208">
        <v>450</v>
      </c>
      <c r="DP208">
        <v>400</v>
      </c>
      <c r="DQ208">
        <v>300</v>
      </c>
      <c r="DR208">
        <v>300</v>
      </c>
      <c r="DS208">
        <v>300</v>
      </c>
      <c r="DU208">
        <v>583.33333333333337</v>
      </c>
      <c r="DV208">
        <v>250</v>
      </c>
      <c r="DW208">
        <v>287.5</v>
      </c>
      <c r="DX208">
        <v>250</v>
      </c>
      <c r="DY208">
        <v>450</v>
      </c>
      <c r="DZ208">
        <v>400</v>
      </c>
      <c r="EA208">
        <v>300</v>
      </c>
      <c r="EB208">
        <v>300</v>
      </c>
      <c r="EC208">
        <v>312.5</v>
      </c>
    </row>
    <row r="209" spans="1:133" x14ac:dyDescent="0.25">
      <c r="A209" s="95">
        <v>45962</v>
      </c>
      <c r="B209" s="75"/>
      <c r="C209" s="75">
        <v>500</v>
      </c>
      <c r="D209" s="75">
        <v>336.60714285714289</v>
      </c>
      <c r="E209" s="75">
        <v>408.85416666666669</v>
      </c>
      <c r="F209" s="75">
        <v>308.5164835164835</v>
      </c>
      <c r="G209" s="75">
        <v>586.25</v>
      </c>
      <c r="H209" s="75">
        <v>546.32142857142867</v>
      </c>
      <c r="I209" s="75">
        <v>393.88888888888891</v>
      </c>
      <c r="J209" s="75">
        <v>354.01785714285711</v>
      </c>
      <c r="K209" s="75">
        <v>417.1875</v>
      </c>
      <c r="N209" s="71"/>
    </row>
    <row r="210" spans="1:133" x14ac:dyDescent="0.25">
      <c r="A210" s="95">
        <v>45992</v>
      </c>
      <c r="C210" s="75">
        <v>516.96428571428567</v>
      </c>
      <c r="D210" s="75">
        <v>333.03571428571428</v>
      </c>
      <c r="E210" s="75">
        <v>366.14583333333331</v>
      </c>
      <c r="F210" s="75">
        <v>295.22664835164835</v>
      </c>
      <c r="G210" s="75">
        <v>575</v>
      </c>
      <c r="H210" s="75">
        <v>542.85714285714289</v>
      </c>
      <c r="I210" s="75">
        <v>392.22222222222223</v>
      </c>
      <c r="J210" s="75">
        <v>351.78571428571422</v>
      </c>
      <c r="K210" s="75">
        <v>413.88888888888891</v>
      </c>
      <c r="N210" s="102"/>
      <c r="O210" s="102">
        <v>450</v>
      </c>
      <c r="P210" s="102">
        <v>268.75</v>
      </c>
      <c r="Q210" s="102">
        <v>268.75</v>
      </c>
      <c r="R210" s="102">
        <v>250</v>
      </c>
      <c r="S210" s="102">
        <v>450</v>
      </c>
      <c r="T210" s="102">
        <v>350</v>
      </c>
      <c r="U210" s="102">
        <v>300</v>
      </c>
      <c r="V210" s="102">
        <v>275</v>
      </c>
      <c r="W210" s="157">
        <v>293.75</v>
      </c>
      <c r="X210" s="102"/>
      <c r="Y210" s="102">
        <v>462.5</v>
      </c>
      <c r="Z210" s="102">
        <v>268.75</v>
      </c>
      <c r="AA210" s="102">
        <v>268.75</v>
      </c>
      <c r="AB210" s="102">
        <v>250</v>
      </c>
      <c r="AC210" s="102">
        <v>450</v>
      </c>
      <c r="AD210" s="102">
        <v>350</v>
      </c>
      <c r="AE210" s="102">
        <v>300</v>
      </c>
      <c r="AF210" s="102">
        <v>275</v>
      </c>
      <c r="AG210" s="157">
        <v>300</v>
      </c>
      <c r="AH210" s="102">
        <v>412.5</v>
      </c>
      <c r="AI210" s="102">
        <v>625</v>
      </c>
      <c r="AJ210" s="102">
        <v>237.5</v>
      </c>
      <c r="AK210" s="102">
        <v>250</v>
      </c>
      <c r="AL210" s="102">
        <v>250</v>
      </c>
      <c r="AM210" s="102">
        <v>450</v>
      </c>
      <c r="AN210" s="102">
        <v>350</v>
      </c>
      <c r="AO210" s="102">
        <v>300</v>
      </c>
      <c r="AP210" s="102">
        <v>275</v>
      </c>
      <c r="AQ210" s="157">
        <v>300</v>
      </c>
      <c r="AR210" s="102">
        <v>300</v>
      </c>
      <c r="AS210" s="102">
        <v>600</v>
      </c>
      <c r="AT210" s="102">
        <v>250</v>
      </c>
      <c r="AU210" s="102">
        <v>250</v>
      </c>
      <c r="AV210" s="102">
        <v>250</v>
      </c>
      <c r="AW210" s="102">
        <v>450</v>
      </c>
      <c r="AX210" s="102">
        <v>350</v>
      </c>
      <c r="AY210" s="102">
        <v>300</v>
      </c>
      <c r="AZ210" s="102">
        <v>265</v>
      </c>
      <c r="BA210" s="157">
        <v>300</v>
      </c>
      <c r="BB210" s="102">
        <v>293.75</v>
      </c>
      <c r="BC210" s="102"/>
      <c r="BD210" s="102">
        <v>250</v>
      </c>
      <c r="BE210" s="102">
        <v>250</v>
      </c>
      <c r="BF210" s="102">
        <v>250</v>
      </c>
      <c r="BG210" s="102">
        <v>450</v>
      </c>
      <c r="BH210" s="102">
        <v>350</v>
      </c>
      <c r="BI210" s="102">
        <v>293.75</v>
      </c>
      <c r="BJ210" s="102">
        <v>271.66666666666669</v>
      </c>
      <c r="BK210" s="157">
        <v>300</v>
      </c>
      <c r="BL210" s="102">
        <v>330</v>
      </c>
      <c r="BM210" s="102"/>
      <c r="BN210" s="102">
        <v>250</v>
      </c>
      <c r="BO210" s="102">
        <v>245</v>
      </c>
      <c r="BP210" s="102">
        <v>248</v>
      </c>
      <c r="BQ210" s="102">
        <v>450</v>
      </c>
      <c r="BR210" s="102">
        <v>350</v>
      </c>
      <c r="BS210" s="102">
        <v>300</v>
      </c>
      <c r="BT210" s="102">
        <v>264</v>
      </c>
      <c r="BU210" s="157">
        <v>300</v>
      </c>
      <c r="BV210" s="102">
        <v>399.4736842105263</v>
      </c>
      <c r="BW210" s="102"/>
      <c r="BX210" s="102">
        <v>250</v>
      </c>
      <c r="BY210" s="102">
        <v>245</v>
      </c>
      <c r="BZ210" s="102">
        <v>248</v>
      </c>
      <c r="CA210" s="102">
        <v>450</v>
      </c>
      <c r="CB210" s="102">
        <v>350</v>
      </c>
      <c r="CC210" s="102">
        <v>300</v>
      </c>
      <c r="CD210" s="102">
        <v>254.4</v>
      </c>
      <c r="CE210" s="102">
        <v>300</v>
      </c>
      <c r="CF210" s="102">
        <v>387.5</v>
      </c>
      <c r="CG210" s="102"/>
      <c r="CH210" s="102">
        <v>268.75</v>
      </c>
      <c r="CI210" s="102">
        <v>300</v>
      </c>
      <c r="CJ210" s="102">
        <v>250</v>
      </c>
      <c r="CK210" s="102">
        <v>450</v>
      </c>
      <c r="CL210" s="102">
        <v>350</v>
      </c>
      <c r="CM210" s="102">
        <v>281.25</v>
      </c>
      <c r="CN210" s="102">
        <v>263.75</v>
      </c>
      <c r="CO210" s="102">
        <v>300</v>
      </c>
      <c r="CP210" s="102">
        <v>400</v>
      </c>
      <c r="CQ210" s="102">
        <v>425</v>
      </c>
      <c r="CR210" s="102">
        <v>268.75</v>
      </c>
      <c r="CS210" s="102">
        <v>312.5</v>
      </c>
      <c r="CT210" s="102">
        <v>243.75</v>
      </c>
      <c r="CU210" s="102">
        <v>450</v>
      </c>
      <c r="CV210" s="102">
        <v>350</v>
      </c>
      <c r="CW210" s="102">
        <v>280</v>
      </c>
      <c r="CX210" s="102">
        <v>265</v>
      </c>
      <c r="CY210" s="102">
        <v>300</v>
      </c>
      <c r="CZ210" s="102"/>
      <c r="DA210" s="102">
        <v>475</v>
      </c>
      <c r="DB210" s="102">
        <v>275</v>
      </c>
      <c r="DC210" s="102">
        <v>300</v>
      </c>
      <c r="DD210" s="102">
        <v>262.5</v>
      </c>
      <c r="DE210" s="102">
        <v>450</v>
      </c>
      <c r="DF210" s="102">
        <v>350</v>
      </c>
      <c r="DG210" s="102">
        <v>283.75</v>
      </c>
      <c r="DH210" s="102">
        <v>265</v>
      </c>
      <c r="DI210" s="102">
        <v>300</v>
      </c>
      <c r="DJ210" s="102"/>
      <c r="DK210" s="102">
        <v>550</v>
      </c>
      <c r="DL210" s="102">
        <v>275</v>
      </c>
      <c r="DM210" s="102">
        <v>293.75</v>
      </c>
      <c r="DN210" s="102">
        <v>250</v>
      </c>
      <c r="DO210" s="102">
        <v>450</v>
      </c>
      <c r="DP210" s="102">
        <v>375</v>
      </c>
      <c r="DQ210" s="102">
        <v>292.5</v>
      </c>
      <c r="DR210" s="102">
        <v>273.75</v>
      </c>
      <c r="DS210" s="102">
        <v>300</v>
      </c>
      <c r="DT210" s="102"/>
      <c r="DU210" s="102">
        <v>600</v>
      </c>
      <c r="DV210" s="102">
        <v>275</v>
      </c>
      <c r="DW210" s="102">
        <v>300</v>
      </c>
      <c r="DX210" s="102">
        <v>250</v>
      </c>
      <c r="DY210" s="102">
        <v>450</v>
      </c>
      <c r="DZ210" s="102">
        <v>412.5</v>
      </c>
      <c r="EA210" s="102">
        <v>282.5</v>
      </c>
      <c r="EB210" s="102">
        <v>265</v>
      </c>
      <c r="EC210" s="102">
        <v>300</v>
      </c>
    </row>
    <row r="211" spans="1:133" x14ac:dyDescent="0.25">
      <c r="A211" s="95">
        <v>46023</v>
      </c>
      <c r="C211" s="75">
        <v>520.625</v>
      </c>
      <c r="D211" s="75">
        <v>333.98809523809524</v>
      </c>
      <c r="E211" s="75">
        <v>382.83234126984127</v>
      </c>
      <c r="F211" s="75">
        <v>305.13736263736263</v>
      </c>
      <c r="G211" s="75">
        <v>490.59523809523807</v>
      </c>
      <c r="H211" s="75">
        <v>546.03571428571433</v>
      </c>
      <c r="I211" s="75">
        <v>365.55453342953342</v>
      </c>
      <c r="J211" s="75">
        <v>354.21726190476193</v>
      </c>
      <c r="K211" s="75">
        <v>370.41844729344729</v>
      </c>
      <c r="N211" s="102"/>
      <c r="O211" s="102">
        <v>425</v>
      </c>
      <c r="P211" s="102">
        <v>250</v>
      </c>
      <c r="Q211" s="102"/>
      <c r="R211" s="102">
        <v>200</v>
      </c>
      <c r="S211" s="102"/>
      <c r="T211" s="102">
        <v>400</v>
      </c>
      <c r="U211" s="102">
        <v>300</v>
      </c>
      <c r="V211" s="102"/>
      <c r="W211" s="157">
        <v>293.75</v>
      </c>
      <c r="X211" s="102"/>
      <c r="Y211" s="102">
        <v>562.5</v>
      </c>
      <c r="Z211" s="102">
        <v>243.75</v>
      </c>
      <c r="AA211" s="102"/>
      <c r="AB211" s="102">
        <v>218.75</v>
      </c>
      <c r="AC211" s="102"/>
      <c r="AD211" s="102">
        <v>400</v>
      </c>
      <c r="AE211" s="102">
        <v>300</v>
      </c>
      <c r="AF211" s="102"/>
      <c r="AG211" s="157">
        <v>300</v>
      </c>
      <c r="AH211" s="102">
        <v>412.5</v>
      </c>
      <c r="AI211" s="102">
        <v>566.66666666666663</v>
      </c>
      <c r="AJ211" s="102">
        <v>225</v>
      </c>
      <c r="AK211" s="102"/>
      <c r="AL211" s="102">
        <v>225</v>
      </c>
      <c r="AM211" s="102"/>
      <c r="AN211" s="102">
        <v>400</v>
      </c>
      <c r="AO211" s="102">
        <v>300</v>
      </c>
      <c r="AP211" s="102"/>
      <c r="AQ211" s="157">
        <v>300</v>
      </c>
      <c r="AR211" s="102">
        <v>312.5</v>
      </c>
      <c r="AS211" s="102"/>
      <c r="AT211" s="102">
        <v>225</v>
      </c>
      <c r="AU211" s="102"/>
      <c r="AV211" s="102">
        <v>225</v>
      </c>
      <c r="AW211" s="102"/>
      <c r="AX211" s="102">
        <v>400</v>
      </c>
      <c r="AY211" s="102">
        <v>300</v>
      </c>
      <c r="AZ211" s="102"/>
      <c r="BA211" s="157">
        <v>300</v>
      </c>
      <c r="BB211" s="102">
        <v>262.5</v>
      </c>
      <c r="BC211" s="102"/>
      <c r="BD211" s="102">
        <v>225</v>
      </c>
      <c r="BE211" s="102"/>
      <c r="BF211" s="102">
        <v>225</v>
      </c>
      <c r="BG211" s="102"/>
      <c r="BH211" s="102">
        <v>400</v>
      </c>
      <c r="BI211" s="102">
        <v>300</v>
      </c>
      <c r="BJ211" s="102"/>
      <c r="BK211" s="157">
        <v>300</v>
      </c>
      <c r="BL211" s="102">
        <v>300</v>
      </c>
      <c r="BM211" s="102"/>
      <c r="BN211" s="102">
        <v>225</v>
      </c>
      <c r="BO211" s="102"/>
      <c r="BP211" s="102">
        <v>220</v>
      </c>
      <c r="BQ211" s="102"/>
      <c r="BR211" s="102">
        <v>400</v>
      </c>
      <c r="BS211" s="102">
        <v>300</v>
      </c>
      <c r="BT211" s="102"/>
      <c r="BU211" s="157">
        <v>292</v>
      </c>
      <c r="BV211" s="102">
        <v>360</v>
      </c>
      <c r="BW211" s="102"/>
      <c r="BX211" s="102">
        <v>232.75862068965517</v>
      </c>
      <c r="BY211" s="102"/>
      <c r="BZ211" s="102">
        <v>220</v>
      </c>
      <c r="CA211" s="102"/>
      <c r="CB211" s="102">
        <v>384</v>
      </c>
      <c r="CC211" s="102">
        <v>327.27272727272725</v>
      </c>
      <c r="CD211" s="102"/>
      <c r="CE211" s="102">
        <v>267.66666666666669</v>
      </c>
      <c r="CF211" s="102">
        <v>375</v>
      </c>
      <c r="CG211" s="102"/>
      <c r="CH211" s="102">
        <v>225</v>
      </c>
      <c r="CI211" s="102"/>
      <c r="CJ211" s="102">
        <v>225</v>
      </c>
      <c r="CK211" s="102"/>
      <c r="CL211" s="102">
        <v>400</v>
      </c>
      <c r="CM211" s="102">
        <v>300</v>
      </c>
      <c r="CN211" s="102"/>
      <c r="CO211" s="102">
        <v>300</v>
      </c>
      <c r="CP211" s="102">
        <v>450</v>
      </c>
      <c r="CQ211" s="102">
        <v>525</v>
      </c>
      <c r="CR211" s="102">
        <v>256.25</v>
      </c>
      <c r="CS211" s="102"/>
      <c r="CT211" s="102">
        <v>221.25</v>
      </c>
      <c r="CU211" s="102"/>
      <c r="CV211" s="102">
        <v>400</v>
      </c>
      <c r="CW211" s="102">
        <v>300</v>
      </c>
      <c r="CX211" s="102"/>
      <c r="CY211" s="102">
        <v>286.25</v>
      </c>
      <c r="CZ211" s="102"/>
      <c r="DA211" s="102">
        <v>487.5</v>
      </c>
      <c r="DB211" s="102">
        <v>250</v>
      </c>
      <c r="DC211" s="102"/>
      <c r="DD211" s="102">
        <v>203.75</v>
      </c>
      <c r="DE211" s="102"/>
      <c r="DF211" s="102">
        <v>400</v>
      </c>
      <c r="DG211" s="102">
        <v>300</v>
      </c>
      <c r="DH211" s="102"/>
      <c r="DI211" s="102">
        <v>325</v>
      </c>
      <c r="DJ211" s="102"/>
      <c r="DK211" s="102">
        <v>575</v>
      </c>
      <c r="DL211" s="102">
        <v>243.75</v>
      </c>
      <c r="DM211" s="102"/>
      <c r="DN211" s="102">
        <v>232.5</v>
      </c>
      <c r="DO211" s="102"/>
      <c r="DP211" s="102">
        <v>400</v>
      </c>
      <c r="DQ211" s="102">
        <v>300</v>
      </c>
      <c r="DR211" s="102"/>
      <c r="DS211" s="102">
        <v>300</v>
      </c>
      <c r="DT211" s="102"/>
      <c r="DU211" s="102">
        <v>600</v>
      </c>
      <c r="DV211" s="102">
        <v>243.75</v>
      </c>
      <c r="DW211" s="102"/>
      <c r="DX211" s="102">
        <v>225</v>
      </c>
      <c r="DY211" s="102"/>
      <c r="DZ211" s="102">
        <v>412.5</v>
      </c>
      <c r="EA211" s="102">
        <v>300</v>
      </c>
      <c r="EB211" s="102"/>
      <c r="EC211" s="102">
        <v>300</v>
      </c>
    </row>
    <row r="212" spans="1:133" x14ac:dyDescent="0.25">
      <c r="A212" t="s">
        <v>486</v>
      </c>
      <c r="N212" s="102"/>
      <c r="O212" s="102">
        <v>462.5</v>
      </c>
      <c r="P212" s="102">
        <v>275</v>
      </c>
      <c r="Q212" s="102">
        <v>250</v>
      </c>
      <c r="R212" s="102">
        <v>250</v>
      </c>
      <c r="S212" s="102"/>
      <c r="T212" s="102">
        <v>400</v>
      </c>
      <c r="U212" s="102">
        <v>300</v>
      </c>
      <c r="V212" s="102"/>
      <c r="W212" s="157">
        <v>300</v>
      </c>
      <c r="X212" s="102"/>
      <c r="Y212" s="102">
        <v>500</v>
      </c>
      <c r="Z212" s="102">
        <v>275</v>
      </c>
      <c r="AA212" s="102">
        <v>243.75</v>
      </c>
      <c r="AB212" s="102">
        <v>262.5</v>
      </c>
      <c r="AC212" s="102"/>
      <c r="AD212" s="102">
        <v>400</v>
      </c>
      <c r="AE212" s="102">
        <v>300</v>
      </c>
      <c r="AF212" s="102"/>
      <c r="AG212" s="157">
        <v>300</v>
      </c>
      <c r="AH212" s="102">
        <v>350</v>
      </c>
      <c r="AI212" s="102">
        <v>450</v>
      </c>
      <c r="AJ212" s="102">
        <v>250</v>
      </c>
      <c r="AK212" s="102">
        <v>250</v>
      </c>
      <c r="AL212" s="102">
        <v>250</v>
      </c>
      <c r="AM212" s="102"/>
      <c r="AN212" s="102">
        <v>400</v>
      </c>
      <c r="AO212" s="102">
        <v>300</v>
      </c>
      <c r="AP212" s="102"/>
      <c r="AQ212" s="157">
        <v>300</v>
      </c>
      <c r="AR212" s="102">
        <v>281.25</v>
      </c>
      <c r="AS212" s="102">
        <v>400</v>
      </c>
      <c r="AT212" s="102">
        <v>250</v>
      </c>
      <c r="AU212" s="102">
        <v>250</v>
      </c>
      <c r="AV212" s="102">
        <v>250</v>
      </c>
      <c r="AW212" s="102"/>
      <c r="AX212" s="102">
        <v>400</v>
      </c>
      <c r="AY212" s="102">
        <v>300</v>
      </c>
      <c r="AZ212" s="102"/>
      <c r="BA212" s="157">
        <v>300</v>
      </c>
      <c r="BB212" s="102">
        <v>237.5</v>
      </c>
      <c r="BC212" s="102"/>
      <c r="BD212" s="102">
        <v>250</v>
      </c>
      <c r="BE212" s="102">
        <v>225</v>
      </c>
      <c r="BF212" s="102">
        <v>237.5</v>
      </c>
      <c r="BG212" s="102"/>
      <c r="BH212" s="102">
        <v>400</v>
      </c>
      <c r="BI212" s="102">
        <v>300</v>
      </c>
      <c r="BJ212" s="102"/>
      <c r="BK212" s="157">
        <v>300</v>
      </c>
      <c r="BL212" s="102">
        <v>330</v>
      </c>
      <c r="BM212" s="102"/>
      <c r="BN212" s="102">
        <v>250</v>
      </c>
      <c r="BO212" s="102">
        <v>215</v>
      </c>
      <c r="BP212" s="102">
        <v>250</v>
      </c>
      <c r="BQ212" s="102"/>
      <c r="BR212" s="102">
        <v>400</v>
      </c>
      <c r="BS212" s="102">
        <v>300</v>
      </c>
      <c r="BT212" s="102"/>
      <c r="BU212" s="157">
        <v>300</v>
      </c>
      <c r="BV212" s="102">
        <v>411.08571428571423</v>
      </c>
      <c r="BW212" s="102"/>
      <c r="BX212" s="102">
        <v>250</v>
      </c>
      <c r="BY212" s="102">
        <v>215</v>
      </c>
      <c r="BZ212" s="102">
        <v>250</v>
      </c>
      <c r="CA212" s="102"/>
      <c r="CB212" s="102">
        <v>384</v>
      </c>
      <c r="CC212" s="102">
        <v>300</v>
      </c>
      <c r="CD212" s="102"/>
      <c r="CE212" s="102">
        <v>300</v>
      </c>
      <c r="CF212" s="102">
        <v>425</v>
      </c>
      <c r="CG212" s="102"/>
      <c r="CH212" s="102">
        <v>250</v>
      </c>
      <c r="CI212" s="102">
        <v>262.5</v>
      </c>
      <c r="CJ212" s="102">
        <v>225</v>
      </c>
      <c r="CK212" s="102"/>
      <c r="CL212" s="102">
        <v>400</v>
      </c>
      <c r="CM212" s="102">
        <v>300</v>
      </c>
      <c r="CN212" s="102"/>
      <c r="CO212" s="102">
        <v>300</v>
      </c>
      <c r="CP212" s="102"/>
      <c r="CQ212" s="102">
        <v>425</v>
      </c>
      <c r="CR212" s="102">
        <v>275</v>
      </c>
      <c r="CS212" s="102">
        <v>275</v>
      </c>
      <c r="CT212" s="102"/>
      <c r="CU212" s="102"/>
      <c r="CV212" s="102">
        <v>362.5</v>
      </c>
      <c r="CW212" s="102">
        <v>300</v>
      </c>
      <c r="CX212" s="102"/>
      <c r="CY212" s="102">
        <v>312.5</v>
      </c>
      <c r="CZ212" s="102"/>
      <c r="DA212" s="102">
        <v>475</v>
      </c>
      <c r="DB212" s="102">
        <v>300</v>
      </c>
      <c r="DC212" s="102">
        <v>306.25</v>
      </c>
      <c r="DD212" s="102">
        <v>300</v>
      </c>
      <c r="DE212" s="102"/>
      <c r="DF212" s="102">
        <v>350</v>
      </c>
      <c r="DG212" s="102">
        <v>300</v>
      </c>
      <c r="DH212" s="102"/>
      <c r="DI212" s="102">
        <v>337.5</v>
      </c>
      <c r="DJ212" s="102"/>
      <c r="DK212" s="102">
        <v>600</v>
      </c>
      <c r="DL212" s="102">
        <v>300</v>
      </c>
      <c r="DM212" s="102">
        <v>300</v>
      </c>
      <c r="DN212" s="102">
        <v>300</v>
      </c>
      <c r="DO212" s="102"/>
      <c r="DP212" s="102">
        <v>375</v>
      </c>
      <c r="DQ212" s="102">
        <v>300</v>
      </c>
      <c r="DR212" s="102"/>
      <c r="DS212" s="102">
        <v>350</v>
      </c>
      <c r="DT212" s="102"/>
      <c r="DU212" s="102">
        <v>575</v>
      </c>
      <c r="DV212" s="102">
        <v>300</v>
      </c>
      <c r="DW212" s="102">
        <v>300</v>
      </c>
      <c r="DX212" s="102"/>
      <c r="DY212" s="102"/>
      <c r="DZ212" s="102">
        <v>387.5</v>
      </c>
      <c r="EA212" s="102">
        <v>300</v>
      </c>
      <c r="EB212" s="102"/>
      <c r="EC212" s="102">
        <v>362.5</v>
      </c>
    </row>
    <row r="213" spans="1:133" x14ac:dyDescent="0.25">
      <c r="N213" s="102"/>
      <c r="O213" s="102">
        <v>525</v>
      </c>
      <c r="P213" s="102">
        <v>262.5</v>
      </c>
      <c r="Q213" s="102">
        <v>287.5</v>
      </c>
      <c r="R213" s="102"/>
      <c r="S213" s="102"/>
      <c r="T213" s="102">
        <v>412.5</v>
      </c>
      <c r="U213" s="102">
        <v>300</v>
      </c>
      <c r="V213" s="102">
        <v>300</v>
      </c>
      <c r="W213" s="157">
        <v>300</v>
      </c>
      <c r="X213" s="102"/>
      <c r="Y213" s="102">
        <v>500</v>
      </c>
      <c r="Z213" s="102">
        <v>262.5</v>
      </c>
      <c r="AA213" s="102">
        <v>287.5</v>
      </c>
      <c r="AB213" s="102">
        <v>300</v>
      </c>
      <c r="AC213" s="102"/>
      <c r="AD213" s="102">
        <v>400</v>
      </c>
      <c r="AE213" s="102">
        <v>300</v>
      </c>
      <c r="AF213" s="102">
        <v>300</v>
      </c>
      <c r="AG213" s="157">
        <v>300</v>
      </c>
      <c r="AH213" s="102">
        <v>387.5</v>
      </c>
      <c r="AI213" s="102">
        <v>500</v>
      </c>
      <c r="AJ213" s="102">
        <v>250</v>
      </c>
      <c r="AK213" s="102">
        <v>300</v>
      </c>
      <c r="AL213" s="102"/>
      <c r="AM213" s="102"/>
      <c r="AN213" s="102">
        <v>400</v>
      </c>
      <c r="AO213" s="102">
        <v>300</v>
      </c>
      <c r="AP213" s="102">
        <v>300</v>
      </c>
      <c r="AQ213" s="157">
        <v>300</v>
      </c>
      <c r="AR213" s="102">
        <v>300</v>
      </c>
      <c r="AS213" s="102"/>
      <c r="AT213" s="102">
        <v>250</v>
      </c>
      <c r="AU213" s="102">
        <v>300</v>
      </c>
      <c r="AV213" s="102"/>
      <c r="AW213" s="102"/>
      <c r="AX213" s="102">
        <v>400</v>
      </c>
      <c r="AY213" s="102">
        <v>300</v>
      </c>
      <c r="AZ213" s="102">
        <v>300</v>
      </c>
      <c r="BA213" s="157">
        <v>300</v>
      </c>
      <c r="BB213" s="102">
        <v>287.5</v>
      </c>
      <c r="BC213" s="102"/>
      <c r="BD213" s="102">
        <v>250</v>
      </c>
      <c r="BE213" s="102">
        <v>300</v>
      </c>
      <c r="BF213" s="102"/>
      <c r="BG213" s="102"/>
      <c r="BH213" s="102">
        <v>400</v>
      </c>
      <c r="BI213" s="102">
        <v>300</v>
      </c>
      <c r="BJ213" s="102">
        <v>300</v>
      </c>
      <c r="BK213" s="157">
        <v>300</v>
      </c>
      <c r="BL213" s="102">
        <v>300</v>
      </c>
      <c r="BM213" s="102"/>
      <c r="BN213" s="102">
        <v>250</v>
      </c>
      <c r="BO213" s="102">
        <v>290</v>
      </c>
      <c r="BP213" s="102"/>
      <c r="BQ213" s="102"/>
      <c r="BR213" s="102">
        <v>400</v>
      </c>
      <c r="BS213" s="102">
        <v>300</v>
      </c>
      <c r="BT213" s="102">
        <v>300</v>
      </c>
      <c r="BU213" s="157">
        <v>300</v>
      </c>
      <c r="BV213" s="102">
        <v>350</v>
      </c>
      <c r="BW213" s="102"/>
      <c r="BX213" s="102">
        <v>250</v>
      </c>
      <c r="BY213" s="102">
        <v>290</v>
      </c>
      <c r="BZ213" s="102"/>
      <c r="CA213" s="102"/>
      <c r="CB213" s="102">
        <v>415.38461538461542</v>
      </c>
      <c r="CC213" s="102">
        <v>306.81818181818181</v>
      </c>
      <c r="CD213" s="102">
        <v>300</v>
      </c>
      <c r="CE213" s="102">
        <v>308.57142857142856</v>
      </c>
      <c r="CF213" s="102">
        <v>383.33333333333331</v>
      </c>
      <c r="CG213" s="102"/>
      <c r="CH213" s="102">
        <v>275</v>
      </c>
      <c r="CI213" s="102">
        <v>300</v>
      </c>
      <c r="CJ213" s="102"/>
      <c r="CK213" s="102"/>
      <c r="CL213" s="102">
        <v>425</v>
      </c>
      <c r="CM213" s="102">
        <v>300</v>
      </c>
      <c r="CN213" s="102">
        <v>300</v>
      </c>
      <c r="CO213" s="102">
        <v>300</v>
      </c>
      <c r="CP213" s="102"/>
      <c r="CQ213" s="102">
        <v>525</v>
      </c>
      <c r="CR213" s="102">
        <v>300</v>
      </c>
      <c r="CS213" s="102">
        <v>300</v>
      </c>
      <c r="CT213" s="102"/>
      <c r="CU213" s="102"/>
      <c r="CV213" s="102">
        <v>400</v>
      </c>
      <c r="CW213" s="102">
        <v>300</v>
      </c>
      <c r="CX213" s="102">
        <v>300</v>
      </c>
      <c r="CY213" s="102"/>
      <c r="CZ213" s="102"/>
      <c r="DA213" s="102">
        <v>550</v>
      </c>
      <c r="DB213" s="102">
        <v>262.5</v>
      </c>
      <c r="DC213" s="102">
        <v>300</v>
      </c>
      <c r="DD213" s="102">
        <v>250</v>
      </c>
      <c r="DE213" s="102"/>
      <c r="DF213" s="102">
        <v>400</v>
      </c>
      <c r="DG213" s="102">
        <v>300</v>
      </c>
      <c r="DH213" s="102">
        <v>325</v>
      </c>
      <c r="DI213" s="102">
        <v>300</v>
      </c>
      <c r="DJ213" s="102"/>
      <c r="DK213" s="102">
        <v>625</v>
      </c>
      <c r="DL213" s="102">
        <v>250</v>
      </c>
      <c r="DM213" s="102">
        <v>300</v>
      </c>
      <c r="DN213" s="102">
        <v>250</v>
      </c>
      <c r="DO213" s="102"/>
      <c r="DP213" s="102">
        <v>416.66666666666669</v>
      </c>
      <c r="DQ213" s="102">
        <v>300</v>
      </c>
      <c r="DR213" s="102">
        <v>300</v>
      </c>
      <c r="DS213" s="102">
        <v>300</v>
      </c>
      <c r="DT213" s="102"/>
      <c r="DU213" s="102">
        <v>600</v>
      </c>
      <c r="DV213" s="102">
        <v>250</v>
      </c>
      <c r="DW213" s="102">
        <v>275</v>
      </c>
      <c r="DX213" s="102"/>
      <c r="DY213" s="102"/>
      <c r="DZ213" s="102">
        <v>450</v>
      </c>
      <c r="EA213" s="102">
        <v>300</v>
      </c>
      <c r="EB213" s="102">
        <v>300</v>
      </c>
      <c r="EC213" s="102">
        <v>350</v>
      </c>
    </row>
    <row r="214" spans="1:133" x14ac:dyDescent="0.25">
      <c r="N214" s="102"/>
      <c r="O214" s="102">
        <v>468.75</v>
      </c>
      <c r="P214" s="102">
        <v>225</v>
      </c>
      <c r="Q214" s="102">
        <v>250</v>
      </c>
      <c r="R214" s="102">
        <v>250</v>
      </c>
      <c r="S214" s="102"/>
      <c r="T214" s="102">
        <v>400</v>
      </c>
      <c r="U214" s="102">
        <v>275</v>
      </c>
      <c r="V214" s="102">
        <v>275</v>
      </c>
      <c r="W214" s="157">
        <v>350</v>
      </c>
      <c r="X214" s="102"/>
      <c r="Y214" s="102">
        <v>562.5</v>
      </c>
      <c r="Z214" s="102">
        <v>206.25</v>
      </c>
      <c r="AA214" s="102">
        <v>250</v>
      </c>
      <c r="AB214" s="102">
        <v>250</v>
      </c>
      <c r="AC214" s="102"/>
      <c r="AD214" s="102">
        <v>400</v>
      </c>
      <c r="AE214" s="102">
        <v>280</v>
      </c>
      <c r="AF214" s="102">
        <v>280</v>
      </c>
      <c r="AG214" s="157">
        <v>350</v>
      </c>
      <c r="AH214" s="102">
        <v>500</v>
      </c>
      <c r="AI214" s="102">
        <v>600</v>
      </c>
      <c r="AJ214" s="102">
        <v>200</v>
      </c>
      <c r="AK214" s="102">
        <v>231.25</v>
      </c>
      <c r="AL214" s="102">
        <v>225</v>
      </c>
      <c r="AM214" s="102"/>
      <c r="AN214" s="102">
        <v>400</v>
      </c>
      <c r="AO214" s="102">
        <v>275</v>
      </c>
      <c r="AP214" s="102">
        <v>275</v>
      </c>
      <c r="AQ214" s="157">
        <v>350</v>
      </c>
      <c r="AR214" s="102">
        <v>350</v>
      </c>
      <c r="AS214" s="102">
        <v>550</v>
      </c>
      <c r="AT214" s="102">
        <v>225</v>
      </c>
      <c r="AU214" s="102">
        <v>256.25</v>
      </c>
      <c r="AV214" s="102">
        <v>250</v>
      </c>
      <c r="AW214" s="102"/>
      <c r="AX214" s="102">
        <v>400</v>
      </c>
      <c r="AY214" s="102">
        <v>275</v>
      </c>
      <c r="AZ214" s="102">
        <v>275</v>
      </c>
      <c r="BA214" s="157">
        <v>350</v>
      </c>
      <c r="BB214" s="102">
        <v>325</v>
      </c>
      <c r="BC214" s="102"/>
      <c r="BD214" s="102">
        <v>225</v>
      </c>
      <c r="BE214" s="102">
        <v>275</v>
      </c>
      <c r="BF214" s="102">
        <v>225</v>
      </c>
      <c r="BG214" s="102"/>
      <c r="BH214" s="102">
        <v>400</v>
      </c>
      <c r="BI214" s="102">
        <v>275</v>
      </c>
      <c r="BJ214" s="102">
        <v>275</v>
      </c>
      <c r="BK214" s="157">
        <v>343.75</v>
      </c>
      <c r="BL214" s="102">
        <v>350</v>
      </c>
      <c r="BM214" s="102"/>
      <c r="BN214" s="102">
        <v>225</v>
      </c>
      <c r="BO214" s="102">
        <v>275</v>
      </c>
      <c r="BP214" s="102">
        <v>225</v>
      </c>
      <c r="BQ214" s="102"/>
      <c r="BR214" s="102">
        <v>400</v>
      </c>
      <c r="BS214" s="102">
        <v>275</v>
      </c>
      <c r="BT214" s="102">
        <v>275</v>
      </c>
      <c r="BU214" s="157">
        <v>350</v>
      </c>
      <c r="BV214" s="102">
        <v>416.66666666666669</v>
      </c>
      <c r="BW214" s="102"/>
      <c r="BX214" s="102">
        <v>240.00000000000003</v>
      </c>
      <c r="BY214" s="102">
        <v>302.5</v>
      </c>
      <c r="BZ214" s="102">
        <v>225</v>
      </c>
      <c r="CA214" s="102"/>
      <c r="CB214" s="102">
        <v>400</v>
      </c>
      <c r="CC214" s="102">
        <v>275</v>
      </c>
      <c r="CD214" s="102"/>
      <c r="CE214" s="102">
        <v>341.8604651162791</v>
      </c>
      <c r="CF214" s="102">
        <v>400</v>
      </c>
      <c r="CG214" s="102"/>
      <c r="CH214" s="102">
        <v>250</v>
      </c>
      <c r="CI214" s="102">
        <v>275</v>
      </c>
      <c r="CJ214" s="102"/>
      <c r="CK214" s="102"/>
      <c r="CL214" s="102">
        <v>400</v>
      </c>
      <c r="CM214" s="102">
        <v>275</v>
      </c>
      <c r="CN214" s="102">
        <v>275</v>
      </c>
      <c r="CO214" s="102">
        <v>350</v>
      </c>
      <c r="CP214" s="102">
        <v>500</v>
      </c>
      <c r="CQ214" s="102">
        <v>516.66666666666663</v>
      </c>
      <c r="CR214" s="102">
        <v>275</v>
      </c>
      <c r="CS214" s="102">
        <v>325</v>
      </c>
      <c r="CT214" s="102"/>
      <c r="CU214" s="102"/>
      <c r="CV214" s="102">
        <v>400</v>
      </c>
      <c r="CW214" s="102">
        <v>275</v>
      </c>
      <c r="CX214" s="102">
        <v>275</v>
      </c>
      <c r="CY214" s="102">
        <v>350</v>
      </c>
      <c r="CZ214" s="102"/>
      <c r="DA214" s="102"/>
      <c r="DB214" s="102"/>
      <c r="DC214" s="102"/>
      <c r="DD214" s="102"/>
      <c r="DE214" s="102"/>
      <c r="DF214" s="102"/>
      <c r="DG214" s="102"/>
      <c r="DH214" s="102"/>
      <c r="DI214" s="102"/>
      <c r="DJ214" s="102"/>
      <c r="DK214" s="102"/>
      <c r="DL214" s="102"/>
      <c r="DM214" s="102"/>
      <c r="DN214" s="102"/>
      <c r="DO214" s="102"/>
      <c r="DP214" s="102"/>
      <c r="DQ214" s="102"/>
      <c r="DR214" s="102"/>
      <c r="DS214" s="102"/>
      <c r="DT214" s="102"/>
      <c r="DU214" s="102"/>
      <c r="DV214" s="102"/>
      <c r="DW214" s="102"/>
      <c r="DX214" s="102"/>
      <c r="DY214" s="102"/>
      <c r="DZ214" s="102"/>
      <c r="EA214" s="102"/>
      <c r="EB214" s="102"/>
      <c r="EC214" s="102"/>
    </row>
    <row r="215" spans="1:133" x14ac:dyDescent="0.25">
      <c r="N215" s="102"/>
      <c r="O215" s="102">
        <v>450</v>
      </c>
      <c r="P215" s="102">
        <v>200</v>
      </c>
      <c r="Q215" s="102">
        <v>256.25</v>
      </c>
      <c r="R215" s="102">
        <v>187.5</v>
      </c>
      <c r="S215" s="102">
        <v>450</v>
      </c>
      <c r="T215" s="102">
        <v>350</v>
      </c>
      <c r="U215" s="102">
        <v>300</v>
      </c>
      <c r="V215" s="102">
        <v>300</v>
      </c>
      <c r="W215" s="157">
        <v>300</v>
      </c>
      <c r="X215" s="102"/>
      <c r="Y215" s="102">
        <v>512.5</v>
      </c>
      <c r="Z215" s="102">
        <v>200</v>
      </c>
      <c r="AA215" s="102">
        <v>250</v>
      </c>
      <c r="AB215" s="102">
        <v>181.25</v>
      </c>
      <c r="AC215" s="102">
        <v>450</v>
      </c>
      <c r="AD215" s="102">
        <v>350</v>
      </c>
      <c r="AE215" s="102">
        <v>300</v>
      </c>
      <c r="AF215" s="102">
        <v>300</v>
      </c>
      <c r="AG215" s="157">
        <v>306.25</v>
      </c>
      <c r="AH215" s="102">
        <v>500</v>
      </c>
      <c r="AI215" s="102">
        <v>550</v>
      </c>
      <c r="AJ215" s="102">
        <v>200</v>
      </c>
      <c r="AK215" s="102">
        <v>250</v>
      </c>
      <c r="AL215" s="102">
        <v>181.25</v>
      </c>
      <c r="AM215" s="102">
        <v>450</v>
      </c>
      <c r="AN215" s="102">
        <v>350</v>
      </c>
      <c r="AO215" s="102">
        <v>300</v>
      </c>
      <c r="AP215" s="102">
        <v>300</v>
      </c>
      <c r="AQ215" s="157">
        <v>300</v>
      </c>
      <c r="AR215" s="102">
        <v>312.5</v>
      </c>
      <c r="AS215" s="102"/>
      <c r="AT215" s="102">
        <v>200</v>
      </c>
      <c r="AU215" s="102">
        <v>300</v>
      </c>
      <c r="AV215" s="102">
        <v>200</v>
      </c>
      <c r="AW215" s="102">
        <v>450</v>
      </c>
      <c r="AX215" s="102">
        <v>350</v>
      </c>
      <c r="AY215" s="102">
        <v>300</v>
      </c>
      <c r="AZ215" s="102">
        <v>300</v>
      </c>
      <c r="BA215" s="157">
        <v>300</v>
      </c>
      <c r="BB215" s="102">
        <v>318.75</v>
      </c>
      <c r="BC215" s="102"/>
      <c r="BD215" s="102">
        <v>200</v>
      </c>
      <c r="BE215" s="102">
        <v>300</v>
      </c>
      <c r="BF215" s="102">
        <v>191.25</v>
      </c>
      <c r="BG215" s="102">
        <v>450</v>
      </c>
      <c r="BH215" s="102">
        <v>350</v>
      </c>
      <c r="BI215" s="102">
        <v>300</v>
      </c>
      <c r="BJ215" s="102">
        <v>300</v>
      </c>
      <c r="BK215" s="157">
        <v>300</v>
      </c>
      <c r="BL215" s="102">
        <v>300</v>
      </c>
      <c r="BM215" s="102"/>
      <c r="BN215" s="102">
        <v>220</v>
      </c>
      <c r="BO215" s="102">
        <v>300</v>
      </c>
      <c r="BP215" s="102">
        <v>193</v>
      </c>
      <c r="BQ215" s="102">
        <v>450</v>
      </c>
      <c r="BR215" s="102">
        <v>350</v>
      </c>
      <c r="BS215" s="102">
        <v>300</v>
      </c>
      <c r="BT215" s="102">
        <v>300</v>
      </c>
      <c r="BU215" s="157">
        <v>300</v>
      </c>
      <c r="BV215" s="102">
        <v>360</v>
      </c>
      <c r="BW215" s="102"/>
      <c r="BX215" s="102">
        <v>244.44444444444446</v>
      </c>
      <c r="BY215" s="102">
        <v>318.18181818181819</v>
      </c>
      <c r="BZ215" s="102">
        <v>225.16666666666669</v>
      </c>
      <c r="CA215" s="102">
        <v>450</v>
      </c>
      <c r="CB215" s="102">
        <v>350</v>
      </c>
      <c r="CC215" s="102">
        <v>300</v>
      </c>
      <c r="CD215" s="102">
        <v>300</v>
      </c>
      <c r="CE215" s="102">
        <v>381.81818181818181</v>
      </c>
      <c r="CF215" s="102">
        <v>356.25</v>
      </c>
      <c r="CG215" s="102"/>
      <c r="CH215" s="102">
        <v>225</v>
      </c>
      <c r="CI215" s="102">
        <v>312.5</v>
      </c>
      <c r="CJ215" s="102">
        <v>193.75</v>
      </c>
      <c r="CK215" s="102">
        <v>450</v>
      </c>
      <c r="CL215" s="102">
        <v>350</v>
      </c>
      <c r="CM215" s="102">
        <v>300</v>
      </c>
      <c r="CN215" s="102">
        <v>300</v>
      </c>
      <c r="CO215" s="102">
        <v>300</v>
      </c>
      <c r="CP215" s="102"/>
      <c r="CQ215" s="102">
        <v>487.5</v>
      </c>
      <c r="CR215" s="102">
        <v>256.25</v>
      </c>
      <c r="CS215" s="102">
        <v>331.25</v>
      </c>
      <c r="CT215" s="102">
        <v>206.25</v>
      </c>
      <c r="CU215" s="102">
        <v>450</v>
      </c>
      <c r="CV215" s="102">
        <v>350</v>
      </c>
      <c r="CW215" s="102">
        <v>300</v>
      </c>
      <c r="CX215" s="102">
        <v>300</v>
      </c>
      <c r="CY215" s="102">
        <v>300</v>
      </c>
      <c r="CZ215" s="102"/>
      <c r="DA215" s="102">
        <v>475</v>
      </c>
      <c r="DB215" s="102">
        <v>268.75</v>
      </c>
      <c r="DC215" s="102">
        <v>318.75</v>
      </c>
      <c r="DD215" s="102">
        <v>206.25</v>
      </c>
      <c r="DE215" s="102">
        <v>443.75</v>
      </c>
      <c r="DF215" s="102">
        <v>350</v>
      </c>
      <c r="DG215" s="102">
        <v>300</v>
      </c>
      <c r="DH215" s="102">
        <v>300</v>
      </c>
      <c r="DI215" s="102">
        <v>300</v>
      </c>
      <c r="DJ215" s="102"/>
      <c r="DK215" s="102">
        <v>525</v>
      </c>
      <c r="DL215" s="102">
        <v>237.5</v>
      </c>
      <c r="DM215" s="102">
        <v>337.5</v>
      </c>
      <c r="DN215" s="102">
        <v>200</v>
      </c>
      <c r="DO215" s="102">
        <v>450</v>
      </c>
      <c r="DP215" s="102">
        <v>400</v>
      </c>
      <c r="DQ215" s="102">
        <v>300</v>
      </c>
      <c r="DR215" s="102">
        <v>300</v>
      </c>
      <c r="DS215" s="102">
        <v>306.25</v>
      </c>
      <c r="DT215" s="102"/>
      <c r="DU215" s="102">
        <v>625</v>
      </c>
      <c r="DV215" s="102">
        <v>200</v>
      </c>
      <c r="DW215" s="102">
        <v>300</v>
      </c>
      <c r="DX215" s="102">
        <v>200</v>
      </c>
      <c r="DY215" s="102">
        <v>450</v>
      </c>
      <c r="DZ215" s="102">
        <v>400</v>
      </c>
      <c r="EA215" s="102">
        <v>300</v>
      </c>
      <c r="EB215" s="102">
        <v>300</v>
      </c>
      <c r="EC215" s="102">
        <v>300</v>
      </c>
    </row>
    <row r="216" spans="1:133" x14ac:dyDescent="0.25">
      <c r="N216" s="102"/>
      <c r="O216" s="102">
        <v>525</v>
      </c>
      <c r="P216" s="102">
        <v>243.75</v>
      </c>
      <c r="Q216" s="102">
        <v>225</v>
      </c>
      <c r="R216" s="102">
        <v>200</v>
      </c>
      <c r="S216" s="102"/>
      <c r="T216" s="102">
        <v>400</v>
      </c>
      <c r="U216" s="102">
        <v>300</v>
      </c>
      <c r="V216" s="102">
        <v>300</v>
      </c>
      <c r="W216" s="157">
        <v>300</v>
      </c>
      <c r="X216" s="102"/>
      <c r="Y216" s="102">
        <v>550</v>
      </c>
      <c r="Z216" s="102">
        <v>250</v>
      </c>
      <c r="AA216" s="102">
        <v>225</v>
      </c>
      <c r="AB216" s="102">
        <v>200</v>
      </c>
      <c r="AC216" s="102"/>
      <c r="AD216" s="102">
        <v>400</v>
      </c>
      <c r="AE216" s="102">
        <v>300</v>
      </c>
      <c r="AF216" s="102">
        <v>300</v>
      </c>
      <c r="AG216" s="157">
        <v>300</v>
      </c>
      <c r="AH216" s="102">
        <v>425</v>
      </c>
      <c r="AI216" s="102">
        <v>600</v>
      </c>
      <c r="AJ216" s="102">
        <v>250</v>
      </c>
      <c r="AK216" s="102">
        <v>250</v>
      </c>
      <c r="AL216" s="102">
        <v>218.75</v>
      </c>
      <c r="AM216" s="102"/>
      <c r="AN216" s="102">
        <v>400</v>
      </c>
      <c r="AO216" s="102">
        <v>300</v>
      </c>
      <c r="AP216" s="102">
        <v>300</v>
      </c>
      <c r="AQ216" s="157">
        <v>312.5</v>
      </c>
      <c r="AR216" s="102">
        <v>375</v>
      </c>
      <c r="AS216" s="102"/>
      <c r="AT216" s="102">
        <v>250</v>
      </c>
      <c r="AU216" s="102">
        <v>250</v>
      </c>
      <c r="AV216" s="102">
        <v>212.5</v>
      </c>
      <c r="AW216" s="102"/>
      <c r="AX216" s="102">
        <v>400</v>
      </c>
      <c r="AY216" s="102">
        <v>300</v>
      </c>
      <c r="AZ216" s="102">
        <v>300</v>
      </c>
      <c r="BA216" s="157">
        <v>300</v>
      </c>
      <c r="BB216" s="102">
        <v>337.5</v>
      </c>
      <c r="BC216" s="102"/>
      <c r="BD216" s="102">
        <v>250</v>
      </c>
      <c r="BE216" s="102">
        <v>250</v>
      </c>
      <c r="BF216" s="102">
        <v>200</v>
      </c>
      <c r="BG216" s="102"/>
      <c r="BH216" s="102">
        <v>400</v>
      </c>
      <c r="BI216" s="102">
        <v>300</v>
      </c>
      <c r="BJ216" s="102">
        <v>300</v>
      </c>
      <c r="BK216" s="157">
        <v>300</v>
      </c>
      <c r="BL216" s="102">
        <v>370</v>
      </c>
      <c r="BM216" s="102"/>
      <c r="BN216" s="102">
        <v>250</v>
      </c>
      <c r="BO216" s="102">
        <v>250</v>
      </c>
      <c r="BP216" s="102">
        <v>200</v>
      </c>
      <c r="BQ216" s="102"/>
      <c r="BR216" s="102">
        <v>400</v>
      </c>
      <c r="BS216" s="102">
        <v>300</v>
      </c>
      <c r="BT216" s="102">
        <v>300</v>
      </c>
      <c r="BU216" s="157">
        <v>310</v>
      </c>
      <c r="BV216" s="102">
        <v>450.43478260869574</v>
      </c>
      <c r="BW216" s="102"/>
      <c r="BX216" s="102">
        <v>250</v>
      </c>
      <c r="BY216" s="102">
        <v>250</v>
      </c>
      <c r="BZ216" s="102">
        <v>250</v>
      </c>
      <c r="CA216" s="102"/>
      <c r="CB216" s="102">
        <v>415.38461538461542</v>
      </c>
      <c r="CC216" s="102">
        <v>300</v>
      </c>
      <c r="CD216" s="102">
        <v>300</v>
      </c>
      <c r="CE216" s="102">
        <v>265.71428571428572</v>
      </c>
      <c r="CF216" s="102">
        <v>475</v>
      </c>
      <c r="CG216" s="102"/>
      <c r="CH216" s="102">
        <v>250</v>
      </c>
      <c r="CI216" s="102">
        <v>250</v>
      </c>
      <c r="CJ216" s="102">
        <v>250</v>
      </c>
      <c r="CK216" s="102"/>
      <c r="CL216" s="102">
        <v>400</v>
      </c>
      <c r="CM216" s="102">
        <v>300</v>
      </c>
      <c r="CN216" s="102">
        <v>300</v>
      </c>
      <c r="CO216" s="102">
        <v>300</v>
      </c>
      <c r="CP216" s="102">
        <v>600</v>
      </c>
      <c r="CQ216" s="102">
        <v>525</v>
      </c>
      <c r="CR216" s="102">
        <v>250</v>
      </c>
      <c r="CS216" s="102">
        <v>262.5</v>
      </c>
      <c r="CT216" s="102">
        <v>225</v>
      </c>
      <c r="CU216" s="102"/>
      <c r="CV216" s="102">
        <v>400</v>
      </c>
      <c r="CW216" s="102">
        <v>300</v>
      </c>
      <c r="CX216" s="102">
        <v>300</v>
      </c>
      <c r="CY216" s="102">
        <v>312.5</v>
      </c>
      <c r="CZ216" s="102"/>
      <c r="DA216" s="102">
        <v>440</v>
      </c>
      <c r="DB216" s="102">
        <v>250</v>
      </c>
      <c r="DC216" s="102">
        <v>250</v>
      </c>
      <c r="DD216" s="102">
        <v>237.5</v>
      </c>
      <c r="DE216" s="102"/>
      <c r="DF216" s="102">
        <v>400</v>
      </c>
      <c r="DG216" s="102">
        <v>300</v>
      </c>
      <c r="DH216" s="102">
        <v>300</v>
      </c>
      <c r="DI216" s="102">
        <v>325</v>
      </c>
      <c r="DJ216" s="102"/>
      <c r="DK216" s="102">
        <v>600</v>
      </c>
      <c r="DL216" s="102">
        <v>200</v>
      </c>
      <c r="DM216" s="102">
        <v>250</v>
      </c>
      <c r="DN216" s="102">
        <v>181.25</v>
      </c>
      <c r="DO216" s="102"/>
      <c r="DP216" s="102">
        <v>400</v>
      </c>
      <c r="DQ216" s="102">
        <v>300</v>
      </c>
      <c r="DR216" s="102">
        <v>300</v>
      </c>
      <c r="DS216" s="102">
        <v>375</v>
      </c>
      <c r="DT216" s="102"/>
      <c r="DU216" s="102">
        <v>600</v>
      </c>
      <c r="DV216" s="102">
        <v>200</v>
      </c>
      <c r="DW216" s="102">
        <v>250</v>
      </c>
      <c r="DX216" s="102">
        <v>200</v>
      </c>
      <c r="DY216" s="102"/>
      <c r="DZ216" s="102">
        <v>393.75</v>
      </c>
      <c r="EA216" s="102">
        <v>300</v>
      </c>
      <c r="EB216" s="102">
        <v>300</v>
      </c>
      <c r="EC216" s="102">
        <v>375</v>
      </c>
    </row>
    <row r="217" spans="1:133" x14ac:dyDescent="0.25">
      <c r="N217" s="102"/>
      <c r="O217" s="102">
        <v>487.5</v>
      </c>
      <c r="P217" s="102">
        <v>212.5</v>
      </c>
      <c r="Q217" s="102">
        <v>206.25</v>
      </c>
      <c r="R217" s="102">
        <v>200</v>
      </c>
      <c r="S217" s="102"/>
      <c r="T217" s="102">
        <v>375</v>
      </c>
      <c r="U217" s="102">
        <v>300</v>
      </c>
      <c r="V217" s="102">
        <v>300</v>
      </c>
      <c r="W217" s="157">
        <v>300</v>
      </c>
      <c r="X217" s="102"/>
      <c r="Y217" s="102">
        <v>550</v>
      </c>
      <c r="Z217" s="102">
        <v>218.75</v>
      </c>
      <c r="AA217" s="102">
        <v>200</v>
      </c>
      <c r="AB217" s="102">
        <v>200</v>
      </c>
      <c r="AC217" s="102"/>
      <c r="AD217" s="102">
        <v>400</v>
      </c>
      <c r="AE217" s="102">
        <v>300</v>
      </c>
      <c r="AF217" s="102">
        <v>300</v>
      </c>
      <c r="AG217" s="157">
        <v>300</v>
      </c>
      <c r="AH217" s="102">
        <v>425</v>
      </c>
      <c r="AI217" s="102">
        <v>525</v>
      </c>
      <c r="AJ217" s="102">
        <v>200</v>
      </c>
      <c r="AK217" s="102">
        <v>200</v>
      </c>
      <c r="AL217" s="102">
        <v>193.75</v>
      </c>
      <c r="AM217" s="102"/>
      <c r="AN217" s="102">
        <v>400</v>
      </c>
      <c r="AO217" s="102">
        <v>300</v>
      </c>
      <c r="AP217" s="102">
        <v>300</v>
      </c>
      <c r="AQ217" s="157">
        <v>300</v>
      </c>
      <c r="AR217" s="102">
        <v>400</v>
      </c>
      <c r="AS217" s="102"/>
      <c r="AT217" s="102">
        <v>200</v>
      </c>
      <c r="AU217" s="102">
        <v>200</v>
      </c>
      <c r="AV217" s="102">
        <v>200</v>
      </c>
      <c r="AW217" s="102"/>
      <c r="AX217" s="102">
        <v>400</v>
      </c>
      <c r="AY217" s="102">
        <v>300</v>
      </c>
      <c r="AZ217" s="102">
        <v>300</v>
      </c>
      <c r="BA217" s="157">
        <v>300</v>
      </c>
      <c r="BB217" s="102">
        <v>368.75</v>
      </c>
      <c r="BC217" s="102"/>
      <c r="BD217" s="102">
        <v>218.75</v>
      </c>
      <c r="BE217" s="102">
        <v>212.5</v>
      </c>
      <c r="BF217" s="102">
        <v>200</v>
      </c>
      <c r="BG217" s="102"/>
      <c r="BH217" s="102">
        <v>400</v>
      </c>
      <c r="BI217" s="102">
        <v>300</v>
      </c>
      <c r="BJ217" s="102">
        <v>300</v>
      </c>
      <c r="BK217" s="157">
        <v>300</v>
      </c>
      <c r="BL217" s="102">
        <v>400</v>
      </c>
      <c r="BM217" s="102"/>
      <c r="BN217" s="102">
        <v>225</v>
      </c>
      <c r="BO217" s="102">
        <v>240</v>
      </c>
      <c r="BP217" s="102">
        <v>205</v>
      </c>
      <c r="BQ217" s="102"/>
      <c r="BR217" s="102">
        <v>400</v>
      </c>
      <c r="BS217" s="102">
        <v>300</v>
      </c>
      <c r="BT217" s="102">
        <v>300</v>
      </c>
      <c r="BU217" s="157">
        <v>300</v>
      </c>
      <c r="BV217" s="102">
        <v>450</v>
      </c>
      <c r="BW217" s="102"/>
      <c r="BX217" s="102">
        <v>241.07142857142856</v>
      </c>
      <c r="BY217" s="102">
        <v>248.88888888888889</v>
      </c>
      <c r="BZ217" s="102">
        <v>217.8125</v>
      </c>
      <c r="CA217" s="102"/>
      <c r="CB217" s="102">
        <v>400</v>
      </c>
      <c r="CC217" s="102">
        <v>312.72727272727275</v>
      </c>
      <c r="CD217" s="102">
        <v>300</v>
      </c>
      <c r="CE217" s="102">
        <v>300</v>
      </c>
      <c r="CF217" s="102">
        <v>466.66666666666669</v>
      </c>
      <c r="CG217" s="102"/>
      <c r="CH217" s="102">
        <v>225</v>
      </c>
      <c r="CI217" s="102">
        <v>250</v>
      </c>
      <c r="CJ217" s="102">
        <v>212.5</v>
      </c>
      <c r="CK217" s="102"/>
      <c r="CL217" s="102">
        <v>375</v>
      </c>
      <c r="CM217" s="102">
        <v>300</v>
      </c>
      <c r="CN217" s="102">
        <v>300</v>
      </c>
      <c r="CO217" s="102">
        <v>300</v>
      </c>
      <c r="CP217" s="102"/>
      <c r="CQ217" s="102">
        <v>600</v>
      </c>
      <c r="CR217" s="102">
        <v>225</v>
      </c>
      <c r="CS217" s="102">
        <v>250</v>
      </c>
      <c r="CT217" s="102">
        <v>225</v>
      </c>
      <c r="CU217" s="102"/>
      <c r="CV217" s="102">
        <v>400</v>
      </c>
      <c r="CW217" s="102">
        <v>300</v>
      </c>
      <c r="CX217" s="102">
        <v>300</v>
      </c>
      <c r="CY217" s="102">
        <v>325</v>
      </c>
      <c r="CZ217" s="102"/>
      <c r="DA217" s="102">
        <v>550</v>
      </c>
      <c r="DB217" s="102">
        <v>231.25</v>
      </c>
      <c r="DC217" s="102">
        <v>250</v>
      </c>
      <c r="DD217" s="102">
        <v>200</v>
      </c>
      <c r="DE217" s="102"/>
      <c r="DF217" s="102">
        <v>400</v>
      </c>
      <c r="DG217" s="102">
        <v>300</v>
      </c>
      <c r="DH217" s="102">
        <v>300</v>
      </c>
      <c r="DI217" s="102">
        <v>300</v>
      </c>
      <c r="DJ217" s="102"/>
      <c r="DK217" s="102">
        <v>625</v>
      </c>
      <c r="DL217" s="102">
        <v>212.5</v>
      </c>
      <c r="DM217" s="102">
        <v>250</v>
      </c>
      <c r="DN217" s="102">
        <v>187.5</v>
      </c>
      <c r="DO217" s="102"/>
      <c r="DP217" s="102">
        <v>418.75</v>
      </c>
      <c r="DQ217" s="102">
        <v>300</v>
      </c>
      <c r="DR217" s="102">
        <v>300</v>
      </c>
      <c r="DS217" s="102">
        <v>300</v>
      </c>
      <c r="DT217" s="102"/>
      <c r="DU217" s="102">
        <v>700</v>
      </c>
      <c r="DV217" s="102">
        <v>168.75</v>
      </c>
      <c r="DW217" s="102">
        <v>245</v>
      </c>
      <c r="DX217" s="102">
        <v>150</v>
      </c>
      <c r="DY217" s="102"/>
      <c r="DZ217" s="102">
        <v>437.5</v>
      </c>
      <c r="EA217" s="102">
        <v>300</v>
      </c>
      <c r="EB217" s="102">
        <v>300</v>
      </c>
      <c r="EC217" s="102">
        <v>300</v>
      </c>
    </row>
    <row r="218" spans="1:133" x14ac:dyDescent="0.25">
      <c r="N218" s="102"/>
      <c r="O218" s="102">
        <v>500</v>
      </c>
      <c r="P218" s="102">
        <v>256.25</v>
      </c>
      <c r="Q218" s="102">
        <v>300</v>
      </c>
      <c r="R218" s="102">
        <v>275</v>
      </c>
      <c r="S218" s="102">
        <v>500</v>
      </c>
      <c r="T218" s="102">
        <v>400</v>
      </c>
      <c r="U218" s="102">
        <v>300</v>
      </c>
      <c r="V218" s="102"/>
      <c r="W218" s="157">
        <v>300</v>
      </c>
      <c r="X218" s="102"/>
      <c r="Y218" s="102">
        <v>512.5</v>
      </c>
      <c r="Z218" s="102">
        <v>256.25</v>
      </c>
      <c r="AA218" s="102">
        <v>300</v>
      </c>
      <c r="AB218" s="102">
        <v>287.5</v>
      </c>
      <c r="AC218" s="102">
        <v>500</v>
      </c>
      <c r="AD218" s="102">
        <v>400</v>
      </c>
      <c r="AE218" s="102">
        <v>300</v>
      </c>
      <c r="AF218" s="102"/>
      <c r="AG218" s="157">
        <v>300</v>
      </c>
      <c r="AH218" s="102">
        <v>450</v>
      </c>
      <c r="AI218" s="102">
        <v>550</v>
      </c>
      <c r="AJ218" s="102">
        <v>250</v>
      </c>
      <c r="AK218" s="102">
        <v>300</v>
      </c>
      <c r="AL218" s="102">
        <v>300</v>
      </c>
      <c r="AM218" s="102">
        <v>500</v>
      </c>
      <c r="AN218" s="102">
        <v>400</v>
      </c>
      <c r="AO218" s="102">
        <v>300</v>
      </c>
      <c r="AP218" s="102"/>
      <c r="AQ218" s="157">
        <v>300</v>
      </c>
      <c r="AR218" s="102">
        <v>375</v>
      </c>
      <c r="AS218" s="102">
        <v>500</v>
      </c>
      <c r="AT218" s="102">
        <v>250</v>
      </c>
      <c r="AU218" s="102">
        <v>300</v>
      </c>
      <c r="AV218" s="102">
        <v>312.5</v>
      </c>
      <c r="AW218" s="102">
        <v>500</v>
      </c>
      <c r="AX218" s="102">
        <v>400</v>
      </c>
      <c r="AY218" s="102">
        <v>300</v>
      </c>
      <c r="AZ218" s="102"/>
      <c r="BA218" s="157">
        <v>300</v>
      </c>
      <c r="BB218" s="102">
        <v>350</v>
      </c>
      <c r="BC218" s="102"/>
      <c r="BD218" s="102">
        <v>250</v>
      </c>
      <c r="BE218" s="102">
        <v>300</v>
      </c>
      <c r="BF218" s="102">
        <v>262.5</v>
      </c>
      <c r="BG218" s="102">
        <v>500</v>
      </c>
      <c r="BH218" s="102">
        <v>400</v>
      </c>
      <c r="BI218" s="102">
        <v>300</v>
      </c>
      <c r="BJ218" s="102"/>
      <c r="BK218" s="157">
        <v>300</v>
      </c>
      <c r="BL218" s="102">
        <v>360</v>
      </c>
      <c r="BM218" s="102"/>
      <c r="BN218" s="102">
        <v>250</v>
      </c>
      <c r="BO218" s="102">
        <v>300</v>
      </c>
      <c r="BP218" s="102">
        <v>290</v>
      </c>
      <c r="BQ218" s="102">
        <v>500</v>
      </c>
      <c r="BR218" s="102">
        <v>390</v>
      </c>
      <c r="BS218" s="102">
        <v>300</v>
      </c>
      <c r="BT218" s="102"/>
      <c r="BU218" s="157">
        <v>300</v>
      </c>
      <c r="BV218" s="102">
        <v>406.95652173913044</v>
      </c>
      <c r="BW218" s="102"/>
      <c r="BX218" s="102">
        <v>250</v>
      </c>
      <c r="BY218" s="102">
        <v>300</v>
      </c>
      <c r="BZ218" s="102">
        <v>290</v>
      </c>
      <c r="CA218" s="102">
        <v>500</v>
      </c>
      <c r="CB218" s="102">
        <v>390</v>
      </c>
      <c r="CC218" s="102">
        <v>321.42857142857144</v>
      </c>
      <c r="CD218" s="102"/>
      <c r="CE218" s="102">
        <v>300</v>
      </c>
      <c r="CF218" s="102">
        <v>425</v>
      </c>
      <c r="CG218" s="102"/>
      <c r="CH218" s="102">
        <v>250</v>
      </c>
      <c r="CI218" s="102">
        <v>300</v>
      </c>
      <c r="CJ218" s="102">
        <v>300</v>
      </c>
      <c r="CK218" s="102">
        <v>500</v>
      </c>
      <c r="CL218" s="102">
        <v>400</v>
      </c>
      <c r="CM218" s="102">
        <v>300</v>
      </c>
      <c r="CN218" s="102"/>
      <c r="CO218" s="102">
        <v>300</v>
      </c>
      <c r="CP218" s="102"/>
      <c r="CQ218" s="102">
        <v>500</v>
      </c>
      <c r="CR218" s="102">
        <v>256.25</v>
      </c>
      <c r="CS218" s="102">
        <v>300</v>
      </c>
      <c r="CT218" s="102">
        <v>275</v>
      </c>
      <c r="CU218" s="102">
        <v>500</v>
      </c>
      <c r="CV218" s="102">
        <v>400</v>
      </c>
      <c r="CW218" s="102">
        <v>300</v>
      </c>
      <c r="CX218" s="102"/>
      <c r="CY218" s="102">
        <v>300</v>
      </c>
      <c r="CZ218" s="102"/>
      <c r="DA218" s="102">
        <v>550</v>
      </c>
      <c r="DB218" s="102">
        <v>250</v>
      </c>
      <c r="DC218" s="102">
        <v>300</v>
      </c>
      <c r="DD218" s="102">
        <v>300</v>
      </c>
      <c r="DE218" s="102">
        <v>500</v>
      </c>
      <c r="DF218" s="102">
        <v>400</v>
      </c>
      <c r="DG218" s="102">
        <v>300</v>
      </c>
      <c r="DH218" s="102"/>
      <c r="DI218" s="102">
        <v>300</v>
      </c>
      <c r="DJ218" s="102"/>
      <c r="DK218" s="102">
        <v>550</v>
      </c>
      <c r="DL218" s="102">
        <v>262.5</v>
      </c>
      <c r="DM218" s="102">
        <v>300</v>
      </c>
      <c r="DN218" s="102">
        <v>300</v>
      </c>
      <c r="DO218" s="102">
        <v>500</v>
      </c>
      <c r="DP218" s="102">
        <v>400</v>
      </c>
      <c r="DQ218" s="102">
        <v>300</v>
      </c>
      <c r="DR218" s="102"/>
      <c r="DS218" s="102">
        <v>300</v>
      </c>
      <c r="DT218" s="102"/>
      <c r="DU218" s="102">
        <v>612.5</v>
      </c>
      <c r="DV218" s="102">
        <v>268.75</v>
      </c>
      <c r="DW218" s="102">
        <v>300</v>
      </c>
      <c r="DX218" s="102">
        <v>300</v>
      </c>
      <c r="DY218" s="102">
        <v>500</v>
      </c>
      <c r="DZ218" s="102">
        <v>462.5</v>
      </c>
      <c r="EA218" s="102">
        <v>300</v>
      </c>
      <c r="EB218" s="102"/>
      <c r="EC218" s="102">
        <v>300</v>
      </c>
    </row>
    <row r="219" spans="1:133" ht="15.75" thickBot="1" x14ac:dyDescent="0.3">
      <c r="N219" s="161"/>
      <c r="O219" s="161">
        <v>467.61363636363637</v>
      </c>
      <c r="P219" s="161">
        <v>240.34090909090909</v>
      </c>
      <c r="Q219" s="161">
        <v>256.875</v>
      </c>
      <c r="R219" s="161">
        <v>222.5</v>
      </c>
      <c r="S219" s="161">
        <v>462.5</v>
      </c>
      <c r="T219" s="161">
        <v>385.22727272727275</v>
      </c>
      <c r="U219" s="161">
        <v>297.72727272727275</v>
      </c>
      <c r="V219" s="161">
        <v>293.75</v>
      </c>
      <c r="W219" s="169">
        <v>303.40909090909093</v>
      </c>
      <c r="X219" s="161"/>
      <c r="Y219" s="161">
        <v>518.18181818181813</v>
      </c>
      <c r="Z219" s="161">
        <v>239.20454545454547</v>
      </c>
      <c r="AA219" s="161">
        <v>256.25</v>
      </c>
      <c r="AB219" s="161">
        <v>232.95454545454547</v>
      </c>
      <c r="AC219" s="161">
        <v>462.5</v>
      </c>
      <c r="AD219" s="161">
        <v>387.5</v>
      </c>
      <c r="AE219" s="161">
        <v>298.18181818181819</v>
      </c>
      <c r="AF219" s="161">
        <v>294.0625</v>
      </c>
      <c r="AG219" s="169">
        <v>305.11363636363637</v>
      </c>
      <c r="AH219" s="161">
        <v>432.95454545454544</v>
      </c>
      <c r="AI219" s="161">
        <v>561.74242424242414</v>
      </c>
      <c r="AJ219" s="161">
        <v>228.40909090909091</v>
      </c>
      <c r="AK219" s="161">
        <v>258.125</v>
      </c>
      <c r="AL219" s="161">
        <v>226.875</v>
      </c>
      <c r="AM219" s="161">
        <v>462.5</v>
      </c>
      <c r="AN219" s="161">
        <v>386.36363636363637</v>
      </c>
      <c r="AO219" s="161">
        <v>297.72727272727275</v>
      </c>
      <c r="AP219" s="161">
        <v>292.5</v>
      </c>
      <c r="AQ219" s="169">
        <v>305.68181818181819</v>
      </c>
      <c r="AR219" s="161">
        <v>333.52272727272725</v>
      </c>
      <c r="AS219" s="161">
        <v>530</v>
      </c>
      <c r="AT219" s="161">
        <v>231.81818181818181</v>
      </c>
      <c r="AU219" s="161">
        <v>267.5</v>
      </c>
      <c r="AV219" s="161">
        <v>233.125</v>
      </c>
      <c r="AW219" s="161">
        <v>462.5</v>
      </c>
      <c r="AX219" s="161">
        <v>386.36363636363637</v>
      </c>
      <c r="AY219" s="161">
        <v>297.72727272727275</v>
      </c>
      <c r="AZ219" s="161">
        <v>290.625</v>
      </c>
      <c r="BA219" s="169">
        <v>304.54545454545456</v>
      </c>
      <c r="BB219" s="161">
        <v>306.81818181818181</v>
      </c>
      <c r="BC219" s="161"/>
      <c r="BD219" s="161">
        <v>233.52272727272728</v>
      </c>
      <c r="BE219" s="161">
        <v>269.375</v>
      </c>
      <c r="BF219" s="161">
        <v>223.5</v>
      </c>
      <c r="BG219" s="161">
        <v>462.5</v>
      </c>
      <c r="BH219" s="161">
        <v>386.36363636363637</v>
      </c>
      <c r="BI219" s="161">
        <v>297.15909090909093</v>
      </c>
      <c r="BJ219" s="161">
        <v>292.39583333333337</v>
      </c>
      <c r="BK219" s="169">
        <v>306.25</v>
      </c>
      <c r="BL219" s="161">
        <v>338.18181818181819</v>
      </c>
      <c r="BM219" s="161"/>
      <c r="BN219" s="161">
        <v>237.72727272727272</v>
      </c>
      <c r="BO219" s="161">
        <v>273</v>
      </c>
      <c r="BP219" s="161">
        <v>226.6</v>
      </c>
      <c r="BQ219" s="161">
        <v>460</v>
      </c>
      <c r="BR219" s="161">
        <v>385.45454545454544</v>
      </c>
      <c r="BS219" s="161">
        <v>297.72727272727275</v>
      </c>
      <c r="BT219" s="161">
        <v>291.75</v>
      </c>
      <c r="BU219" s="169">
        <v>304.72727272727275</v>
      </c>
      <c r="BV219" s="161">
        <v>405.2997293809442</v>
      </c>
      <c r="BW219" s="161"/>
      <c r="BX219" s="161">
        <v>237.72727272727272</v>
      </c>
      <c r="BY219" s="161">
        <v>273</v>
      </c>
      <c r="BZ219" s="161">
        <v>226.6</v>
      </c>
      <c r="CA219" s="161">
        <v>460</v>
      </c>
      <c r="CB219" s="161">
        <v>385.45454545454544</v>
      </c>
      <c r="CC219" s="161">
        <v>297.72727272727275</v>
      </c>
      <c r="CD219" s="161">
        <v>291.75</v>
      </c>
      <c r="CE219" s="169">
        <v>304.72727272727275</v>
      </c>
      <c r="CF219" s="161">
        <v>415.34090909090907</v>
      </c>
      <c r="CG219" s="161"/>
      <c r="CH219" s="161">
        <v>244.88636363636363</v>
      </c>
      <c r="CI219" s="161">
        <v>286.875</v>
      </c>
      <c r="CJ219" s="161">
        <v>236.80555555555554</v>
      </c>
      <c r="CK219" s="161">
        <v>462.5</v>
      </c>
      <c r="CL219" s="161">
        <v>386.36363636363637</v>
      </c>
      <c r="CM219" s="161">
        <v>296.02272727272725</v>
      </c>
      <c r="CN219" s="161">
        <v>291.71875</v>
      </c>
      <c r="CO219" s="169">
        <v>304.54545454545456</v>
      </c>
      <c r="CP219" s="161">
        <v>483.33333333333297</v>
      </c>
      <c r="CQ219" s="161">
        <v>500.37878787878782</v>
      </c>
      <c r="CR219" s="161">
        <v>257.95454545454544</v>
      </c>
      <c r="CS219" s="161">
        <v>300</v>
      </c>
      <c r="CT219" s="161">
        <v>233.90625</v>
      </c>
      <c r="CU219" s="161">
        <v>453.125</v>
      </c>
      <c r="CV219" s="161">
        <v>382.95454545454544</v>
      </c>
      <c r="CW219" s="161">
        <v>295.90909090909093</v>
      </c>
      <c r="CX219" s="161">
        <v>291.66666666666663</v>
      </c>
      <c r="CY219" s="169">
        <v>311.125</v>
      </c>
      <c r="CZ219" s="161"/>
      <c r="DA219" s="161">
        <v>500.25</v>
      </c>
      <c r="DB219" s="161">
        <v>253.75</v>
      </c>
      <c r="DC219" s="161">
        <v>297.22222222222223</v>
      </c>
      <c r="DD219" s="161">
        <v>242.25</v>
      </c>
      <c r="DE219" s="161">
        <v>460.9375</v>
      </c>
      <c r="DF219" s="161">
        <v>379.375</v>
      </c>
      <c r="DG219" s="161">
        <v>298.375</v>
      </c>
      <c r="DH219" s="161">
        <v>297.5</v>
      </c>
      <c r="DI219" s="169">
        <v>306.25</v>
      </c>
      <c r="DJ219" s="169"/>
      <c r="DK219" s="169">
        <v>590</v>
      </c>
      <c r="DL219" s="169">
        <v>243.125</v>
      </c>
      <c r="DM219" s="169">
        <v>292.36111111111109</v>
      </c>
      <c r="DN219" s="169">
        <v>239.02777777777777</v>
      </c>
      <c r="DO219" s="169">
        <v>462.5</v>
      </c>
      <c r="DP219" s="169">
        <v>398.54166666666663</v>
      </c>
      <c r="DQ219" s="169">
        <v>299.25</v>
      </c>
      <c r="DR219" s="169">
        <v>295.17857142857144</v>
      </c>
      <c r="DS219" s="169">
        <v>313.125</v>
      </c>
      <c r="DT219" s="169"/>
      <c r="DU219" s="169">
        <v>617.08333333333337</v>
      </c>
      <c r="DV219" s="169">
        <v>235.625</v>
      </c>
      <c r="DW219" s="169">
        <v>282.77777777777777</v>
      </c>
      <c r="DX219" s="169">
        <v>225</v>
      </c>
      <c r="DY219" s="169">
        <v>462.5</v>
      </c>
      <c r="DZ219" s="169">
        <v>416.875</v>
      </c>
      <c r="EA219" s="169">
        <v>298.25</v>
      </c>
      <c r="EB219" s="169">
        <v>294.64285714285717</v>
      </c>
      <c r="EC219" s="169">
        <v>325</v>
      </c>
    </row>
    <row r="222" spans="1:133" ht="15.75" thickBot="1" x14ac:dyDescent="0.3">
      <c r="N222" s="71">
        <v>2019</v>
      </c>
    </row>
    <row r="223" spans="1:133" ht="15.75" thickBot="1" x14ac:dyDescent="0.3">
      <c r="N223" s="118"/>
      <c r="O223" s="109"/>
      <c r="P223" s="109"/>
      <c r="Q223" s="110"/>
      <c r="R223" s="110" t="s">
        <v>165</v>
      </c>
      <c r="S223" s="110"/>
      <c r="T223" s="109"/>
      <c r="U223" s="109"/>
      <c r="V223" s="109"/>
      <c r="W223" s="112"/>
      <c r="X223" s="118"/>
      <c r="Y223" s="109"/>
      <c r="Z223" s="109"/>
      <c r="AA223" s="110" t="s">
        <v>167</v>
      </c>
      <c r="AB223" s="110"/>
      <c r="AC223" s="110"/>
      <c r="AD223" s="109"/>
      <c r="AE223" s="109"/>
      <c r="AF223" s="109"/>
      <c r="AG223" s="112"/>
      <c r="AH223" s="119"/>
    </row>
    <row r="224" spans="1:133" ht="15.75" thickBot="1" x14ac:dyDescent="0.3">
      <c r="N224" s="137"/>
      <c r="O224" s="138"/>
      <c r="P224" s="138"/>
      <c r="Q224" s="130"/>
      <c r="R224" s="130" t="s">
        <v>288</v>
      </c>
      <c r="S224" s="130"/>
      <c r="T224" s="138"/>
      <c r="U224" s="138"/>
      <c r="V224" s="138"/>
      <c r="W224" s="139"/>
      <c r="X224" s="137"/>
      <c r="Y224" s="138"/>
      <c r="Z224" s="138"/>
      <c r="AA224" s="130"/>
      <c r="AB224" s="130"/>
      <c r="AC224" s="130"/>
      <c r="AD224" s="138"/>
      <c r="AE224" s="138"/>
      <c r="AF224" s="138"/>
      <c r="AG224" s="139"/>
      <c r="AH224" s="119"/>
    </row>
    <row r="225" spans="14:34" x14ac:dyDescent="0.25">
      <c r="N225" s="455" t="s">
        <v>152</v>
      </c>
      <c r="O225" s="463"/>
      <c r="P225" s="457" t="s">
        <v>153</v>
      </c>
      <c r="Q225" s="458"/>
      <c r="R225" s="456"/>
      <c r="S225" s="457" t="s">
        <v>290</v>
      </c>
      <c r="T225" s="458"/>
      <c r="U225" s="458"/>
      <c r="V225" s="458"/>
      <c r="W225" s="459"/>
      <c r="X225" s="455" t="s">
        <v>152</v>
      </c>
      <c r="Y225" s="463"/>
      <c r="Z225" s="457" t="s">
        <v>153</v>
      </c>
      <c r="AA225" s="458"/>
      <c r="AB225" s="456"/>
      <c r="AC225" s="457" t="s">
        <v>290</v>
      </c>
      <c r="AD225" s="458"/>
      <c r="AE225" s="458"/>
      <c r="AF225" s="458"/>
      <c r="AG225" s="459"/>
      <c r="AH225" s="119"/>
    </row>
    <row r="226" spans="14:34" x14ac:dyDescent="0.25">
      <c r="N226" s="464" t="s">
        <v>291</v>
      </c>
      <c r="O226" s="465"/>
      <c r="P226" s="449" t="s">
        <v>291</v>
      </c>
      <c r="Q226" s="461"/>
      <c r="R226" s="450"/>
      <c r="S226" s="449" t="s">
        <v>291</v>
      </c>
      <c r="T226" s="461"/>
      <c r="U226" s="461"/>
      <c r="V226" s="461"/>
      <c r="W226" s="462"/>
      <c r="X226" s="464" t="s">
        <v>291</v>
      </c>
      <c r="Y226" s="465"/>
      <c r="Z226" s="449" t="s">
        <v>291</v>
      </c>
      <c r="AA226" s="461"/>
      <c r="AB226" s="450"/>
      <c r="AC226" s="449" t="s">
        <v>291</v>
      </c>
      <c r="AD226" s="461"/>
      <c r="AE226" s="461"/>
      <c r="AF226" s="461"/>
      <c r="AG226" s="462"/>
      <c r="AH226" s="119"/>
    </row>
    <row r="227" spans="14:34" x14ac:dyDescent="0.25">
      <c r="N227" s="430" t="s">
        <v>163</v>
      </c>
      <c r="O227" s="422" t="s">
        <v>155</v>
      </c>
      <c r="P227" s="422" t="s">
        <v>293</v>
      </c>
      <c r="Q227" s="422" t="s">
        <v>294</v>
      </c>
      <c r="R227" s="422" t="s">
        <v>295</v>
      </c>
      <c r="S227" s="424" t="s">
        <v>296</v>
      </c>
      <c r="T227" s="425"/>
      <c r="U227" s="426" t="s">
        <v>297</v>
      </c>
      <c r="V227" s="426" t="s">
        <v>162</v>
      </c>
      <c r="W227" s="428" t="s">
        <v>163</v>
      </c>
      <c r="X227" s="430" t="s">
        <v>163</v>
      </c>
      <c r="Y227" s="422" t="s">
        <v>155</v>
      </c>
      <c r="Z227" s="422" t="s">
        <v>293</v>
      </c>
      <c r="AA227" s="422" t="s">
        <v>294</v>
      </c>
      <c r="AB227" s="422" t="s">
        <v>295</v>
      </c>
      <c r="AC227" s="424" t="s">
        <v>296</v>
      </c>
      <c r="AD227" s="425"/>
      <c r="AE227" s="426" t="s">
        <v>297</v>
      </c>
      <c r="AF227" s="426" t="s">
        <v>162</v>
      </c>
      <c r="AG227" s="428" t="s">
        <v>163</v>
      </c>
      <c r="AH227" s="119"/>
    </row>
    <row r="228" spans="14:34" x14ac:dyDescent="0.25">
      <c r="N228" s="431"/>
      <c r="O228" s="423"/>
      <c r="P228" s="423"/>
      <c r="Q228" s="423"/>
      <c r="R228" s="423"/>
      <c r="S228" s="146" t="s">
        <v>159</v>
      </c>
      <c r="T228" s="146" t="s">
        <v>160</v>
      </c>
      <c r="U228" s="427"/>
      <c r="V228" s="427"/>
      <c r="W228" s="429"/>
      <c r="X228" s="431"/>
      <c r="Y228" s="423"/>
      <c r="Z228" s="423"/>
      <c r="AA228" s="423"/>
      <c r="AB228" s="423"/>
      <c r="AC228" s="146" t="s">
        <v>159</v>
      </c>
      <c r="AD228" s="146" t="s">
        <v>160</v>
      </c>
      <c r="AE228" s="427"/>
      <c r="AF228" s="427"/>
      <c r="AG228" s="429"/>
      <c r="AH228" s="119"/>
    </row>
    <row r="229" spans="14:34" x14ac:dyDescent="0.25">
      <c r="N229" s="102"/>
      <c r="O229" s="102">
        <v>600</v>
      </c>
      <c r="P229" s="102">
        <v>250</v>
      </c>
      <c r="Q229" s="102">
        <v>300</v>
      </c>
      <c r="R229" s="102">
        <v>243.75</v>
      </c>
      <c r="S229" s="102">
        <v>462.5</v>
      </c>
      <c r="T229" s="102">
        <v>400</v>
      </c>
      <c r="U229" s="102">
        <v>300</v>
      </c>
      <c r="V229" s="102">
        <v>300</v>
      </c>
      <c r="W229" s="102">
        <v>300</v>
      </c>
      <c r="X229" s="158"/>
      <c r="Y229" s="159">
        <f t="shared" ref="Y229:AG229" si="0">O229/DU208-1</f>
        <v>2.857142857142847E-2</v>
      </c>
      <c r="Z229" s="159">
        <f t="shared" si="0"/>
        <v>0</v>
      </c>
      <c r="AA229" s="159">
        <f t="shared" si="0"/>
        <v>4.3478260869565188E-2</v>
      </c>
      <c r="AB229" s="159">
        <f t="shared" si="0"/>
        <v>-2.5000000000000022E-2</v>
      </c>
      <c r="AC229" s="159">
        <f t="shared" si="0"/>
        <v>2.7777777777777679E-2</v>
      </c>
      <c r="AD229" s="159">
        <f t="shared" si="0"/>
        <v>0</v>
      </c>
      <c r="AE229" s="159">
        <f t="shared" si="0"/>
        <v>0</v>
      </c>
      <c r="AF229" s="159">
        <f t="shared" si="0"/>
        <v>0</v>
      </c>
      <c r="AG229" s="159">
        <f t="shared" si="0"/>
        <v>-4.0000000000000036E-2</v>
      </c>
      <c r="AH229" s="119"/>
    </row>
    <row r="230" spans="14:34" x14ac:dyDescent="0.25">
      <c r="N230" s="102"/>
      <c r="O230" s="102">
        <v>600</v>
      </c>
      <c r="P230" s="102">
        <v>262.5</v>
      </c>
      <c r="Q230" s="102">
        <v>268.75</v>
      </c>
      <c r="R230" s="102">
        <v>250</v>
      </c>
      <c r="S230" s="102">
        <v>450</v>
      </c>
      <c r="T230" s="102">
        <v>375</v>
      </c>
      <c r="U230" s="102">
        <v>285</v>
      </c>
      <c r="V230" s="102">
        <v>265</v>
      </c>
      <c r="W230" s="102">
        <v>300</v>
      </c>
      <c r="X230" s="158"/>
      <c r="Y230" s="159">
        <f t="shared" ref="Y230:AG230" si="1">O230/DU210-1</f>
        <v>0</v>
      </c>
      <c r="Z230" s="159">
        <f t="shared" si="1"/>
        <v>-4.5454545454545414E-2</v>
      </c>
      <c r="AA230" s="159">
        <f t="shared" si="1"/>
        <v>-0.10416666666666663</v>
      </c>
      <c r="AB230" s="159">
        <f t="shared" si="1"/>
        <v>0</v>
      </c>
      <c r="AC230" s="159">
        <f t="shared" si="1"/>
        <v>0</v>
      </c>
      <c r="AD230" s="159">
        <f t="shared" si="1"/>
        <v>-9.0909090909090939E-2</v>
      </c>
      <c r="AE230" s="159">
        <f t="shared" si="1"/>
        <v>8.8495575221239076E-3</v>
      </c>
      <c r="AF230" s="159">
        <f t="shared" si="1"/>
        <v>0</v>
      </c>
      <c r="AG230" s="159">
        <f t="shared" si="1"/>
        <v>0</v>
      </c>
      <c r="AH230" s="119"/>
    </row>
    <row r="231" spans="14:34" x14ac:dyDescent="0.25">
      <c r="N231" s="102"/>
      <c r="O231" s="102">
        <v>637.5</v>
      </c>
      <c r="P231" s="102">
        <v>200</v>
      </c>
      <c r="Q231" s="102">
        <v>300</v>
      </c>
      <c r="R231" s="102"/>
      <c r="S231" s="102"/>
      <c r="T231" s="102">
        <v>450</v>
      </c>
      <c r="U231" s="102">
        <v>300</v>
      </c>
      <c r="V231" s="102">
        <v>297.5</v>
      </c>
      <c r="W231" s="102">
        <v>350</v>
      </c>
      <c r="X231" s="158"/>
      <c r="Y231" s="159" t="e">
        <f>O231/#REF!-1</f>
        <v>#REF!</v>
      </c>
      <c r="Z231" s="159" t="e">
        <f>P231/#REF!-1</f>
        <v>#REF!</v>
      </c>
      <c r="AA231" s="159" t="e">
        <f>Q231/#REF!-1</f>
        <v>#REF!</v>
      </c>
      <c r="AB231" s="159" t="e">
        <f>R231/#REF!-1</f>
        <v>#REF!</v>
      </c>
      <c r="AC231" s="159" t="e">
        <f>S231/#REF!-1</f>
        <v>#REF!</v>
      </c>
      <c r="AD231" s="159" t="e">
        <f>T231/#REF!-1</f>
        <v>#REF!</v>
      </c>
      <c r="AE231" s="159" t="e">
        <f>U231/#REF!-1</f>
        <v>#REF!</v>
      </c>
      <c r="AF231" s="159" t="e">
        <f>V231/#REF!-1</f>
        <v>#REF!</v>
      </c>
      <c r="AG231" s="159" t="e">
        <f>W231/#REF!-1</f>
        <v>#REF!</v>
      </c>
      <c r="AH231" s="119"/>
    </row>
    <row r="232" spans="14:34" x14ac:dyDescent="0.25">
      <c r="N232" s="102"/>
      <c r="O232" s="102">
        <v>600</v>
      </c>
      <c r="P232" s="102">
        <v>237.5</v>
      </c>
      <c r="Q232" s="102"/>
      <c r="R232" s="102">
        <v>225</v>
      </c>
      <c r="S232" s="102"/>
      <c r="T232" s="102">
        <v>400</v>
      </c>
      <c r="U232" s="102">
        <v>300</v>
      </c>
      <c r="V232" s="102"/>
      <c r="W232" s="102">
        <v>293.75</v>
      </c>
      <c r="X232" s="158"/>
      <c r="Y232" s="159">
        <f t="shared" ref="Y232:Y240" si="2">O232/DU211-1</f>
        <v>0</v>
      </c>
      <c r="Z232" s="159">
        <f t="shared" ref="Z232:Z240" si="3">P232/DV211-1</f>
        <v>-2.5641025641025661E-2</v>
      </c>
      <c r="AA232" s="159" t="e">
        <f t="shared" ref="AA232:AA240" si="4">Q232/DW211-1</f>
        <v>#DIV/0!</v>
      </c>
      <c r="AB232" s="159">
        <f t="shared" ref="AB232:AB240" si="5">R232/DX211-1</f>
        <v>0</v>
      </c>
      <c r="AC232" s="159" t="e">
        <f t="shared" ref="AC232:AC240" si="6">S232/DY211-1</f>
        <v>#DIV/0!</v>
      </c>
      <c r="AD232" s="159">
        <f t="shared" ref="AD232:AD240" si="7">T232/DZ211-1</f>
        <v>-3.0303030303030276E-2</v>
      </c>
      <c r="AE232" s="159">
        <f t="shared" ref="AE232:AE240" si="8">U232/EA211-1</f>
        <v>0</v>
      </c>
      <c r="AF232" s="159" t="e">
        <f t="shared" ref="AF232:AF240" si="9">V232/EB211-1</f>
        <v>#DIV/0!</v>
      </c>
      <c r="AG232" s="159">
        <f t="shared" ref="AG232:AG240" si="10">W232/EC211-1</f>
        <v>-2.083333333333337E-2</v>
      </c>
      <c r="AH232" s="119"/>
    </row>
    <row r="233" spans="14:34" x14ac:dyDescent="0.25">
      <c r="N233" s="102"/>
      <c r="O233" s="102">
        <v>600</v>
      </c>
      <c r="P233" s="102">
        <v>300</v>
      </c>
      <c r="Q233" s="102">
        <v>300</v>
      </c>
      <c r="R233" s="102"/>
      <c r="S233" s="102"/>
      <c r="T233" s="102">
        <v>400</v>
      </c>
      <c r="U233" s="102">
        <v>300</v>
      </c>
      <c r="V233" s="102"/>
      <c r="W233" s="102">
        <v>337.5</v>
      </c>
      <c r="X233" s="158"/>
      <c r="Y233" s="159">
        <f t="shared" si="2"/>
        <v>4.3478260869565188E-2</v>
      </c>
      <c r="Z233" s="159">
        <f t="shared" si="3"/>
        <v>0</v>
      </c>
      <c r="AA233" s="159">
        <f t="shared" si="4"/>
        <v>0</v>
      </c>
      <c r="AB233" s="159" t="e">
        <f t="shared" si="5"/>
        <v>#DIV/0!</v>
      </c>
      <c r="AC233" s="159" t="e">
        <f t="shared" si="6"/>
        <v>#DIV/0!</v>
      </c>
      <c r="AD233" s="159">
        <f t="shared" si="7"/>
        <v>3.2258064516129004E-2</v>
      </c>
      <c r="AE233" s="159">
        <f t="shared" si="8"/>
        <v>0</v>
      </c>
      <c r="AF233" s="159" t="e">
        <f t="shared" si="9"/>
        <v>#DIV/0!</v>
      </c>
      <c r="AG233" s="159">
        <f t="shared" si="10"/>
        <v>-6.8965517241379337E-2</v>
      </c>
      <c r="AH233" s="119"/>
    </row>
    <row r="234" spans="14:34" x14ac:dyDescent="0.25">
      <c r="N234" s="102"/>
      <c r="O234" s="102">
        <v>600</v>
      </c>
      <c r="P234" s="102">
        <v>250</v>
      </c>
      <c r="Q234" s="102">
        <v>250</v>
      </c>
      <c r="R234" s="102"/>
      <c r="S234" s="102"/>
      <c r="T234" s="102">
        <v>450</v>
      </c>
      <c r="U234" s="102">
        <v>300</v>
      </c>
      <c r="V234" s="102">
        <v>300</v>
      </c>
      <c r="W234" s="102"/>
      <c r="X234" s="158"/>
      <c r="Y234" s="159">
        <f t="shared" si="2"/>
        <v>0</v>
      </c>
      <c r="Z234" s="159">
        <f t="shared" si="3"/>
        <v>0</v>
      </c>
      <c r="AA234" s="159">
        <f t="shared" si="4"/>
        <v>-9.0909090909090939E-2</v>
      </c>
      <c r="AB234" s="159" t="e">
        <f t="shared" si="5"/>
        <v>#DIV/0!</v>
      </c>
      <c r="AC234" s="159" t="e">
        <f t="shared" si="6"/>
        <v>#DIV/0!</v>
      </c>
      <c r="AD234" s="159">
        <f t="shared" si="7"/>
        <v>0</v>
      </c>
      <c r="AE234" s="159">
        <f t="shared" si="8"/>
        <v>0</v>
      </c>
      <c r="AF234" s="159">
        <f t="shared" si="9"/>
        <v>0</v>
      </c>
      <c r="AG234" s="159">
        <f t="shared" si="10"/>
        <v>-1</v>
      </c>
      <c r="AH234" s="119"/>
    </row>
    <row r="235" spans="14:34" x14ac:dyDescent="0.25"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58"/>
      <c r="Y235" s="159" t="e">
        <f t="shared" si="2"/>
        <v>#DIV/0!</v>
      </c>
      <c r="Z235" s="159" t="e">
        <f t="shared" si="3"/>
        <v>#DIV/0!</v>
      </c>
      <c r="AA235" s="159" t="e">
        <f t="shared" si="4"/>
        <v>#DIV/0!</v>
      </c>
      <c r="AB235" s="159" t="e">
        <f t="shared" si="5"/>
        <v>#DIV/0!</v>
      </c>
      <c r="AC235" s="159" t="e">
        <f t="shared" si="6"/>
        <v>#DIV/0!</v>
      </c>
      <c r="AD235" s="159" t="e">
        <f t="shared" si="7"/>
        <v>#DIV/0!</v>
      </c>
      <c r="AE235" s="159" t="e">
        <f t="shared" si="8"/>
        <v>#DIV/0!</v>
      </c>
      <c r="AF235" s="159" t="e">
        <f t="shared" si="9"/>
        <v>#DIV/0!</v>
      </c>
      <c r="AG235" s="159" t="e">
        <f t="shared" si="10"/>
        <v>#DIV/0!</v>
      </c>
      <c r="AH235" s="119"/>
    </row>
    <row r="236" spans="14:34" x14ac:dyDescent="0.25">
      <c r="N236" s="102"/>
      <c r="O236" s="102">
        <v>575</v>
      </c>
      <c r="P236" s="102">
        <v>200</v>
      </c>
      <c r="Q236" s="102">
        <v>300</v>
      </c>
      <c r="R236" s="102">
        <v>200</v>
      </c>
      <c r="S236" s="102">
        <v>450</v>
      </c>
      <c r="T236" s="102">
        <v>400</v>
      </c>
      <c r="U236" s="102">
        <v>300</v>
      </c>
      <c r="V236" s="102">
        <v>300</v>
      </c>
      <c r="W236" s="102">
        <v>300</v>
      </c>
      <c r="X236" s="158"/>
      <c r="Y236" s="159">
        <f t="shared" si="2"/>
        <v>-7.999999999999996E-2</v>
      </c>
      <c r="Z236" s="159">
        <f t="shared" si="3"/>
        <v>0</v>
      </c>
      <c r="AA236" s="159">
        <f t="shared" si="4"/>
        <v>0</v>
      </c>
      <c r="AB236" s="159">
        <f t="shared" si="5"/>
        <v>0</v>
      </c>
      <c r="AC236" s="159">
        <f t="shared" si="6"/>
        <v>0</v>
      </c>
      <c r="AD236" s="159">
        <f t="shared" si="7"/>
        <v>0</v>
      </c>
      <c r="AE236" s="159">
        <f t="shared" si="8"/>
        <v>0</v>
      </c>
      <c r="AF236" s="159">
        <f t="shared" si="9"/>
        <v>0</v>
      </c>
      <c r="AG236" s="159">
        <f t="shared" si="10"/>
        <v>0</v>
      </c>
      <c r="AH236" s="119"/>
    </row>
    <row r="237" spans="14:34" x14ac:dyDescent="0.25">
      <c r="N237" s="102"/>
      <c r="O237" s="102">
        <v>700</v>
      </c>
      <c r="P237" s="102">
        <v>212.5</v>
      </c>
      <c r="Q237" s="102">
        <v>237.5</v>
      </c>
      <c r="R237" s="102">
        <v>200</v>
      </c>
      <c r="S237" s="102"/>
      <c r="T237" s="102">
        <v>400</v>
      </c>
      <c r="U237" s="102">
        <v>312.5</v>
      </c>
      <c r="V237" s="102">
        <v>300</v>
      </c>
      <c r="W237" s="102">
        <v>325</v>
      </c>
      <c r="X237" s="158"/>
      <c r="Y237" s="159">
        <f t="shared" si="2"/>
        <v>0.16666666666666674</v>
      </c>
      <c r="Z237" s="159">
        <f t="shared" si="3"/>
        <v>6.25E-2</v>
      </c>
      <c r="AA237" s="159">
        <f t="shared" si="4"/>
        <v>-5.0000000000000044E-2</v>
      </c>
      <c r="AB237" s="159">
        <f t="shared" si="5"/>
        <v>0</v>
      </c>
      <c r="AC237" s="159" t="e">
        <f t="shared" si="6"/>
        <v>#DIV/0!</v>
      </c>
      <c r="AD237" s="159">
        <f t="shared" si="7"/>
        <v>1.5873015873015817E-2</v>
      </c>
      <c r="AE237" s="159">
        <f t="shared" si="8"/>
        <v>4.1666666666666741E-2</v>
      </c>
      <c r="AF237" s="159">
        <f t="shared" si="9"/>
        <v>0</v>
      </c>
      <c r="AG237" s="159">
        <f t="shared" si="10"/>
        <v>-0.1333333333333333</v>
      </c>
      <c r="AH237" s="119"/>
    </row>
    <row r="238" spans="14:34" x14ac:dyDescent="0.25">
      <c r="N238" s="102"/>
      <c r="O238" s="102">
        <v>662.5</v>
      </c>
      <c r="P238" s="102">
        <v>200</v>
      </c>
      <c r="Q238" s="102">
        <v>250</v>
      </c>
      <c r="R238" s="102">
        <v>150</v>
      </c>
      <c r="S238" s="102"/>
      <c r="T238" s="102">
        <v>450</v>
      </c>
      <c r="U238" s="102">
        <v>300</v>
      </c>
      <c r="V238" s="102">
        <v>300</v>
      </c>
      <c r="W238" s="102">
        <v>300</v>
      </c>
      <c r="X238" s="158"/>
      <c r="Y238" s="159">
        <f t="shared" si="2"/>
        <v>-5.3571428571428603E-2</v>
      </c>
      <c r="Z238" s="159">
        <f t="shared" si="3"/>
        <v>0.18518518518518512</v>
      </c>
      <c r="AA238" s="159">
        <f t="shared" si="4"/>
        <v>2.0408163265306145E-2</v>
      </c>
      <c r="AB238" s="159">
        <f t="shared" si="5"/>
        <v>0</v>
      </c>
      <c r="AC238" s="159" t="e">
        <f t="shared" si="6"/>
        <v>#DIV/0!</v>
      </c>
      <c r="AD238" s="159">
        <f t="shared" si="7"/>
        <v>2.857142857142847E-2</v>
      </c>
      <c r="AE238" s="159">
        <f t="shared" si="8"/>
        <v>0</v>
      </c>
      <c r="AF238" s="159">
        <f t="shared" si="9"/>
        <v>0</v>
      </c>
      <c r="AG238" s="159">
        <f t="shared" si="10"/>
        <v>0</v>
      </c>
      <c r="AH238" s="119"/>
    </row>
    <row r="239" spans="14:34" x14ac:dyDescent="0.25">
      <c r="N239" s="102"/>
      <c r="O239" s="102">
        <v>587.5</v>
      </c>
      <c r="P239" s="102">
        <v>256.25</v>
      </c>
      <c r="Q239" s="102">
        <v>300</v>
      </c>
      <c r="R239" s="102">
        <v>300</v>
      </c>
      <c r="S239" s="102">
        <v>500</v>
      </c>
      <c r="T239" s="102">
        <v>475</v>
      </c>
      <c r="U239" s="102">
        <v>300</v>
      </c>
      <c r="V239" s="102"/>
      <c r="W239" s="102">
        <v>300</v>
      </c>
      <c r="X239" s="158"/>
      <c r="Y239" s="159">
        <f t="shared" si="2"/>
        <v>-4.081632653061229E-2</v>
      </c>
      <c r="Z239" s="159">
        <f t="shared" si="3"/>
        <v>-4.6511627906976716E-2</v>
      </c>
      <c r="AA239" s="159">
        <f t="shared" si="4"/>
        <v>0</v>
      </c>
      <c r="AB239" s="159">
        <f t="shared" si="5"/>
        <v>0</v>
      </c>
      <c r="AC239" s="159">
        <f t="shared" si="6"/>
        <v>0</v>
      </c>
      <c r="AD239" s="159">
        <f t="shared" si="7"/>
        <v>2.7027027027026973E-2</v>
      </c>
      <c r="AE239" s="159">
        <f t="shared" si="8"/>
        <v>0</v>
      </c>
      <c r="AF239" s="159" t="e">
        <f t="shared" si="9"/>
        <v>#DIV/0!</v>
      </c>
      <c r="AG239" s="159">
        <f t="shared" si="10"/>
        <v>0</v>
      </c>
      <c r="AH239" s="119"/>
    </row>
    <row r="240" spans="14:34" ht="15.75" thickBot="1" x14ac:dyDescent="0.3">
      <c r="N240" s="169"/>
      <c r="O240" s="169">
        <v>616.25</v>
      </c>
      <c r="P240" s="169">
        <v>236.875</v>
      </c>
      <c r="Q240" s="169">
        <v>278.47222222222223</v>
      </c>
      <c r="R240" s="169">
        <v>224.10714285714286</v>
      </c>
      <c r="S240" s="169">
        <v>465.625</v>
      </c>
      <c r="T240" s="169">
        <v>420</v>
      </c>
      <c r="U240" s="169">
        <v>299.75</v>
      </c>
      <c r="V240" s="169">
        <v>294.64285714285717</v>
      </c>
      <c r="W240" s="169">
        <f>AVERAGE(W229:W239)</f>
        <v>311.80555555555554</v>
      </c>
      <c r="X240" s="170"/>
      <c r="Y240" s="159">
        <f t="shared" si="2"/>
        <v>-1.3504388926401933E-3</v>
      </c>
      <c r="Z240" s="159">
        <f t="shared" si="3"/>
        <v>5.3050397877985045E-3</v>
      </c>
      <c r="AA240" s="159">
        <f t="shared" si="4"/>
        <v>-1.5225933202357544E-2</v>
      </c>
      <c r="AB240" s="159">
        <f t="shared" si="5"/>
        <v>-3.9682539682539542E-3</v>
      </c>
      <c r="AC240" s="159">
        <f t="shared" si="6"/>
        <v>6.7567567567567988E-3</v>
      </c>
      <c r="AD240" s="159">
        <f t="shared" si="7"/>
        <v>7.496251874062887E-3</v>
      </c>
      <c r="AE240" s="159">
        <f t="shared" si="8"/>
        <v>5.0293378038557268E-3</v>
      </c>
      <c r="AF240" s="159">
        <f t="shared" si="9"/>
        <v>0</v>
      </c>
      <c r="AG240" s="159">
        <f t="shared" si="10"/>
        <v>-4.0598290598290676E-2</v>
      </c>
      <c r="AH240" s="171"/>
    </row>
    <row r="242" spans="14:24" x14ac:dyDescent="0.25">
      <c r="N242" s="71">
        <v>2019</v>
      </c>
    </row>
    <row r="243" spans="14:24" x14ac:dyDescent="0.25">
      <c r="N243" s="434" t="s">
        <v>382</v>
      </c>
      <c r="O243" s="434"/>
      <c r="P243" s="434"/>
      <c r="Q243" s="434"/>
      <c r="R243" s="434"/>
      <c r="S243" s="434"/>
      <c r="T243" s="434"/>
      <c r="U243" s="434"/>
      <c r="V243" s="434"/>
      <c r="W243" s="434"/>
      <c r="X243" s="434"/>
    </row>
    <row r="244" spans="14:24" x14ac:dyDescent="0.25">
      <c r="N244" s="434"/>
      <c r="O244" s="434"/>
      <c r="P244" s="434"/>
      <c r="Q244" s="434"/>
      <c r="R244" s="434"/>
      <c r="S244" s="434"/>
      <c r="T244" s="434"/>
      <c r="U244" s="434"/>
      <c r="V244" s="434"/>
      <c r="W244" s="434"/>
      <c r="X244" s="434"/>
    </row>
    <row r="245" spans="14:24" x14ac:dyDescent="0.25">
      <c r="N245" s="435" t="s">
        <v>289</v>
      </c>
      <c r="O245" s="432" t="s">
        <v>152</v>
      </c>
      <c r="P245" s="433"/>
      <c r="Q245" s="432" t="s">
        <v>153</v>
      </c>
      <c r="R245" s="436"/>
      <c r="S245" s="433"/>
      <c r="T245" s="432" t="s">
        <v>290</v>
      </c>
      <c r="U245" s="436"/>
      <c r="V245" s="436"/>
      <c r="W245" s="436"/>
      <c r="X245" s="433"/>
    </row>
    <row r="246" spans="14:24" x14ac:dyDescent="0.25">
      <c r="N246" s="435"/>
      <c r="O246" s="437" t="s">
        <v>291</v>
      </c>
      <c r="P246" s="438"/>
      <c r="Q246" s="437" t="s">
        <v>291</v>
      </c>
      <c r="R246" s="439"/>
      <c r="S246" s="438"/>
      <c r="T246" s="437" t="s">
        <v>291</v>
      </c>
      <c r="U246" s="439"/>
      <c r="V246" s="439"/>
      <c r="W246" s="439"/>
      <c r="X246" s="438"/>
    </row>
    <row r="247" spans="14:24" x14ac:dyDescent="0.25">
      <c r="N247" s="435"/>
      <c r="O247" s="440" t="s">
        <v>163</v>
      </c>
      <c r="P247" s="440" t="s">
        <v>155</v>
      </c>
      <c r="Q247" s="440" t="s">
        <v>293</v>
      </c>
      <c r="R247" s="440" t="s">
        <v>294</v>
      </c>
      <c r="S247" s="440" t="s">
        <v>295</v>
      </c>
      <c r="T247" s="442" t="s">
        <v>296</v>
      </c>
      <c r="U247" s="443"/>
      <c r="V247" s="444" t="s">
        <v>297</v>
      </c>
      <c r="W247" s="444" t="s">
        <v>162</v>
      </c>
      <c r="X247" s="444" t="s">
        <v>163</v>
      </c>
    </row>
    <row r="248" spans="14:24" x14ac:dyDescent="0.25">
      <c r="N248" s="435"/>
      <c r="O248" s="441"/>
      <c r="P248" s="441"/>
      <c r="Q248" s="441"/>
      <c r="R248" s="441"/>
      <c r="S248" s="441"/>
      <c r="T248" s="194" t="s">
        <v>159</v>
      </c>
      <c r="U248" s="194" t="s">
        <v>160</v>
      </c>
      <c r="V248" s="445"/>
      <c r="W248" s="445"/>
      <c r="X248" s="445"/>
    </row>
    <row r="249" spans="14:24" x14ac:dyDescent="0.25">
      <c r="N249" s="176" t="s">
        <v>299</v>
      </c>
      <c r="O249" s="193">
        <v>475</v>
      </c>
      <c r="P249" s="193">
        <v>600</v>
      </c>
      <c r="Q249" s="193">
        <v>250</v>
      </c>
      <c r="R249" s="193">
        <v>300</v>
      </c>
      <c r="S249" s="193">
        <v>250</v>
      </c>
      <c r="T249" s="193">
        <v>462.5</v>
      </c>
      <c r="U249" s="193">
        <v>425</v>
      </c>
      <c r="V249" s="193">
        <v>300</v>
      </c>
      <c r="W249" s="193">
        <v>300</v>
      </c>
      <c r="X249" s="193">
        <v>300</v>
      </c>
    </row>
    <row r="250" spans="14:24" x14ac:dyDescent="0.25">
      <c r="N250" s="176" t="s">
        <v>300</v>
      </c>
      <c r="O250" s="193">
        <v>425</v>
      </c>
      <c r="P250" s="193">
        <v>562.5</v>
      </c>
      <c r="Q250" s="193">
        <v>262.5</v>
      </c>
      <c r="R250" s="193">
        <v>262.5</v>
      </c>
      <c r="S250" s="193">
        <v>250</v>
      </c>
      <c r="T250" s="193">
        <v>450</v>
      </c>
      <c r="U250" s="193">
        <v>375</v>
      </c>
      <c r="V250" s="193">
        <v>285</v>
      </c>
      <c r="W250" s="193">
        <v>265</v>
      </c>
      <c r="X250" s="193">
        <v>300</v>
      </c>
    </row>
    <row r="251" spans="14:24" x14ac:dyDescent="0.25">
      <c r="N251" s="176" t="s">
        <v>301</v>
      </c>
      <c r="O251" s="193">
        <v>500</v>
      </c>
      <c r="P251" s="193">
        <v>625</v>
      </c>
      <c r="Q251" s="193">
        <v>218.75</v>
      </c>
      <c r="R251" s="193">
        <v>300</v>
      </c>
      <c r="S251" s="193">
        <v>225</v>
      </c>
      <c r="T251" s="193"/>
      <c r="U251" s="193">
        <v>450</v>
      </c>
      <c r="V251" s="193">
        <v>300</v>
      </c>
      <c r="W251" s="193">
        <v>291.25</v>
      </c>
      <c r="X251" s="193">
        <v>350</v>
      </c>
    </row>
    <row r="252" spans="14:24" x14ac:dyDescent="0.25">
      <c r="N252" s="176" t="s">
        <v>302</v>
      </c>
      <c r="O252" s="193">
        <v>500</v>
      </c>
      <c r="P252" s="193">
        <v>600</v>
      </c>
      <c r="Q252" s="193">
        <v>225</v>
      </c>
      <c r="R252" s="193"/>
      <c r="S252" s="193">
        <v>225</v>
      </c>
      <c r="T252" s="193"/>
      <c r="U252" s="193">
        <v>400</v>
      </c>
      <c r="V252" s="193">
        <v>300</v>
      </c>
      <c r="W252" s="193"/>
      <c r="X252" s="193">
        <v>300</v>
      </c>
    </row>
    <row r="253" spans="14:24" x14ac:dyDescent="0.25">
      <c r="N253" s="176" t="s">
        <v>303</v>
      </c>
      <c r="O253" s="193">
        <v>400</v>
      </c>
      <c r="P253" s="193">
        <v>600</v>
      </c>
      <c r="Q253" s="193">
        <v>300</v>
      </c>
      <c r="R253" s="193">
        <v>300</v>
      </c>
      <c r="S253" s="193"/>
      <c r="T253" s="193"/>
      <c r="U253" s="193">
        <v>400</v>
      </c>
      <c r="V253" s="193">
        <v>300</v>
      </c>
      <c r="W253" s="193"/>
      <c r="X253" s="193">
        <v>350</v>
      </c>
    </row>
    <row r="254" spans="14:24" x14ac:dyDescent="0.25">
      <c r="N254" s="176" t="s">
        <v>304</v>
      </c>
      <c r="O254" s="193">
        <v>425</v>
      </c>
      <c r="P254" s="193">
        <v>600</v>
      </c>
      <c r="Q254" s="193">
        <v>250</v>
      </c>
      <c r="R254" s="193">
        <v>250</v>
      </c>
      <c r="S254" s="193"/>
      <c r="T254" s="193"/>
      <c r="U254" s="193">
        <v>450</v>
      </c>
      <c r="V254" s="193">
        <v>300</v>
      </c>
      <c r="W254" s="193"/>
      <c r="X254" s="193"/>
    </row>
    <row r="255" spans="14:24" x14ac:dyDescent="0.25">
      <c r="N255" s="176" t="s">
        <v>305</v>
      </c>
      <c r="O255" s="193">
        <v>500</v>
      </c>
      <c r="P255" s="193">
        <v>600</v>
      </c>
      <c r="Q255" s="193">
        <v>225</v>
      </c>
      <c r="R255" s="193">
        <v>325</v>
      </c>
      <c r="S255" s="193"/>
      <c r="T255" s="193"/>
      <c r="U255" s="193">
        <v>400</v>
      </c>
      <c r="V255" s="193">
        <v>275</v>
      </c>
      <c r="W255" s="193">
        <v>275</v>
      </c>
      <c r="X255" s="193">
        <v>350</v>
      </c>
    </row>
    <row r="256" spans="14:24" x14ac:dyDescent="0.25">
      <c r="N256" s="176" t="s">
        <v>306</v>
      </c>
      <c r="O256" s="193">
        <v>500</v>
      </c>
      <c r="P256" s="193">
        <v>625</v>
      </c>
      <c r="Q256" s="193">
        <v>200</v>
      </c>
      <c r="R256" s="193">
        <v>300</v>
      </c>
      <c r="S256" s="193">
        <v>200</v>
      </c>
      <c r="T256" s="193">
        <v>437.5</v>
      </c>
      <c r="U256" s="193">
        <v>400</v>
      </c>
      <c r="V256" s="193">
        <v>300</v>
      </c>
      <c r="W256" s="193">
        <v>300</v>
      </c>
      <c r="X256" s="193">
        <v>300</v>
      </c>
    </row>
    <row r="257" spans="14:24" x14ac:dyDescent="0.25">
      <c r="N257" s="176" t="s">
        <v>307</v>
      </c>
      <c r="O257" s="193">
        <v>500</v>
      </c>
      <c r="P257" s="193">
        <v>600</v>
      </c>
      <c r="Q257" s="193">
        <v>225</v>
      </c>
      <c r="R257" s="193">
        <v>225</v>
      </c>
      <c r="S257" s="193">
        <v>200</v>
      </c>
      <c r="T257" s="193"/>
      <c r="U257" s="193">
        <v>400</v>
      </c>
      <c r="V257" s="193">
        <v>300</v>
      </c>
      <c r="W257" s="193">
        <v>300</v>
      </c>
      <c r="X257" s="193">
        <v>300</v>
      </c>
    </row>
    <row r="258" spans="14:24" x14ac:dyDescent="0.25">
      <c r="N258" s="176" t="s">
        <v>308</v>
      </c>
      <c r="O258" s="193">
        <v>600</v>
      </c>
      <c r="P258" s="193">
        <v>700</v>
      </c>
      <c r="Q258" s="193">
        <v>187.5</v>
      </c>
      <c r="R258" s="193">
        <v>250</v>
      </c>
      <c r="S258" s="193">
        <v>150</v>
      </c>
      <c r="T258" s="193"/>
      <c r="U258" s="193">
        <v>450</v>
      </c>
      <c r="V258" s="193">
        <v>300</v>
      </c>
      <c r="W258" s="193">
        <v>300</v>
      </c>
      <c r="X258" s="193">
        <v>300</v>
      </c>
    </row>
    <row r="259" spans="14:24" x14ac:dyDescent="0.25">
      <c r="N259" s="176" t="s">
        <v>310</v>
      </c>
      <c r="O259" s="193">
        <v>500</v>
      </c>
      <c r="P259" s="193">
        <v>600</v>
      </c>
      <c r="Q259" s="193">
        <v>258.33333333333331</v>
      </c>
      <c r="R259" s="193">
        <v>300</v>
      </c>
      <c r="S259" s="193">
        <v>300</v>
      </c>
      <c r="T259" s="193">
        <v>500</v>
      </c>
      <c r="U259" s="193">
        <v>425</v>
      </c>
      <c r="V259" s="193">
        <v>300</v>
      </c>
      <c r="W259" s="193"/>
      <c r="X259" s="193">
        <v>300</v>
      </c>
    </row>
    <row r="260" spans="14:24" x14ac:dyDescent="0.25">
      <c r="N260" s="176" t="s">
        <v>381</v>
      </c>
      <c r="O260" s="193">
        <f>AVERAGE(O249:O259)</f>
        <v>484.09090909090907</v>
      </c>
      <c r="P260" s="193">
        <f t="shared" ref="P260:X260" si="11">AVERAGE(P249:P259)</f>
        <v>610.22727272727275</v>
      </c>
      <c r="Q260" s="193">
        <f t="shared" si="11"/>
        <v>236.55303030303031</v>
      </c>
      <c r="R260" s="193">
        <f t="shared" si="11"/>
        <v>281.25</v>
      </c>
      <c r="S260" s="193">
        <f t="shared" si="11"/>
        <v>225</v>
      </c>
      <c r="T260" s="193">
        <f t="shared" si="11"/>
        <v>462.5</v>
      </c>
      <c r="U260" s="193">
        <f t="shared" si="11"/>
        <v>415.90909090909093</v>
      </c>
      <c r="V260" s="193">
        <f t="shared" si="11"/>
        <v>296.36363636363637</v>
      </c>
      <c r="W260" s="193">
        <f t="shared" si="11"/>
        <v>290.17857142857144</v>
      </c>
      <c r="X260" s="193">
        <f t="shared" si="11"/>
        <v>315</v>
      </c>
    </row>
    <row r="262" spans="14:24" ht="15" customHeight="1" x14ac:dyDescent="0.25">
      <c r="N262" s="434" t="s">
        <v>396</v>
      </c>
      <c r="O262" s="434"/>
      <c r="P262" s="434"/>
      <c r="Q262" s="434"/>
      <c r="R262" s="434"/>
      <c r="S262" s="434"/>
      <c r="T262" s="434"/>
      <c r="U262" s="434"/>
      <c r="V262" s="434"/>
      <c r="W262" s="434"/>
      <c r="X262" s="434"/>
    </row>
    <row r="263" spans="14:24" x14ac:dyDescent="0.25">
      <c r="N263" s="434"/>
      <c r="O263" s="434"/>
      <c r="P263" s="434"/>
      <c r="Q263" s="434"/>
      <c r="R263" s="434"/>
      <c r="S263" s="434"/>
      <c r="T263" s="434"/>
      <c r="U263" s="434"/>
      <c r="V263" s="434"/>
      <c r="W263" s="434"/>
      <c r="X263" s="434"/>
    </row>
    <row r="264" spans="14:24" x14ac:dyDescent="0.25">
      <c r="N264" s="435" t="s">
        <v>289</v>
      </c>
      <c r="O264" s="432" t="s">
        <v>152</v>
      </c>
      <c r="P264" s="433"/>
      <c r="Q264" s="432" t="s">
        <v>153</v>
      </c>
      <c r="R264" s="436"/>
      <c r="S264" s="433"/>
      <c r="T264" s="432" t="s">
        <v>290</v>
      </c>
      <c r="U264" s="436"/>
      <c r="V264" s="436"/>
      <c r="W264" s="436"/>
      <c r="X264" s="433"/>
    </row>
    <row r="265" spans="14:24" x14ac:dyDescent="0.25">
      <c r="N265" s="435"/>
      <c r="O265" s="437" t="s">
        <v>291</v>
      </c>
      <c r="P265" s="438"/>
      <c r="Q265" s="437" t="s">
        <v>291</v>
      </c>
      <c r="R265" s="439"/>
      <c r="S265" s="438"/>
      <c r="T265" s="437" t="s">
        <v>291</v>
      </c>
      <c r="U265" s="439"/>
      <c r="V265" s="439"/>
      <c r="W265" s="439"/>
      <c r="X265" s="438"/>
    </row>
    <row r="266" spans="14:24" x14ac:dyDescent="0.25">
      <c r="N266" s="435"/>
      <c r="O266" s="440" t="s">
        <v>163</v>
      </c>
      <c r="P266" s="440" t="s">
        <v>155</v>
      </c>
      <c r="Q266" s="440" t="s">
        <v>293</v>
      </c>
      <c r="R266" s="440" t="s">
        <v>294</v>
      </c>
      <c r="S266" s="440" t="s">
        <v>295</v>
      </c>
      <c r="T266" s="442" t="s">
        <v>296</v>
      </c>
      <c r="U266" s="443"/>
      <c r="V266" s="444" t="s">
        <v>297</v>
      </c>
      <c r="W266" s="444" t="s">
        <v>162</v>
      </c>
      <c r="X266" s="444" t="s">
        <v>163</v>
      </c>
    </row>
    <row r="267" spans="14:24" x14ac:dyDescent="0.25">
      <c r="N267" s="435"/>
      <c r="O267" s="441"/>
      <c r="P267" s="441"/>
      <c r="Q267" s="441"/>
      <c r="R267" s="441"/>
      <c r="S267" s="441"/>
      <c r="T267" s="194" t="s">
        <v>159</v>
      </c>
      <c r="U267" s="194" t="s">
        <v>160</v>
      </c>
      <c r="V267" s="445"/>
      <c r="W267" s="445"/>
      <c r="X267" s="445"/>
    </row>
    <row r="268" spans="14:24" x14ac:dyDescent="0.25">
      <c r="N268" s="176" t="s">
        <v>299</v>
      </c>
      <c r="O268" s="193">
        <v>400</v>
      </c>
      <c r="P268" s="193">
        <v>600</v>
      </c>
      <c r="Q268" s="193">
        <v>256.25</v>
      </c>
      <c r="R268" s="193">
        <v>293.75</v>
      </c>
      <c r="S268" s="193">
        <v>250</v>
      </c>
      <c r="T268" s="193">
        <v>487.5</v>
      </c>
      <c r="U268" s="193">
        <v>437.5</v>
      </c>
      <c r="V268" s="193">
        <v>300</v>
      </c>
      <c r="W268" s="193">
        <v>300</v>
      </c>
      <c r="X268" s="193">
        <v>300</v>
      </c>
    </row>
    <row r="269" spans="14:24" x14ac:dyDescent="0.25">
      <c r="N269" s="176" t="s">
        <v>300</v>
      </c>
      <c r="O269" s="193">
        <v>362.5</v>
      </c>
      <c r="P269" s="193">
        <v>650</v>
      </c>
      <c r="Q269" s="193">
        <v>261.25</v>
      </c>
      <c r="R269" s="193">
        <v>262.5</v>
      </c>
      <c r="S269" s="193">
        <v>250</v>
      </c>
      <c r="T269" s="193">
        <v>462.5</v>
      </c>
      <c r="U269" s="193">
        <v>387.5</v>
      </c>
      <c r="V269" s="193">
        <v>288.75</v>
      </c>
      <c r="W269" s="193">
        <v>265</v>
      </c>
      <c r="X269" s="193">
        <v>300</v>
      </c>
    </row>
    <row r="270" spans="14:24" x14ac:dyDescent="0.25">
      <c r="N270" s="176" t="s">
        <v>301</v>
      </c>
      <c r="O270" s="193">
        <v>356.25</v>
      </c>
      <c r="P270" s="193">
        <v>650</v>
      </c>
      <c r="Q270" s="193">
        <v>225</v>
      </c>
      <c r="R270" s="193">
        <v>300</v>
      </c>
      <c r="S270" s="193">
        <v>225</v>
      </c>
      <c r="T270" s="193"/>
      <c r="U270" s="193">
        <v>450</v>
      </c>
      <c r="V270" s="193">
        <v>300</v>
      </c>
      <c r="W270" s="193">
        <v>275</v>
      </c>
      <c r="X270" s="193">
        <v>350</v>
      </c>
    </row>
    <row r="271" spans="14:24" x14ac:dyDescent="0.25">
      <c r="N271" s="176" t="s">
        <v>302</v>
      </c>
      <c r="O271" s="193">
        <v>362.5</v>
      </c>
      <c r="P271" s="193">
        <v>525</v>
      </c>
      <c r="Q271" s="193">
        <v>225</v>
      </c>
      <c r="R271" s="193"/>
      <c r="S271" s="193">
        <v>225</v>
      </c>
      <c r="T271" s="193"/>
      <c r="U271" s="193">
        <v>475</v>
      </c>
      <c r="V271" s="193">
        <v>300</v>
      </c>
      <c r="W271" s="193"/>
      <c r="X271" s="193">
        <v>300</v>
      </c>
    </row>
    <row r="272" spans="14:24" x14ac:dyDescent="0.25">
      <c r="N272" s="176" t="s">
        <v>303</v>
      </c>
      <c r="O272" s="193">
        <v>300</v>
      </c>
      <c r="P272" s="193">
        <v>600</v>
      </c>
      <c r="Q272" s="193">
        <v>300</v>
      </c>
      <c r="R272" s="193">
        <v>300</v>
      </c>
      <c r="S272" s="193"/>
      <c r="T272" s="193"/>
      <c r="U272" s="193">
        <v>400</v>
      </c>
      <c r="V272" s="193">
        <v>300</v>
      </c>
      <c r="W272" s="193"/>
      <c r="X272" s="193">
        <v>350</v>
      </c>
    </row>
    <row r="273" spans="14:24" x14ac:dyDescent="0.25">
      <c r="N273" s="176" t="s">
        <v>304</v>
      </c>
      <c r="O273" s="193">
        <v>362.5</v>
      </c>
      <c r="P273" s="193"/>
      <c r="Q273" s="193">
        <v>250</v>
      </c>
      <c r="R273" s="193">
        <v>250</v>
      </c>
      <c r="S273" s="193"/>
      <c r="T273" s="193"/>
      <c r="U273" s="193">
        <v>450</v>
      </c>
      <c r="V273" s="193">
        <v>300</v>
      </c>
      <c r="W273" s="193"/>
      <c r="X273" s="193"/>
    </row>
    <row r="274" spans="14:24" x14ac:dyDescent="0.25">
      <c r="N274" s="176" t="s">
        <v>305</v>
      </c>
      <c r="O274" s="193">
        <v>600</v>
      </c>
      <c r="P274" s="193">
        <v>600</v>
      </c>
      <c r="Q274" s="193">
        <v>225</v>
      </c>
      <c r="R274" s="193">
        <v>325</v>
      </c>
      <c r="S274" s="193"/>
      <c r="T274" s="193"/>
      <c r="U274" s="193">
        <v>400</v>
      </c>
      <c r="V274" s="193">
        <v>275</v>
      </c>
      <c r="W274" s="193">
        <v>275</v>
      </c>
      <c r="X274" s="193">
        <v>350</v>
      </c>
    </row>
    <row r="275" spans="14:24" x14ac:dyDescent="0.25">
      <c r="N275" s="176" t="s">
        <v>306</v>
      </c>
      <c r="O275" s="193">
        <v>412.5</v>
      </c>
      <c r="P275" s="193">
        <v>650</v>
      </c>
      <c r="Q275" s="193">
        <v>200</v>
      </c>
      <c r="R275" s="193">
        <v>300</v>
      </c>
      <c r="S275" s="193">
        <v>200</v>
      </c>
      <c r="T275" s="193">
        <v>450</v>
      </c>
      <c r="U275" s="193">
        <v>400</v>
      </c>
      <c r="V275" s="193">
        <v>300</v>
      </c>
      <c r="W275" s="193">
        <v>300</v>
      </c>
      <c r="X275" s="193">
        <v>300</v>
      </c>
    </row>
    <row r="276" spans="14:24" x14ac:dyDescent="0.25">
      <c r="N276" s="176" t="s">
        <v>307</v>
      </c>
      <c r="O276" s="193">
        <v>475</v>
      </c>
      <c r="P276" s="193">
        <v>600</v>
      </c>
      <c r="Q276" s="193">
        <v>225</v>
      </c>
      <c r="R276" s="193">
        <v>225</v>
      </c>
      <c r="S276" s="193">
        <v>200</v>
      </c>
      <c r="T276" s="193"/>
      <c r="U276" s="193">
        <v>400</v>
      </c>
      <c r="V276" s="193">
        <v>300</v>
      </c>
      <c r="W276" s="193">
        <v>300</v>
      </c>
      <c r="X276" s="193">
        <v>300</v>
      </c>
    </row>
    <row r="277" spans="14:24" x14ac:dyDescent="0.25">
      <c r="N277" s="176" t="s">
        <v>308</v>
      </c>
      <c r="O277" s="193">
        <v>475</v>
      </c>
      <c r="P277" s="193">
        <v>625</v>
      </c>
      <c r="Q277" s="193">
        <v>175</v>
      </c>
      <c r="R277" s="193">
        <v>250</v>
      </c>
      <c r="S277" s="193">
        <v>162.5</v>
      </c>
      <c r="T277" s="193"/>
      <c r="U277" s="193">
        <v>450</v>
      </c>
      <c r="V277" s="193">
        <v>300</v>
      </c>
      <c r="W277" s="193">
        <v>300</v>
      </c>
      <c r="X277" s="193">
        <v>300</v>
      </c>
    </row>
    <row r="278" spans="14:24" x14ac:dyDescent="0.25">
      <c r="N278" s="176" t="s">
        <v>310</v>
      </c>
      <c r="O278" s="193">
        <v>462.5</v>
      </c>
      <c r="P278" s="193">
        <v>700</v>
      </c>
      <c r="Q278" s="193">
        <v>250</v>
      </c>
      <c r="R278" s="193">
        <v>300</v>
      </c>
      <c r="S278" s="193">
        <v>300</v>
      </c>
      <c r="T278" s="193">
        <v>500</v>
      </c>
      <c r="U278" s="193">
        <v>400</v>
      </c>
      <c r="V278" s="193">
        <v>300</v>
      </c>
      <c r="W278" s="193"/>
      <c r="X278" s="193">
        <v>300</v>
      </c>
    </row>
    <row r="279" spans="14:24" x14ac:dyDescent="0.25">
      <c r="N279" s="176" t="s">
        <v>381</v>
      </c>
      <c r="O279" s="193">
        <f>AVERAGE(O268:O278)</f>
        <v>415.34090909090907</v>
      </c>
      <c r="P279" s="193">
        <f t="shared" ref="P279:X279" si="12">AVERAGE(P268:P278)</f>
        <v>620</v>
      </c>
      <c r="Q279" s="193">
        <f t="shared" si="12"/>
        <v>235.68181818181819</v>
      </c>
      <c r="R279" s="193">
        <f t="shared" si="12"/>
        <v>280.625</v>
      </c>
      <c r="S279" s="193">
        <f t="shared" si="12"/>
        <v>226.5625</v>
      </c>
      <c r="T279" s="193">
        <f t="shared" si="12"/>
        <v>475</v>
      </c>
      <c r="U279" s="193">
        <f t="shared" si="12"/>
        <v>422.72727272727275</v>
      </c>
      <c r="V279" s="193">
        <f t="shared" si="12"/>
        <v>296.70454545454544</v>
      </c>
      <c r="W279" s="193">
        <f t="shared" si="12"/>
        <v>287.85714285714283</v>
      </c>
      <c r="X279" s="193">
        <f t="shared" si="12"/>
        <v>315</v>
      </c>
    </row>
  </sheetData>
  <mergeCells count="1649">
    <mergeCell ref="BB52:BC52"/>
    <mergeCell ref="BD52:BF52"/>
    <mergeCell ref="N157:O157"/>
    <mergeCell ref="AJ136:AL136"/>
    <mergeCell ref="AM136:AQ136"/>
    <mergeCell ref="S136:W136"/>
    <mergeCell ref="X136:Y136"/>
    <mergeCell ref="Z136:AB136"/>
    <mergeCell ref="AC136:AG136"/>
    <mergeCell ref="AH136:AI136"/>
    <mergeCell ref="AJ157:AL157"/>
    <mergeCell ref="AM157:AQ157"/>
    <mergeCell ref="Q246:S246"/>
    <mergeCell ref="T246:X246"/>
    <mergeCell ref="O247:O248"/>
    <mergeCell ref="P247:P248"/>
    <mergeCell ref="Q247:Q248"/>
    <mergeCell ref="R247:R248"/>
    <mergeCell ref="S247:S248"/>
    <mergeCell ref="T247:U247"/>
    <mergeCell ref="V247:V248"/>
    <mergeCell ref="W247:W248"/>
    <mergeCell ref="X247:X248"/>
    <mergeCell ref="X52:Y52"/>
    <mergeCell ref="AR157:AS157"/>
    <mergeCell ref="O138:O139"/>
    <mergeCell ref="AK138:AK139"/>
    <mergeCell ref="AL138:AL139"/>
    <mergeCell ref="P138:P139"/>
    <mergeCell ref="Q138:Q139"/>
    <mergeCell ref="R138:R139"/>
    <mergeCell ref="N225:O225"/>
    <mergeCell ref="R33:R34"/>
    <mergeCell ref="S33:T33"/>
    <mergeCell ref="AH32:AI32"/>
    <mergeCell ref="AJ33:AJ34"/>
    <mergeCell ref="AQ33:AQ34"/>
    <mergeCell ref="AR33:AR34"/>
    <mergeCell ref="DX10:DZ10"/>
    <mergeCell ref="EA10:EC10"/>
    <mergeCell ref="ED10:EH10"/>
    <mergeCell ref="N31:O31"/>
    <mergeCell ref="P31:R31"/>
    <mergeCell ref="DC10:DG10"/>
    <mergeCell ref="DH10:DL10"/>
    <mergeCell ref="DM10:DN10"/>
    <mergeCell ref="DO10:DQ10"/>
    <mergeCell ref="DR10:DW10"/>
    <mergeCell ref="CL10:CP10"/>
    <mergeCell ref="CQ10:CR10"/>
    <mergeCell ref="CS10:CU10"/>
    <mergeCell ref="CV10:CZ10"/>
    <mergeCell ref="DA10:DB10"/>
    <mergeCell ref="BW10:BX10"/>
    <mergeCell ref="BY10:CA10"/>
    <mergeCell ref="CB10:CF10"/>
    <mergeCell ref="CG10:CH10"/>
    <mergeCell ref="AU10:AW10"/>
    <mergeCell ref="AX10:BB10"/>
    <mergeCell ref="BC10:BD10"/>
    <mergeCell ref="Y10:Z10"/>
    <mergeCell ref="AA10:AC10"/>
    <mergeCell ref="AD10:AH10"/>
    <mergeCell ref="AI10:AJ10"/>
    <mergeCell ref="CI10:CK10"/>
    <mergeCell ref="BH10:BL10"/>
    <mergeCell ref="BM10:BN10"/>
    <mergeCell ref="BO10:BQ10"/>
    <mergeCell ref="BR10:BV10"/>
    <mergeCell ref="AN10:AR10"/>
    <mergeCell ref="S32:W32"/>
    <mergeCell ref="X32:Y32"/>
    <mergeCell ref="Z32:AB32"/>
    <mergeCell ref="BN31:BP31"/>
    <mergeCell ref="AJ31:AL31"/>
    <mergeCell ref="AM31:AQ31"/>
    <mergeCell ref="AR31:AS31"/>
    <mergeCell ref="AT31:AV31"/>
    <mergeCell ref="AW31:BA31"/>
    <mergeCell ref="A1:J1"/>
    <mergeCell ref="N10:N13"/>
    <mergeCell ref="O10:P10"/>
    <mergeCell ref="Q10:S10"/>
    <mergeCell ref="T10:X10"/>
    <mergeCell ref="AS10:AT10"/>
    <mergeCell ref="AK10:AM10"/>
    <mergeCell ref="BE10:BG10"/>
    <mergeCell ref="AZ12:AZ13"/>
    <mergeCell ref="AP12:AP13"/>
    <mergeCell ref="AQ12:AQ13"/>
    <mergeCell ref="AR12:AR13"/>
    <mergeCell ref="AH12:AH13"/>
    <mergeCell ref="AI12:AI13"/>
    <mergeCell ref="AS12:AS13"/>
    <mergeCell ref="AT12:AT13"/>
    <mergeCell ref="S31:W31"/>
    <mergeCell ref="BD32:BF32"/>
    <mergeCell ref="AF33:AF34"/>
    <mergeCell ref="AG33:AG34"/>
    <mergeCell ref="AH33:AH34"/>
    <mergeCell ref="AI33:AI34"/>
    <mergeCell ref="Z33:Z34"/>
    <mergeCell ref="AA33:AA34"/>
    <mergeCell ref="AB33:AB34"/>
    <mergeCell ref="AC33:AD33"/>
    <mergeCell ref="AE33:AE34"/>
    <mergeCell ref="BH12:BI12"/>
    <mergeCell ref="BJ12:BJ13"/>
    <mergeCell ref="BK12:BK13"/>
    <mergeCell ref="BG33:BH33"/>
    <mergeCell ref="Z52:AB52"/>
    <mergeCell ref="AC52:AG52"/>
    <mergeCell ref="AH52:AI52"/>
    <mergeCell ref="AJ52:AL52"/>
    <mergeCell ref="AM52:AQ52"/>
    <mergeCell ref="AR52:AS52"/>
    <mergeCell ref="AT52:AV52"/>
    <mergeCell ref="AT33:AT34"/>
    <mergeCell ref="AU12:AU13"/>
    <mergeCell ref="AV12:AV13"/>
    <mergeCell ref="AW12:AW13"/>
    <mergeCell ref="AX12:AY12"/>
    <mergeCell ref="AJ32:AL32"/>
    <mergeCell ref="AM32:AQ32"/>
    <mergeCell ref="AR32:AS32"/>
    <mergeCell ref="AT32:AV32"/>
    <mergeCell ref="AW32:BA32"/>
    <mergeCell ref="AP33:AP34"/>
    <mergeCell ref="BA12:BA13"/>
    <mergeCell ref="DO31:DS31"/>
    <mergeCell ref="DT31:DU31"/>
    <mergeCell ref="DV31:DX31"/>
    <mergeCell ref="DY31:EC31"/>
    <mergeCell ref="N52:O52"/>
    <mergeCell ref="CZ31:DA31"/>
    <mergeCell ref="DB31:DD31"/>
    <mergeCell ref="DE31:DI31"/>
    <mergeCell ref="DJ31:DK31"/>
    <mergeCell ref="DL31:DN31"/>
    <mergeCell ref="CH31:CJ31"/>
    <mergeCell ref="CK31:CO31"/>
    <mergeCell ref="CP31:CQ31"/>
    <mergeCell ref="CR31:CT31"/>
    <mergeCell ref="CU31:CY31"/>
    <mergeCell ref="BQ31:BU31"/>
    <mergeCell ref="BV31:BW31"/>
    <mergeCell ref="BX31:BZ31"/>
    <mergeCell ref="CA31:CE31"/>
    <mergeCell ref="CF31:CG31"/>
    <mergeCell ref="BB31:BC31"/>
    <mergeCell ref="N32:O32"/>
    <mergeCell ref="P32:R32"/>
    <mergeCell ref="BD31:BF31"/>
    <mergeCell ref="BG31:BK31"/>
    <mergeCell ref="BL31:BM31"/>
    <mergeCell ref="DL52:DN52"/>
    <mergeCell ref="DO52:DS52"/>
    <mergeCell ref="DT52:DU52"/>
    <mergeCell ref="P52:R52"/>
    <mergeCell ref="S52:W52"/>
    <mergeCell ref="DV52:DX52"/>
    <mergeCell ref="DY52:EC52"/>
    <mergeCell ref="CU52:CY52"/>
    <mergeCell ref="CZ52:DA52"/>
    <mergeCell ref="DB52:DD52"/>
    <mergeCell ref="DE52:DI52"/>
    <mergeCell ref="DJ52:DK52"/>
    <mergeCell ref="CF52:CG52"/>
    <mergeCell ref="CH52:CJ52"/>
    <mergeCell ref="CK52:CO52"/>
    <mergeCell ref="CP52:CQ52"/>
    <mergeCell ref="CR52:CT52"/>
    <mergeCell ref="BN52:BP52"/>
    <mergeCell ref="BQ52:BU52"/>
    <mergeCell ref="BV52:BW52"/>
    <mergeCell ref="BX52:BZ52"/>
    <mergeCell ref="CA52:CE52"/>
    <mergeCell ref="CF95:CG95"/>
    <mergeCell ref="CH95:CJ95"/>
    <mergeCell ref="N94:O94"/>
    <mergeCell ref="P94:R94"/>
    <mergeCell ref="S94:W94"/>
    <mergeCell ref="X94:Y94"/>
    <mergeCell ref="DJ73:DK73"/>
    <mergeCell ref="DL73:DN73"/>
    <mergeCell ref="DO73:DS73"/>
    <mergeCell ref="DT73:DU73"/>
    <mergeCell ref="DV73:DX73"/>
    <mergeCell ref="CR73:CT73"/>
    <mergeCell ref="CU73:CY73"/>
    <mergeCell ref="CZ73:DA73"/>
    <mergeCell ref="DB73:DD73"/>
    <mergeCell ref="DE73:DI73"/>
    <mergeCell ref="CA73:CE73"/>
    <mergeCell ref="CF73:CG73"/>
    <mergeCell ref="CH73:CJ73"/>
    <mergeCell ref="CK73:CO73"/>
    <mergeCell ref="CP73:CQ73"/>
    <mergeCell ref="BL73:BM73"/>
    <mergeCell ref="BN73:BP73"/>
    <mergeCell ref="BQ73:BU73"/>
    <mergeCell ref="BV73:BW73"/>
    <mergeCell ref="BX73:BZ73"/>
    <mergeCell ref="AT73:AV73"/>
    <mergeCell ref="AW73:BA73"/>
    <mergeCell ref="N73:O73"/>
    <mergeCell ref="P73:R73"/>
    <mergeCell ref="S73:W73"/>
    <mergeCell ref="X73:Y73"/>
    <mergeCell ref="DO94:DS94"/>
    <mergeCell ref="DT94:DU94"/>
    <mergeCell ref="CP94:CQ94"/>
    <mergeCell ref="CR94:CT94"/>
    <mergeCell ref="CU94:CY94"/>
    <mergeCell ref="CZ94:DA94"/>
    <mergeCell ref="DB94:DD94"/>
    <mergeCell ref="BX94:BZ94"/>
    <mergeCell ref="CA94:CE94"/>
    <mergeCell ref="CF94:CG94"/>
    <mergeCell ref="CH94:CJ94"/>
    <mergeCell ref="CK94:CO94"/>
    <mergeCell ref="BG94:BK94"/>
    <mergeCell ref="BL94:BM94"/>
    <mergeCell ref="BN94:BP94"/>
    <mergeCell ref="BQ94:BU94"/>
    <mergeCell ref="BV94:BW94"/>
    <mergeCell ref="DV94:DX94"/>
    <mergeCell ref="DY94:EC94"/>
    <mergeCell ref="AM94:AQ94"/>
    <mergeCell ref="CK95:CO95"/>
    <mergeCell ref="CP95:CQ95"/>
    <mergeCell ref="BL95:BM95"/>
    <mergeCell ref="BN95:BP95"/>
    <mergeCell ref="BQ95:BU95"/>
    <mergeCell ref="BV95:BW95"/>
    <mergeCell ref="BX95:BZ95"/>
    <mergeCell ref="AT95:AV95"/>
    <mergeCell ref="AW95:BA95"/>
    <mergeCell ref="BB95:BC95"/>
    <mergeCell ref="BD95:BF95"/>
    <mergeCell ref="BG95:BK95"/>
    <mergeCell ref="AC95:AG95"/>
    <mergeCell ref="AH95:AI95"/>
    <mergeCell ref="AJ95:AL95"/>
    <mergeCell ref="AM95:AQ95"/>
    <mergeCell ref="AR95:AS95"/>
    <mergeCell ref="DY95:EC95"/>
    <mergeCell ref="DJ95:DK95"/>
    <mergeCell ref="DL95:DN95"/>
    <mergeCell ref="DO95:DS95"/>
    <mergeCell ref="DT95:DU95"/>
    <mergeCell ref="DV95:DX95"/>
    <mergeCell ref="CR95:CT95"/>
    <mergeCell ref="CU95:CY95"/>
    <mergeCell ref="CZ95:DA95"/>
    <mergeCell ref="DB95:DD95"/>
    <mergeCell ref="DE95:DI95"/>
    <mergeCell ref="CA95:CE95"/>
    <mergeCell ref="DT115:DU115"/>
    <mergeCell ref="DV115:DX115"/>
    <mergeCell ref="DY115:EC115"/>
    <mergeCell ref="N136:O136"/>
    <mergeCell ref="P136:R136"/>
    <mergeCell ref="DB115:DD115"/>
    <mergeCell ref="DE115:DI115"/>
    <mergeCell ref="DJ115:DK115"/>
    <mergeCell ref="DL115:DN115"/>
    <mergeCell ref="DO115:DS115"/>
    <mergeCell ref="CK115:CO115"/>
    <mergeCell ref="CP115:CQ115"/>
    <mergeCell ref="CR115:CT115"/>
    <mergeCell ref="CU115:CY115"/>
    <mergeCell ref="CZ115:DA115"/>
    <mergeCell ref="BV115:BW115"/>
    <mergeCell ref="BX115:BZ115"/>
    <mergeCell ref="CA115:CE115"/>
    <mergeCell ref="CF115:CG115"/>
    <mergeCell ref="CH115:CJ115"/>
    <mergeCell ref="X115:Y115"/>
    <mergeCell ref="Z115:AB115"/>
    <mergeCell ref="AC115:AG115"/>
    <mergeCell ref="AH115:AI115"/>
    <mergeCell ref="AJ115:AL115"/>
    <mergeCell ref="N115:O115"/>
    <mergeCell ref="P115:R115"/>
    <mergeCell ref="S115:W115"/>
    <mergeCell ref="DO136:DS136"/>
    <mergeCell ref="DT136:DU136"/>
    <mergeCell ref="DV136:DX136"/>
    <mergeCell ref="DY136:EC136"/>
    <mergeCell ref="CZ136:DA136"/>
    <mergeCell ref="DB136:DD136"/>
    <mergeCell ref="DE136:DI136"/>
    <mergeCell ref="DJ136:DK136"/>
    <mergeCell ref="DL136:DN136"/>
    <mergeCell ref="CH136:CJ136"/>
    <mergeCell ref="CK136:CO136"/>
    <mergeCell ref="CP136:CQ136"/>
    <mergeCell ref="CR136:CT136"/>
    <mergeCell ref="CU136:CY136"/>
    <mergeCell ref="BQ136:BU136"/>
    <mergeCell ref="BV136:BW136"/>
    <mergeCell ref="BX136:BZ136"/>
    <mergeCell ref="CA136:CE136"/>
    <mergeCell ref="CF136:CG136"/>
    <mergeCell ref="BB136:BC136"/>
    <mergeCell ref="BD136:BF136"/>
    <mergeCell ref="BG136:BK136"/>
    <mergeCell ref="BL136:BM136"/>
    <mergeCell ref="BN136:BP136"/>
    <mergeCell ref="DY157:EC157"/>
    <mergeCell ref="CU157:CY157"/>
    <mergeCell ref="CZ157:DA157"/>
    <mergeCell ref="DB157:DD157"/>
    <mergeCell ref="DE157:DI157"/>
    <mergeCell ref="DJ157:DK157"/>
    <mergeCell ref="CF157:CG157"/>
    <mergeCell ref="CH157:CJ157"/>
    <mergeCell ref="CK157:CO157"/>
    <mergeCell ref="CP157:CQ157"/>
    <mergeCell ref="CR157:CT157"/>
    <mergeCell ref="BN157:BP157"/>
    <mergeCell ref="BQ157:BU157"/>
    <mergeCell ref="BV157:BW157"/>
    <mergeCell ref="BX157:BZ157"/>
    <mergeCell ref="CA157:CE157"/>
    <mergeCell ref="AW157:BA157"/>
    <mergeCell ref="BB157:BC157"/>
    <mergeCell ref="BD157:BF157"/>
    <mergeCell ref="BG157:BK157"/>
    <mergeCell ref="BL157:BM157"/>
    <mergeCell ref="DL157:DN157"/>
    <mergeCell ref="DO157:DS157"/>
    <mergeCell ref="DT157:DU157"/>
    <mergeCell ref="DV157:DX157"/>
    <mergeCell ref="DY181:EC181"/>
    <mergeCell ref="DJ181:DK181"/>
    <mergeCell ref="DL181:DN181"/>
    <mergeCell ref="DO181:DS181"/>
    <mergeCell ref="DT181:DU181"/>
    <mergeCell ref="DV181:DX181"/>
    <mergeCell ref="CR181:CT181"/>
    <mergeCell ref="CU181:CY181"/>
    <mergeCell ref="CZ181:DA181"/>
    <mergeCell ref="DB181:DD181"/>
    <mergeCell ref="DE181:DI181"/>
    <mergeCell ref="CA181:CE181"/>
    <mergeCell ref="CF181:CG181"/>
    <mergeCell ref="CH181:CJ181"/>
    <mergeCell ref="CK181:CO181"/>
    <mergeCell ref="CP181:CQ181"/>
    <mergeCell ref="BL181:BM181"/>
    <mergeCell ref="BN181:BP181"/>
    <mergeCell ref="BQ181:BU181"/>
    <mergeCell ref="BV181:BW181"/>
    <mergeCell ref="BX181:BZ181"/>
    <mergeCell ref="P225:R225"/>
    <mergeCell ref="S225:W225"/>
    <mergeCell ref="O11:P11"/>
    <mergeCell ref="Q11:S11"/>
    <mergeCell ref="T11:X11"/>
    <mergeCell ref="Y11:Z11"/>
    <mergeCell ref="AA11:AC11"/>
    <mergeCell ref="AD11:AH11"/>
    <mergeCell ref="AI11:AJ11"/>
    <mergeCell ref="AK11:AM11"/>
    <mergeCell ref="AN11:AR11"/>
    <mergeCell ref="AS11:AT11"/>
    <mergeCell ref="AU11:AW11"/>
    <mergeCell ref="AX11:BB11"/>
    <mergeCell ref="BC11:BD11"/>
    <mergeCell ref="AJ181:AL181"/>
    <mergeCell ref="AM181:AQ181"/>
    <mergeCell ref="AR181:AS181"/>
    <mergeCell ref="N181:O181"/>
    <mergeCell ref="P181:R181"/>
    <mergeCell ref="S181:W181"/>
    <mergeCell ref="X181:Y181"/>
    <mergeCell ref="Z181:AB181"/>
    <mergeCell ref="AH157:AI157"/>
    <mergeCell ref="P157:R157"/>
    <mergeCell ref="S157:W157"/>
    <mergeCell ref="X157:Y157"/>
    <mergeCell ref="Z157:AB157"/>
    <mergeCell ref="AC157:AG157"/>
    <mergeCell ref="AR94:AS94"/>
    <mergeCell ref="AT94:AV94"/>
    <mergeCell ref="P74:R74"/>
    <mergeCell ref="CZ32:DA32"/>
    <mergeCell ref="DB32:DD32"/>
    <mergeCell ref="DE32:DI32"/>
    <mergeCell ref="DJ32:DK32"/>
    <mergeCell ref="DL32:DN32"/>
    <mergeCell ref="CH32:CJ32"/>
    <mergeCell ref="CK32:CO32"/>
    <mergeCell ref="CP32:CQ32"/>
    <mergeCell ref="CR32:CT32"/>
    <mergeCell ref="CU32:CY32"/>
    <mergeCell ref="BQ32:BU32"/>
    <mergeCell ref="AT181:AV181"/>
    <mergeCell ref="AW181:BA181"/>
    <mergeCell ref="BB181:BC181"/>
    <mergeCell ref="BD181:BF181"/>
    <mergeCell ref="BG181:BK181"/>
    <mergeCell ref="AC181:AG181"/>
    <mergeCell ref="AH181:AI181"/>
    <mergeCell ref="DE94:DI94"/>
    <mergeCell ref="DJ94:DK94"/>
    <mergeCell ref="DL94:DN94"/>
    <mergeCell ref="AW94:BA94"/>
    <mergeCell ref="BB94:BC94"/>
    <mergeCell ref="BD94:BF94"/>
    <mergeCell ref="BB73:BC73"/>
    <mergeCell ref="BD73:BF73"/>
    <mergeCell ref="BG73:BK73"/>
    <mergeCell ref="AC73:AG73"/>
    <mergeCell ref="AH73:AI73"/>
    <mergeCell ref="AJ73:AL73"/>
    <mergeCell ref="BV32:BW32"/>
    <mergeCell ref="BX32:BZ32"/>
    <mergeCell ref="DM11:DN11"/>
    <mergeCell ref="DO11:DQ11"/>
    <mergeCell ref="DR11:DW11"/>
    <mergeCell ref="CL11:CP11"/>
    <mergeCell ref="CQ11:CR11"/>
    <mergeCell ref="CS11:CU11"/>
    <mergeCell ref="CV11:CZ11"/>
    <mergeCell ref="DA11:DB11"/>
    <mergeCell ref="BW11:BX11"/>
    <mergeCell ref="BY11:CA11"/>
    <mergeCell ref="CB11:CF11"/>
    <mergeCell ref="CG11:CH11"/>
    <mergeCell ref="CI11:CK11"/>
    <mergeCell ref="BE11:BG11"/>
    <mergeCell ref="BH11:BL11"/>
    <mergeCell ref="BM11:BN11"/>
    <mergeCell ref="BO11:BQ11"/>
    <mergeCell ref="BR11:BV11"/>
    <mergeCell ref="DX11:DZ11"/>
    <mergeCell ref="EA11:EC11"/>
    <mergeCell ref="ED11:EH11"/>
    <mergeCell ref="X31:Y31"/>
    <mergeCell ref="Z31:AB31"/>
    <mergeCell ref="AC31:AG31"/>
    <mergeCell ref="AH31:AI31"/>
    <mergeCell ref="BN53:BP53"/>
    <mergeCell ref="AH53:AI53"/>
    <mergeCell ref="AJ53:AL53"/>
    <mergeCell ref="AM53:AQ53"/>
    <mergeCell ref="AR53:AS53"/>
    <mergeCell ref="AT53:AV53"/>
    <mergeCell ref="P53:R53"/>
    <mergeCell ref="S53:W53"/>
    <mergeCell ref="X53:Y53"/>
    <mergeCell ref="Z53:AB53"/>
    <mergeCell ref="AC53:AG53"/>
    <mergeCell ref="DO32:DS32"/>
    <mergeCell ref="DT32:DU32"/>
    <mergeCell ref="DV32:DX32"/>
    <mergeCell ref="DY32:EC32"/>
    <mergeCell ref="AJ12:AJ13"/>
    <mergeCell ref="AK12:AK13"/>
    <mergeCell ref="AL12:AL13"/>
    <mergeCell ref="AM12:AM13"/>
    <mergeCell ref="AN12:AO12"/>
    <mergeCell ref="AD12:AE12"/>
    <mergeCell ref="AF12:AF13"/>
    <mergeCell ref="AG12:AG13"/>
    <mergeCell ref="DC11:DG11"/>
    <mergeCell ref="DH11:DL11"/>
    <mergeCell ref="CF32:CG32"/>
    <mergeCell ref="BB32:BC32"/>
    <mergeCell ref="U33:U34"/>
    <mergeCell ref="V33:V34"/>
    <mergeCell ref="W33:W34"/>
    <mergeCell ref="X33:X34"/>
    <mergeCell ref="Y33:Y34"/>
    <mergeCell ref="BL33:BL34"/>
    <mergeCell ref="BC33:BC34"/>
    <mergeCell ref="BD33:BD34"/>
    <mergeCell ref="BE33:BE34"/>
    <mergeCell ref="BF33:BF34"/>
    <mergeCell ref="AV33:AV34"/>
    <mergeCell ref="AW33:AX33"/>
    <mergeCell ref="AY33:AY34"/>
    <mergeCell ref="AZ33:AZ34"/>
    <mergeCell ref="BA33:BA34"/>
    <mergeCell ref="AC32:AG32"/>
    <mergeCell ref="AU33:AU34"/>
    <mergeCell ref="BI33:BI34"/>
    <mergeCell ref="BJ33:BJ34"/>
    <mergeCell ref="BK33:BK34"/>
    <mergeCell ref="BB33:BB34"/>
    <mergeCell ref="CD33:CD34"/>
    <mergeCell ref="CE33:CE34"/>
    <mergeCell ref="CF33:CF34"/>
    <mergeCell ref="CG33:CG34"/>
    <mergeCell ref="BW33:BW34"/>
    <mergeCell ref="BM33:BM34"/>
    <mergeCell ref="BN33:BN34"/>
    <mergeCell ref="BO33:BO34"/>
    <mergeCell ref="BG32:BK32"/>
    <mergeCell ref="S74:W74"/>
    <mergeCell ref="X74:Y74"/>
    <mergeCell ref="Z74:AB74"/>
    <mergeCell ref="AC74:AG74"/>
    <mergeCell ref="DO53:DS53"/>
    <mergeCell ref="DT53:DU53"/>
    <mergeCell ref="DV53:DX53"/>
    <mergeCell ref="DY53:EC53"/>
    <mergeCell ref="N74:O74"/>
    <mergeCell ref="CZ53:DA53"/>
    <mergeCell ref="DB53:DD53"/>
    <mergeCell ref="DE53:DI53"/>
    <mergeCell ref="DJ53:DK53"/>
    <mergeCell ref="DL53:DN53"/>
    <mergeCell ref="CH53:CJ53"/>
    <mergeCell ref="CK53:CO53"/>
    <mergeCell ref="CP53:CQ53"/>
    <mergeCell ref="CR53:CT53"/>
    <mergeCell ref="CU53:CY53"/>
    <mergeCell ref="BQ53:BU53"/>
    <mergeCell ref="BV53:BW53"/>
    <mergeCell ref="BX53:BZ53"/>
    <mergeCell ref="CA53:CE53"/>
    <mergeCell ref="CF53:CG53"/>
    <mergeCell ref="BB53:BC53"/>
    <mergeCell ref="BD53:BF53"/>
    <mergeCell ref="BG53:BK53"/>
    <mergeCell ref="BL53:BM53"/>
    <mergeCell ref="N53:O53"/>
    <mergeCell ref="DY73:EC73"/>
    <mergeCell ref="AM73:AQ73"/>
    <mergeCell ref="AF54:AF55"/>
    <mergeCell ref="N95:O95"/>
    <mergeCell ref="P95:R95"/>
    <mergeCell ref="S95:W95"/>
    <mergeCell ref="X95:Y95"/>
    <mergeCell ref="Z95:AB95"/>
    <mergeCell ref="DL74:DN74"/>
    <mergeCell ref="DO74:DS74"/>
    <mergeCell ref="DT74:DU74"/>
    <mergeCell ref="DV74:DX74"/>
    <mergeCell ref="DY74:EC74"/>
    <mergeCell ref="CU74:CY74"/>
    <mergeCell ref="CZ74:DA74"/>
    <mergeCell ref="DB74:DD74"/>
    <mergeCell ref="DE74:DI74"/>
    <mergeCell ref="DJ74:DK74"/>
    <mergeCell ref="CF74:CG74"/>
    <mergeCell ref="CH74:CJ74"/>
    <mergeCell ref="CK74:CO74"/>
    <mergeCell ref="CP74:CQ74"/>
    <mergeCell ref="CR74:CT74"/>
    <mergeCell ref="BN74:BP74"/>
    <mergeCell ref="BQ74:BU74"/>
    <mergeCell ref="BV74:BW74"/>
    <mergeCell ref="BX74:BZ74"/>
    <mergeCell ref="CA74:CE74"/>
    <mergeCell ref="AW74:BA74"/>
    <mergeCell ref="BB74:BC74"/>
    <mergeCell ref="BD74:BF74"/>
    <mergeCell ref="BG74:BK74"/>
    <mergeCell ref="BL74:BM74"/>
    <mergeCell ref="AH74:AI74"/>
    <mergeCell ref="AJ74:AL74"/>
    <mergeCell ref="P96:P97"/>
    <mergeCell ref="BL116:BM116"/>
    <mergeCell ref="BN116:BP116"/>
    <mergeCell ref="BQ116:BU116"/>
    <mergeCell ref="BV116:BW116"/>
    <mergeCell ref="AR116:AS116"/>
    <mergeCell ref="AT116:AV116"/>
    <mergeCell ref="AW116:BA116"/>
    <mergeCell ref="BB116:BC116"/>
    <mergeCell ref="BD116:BF116"/>
    <mergeCell ref="Z116:AB116"/>
    <mergeCell ref="AC116:AG116"/>
    <mergeCell ref="AH116:AI116"/>
    <mergeCell ref="AJ116:AL116"/>
    <mergeCell ref="AM116:AQ116"/>
    <mergeCell ref="Z96:Z97"/>
    <mergeCell ref="BD115:BF115"/>
    <mergeCell ref="BG115:BK115"/>
    <mergeCell ref="BL115:BM115"/>
    <mergeCell ref="BN115:BP115"/>
    <mergeCell ref="BQ115:BU115"/>
    <mergeCell ref="AM115:AQ115"/>
    <mergeCell ref="AR115:AS115"/>
    <mergeCell ref="AT115:AV115"/>
    <mergeCell ref="AW115:BA115"/>
    <mergeCell ref="BB115:BC115"/>
    <mergeCell ref="BT96:BT97"/>
    <mergeCell ref="BU96:BU97"/>
    <mergeCell ref="BV96:BV97"/>
    <mergeCell ref="BW96:BW97"/>
    <mergeCell ref="BN96:BN97"/>
    <mergeCell ref="BO96:BO97"/>
    <mergeCell ref="X137:Y137"/>
    <mergeCell ref="Z137:AB137"/>
    <mergeCell ref="AC137:AG137"/>
    <mergeCell ref="AH137:AI137"/>
    <mergeCell ref="AJ137:AL137"/>
    <mergeCell ref="BQ96:BR96"/>
    <mergeCell ref="BS96:BS97"/>
    <mergeCell ref="BI96:BI97"/>
    <mergeCell ref="BJ96:BJ97"/>
    <mergeCell ref="BK96:BK97"/>
    <mergeCell ref="BL96:BL97"/>
    <mergeCell ref="BM96:BM97"/>
    <mergeCell ref="AC117:AD117"/>
    <mergeCell ref="AE117:AE118"/>
    <mergeCell ref="AF117:AF118"/>
    <mergeCell ref="AG117:AG118"/>
    <mergeCell ref="AH117:AH118"/>
    <mergeCell ref="X117:X118"/>
    <mergeCell ref="Y117:Y118"/>
    <mergeCell ref="Z117:Z118"/>
    <mergeCell ref="AA117:AA118"/>
    <mergeCell ref="AB117:AB118"/>
    <mergeCell ref="AE96:AE97"/>
    <mergeCell ref="AF96:AF97"/>
    <mergeCell ref="DV116:DX116"/>
    <mergeCell ref="DY116:EC116"/>
    <mergeCell ref="N137:O137"/>
    <mergeCell ref="P137:R137"/>
    <mergeCell ref="S137:W137"/>
    <mergeCell ref="DE116:DI116"/>
    <mergeCell ref="DJ116:DK116"/>
    <mergeCell ref="DL116:DN116"/>
    <mergeCell ref="DO116:DS116"/>
    <mergeCell ref="DT116:DU116"/>
    <mergeCell ref="CP116:CQ116"/>
    <mergeCell ref="CR116:CT116"/>
    <mergeCell ref="CU116:CY116"/>
    <mergeCell ref="CZ116:DA116"/>
    <mergeCell ref="DB116:DD116"/>
    <mergeCell ref="BX116:BZ116"/>
    <mergeCell ref="CA116:CE116"/>
    <mergeCell ref="CF116:CG116"/>
    <mergeCell ref="CH116:CJ116"/>
    <mergeCell ref="CK116:CO116"/>
    <mergeCell ref="BG116:BK116"/>
    <mergeCell ref="N116:O116"/>
    <mergeCell ref="P116:R116"/>
    <mergeCell ref="S116:W116"/>
    <mergeCell ref="X116:Y116"/>
    <mergeCell ref="AR136:AS136"/>
    <mergeCell ref="AT136:AV136"/>
    <mergeCell ref="AI117:AI118"/>
    <mergeCell ref="AJ117:AJ118"/>
    <mergeCell ref="AK117:AK118"/>
    <mergeCell ref="AL117:AL118"/>
    <mergeCell ref="AM117:AN117"/>
    <mergeCell ref="S158:W158"/>
    <mergeCell ref="X158:Y158"/>
    <mergeCell ref="Z158:AB158"/>
    <mergeCell ref="AC158:AG158"/>
    <mergeCell ref="AH158:AI158"/>
    <mergeCell ref="DT137:DU137"/>
    <mergeCell ref="DV137:DX137"/>
    <mergeCell ref="DY137:EC137"/>
    <mergeCell ref="N158:O158"/>
    <mergeCell ref="P158:R158"/>
    <mergeCell ref="DB137:DD137"/>
    <mergeCell ref="DE137:DI137"/>
    <mergeCell ref="DJ137:DK137"/>
    <mergeCell ref="DL137:DN137"/>
    <mergeCell ref="DO137:DS137"/>
    <mergeCell ref="CK137:CO137"/>
    <mergeCell ref="CP137:CQ137"/>
    <mergeCell ref="CR137:CT137"/>
    <mergeCell ref="CU137:CY137"/>
    <mergeCell ref="CZ137:DA137"/>
    <mergeCell ref="BV137:BW137"/>
    <mergeCell ref="BX137:BZ137"/>
    <mergeCell ref="CA137:CE137"/>
    <mergeCell ref="CF137:CG137"/>
    <mergeCell ref="CH137:CJ137"/>
    <mergeCell ref="BD137:BF137"/>
    <mergeCell ref="BG137:BK137"/>
    <mergeCell ref="BL137:BM137"/>
    <mergeCell ref="BN137:BP137"/>
    <mergeCell ref="BQ137:BU137"/>
    <mergeCell ref="AM137:AQ137"/>
    <mergeCell ref="AR137:AS137"/>
    <mergeCell ref="DO158:DS158"/>
    <mergeCell ref="DT158:DU158"/>
    <mergeCell ref="DV158:DX158"/>
    <mergeCell ref="DY158:EC158"/>
    <mergeCell ref="CZ158:DA158"/>
    <mergeCell ref="DB158:DD158"/>
    <mergeCell ref="DE158:DI158"/>
    <mergeCell ref="DJ158:DK158"/>
    <mergeCell ref="DL158:DN158"/>
    <mergeCell ref="CH158:CJ158"/>
    <mergeCell ref="CK158:CO158"/>
    <mergeCell ref="CP158:CQ158"/>
    <mergeCell ref="CR158:CT158"/>
    <mergeCell ref="CU158:CY158"/>
    <mergeCell ref="BQ158:BU158"/>
    <mergeCell ref="BV158:BW158"/>
    <mergeCell ref="BX158:BZ158"/>
    <mergeCell ref="CA158:CE158"/>
    <mergeCell ref="CF158:CG158"/>
    <mergeCell ref="N226:O226"/>
    <mergeCell ref="P226:R226"/>
    <mergeCell ref="S226:W226"/>
    <mergeCell ref="X226:Y226"/>
    <mergeCell ref="X225:Y225"/>
    <mergeCell ref="Z225:AB225"/>
    <mergeCell ref="AC225:AG225"/>
    <mergeCell ref="O12:O13"/>
    <mergeCell ref="P12:P13"/>
    <mergeCell ref="Q12:Q13"/>
    <mergeCell ref="R12:R13"/>
    <mergeCell ref="S12:S13"/>
    <mergeCell ref="T12:U12"/>
    <mergeCell ref="V12:V13"/>
    <mergeCell ref="W12:W13"/>
    <mergeCell ref="X12:X13"/>
    <mergeCell ref="Y12:Y13"/>
    <mergeCell ref="Z12:Z13"/>
    <mergeCell ref="AA12:AA13"/>
    <mergeCell ref="AB12:AB13"/>
    <mergeCell ref="AC12:AC13"/>
    <mergeCell ref="O33:O34"/>
    <mergeCell ref="P33:P34"/>
    <mergeCell ref="Q33:Q34"/>
    <mergeCell ref="Q54:Q55"/>
    <mergeCell ref="R54:R55"/>
    <mergeCell ref="S54:T54"/>
    <mergeCell ref="U54:U55"/>
    <mergeCell ref="V54:V55"/>
    <mergeCell ref="W54:W55"/>
    <mergeCell ref="X54:X55"/>
    <mergeCell ref="Y54:Y55"/>
    <mergeCell ref="BB158:BC158"/>
    <mergeCell ref="BD158:BF158"/>
    <mergeCell ref="BG158:BK158"/>
    <mergeCell ref="BL158:BM158"/>
    <mergeCell ref="BN158:BP158"/>
    <mergeCell ref="AR158:AS158"/>
    <mergeCell ref="AT158:AV158"/>
    <mergeCell ref="AW158:BA158"/>
    <mergeCell ref="AT137:AV137"/>
    <mergeCell ref="AW137:BA137"/>
    <mergeCell ref="BB137:BC137"/>
    <mergeCell ref="AM158:AQ158"/>
    <mergeCell ref="BF12:BF13"/>
    <mergeCell ref="BG12:BG13"/>
    <mergeCell ref="AP54:AP55"/>
    <mergeCell ref="AQ54:AQ55"/>
    <mergeCell ref="AR54:AR55"/>
    <mergeCell ref="AM74:AQ74"/>
    <mergeCell ref="AR74:AS74"/>
    <mergeCell ref="AT74:AV74"/>
    <mergeCell ref="AT157:AV157"/>
    <mergeCell ref="AW136:BA136"/>
    <mergeCell ref="AR73:AS73"/>
    <mergeCell ref="BP96:BP97"/>
    <mergeCell ref="AP75:AP76"/>
    <mergeCell ref="AQ75:AQ76"/>
    <mergeCell ref="AR75:AR76"/>
    <mergeCell ref="AS75:AS76"/>
    <mergeCell ref="AT75:AT76"/>
    <mergeCell ref="AM138:AN138"/>
    <mergeCell ref="AO138:AO139"/>
    <mergeCell ref="AP138:AP139"/>
    <mergeCell ref="Z226:AB226"/>
    <mergeCell ref="AC226:AG226"/>
    <mergeCell ref="Z94:AB94"/>
    <mergeCell ref="AC94:AG94"/>
    <mergeCell ref="AH94:AI94"/>
    <mergeCell ref="AJ94:AL94"/>
    <mergeCell ref="Z73:AB73"/>
    <mergeCell ref="AA96:AA97"/>
    <mergeCell ref="AB96:AB97"/>
    <mergeCell ref="AJ158:AL158"/>
    <mergeCell ref="AK54:AK55"/>
    <mergeCell ref="AL54:AL55"/>
    <mergeCell ref="AH96:AH97"/>
    <mergeCell ref="AI96:AI97"/>
    <mergeCell ref="AJ96:AJ97"/>
    <mergeCell ref="AK96:AK97"/>
    <mergeCell ref="AO33:AO34"/>
    <mergeCell ref="Z54:Z55"/>
    <mergeCell ref="AA54:AA55"/>
    <mergeCell ref="AE75:AE76"/>
    <mergeCell ref="AF75:AF76"/>
    <mergeCell ref="AG75:AG76"/>
    <mergeCell ref="AH75:AH76"/>
    <mergeCell ref="AI75:AI76"/>
    <mergeCell ref="AL75:AL76"/>
    <mergeCell ref="AM75:AN75"/>
    <mergeCell ref="AO75:AO76"/>
    <mergeCell ref="AJ138:AJ139"/>
    <mergeCell ref="Z138:Z139"/>
    <mergeCell ref="AA138:AA139"/>
    <mergeCell ref="AB138:AB139"/>
    <mergeCell ref="AC138:AD138"/>
    <mergeCell ref="AG54:AG55"/>
    <mergeCell ref="BW12:BW13"/>
    <mergeCell ref="BX12:BX13"/>
    <mergeCell ref="BY12:BY13"/>
    <mergeCell ref="BZ12:BZ13"/>
    <mergeCell ref="CA12:CA13"/>
    <mergeCell ref="BQ12:BQ13"/>
    <mergeCell ref="BR12:BS12"/>
    <mergeCell ref="BT12:BT13"/>
    <mergeCell ref="BU12:BU13"/>
    <mergeCell ref="BV12:BV13"/>
    <mergeCell ref="BL12:BL13"/>
    <mergeCell ref="BM12:BM13"/>
    <mergeCell ref="BN12:BN13"/>
    <mergeCell ref="BO12:BO13"/>
    <mergeCell ref="BP12:BP13"/>
    <mergeCell ref="AS54:AS55"/>
    <mergeCell ref="AT54:AT55"/>
    <mergeCell ref="AU54:AU55"/>
    <mergeCell ref="AV54:AV55"/>
    <mergeCell ref="AW54:AX54"/>
    <mergeCell ref="AM54:AN54"/>
    <mergeCell ref="AO54:AO55"/>
    <mergeCell ref="AH54:AH55"/>
    <mergeCell ref="AI54:AI55"/>
    <mergeCell ref="AJ54:AJ55"/>
    <mergeCell ref="BG52:BK52"/>
    <mergeCell ref="BB12:BB13"/>
    <mergeCell ref="BC12:BC13"/>
    <mergeCell ref="BD12:BD13"/>
    <mergeCell ref="AW52:BA52"/>
    <mergeCell ref="CA32:CE32"/>
    <mergeCell ref="BL52:BM52"/>
    <mergeCell ref="BY33:BY34"/>
    <mergeCell ref="BZ33:BZ34"/>
    <mergeCell ref="CA33:CB33"/>
    <mergeCell ref="CC33:CC34"/>
    <mergeCell ref="BS33:BS34"/>
    <mergeCell ref="BT33:BT34"/>
    <mergeCell ref="BU33:BU34"/>
    <mergeCell ref="BV33:BV34"/>
    <mergeCell ref="BP33:BP34"/>
    <mergeCell ref="BQ33:BR33"/>
    <mergeCell ref="BJ54:BJ55"/>
    <mergeCell ref="BK54:BK55"/>
    <mergeCell ref="BL54:BL55"/>
    <mergeCell ref="BM54:BM55"/>
    <mergeCell ref="BN54:BN55"/>
    <mergeCell ref="BD54:BD55"/>
    <mergeCell ref="BE54:BE55"/>
    <mergeCell ref="BF54:BF55"/>
    <mergeCell ref="BG54:BH54"/>
    <mergeCell ref="BI54:BI55"/>
    <mergeCell ref="AY54:AY55"/>
    <mergeCell ref="AZ54:AZ55"/>
    <mergeCell ref="BA54:BA55"/>
    <mergeCell ref="BB54:BB55"/>
    <mergeCell ref="BC54:BC55"/>
    <mergeCell ref="BE12:BE13"/>
    <mergeCell ref="BL32:BM32"/>
    <mergeCell ref="BN32:BP32"/>
    <mergeCell ref="DC12:DC13"/>
    <mergeCell ref="CS12:CS13"/>
    <mergeCell ref="CT12:CT13"/>
    <mergeCell ref="CU12:CU13"/>
    <mergeCell ref="CV12:CW12"/>
    <mergeCell ref="CX12:CX13"/>
    <mergeCell ref="CN12:CN13"/>
    <mergeCell ref="CO12:CO13"/>
    <mergeCell ref="CP12:CP13"/>
    <mergeCell ref="CQ12:CQ13"/>
    <mergeCell ref="CR12:CR13"/>
    <mergeCell ref="CH12:CH13"/>
    <mergeCell ref="CI12:CI13"/>
    <mergeCell ref="CJ12:CJ13"/>
    <mergeCell ref="CK12:CK13"/>
    <mergeCell ref="CL12:CM12"/>
    <mergeCell ref="CB12:CC12"/>
    <mergeCell ref="CD12:CD13"/>
    <mergeCell ref="CE12:CE13"/>
    <mergeCell ref="CF12:CF13"/>
    <mergeCell ref="CG12:CG13"/>
    <mergeCell ref="DB33:DB34"/>
    <mergeCell ref="DC33:DC34"/>
    <mergeCell ref="BX33:BX34"/>
    <mergeCell ref="ED12:EE12"/>
    <mergeCell ref="EF12:EF13"/>
    <mergeCell ref="EG12:EG13"/>
    <mergeCell ref="EH12:EH13"/>
    <mergeCell ref="N33:N34"/>
    <mergeCell ref="DX12:DX13"/>
    <mergeCell ref="DZ12:DZ13"/>
    <mergeCell ref="EA12:EA13"/>
    <mergeCell ref="EB12:EB13"/>
    <mergeCell ref="EC12:EC13"/>
    <mergeCell ref="DQ12:DQ13"/>
    <mergeCell ref="DR12:DS12"/>
    <mergeCell ref="DU12:DU13"/>
    <mergeCell ref="DV12:DV13"/>
    <mergeCell ref="DW12:DW13"/>
    <mergeCell ref="DL12:DL13"/>
    <mergeCell ref="DM12:DM13"/>
    <mergeCell ref="DN12:DN13"/>
    <mergeCell ref="DO12:DO13"/>
    <mergeCell ref="DP12:DP13"/>
    <mergeCell ref="DD12:DD13"/>
    <mergeCell ref="DG12:DG13"/>
    <mergeCell ref="DA12:DA13"/>
    <mergeCell ref="DB12:DB13"/>
    <mergeCell ref="DH12:DI12"/>
    <mergeCell ref="DJ12:DJ13"/>
    <mergeCell ref="DK12:DK13"/>
    <mergeCell ref="CY12:CY13"/>
    <mergeCell ref="CZ12:CZ13"/>
    <mergeCell ref="AK33:AK34"/>
    <mergeCell ref="AL33:AL34"/>
    <mergeCell ref="AM33:AN33"/>
    <mergeCell ref="DD33:DD34"/>
    <mergeCell ref="CT33:CT34"/>
    <mergeCell ref="CU33:CV33"/>
    <mergeCell ref="CW33:CW34"/>
    <mergeCell ref="CX33:CX34"/>
    <mergeCell ref="CY33:CY34"/>
    <mergeCell ref="CO33:CO34"/>
    <mergeCell ref="CP33:CP34"/>
    <mergeCell ref="CQ33:CQ34"/>
    <mergeCell ref="CR33:CR34"/>
    <mergeCell ref="CS33:CS34"/>
    <mergeCell ref="CI33:CI34"/>
    <mergeCell ref="CJ33:CJ34"/>
    <mergeCell ref="CK33:CL33"/>
    <mergeCell ref="CM33:CM34"/>
    <mergeCell ref="CN33:CN34"/>
    <mergeCell ref="CH33:CH34"/>
    <mergeCell ref="AS33:AS34"/>
    <mergeCell ref="EB33:EB34"/>
    <mergeCell ref="EC33:EC34"/>
    <mergeCell ref="N54:N55"/>
    <mergeCell ref="O54:O55"/>
    <mergeCell ref="P54:P55"/>
    <mergeCell ref="DV33:DV34"/>
    <mergeCell ref="DW33:DW34"/>
    <mergeCell ref="DX33:DX34"/>
    <mergeCell ref="DY33:DZ33"/>
    <mergeCell ref="EA33:EA34"/>
    <mergeCell ref="DQ33:DQ34"/>
    <mergeCell ref="DR33:DR34"/>
    <mergeCell ref="DS33:DS34"/>
    <mergeCell ref="DT33:DT34"/>
    <mergeCell ref="DU33:DU34"/>
    <mergeCell ref="DK33:DK34"/>
    <mergeCell ref="DL33:DL34"/>
    <mergeCell ref="DM33:DM34"/>
    <mergeCell ref="DN33:DN34"/>
    <mergeCell ref="DO33:DP33"/>
    <mergeCell ref="DE33:DF33"/>
    <mergeCell ref="DG33:DG34"/>
    <mergeCell ref="DH33:DH34"/>
    <mergeCell ref="DI33:DI34"/>
    <mergeCell ref="DJ33:DJ34"/>
    <mergeCell ref="CZ33:CZ34"/>
    <mergeCell ref="DA33:DA34"/>
    <mergeCell ref="AB54:AB55"/>
    <mergeCell ref="AC54:AD54"/>
    <mergeCell ref="AE54:AE55"/>
    <mergeCell ref="CF54:CF55"/>
    <mergeCell ref="CG54:CG55"/>
    <mergeCell ref="CH54:CH55"/>
    <mergeCell ref="CI54:CI55"/>
    <mergeCell ref="CJ54:CJ55"/>
    <mergeCell ref="BZ54:BZ55"/>
    <mergeCell ref="CA54:CB54"/>
    <mergeCell ref="CC54:CC55"/>
    <mergeCell ref="CD54:CD55"/>
    <mergeCell ref="CE54:CE55"/>
    <mergeCell ref="BU54:BU55"/>
    <mergeCell ref="BV54:BV55"/>
    <mergeCell ref="BW54:BW55"/>
    <mergeCell ref="BX54:BX55"/>
    <mergeCell ref="BY54:BY55"/>
    <mergeCell ref="BO54:BO55"/>
    <mergeCell ref="BP54:BP55"/>
    <mergeCell ref="BQ54:BR54"/>
    <mergeCell ref="BS54:BS55"/>
    <mergeCell ref="BT54:BT55"/>
    <mergeCell ref="DB54:DB55"/>
    <mergeCell ref="DC54:DC55"/>
    <mergeCell ref="DD54:DD55"/>
    <mergeCell ref="DE54:DF54"/>
    <mergeCell ref="DG54:DG55"/>
    <mergeCell ref="CW54:CW55"/>
    <mergeCell ref="CX54:CX55"/>
    <mergeCell ref="CY54:CY55"/>
    <mergeCell ref="CZ54:CZ55"/>
    <mergeCell ref="DA54:DA55"/>
    <mergeCell ref="CQ54:CQ55"/>
    <mergeCell ref="CR54:CR55"/>
    <mergeCell ref="CS54:CS55"/>
    <mergeCell ref="CT54:CT55"/>
    <mergeCell ref="CU54:CV54"/>
    <mergeCell ref="CK54:CL54"/>
    <mergeCell ref="CM54:CM55"/>
    <mergeCell ref="CN54:CN55"/>
    <mergeCell ref="CO54:CO55"/>
    <mergeCell ref="CP54:CP55"/>
    <mergeCell ref="S75:T75"/>
    <mergeCell ref="U75:U76"/>
    <mergeCell ref="V75:V76"/>
    <mergeCell ref="W75:W76"/>
    <mergeCell ref="X75:X76"/>
    <mergeCell ref="N75:N76"/>
    <mergeCell ref="O75:O76"/>
    <mergeCell ref="P75:P76"/>
    <mergeCell ref="Q75:Q76"/>
    <mergeCell ref="R75:R76"/>
    <mergeCell ref="AJ75:AJ76"/>
    <mergeCell ref="AK75:AK76"/>
    <mergeCell ref="DX54:DX55"/>
    <mergeCell ref="DY54:DZ54"/>
    <mergeCell ref="EA54:EA55"/>
    <mergeCell ref="EB54:EB55"/>
    <mergeCell ref="EC54:EC55"/>
    <mergeCell ref="DS54:DS55"/>
    <mergeCell ref="DT54:DT55"/>
    <mergeCell ref="DU54:DU55"/>
    <mergeCell ref="DV54:DV55"/>
    <mergeCell ref="DW54:DW55"/>
    <mergeCell ref="DM54:DM55"/>
    <mergeCell ref="DN54:DN55"/>
    <mergeCell ref="DO54:DP54"/>
    <mergeCell ref="DQ54:DQ55"/>
    <mergeCell ref="DR54:DR55"/>
    <mergeCell ref="DH54:DH55"/>
    <mergeCell ref="DI54:DI55"/>
    <mergeCell ref="DJ54:DJ55"/>
    <mergeCell ref="DK54:DK55"/>
    <mergeCell ref="DL54:DL55"/>
    <mergeCell ref="BT75:BT76"/>
    <mergeCell ref="BU75:BU76"/>
    <mergeCell ref="BV75:BV76"/>
    <mergeCell ref="BL75:BL76"/>
    <mergeCell ref="BM75:BM76"/>
    <mergeCell ref="BN75:BN76"/>
    <mergeCell ref="BO75:BO76"/>
    <mergeCell ref="BP75:BP76"/>
    <mergeCell ref="BF75:BF76"/>
    <mergeCell ref="BG75:BH75"/>
    <mergeCell ref="BI75:BI76"/>
    <mergeCell ref="BJ75:BJ76"/>
    <mergeCell ref="BK75:BK76"/>
    <mergeCell ref="Y75:Y76"/>
    <mergeCell ref="Z75:Z76"/>
    <mergeCell ref="AA75:AA76"/>
    <mergeCell ref="AB75:AB76"/>
    <mergeCell ref="AC75:AD75"/>
    <mergeCell ref="AW75:AX75"/>
    <mergeCell ref="AY75:AY76"/>
    <mergeCell ref="AZ75:AZ76"/>
    <mergeCell ref="BD75:BD76"/>
    <mergeCell ref="BE75:BE76"/>
    <mergeCell ref="BA75:BA76"/>
    <mergeCell ref="BB75:BB76"/>
    <mergeCell ref="BC75:BC76"/>
    <mergeCell ref="AU75:AU76"/>
    <mergeCell ref="AV75:AV76"/>
    <mergeCell ref="CU75:CV75"/>
    <mergeCell ref="CW75:CW76"/>
    <mergeCell ref="CX75:CX76"/>
    <mergeCell ref="CN75:CN76"/>
    <mergeCell ref="CO75:CO76"/>
    <mergeCell ref="CP75:CP76"/>
    <mergeCell ref="CQ75:CQ76"/>
    <mergeCell ref="CR75:CR76"/>
    <mergeCell ref="CH75:CH76"/>
    <mergeCell ref="CI75:CI76"/>
    <mergeCell ref="CJ75:CJ76"/>
    <mergeCell ref="CK75:CL75"/>
    <mergeCell ref="CM75:CM76"/>
    <mergeCell ref="CC75:CC76"/>
    <mergeCell ref="CD75:CD76"/>
    <mergeCell ref="CE75:CE76"/>
    <mergeCell ref="CF75:CF76"/>
    <mergeCell ref="CG75:CG76"/>
    <mergeCell ref="BW75:BW76"/>
    <mergeCell ref="BX75:BX76"/>
    <mergeCell ref="BY75:BY76"/>
    <mergeCell ref="BZ75:BZ76"/>
    <mergeCell ref="CA75:CB75"/>
    <mergeCell ref="BQ75:BR75"/>
    <mergeCell ref="BS75:BS76"/>
    <mergeCell ref="EA75:EA76"/>
    <mergeCell ref="EB75:EB76"/>
    <mergeCell ref="EC75:EC76"/>
    <mergeCell ref="N96:N97"/>
    <mergeCell ref="O96:O97"/>
    <mergeCell ref="DU75:DU76"/>
    <mergeCell ref="DV75:DV76"/>
    <mergeCell ref="DW75:DW76"/>
    <mergeCell ref="DX75:DX76"/>
    <mergeCell ref="DY75:DZ75"/>
    <mergeCell ref="DO75:DP75"/>
    <mergeCell ref="DQ75:DQ76"/>
    <mergeCell ref="DR75:DR76"/>
    <mergeCell ref="DS75:DS76"/>
    <mergeCell ref="DT75:DT76"/>
    <mergeCell ref="DJ75:DJ76"/>
    <mergeCell ref="DK75:DK76"/>
    <mergeCell ref="DL75:DL76"/>
    <mergeCell ref="DM75:DM76"/>
    <mergeCell ref="DN75:DN76"/>
    <mergeCell ref="DD75:DD76"/>
    <mergeCell ref="DE75:DF75"/>
    <mergeCell ref="DG75:DG76"/>
    <mergeCell ref="DH75:DH76"/>
    <mergeCell ref="DI75:DI76"/>
    <mergeCell ref="CY75:CY76"/>
    <mergeCell ref="CZ75:CZ76"/>
    <mergeCell ref="DA75:DA76"/>
    <mergeCell ref="DB75:DB76"/>
    <mergeCell ref="DC75:DC76"/>
    <mergeCell ref="CS75:CS76"/>
    <mergeCell ref="CT75:CT76"/>
    <mergeCell ref="Q96:Q97"/>
    <mergeCell ref="R96:R97"/>
    <mergeCell ref="S96:T96"/>
    <mergeCell ref="U96:U97"/>
    <mergeCell ref="BC96:BC97"/>
    <mergeCell ref="BD96:BD97"/>
    <mergeCell ref="BE96:BE97"/>
    <mergeCell ref="BF96:BF97"/>
    <mergeCell ref="BG96:BH96"/>
    <mergeCell ref="AW96:AX96"/>
    <mergeCell ref="AY96:AY97"/>
    <mergeCell ref="AZ96:AZ97"/>
    <mergeCell ref="BA96:BA97"/>
    <mergeCell ref="BB96:BB97"/>
    <mergeCell ref="AR96:AR97"/>
    <mergeCell ref="AS96:AS97"/>
    <mergeCell ref="AT96:AT97"/>
    <mergeCell ref="AU96:AU97"/>
    <mergeCell ref="AV96:AV97"/>
    <mergeCell ref="AL96:AL97"/>
    <mergeCell ref="AM96:AN96"/>
    <mergeCell ref="AO96:AO97"/>
    <mergeCell ref="AP96:AP97"/>
    <mergeCell ref="AQ96:AQ97"/>
    <mergeCell ref="AC96:AD96"/>
    <mergeCell ref="V96:V97"/>
    <mergeCell ref="W96:W97"/>
    <mergeCell ref="X96:X97"/>
    <mergeCell ref="Y96:Y97"/>
    <mergeCell ref="AG96:AG97"/>
    <mergeCell ref="CX96:CX97"/>
    <mergeCell ref="CY96:CY97"/>
    <mergeCell ref="CZ96:CZ97"/>
    <mergeCell ref="CP96:CP97"/>
    <mergeCell ref="CQ96:CQ97"/>
    <mergeCell ref="CR96:CR97"/>
    <mergeCell ref="CS96:CS97"/>
    <mergeCell ref="CT96:CT97"/>
    <mergeCell ref="CJ96:CJ97"/>
    <mergeCell ref="CK96:CL96"/>
    <mergeCell ref="CM96:CM97"/>
    <mergeCell ref="CN96:CN97"/>
    <mergeCell ref="CO96:CO97"/>
    <mergeCell ref="CE96:CE97"/>
    <mergeCell ref="CF96:CF97"/>
    <mergeCell ref="CG96:CG97"/>
    <mergeCell ref="CH96:CH97"/>
    <mergeCell ref="CI96:CI97"/>
    <mergeCell ref="BY96:BY97"/>
    <mergeCell ref="BZ96:BZ97"/>
    <mergeCell ref="CA96:CB96"/>
    <mergeCell ref="CC96:CC97"/>
    <mergeCell ref="CD96:CD97"/>
    <mergeCell ref="BX96:BX97"/>
    <mergeCell ref="EC96:EC97"/>
    <mergeCell ref="N117:N118"/>
    <mergeCell ref="O117:O118"/>
    <mergeCell ref="P117:P118"/>
    <mergeCell ref="Q117:Q118"/>
    <mergeCell ref="DW96:DW97"/>
    <mergeCell ref="DX96:DX97"/>
    <mergeCell ref="DY96:DZ96"/>
    <mergeCell ref="EA96:EA97"/>
    <mergeCell ref="EB96:EB97"/>
    <mergeCell ref="DR96:DR97"/>
    <mergeCell ref="DS96:DS97"/>
    <mergeCell ref="DT96:DT97"/>
    <mergeCell ref="DU96:DU97"/>
    <mergeCell ref="DV96:DV97"/>
    <mergeCell ref="DL96:DL97"/>
    <mergeCell ref="DM96:DM97"/>
    <mergeCell ref="DN96:DN97"/>
    <mergeCell ref="DO96:DP96"/>
    <mergeCell ref="DQ96:DQ97"/>
    <mergeCell ref="DG96:DG97"/>
    <mergeCell ref="DH96:DH97"/>
    <mergeCell ref="DI96:DI97"/>
    <mergeCell ref="DJ96:DJ97"/>
    <mergeCell ref="DK96:DK97"/>
    <mergeCell ref="DA96:DA97"/>
    <mergeCell ref="DB96:DB97"/>
    <mergeCell ref="DC96:DC97"/>
    <mergeCell ref="DD96:DD97"/>
    <mergeCell ref="DE96:DF96"/>
    <mergeCell ref="CU96:CV96"/>
    <mergeCell ref="CW96:CW97"/>
    <mergeCell ref="R117:R118"/>
    <mergeCell ref="S117:T117"/>
    <mergeCell ref="U117:U118"/>
    <mergeCell ref="V117:V118"/>
    <mergeCell ref="W117:W118"/>
    <mergeCell ref="BE117:BE118"/>
    <mergeCell ref="BF117:BF118"/>
    <mergeCell ref="BG117:BH117"/>
    <mergeCell ref="BI117:BI118"/>
    <mergeCell ref="BJ117:BJ118"/>
    <mergeCell ref="AZ117:AZ118"/>
    <mergeCell ref="BA117:BA118"/>
    <mergeCell ref="BB117:BB118"/>
    <mergeCell ref="BC117:BC118"/>
    <mergeCell ref="BD117:BD118"/>
    <mergeCell ref="AT117:AT118"/>
    <mergeCell ref="AU117:AU118"/>
    <mergeCell ref="AV117:AV118"/>
    <mergeCell ref="AW117:AX117"/>
    <mergeCell ref="AY117:AY118"/>
    <mergeCell ref="AO117:AO118"/>
    <mergeCell ref="AP117:AP118"/>
    <mergeCell ref="AQ117:AQ118"/>
    <mergeCell ref="AR117:AR118"/>
    <mergeCell ref="AS117:AS118"/>
    <mergeCell ref="CE117:CE118"/>
    <mergeCell ref="CF117:CF118"/>
    <mergeCell ref="BV117:BV118"/>
    <mergeCell ref="BW117:BW118"/>
    <mergeCell ref="BX117:BX118"/>
    <mergeCell ref="BY117:BY118"/>
    <mergeCell ref="BZ117:BZ118"/>
    <mergeCell ref="BP117:BP118"/>
    <mergeCell ref="BQ117:BR117"/>
    <mergeCell ref="BS117:BS118"/>
    <mergeCell ref="BT117:BT118"/>
    <mergeCell ref="BU117:BU118"/>
    <mergeCell ref="BK117:BK118"/>
    <mergeCell ref="BL117:BL118"/>
    <mergeCell ref="BM117:BM118"/>
    <mergeCell ref="BN117:BN118"/>
    <mergeCell ref="BO117:BO118"/>
    <mergeCell ref="CA117:CB117"/>
    <mergeCell ref="CC117:CC118"/>
    <mergeCell ref="CD117:CD118"/>
    <mergeCell ref="CZ117:CZ118"/>
    <mergeCell ref="DA117:DA118"/>
    <mergeCell ref="DB117:DB118"/>
    <mergeCell ref="CR117:CR118"/>
    <mergeCell ref="CS117:CS118"/>
    <mergeCell ref="CT117:CT118"/>
    <mergeCell ref="CU117:CV117"/>
    <mergeCell ref="CW117:CW118"/>
    <mergeCell ref="CM117:CM118"/>
    <mergeCell ref="CN117:CN118"/>
    <mergeCell ref="CO117:CO118"/>
    <mergeCell ref="CP117:CP118"/>
    <mergeCell ref="CQ117:CQ118"/>
    <mergeCell ref="CG117:CG118"/>
    <mergeCell ref="CH117:CH118"/>
    <mergeCell ref="CI117:CI118"/>
    <mergeCell ref="CJ117:CJ118"/>
    <mergeCell ref="CK117:CL117"/>
    <mergeCell ref="S138:T138"/>
    <mergeCell ref="DY117:DZ117"/>
    <mergeCell ref="EA117:EA118"/>
    <mergeCell ref="EB117:EB118"/>
    <mergeCell ref="EC117:EC118"/>
    <mergeCell ref="N138:N139"/>
    <mergeCell ref="DT117:DT118"/>
    <mergeCell ref="DU117:DU118"/>
    <mergeCell ref="DV117:DV118"/>
    <mergeCell ref="DW117:DW118"/>
    <mergeCell ref="DX117:DX118"/>
    <mergeCell ref="DN117:DN118"/>
    <mergeCell ref="DO117:DP117"/>
    <mergeCell ref="DQ117:DQ118"/>
    <mergeCell ref="DR117:DR118"/>
    <mergeCell ref="DS117:DS118"/>
    <mergeCell ref="DI117:DI118"/>
    <mergeCell ref="DJ117:DJ118"/>
    <mergeCell ref="DK117:DK118"/>
    <mergeCell ref="DL117:DL118"/>
    <mergeCell ref="DM117:DM118"/>
    <mergeCell ref="DC117:DC118"/>
    <mergeCell ref="DD117:DD118"/>
    <mergeCell ref="DE117:DF117"/>
    <mergeCell ref="DG117:DG118"/>
    <mergeCell ref="DH117:DH118"/>
    <mergeCell ref="CX117:CX118"/>
    <mergeCell ref="CY117:CY118"/>
    <mergeCell ref="AF138:AF139"/>
    <mergeCell ref="AG138:AG139"/>
    <mergeCell ref="AH138:AH139"/>
    <mergeCell ref="AI138:AI139"/>
    <mergeCell ref="AE138:AE139"/>
    <mergeCell ref="U138:U139"/>
    <mergeCell ref="V138:V139"/>
    <mergeCell ref="W138:W139"/>
    <mergeCell ref="X138:X139"/>
    <mergeCell ref="Y138:Y139"/>
    <mergeCell ref="BG138:BH138"/>
    <mergeCell ref="BI138:BI139"/>
    <mergeCell ref="BJ138:BJ139"/>
    <mergeCell ref="BK138:BK139"/>
    <mergeCell ref="BL138:BL139"/>
    <mergeCell ref="BB138:BB139"/>
    <mergeCell ref="BC138:BC139"/>
    <mergeCell ref="BD138:BD139"/>
    <mergeCell ref="BE138:BE139"/>
    <mergeCell ref="BF138:BF139"/>
    <mergeCell ref="AV138:AV139"/>
    <mergeCell ref="AW138:AX138"/>
    <mergeCell ref="AY138:AY139"/>
    <mergeCell ref="AZ138:AZ139"/>
    <mergeCell ref="BA138:BA139"/>
    <mergeCell ref="AQ138:AQ139"/>
    <mergeCell ref="AR138:AR139"/>
    <mergeCell ref="AS138:AS139"/>
    <mergeCell ref="AT138:AT139"/>
    <mergeCell ref="AU138:AU139"/>
    <mergeCell ref="CD138:CD139"/>
    <mergeCell ref="CE138:CE139"/>
    <mergeCell ref="CF138:CF139"/>
    <mergeCell ref="CG138:CG139"/>
    <mergeCell ref="CH138:CH139"/>
    <mergeCell ref="BX138:BX139"/>
    <mergeCell ref="BY138:BY139"/>
    <mergeCell ref="BZ138:BZ139"/>
    <mergeCell ref="CA138:CB138"/>
    <mergeCell ref="CC138:CC139"/>
    <mergeCell ref="BS138:BS139"/>
    <mergeCell ref="BT138:BT139"/>
    <mergeCell ref="BU138:BU139"/>
    <mergeCell ref="BV138:BV139"/>
    <mergeCell ref="BW138:BW139"/>
    <mergeCell ref="BM138:BM139"/>
    <mergeCell ref="BN138:BN139"/>
    <mergeCell ref="BO138:BO139"/>
    <mergeCell ref="BP138:BP139"/>
    <mergeCell ref="BQ138:BR138"/>
    <mergeCell ref="DB138:DB139"/>
    <mergeCell ref="DC138:DC139"/>
    <mergeCell ref="DD138:DD139"/>
    <mergeCell ref="CT138:CT139"/>
    <mergeCell ref="CU138:CV138"/>
    <mergeCell ref="CW138:CW139"/>
    <mergeCell ref="CX138:CX139"/>
    <mergeCell ref="CY138:CY139"/>
    <mergeCell ref="CO138:CO139"/>
    <mergeCell ref="CP138:CP139"/>
    <mergeCell ref="CQ138:CQ139"/>
    <mergeCell ref="CR138:CR139"/>
    <mergeCell ref="CS138:CS139"/>
    <mergeCell ref="CI138:CI139"/>
    <mergeCell ref="CJ138:CJ139"/>
    <mergeCell ref="CK138:CL138"/>
    <mergeCell ref="CM138:CM139"/>
    <mergeCell ref="CN138:CN139"/>
    <mergeCell ref="Q159:Q160"/>
    <mergeCell ref="R159:R160"/>
    <mergeCell ref="S159:T159"/>
    <mergeCell ref="U159:U160"/>
    <mergeCell ref="V159:V160"/>
    <mergeCell ref="EB138:EB139"/>
    <mergeCell ref="EC138:EC139"/>
    <mergeCell ref="N159:N160"/>
    <mergeCell ref="O159:O160"/>
    <mergeCell ref="P159:P160"/>
    <mergeCell ref="DV138:DV139"/>
    <mergeCell ref="DW138:DW139"/>
    <mergeCell ref="DX138:DX139"/>
    <mergeCell ref="DY138:DZ138"/>
    <mergeCell ref="EA138:EA139"/>
    <mergeCell ref="DQ138:DQ139"/>
    <mergeCell ref="DR138:DR139"/>
    <mergeCell ref="DS138:DS139"/>
    <mergeCell ref="DT138:DT139"/>
    <mergeCell ref="DU138:DU139"/>
    <mergeCell ref="DK138:DK139"/>
    <mergeCell ref="DL138:DL139"/>
    <mergeCell ref="DM138:DM139"/>
    <mergeCell ref="DN138:DN139"/>
    <mergeCell ref="DO138:DP138"/>
    <mergeCell ref="DE138:DF138"/>
    <mergeCell ref="DG138:DG139"/>
    <mergeCell ref="DH138:DH139"/>
    <mergeCell ref="DI138:DI139"/>
    <mergeCell ref="DJ138:DJ139"/>
    <mergeCell ref="CZ138:CZ139"/>
    <mergeCell ref="DA138:DA139"/>
    <mergeCell ref="AM159:AN159"/>
    <mergeCell ref="AO159:AO160"/>
    <mergeCell ref="AP159:AP160"/>
    <mergeCell ref="AQ159:AQ160"/>
    <mergeCell ref="AR159:AR160"/>
    <mergeCell ref="AH159:AH160"/>
    <mergeCell ref="AI159:AI160"/>
    <mergeCell ref="AJ159:AJ160"/>
    <mergeCell ref="AK159:AK160"/>
    <mergeCell ref="AL159:AL160"/>
    <mergeCell ref="AB159:AB160"/>
    <mergeCell ref="AC159:AD159"/>
    <mergeCell ref="AE159:AE160"/>
    <mergeCell ref="AF159:AF160"/>
    <mergeCell ref="AG159:AG160"/>
    <mergeCell ref="W159:W160"/>
    <mergeCell ref="X159:X160"/>
    <mergeCell ref="Y159:Y160"/>
    <mergeCell ref="Z159:Z160"/>
    <mergeCell ref="AA159:AA160"/>
    <mergeCell ref="BJ159:BJ160"/>
    <mergeCell ref="BK159:BK160"/>
    <mergeCell ref="BL159:BL160"/>
    <mergeCell ref="BM159:BM160"/>
    <mergeCell ref="BN159:BN160"/>
    <mergeCell ref="BD159:BD160"/>
    <mergeCell ref="BE159:BE160"/>
    <mergeCell ref="BF159:BF160"/>
    <mergeCell ref="BG159:BH159"/>
    <mergeCell ref="BI159:BI160"/>
    <mergeCell ref="AY159:AY160"/>
    <mergeCell ref="AZ159:AZ160"/>
    <mergeCell ref="BA159:BA160"/>
    <mergeCell ref="BB159:BB160"/>
    <mergeCell ref="BC159:BC160"/>
    <mergeCell ref="AS159:AS160"/>
    <mergeCell ref="AT159:AT160"/>
    <mergeCell ref="AU159:AU160"/>
    <mergeCell ref="AV159:AV160"/>
    <mergeCell ref="AW159:AX159"/>
    <mergeCell ref="CF159:CF160"/>
    <mergeCell ref="CG159:CG160"/>
    <mergeCell ref="CH159:CH160"/>
    <mergeCell ref="CI159:CI160"/>
    <mergeCell ref="CJ159:CJ160"/>
    <mergeCell ref="BZ159:BZ160"/>
    <mergeCell ref="CA159:CB159"/>
    <mergeCell ref="CC159:CC160"/>
    <mergeCell ref="CD159:CD160"/>
    <mergeCell ref="CE159:CE160"/>
    <mergeCell ref="BU159:BU160"/>
    <mergeCell ref="BV159:BV160"/>
    <mergeCell ref="BW159:BW160"/>
    <mergeCell ref="BX159:BX160"/>
    <mergeCell ref="BY159:BY160"/>
    <mergeCell ref="BO159:BO160"/>
    <mergeCell ref="BP159:BP160"/>
    <mergeCell ref="BQ159:BR159"/>
    <mergeCell ref="BS159:BS160"/>
    <mergeCell ref="BT159:BT160"/>
    <mergeCell ref="DB159:DB160"/>
    <mergeCell ref="DC159:DC160"/>
    <mergeCell ref="DD159:DD160"/>
    <mergeCell ref="DE159:DF159"/>
    <mergeCell ref="DG159:DG160"/>
    <mergeCell ref="CW159:CW160"/>
    <mergeCell ref="CX159:CX160"/>
    <mergeCell ref="CY159:CY160"/>
    <mergeCell ref="CZ159:CZ160"/>
    <mergeCell ref="DA159:DA160"/>
    <mergeCell ref="CQ159:CQ160"/>
    <mergeCell ref="CR159:CR160"/>
    <mergeCell ref="CS159:CS160"/>
    <mergeCell ref="CT159:CT160"/>
    <mergeCell ref="CU159:CV159"/>
    <mergeCell ref="CK159:CL159"/>
    <mergeCell ref="CM159:CM160"/>
    <mergeCell ref="CN159:CN160"/>
    <mergeCell ref="CO159:CO160"/>
    <mergeCell ref="CP159:CP160"/>
    <mergeCell ref="DX159:DX160"/>
    <mergeCell ref="DY159:DZ159"/>
    <mergeCell ref="EA159:EA160"/>
    <mergeCell ref="EB159:EB160"/>
    <mergeCell ref="EC159:EC160"/>
    <mergeCell ref="DS159:DS160"/>
    <mergeCell ref="DT159:DT160"/>
    <mergeCell ref="DU159:DU160"/>
    <mergeCell ref="DV159:DV160"/>
    <mergeCell ref="DW159:DW160"/>
    <mergeCell ref="DM159:DM160"/>
    <mergeCell ref="DN159:DN160"/>
    <mergeCell ref="DO159:DP159"/>
    <mergeCell ref="DQ159:DQ160"/>
    <mergeCell ref="DR159:DR160"/>
    <mergeCell ref="DH159:DH160"/>
    <mergeCell ref="DI159:DI160"/>
    <mergeCell ref="DJ159:DJ160"/>
    <mergeCell ref="DK159:DK160"/>
    <mergeCell ref="DL159:DL160"/>
    <mergeCell ref="AE184:AE185"/>
    <mergeCell ref="AF184:AF185"/>
    <mergeCell ref="AG184:AG185"/>
    <mergeCell ref="AH184:AH185"/>
    <mergeCell ref="AI184:AI185"/>
    <mergeCell ref="Y184:Y185"/>
    <mergeCell ref="Z184:Z185"/>
    <mergeCell ref="AA184:AA185"/>
    <mergeCell ref="AB184:AB185"/>
    <mergeCell ref="AC184:AD184"/>
    <mergeCell ref="S184:T184"/>
    <mergeCell ref="U184:U185"/>
    <mergeCell ref="V184:V185"/>
    <mergeCell ref="W184:W185"/>
    <mergeCell ref="X184:X185"/>
    <mergeCell ref="N184:N185"/>
    <mergeCell ref="O184:O185"/>
    <mergeCell ref="P184:P185"/>
    <mergeCell ref="Q184:Q185"/>
    <mergeCell ref="R184:R185"/>
    <mergeCell ref="BA184:BA185"/>
    <mergeCell ref="BB184:BB185"/>
    <mergeCell ref="BC184:BC185"/>
    <mergeCell ref="BD184:BD185"/>
    <mergeCell ref="BE184:BE185"/>
    <mergeCell ref="AU184:AU185"/>
    <mergeCell ref="AV184:AV185"/>
    <mergeCell ref="AW184:AX184"/>
    <mergeCell ref="AY184:AY185"/>
    <mergeCell ref="AZ184:AZ185"/>
    <mergeCell ref="AP184:AP185"/>
    <mergeCell ref="AQ184:AQ185"/>
    <mergeCell ref="AR184:AR185"/>
    <mergeCell ref="AS184:AS185"/>
    <mergeCell ref="AT184:AT185"/>
    <mergeCell ref="AJ184:AJ185"/>
    <mergeCell ref="AK184:AK185"/>
    <mergeCell ref="AL184:AL185"/>
    <mergeCell ref="AM184:AN184"/>
    <mergeCell ref="AO184:AO185"/>
    <mergeCell ref="BZ184:BZ185"/>
    <mergeCell ref="CA184:CB184"/>
    <mergeCell ref="BQ184:BR184"/>
    <mergeCell ref="BS184:BS185"/>
    <mergeCell ref="BT184:BT185"/>
    <mergeCell ref="BU184:BU185"/>
    <mergeCell ref="BV184:BV185"/>
    <mergeCell ref="BL184:BL185"/>
    <mergeCell ref="BM184:BM185"/>
    <mergeCell ref="BN184:BN185"/>
    <mergeCell ref="BO184:BO185"/>
    <mergeCell ref="BP184:BP185"/>
    <mergeCell ref="BF184:BF185"/>
    <mergeCell ref="BG184:BH184"/>
    <mergeCell ref="BI184:BI185"/>
    <mergeCell ref="BJ184:BJ185"/>
    <mergeCell ref="BK184:BK185"/>
    <mergeCell ref="CY184:CY185"/>
    <mergeCell ref="CZ184:CZ185"/>
    <mergeCell ref="EC184:EC185"/>
    <mergeCell ref="DU184:DU185"/>
    <mergeCell ref="DV184:DV185"/>
    <mergeCell ref="DW184:DW185"/>
    <mergeCell ref="DX184:DX185"/>
    <mergeCell ref="DY184:DZ184"/>
    <mergeCell ref="DO184:DP184"/>
    <mergeCell ref="DQ184:DQ185"/>
    <mergeCell ref="DR184:DR185"/>
    <mergeCell ref="DS184:DS185"/>
    <mergeCell ref="DT184:DT185"/>
    <mergeCell ref="DJ184:DJ185"/>
    <mergeCell ref="DK184:DK185"/>
    <mergeCell ref="DL184:DL185"/>
    <mergeCell ref="DM184:DM185"/>
    <mergeCell ref="DN184:DN185"/>
    <mergeCell ref="DD184:DD185"/>
    <mergeCell ref="DE184:DF184"/>
    <mergeCell ref="DG184:DG185"/>
    <mergeCell ref="DH184:DH185"/>
    <mergeCell ref="DI184:DI185"/>
    <mergeCell ref="EA184:EA185"/>
    <mergeCell ref="EB184:EB185"/>
    <mergeCell ref="DA184:DA185"/>
    <mergeCell ref="DB184:DB185"/>
    <mergeCell ref="DC184:DC185"/>
    <mergeCell ref="CS184:CS185"/>
    <mergeCell ref="CT184:CT185"/>
    <mergeCell ref="CU184:CV184"/>
    <mergeCell ref="CW184:CW185"/>
    <mergeCell ref="CG184:CG185"/>
    <mergeCell ref="AC227:AD227"/>
    <mergeCell ref="AE227:AE228"/>
    <mergeCell ref="AF227:AF228"/>
    <mergeCell ref="AG227:AG228"/>
    <mergeCell ref="X227:X228"/>
    <mergeCell ref="Y227:Y228"/>
    <mergeCell ref="Z227:Z228"/>
    <mergeCell ref="AA227:AA228"/>
    <mergeCell ref="AB227:AB228"/>
    <mergeCell ref="CX184:CX185"/>
    <mergeCell ref="CN184:CN185"/>
    <mergeCell ref="CO184:CO185"/>
    <mergeCell ref="CP184:CP185"/>
    <mergeCell ref="CQ184:CQ185"/>
    <mergeCell ref="CR184:CR185"/>
    <mergeCell ref="CH184:CH185"/>
    <mergeCell ref="CI184:CI185"/>
    <mergeCell ref="CJ184:CJ185"/>
    <mergeCell ref="CK184:CL184"/>
    <mergeCell ref="CM184:CM185"/>
    <mergeCell ref="CC184:CC185"/>
    <mergeCell ref="CD184:CD185"/>
    <mergeCell ref="CE184:CE185"/>
    <mergeCell ref="CF184:CF185"/>
    <mergeCell ref="BW184:BW185"/>
    <mergeCell ref="BX184:BX185"/>
    <mergeCell ref="BY184:BY185"/>
    <mergeCell ref="R227:R228"/>
    <mergeCell ref="S227:T227"/>
    <mergeCell ref="U227:U228"/>
    <mergeCell ref="V227:V228"/>
    <mergeCell ref="W227:W228"/>
    <mergeCell ref="N227:N228"/>
    <mergeCell ref="O227:O228"/>
    <mergeCell ref="P227:P228"/>
    <mergeCell ref="Q227:Q228"/>
    <mergeCell ref="O264:P264"/>
    <mergeCell ref="N262:X263"/>
    <mergeCell ref="N264:N267"/>
    <mergeCell ref="Q264:S264"/>
    <mergeCell ref="T264:X264"/>
    <mergeCell ref="O265:P265"/>
    <mergeCell ref="Q265:S265"/>
    <mergeCell ref="T265:X265"/>
    <mergeCell ref="O266:O267"/>
    <mergeCell ref="P266:P267"/>
    <mergeCell ref="Q266:Q267"/>
    <mergeCell ref="R266:R267"/>
    <mergeCell ref="S266:S267"/>
    <mergeCell ref="T266:U266"/>
    <mergeCell ref="V266:V267"/>
    <mergeCell ref="W266:W267"/>
    <mergeCell ref="X266:X267"/>
    <mergeCell ref="N243:X244"/>
    <mergeCell ref="N245:N248"/>
    <mergeCell ref="O245:P245"/>
    <mergeCell ref="Q245:S245"/>
    <mergeCell ref="T245:X245"/>
    <mergeCell ref="O246:P246"/>
  </mergeCells>
  <phoneticPr fontId="5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47"/>
  <sheetViews>
    <sheetView workbookViewId="0">
      <pane xSplit="1" ySplit="6" topLeftCell="B220" activePane="bottomRight" state="frozen"/>
      <selection pane="topRight" activeCell="B1" sqref="B1"/>
      <selection pane="bottomLeft" activeCell="A7" sqref="A7"/>
      <selection pane="bottomRight" activeCell="A247" sqref="A247:XFD247"/>
    </sheetView>
  </sheetViews>
  <sheetFormatPr defaultColWidth="11.42578125" defaultRowHeight="15" x14ac:dyDescent="0.25"/>
  <cols>
    <col min="2" max="2" width="14.28515625" bestFit="1" customWidth="1"/>
    <col min="3" max="3" width="12.85546875" bestFit="1" customWidth="1"/>
    <col min="4" max="4" width="14.28515625" bestFit="1" customWidth="1"/>
    <col min="5" max="5" width="22.5703125" bestFit="1" customWidth="1"/>
    <col min="6" max="6" width="18.42578125" customWidth="1"/>
    <col min="7" max="7" width="17.85546875" customWidth="1"/>
    <col min="8" max="8" width="12.140625" customWidth="1"/>
    <col min="12" max="15" width="11.7109375" bestFit="1" customWidth="1"/>
  </cols>
  <sheetData>
    <row r="1" spans="1:13" ht="22.5" customHeight="1" x14ac:dyDescent="0.35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2"/>
      <c r="L1" s="2"/>
      <c r="M1" s="2"/>
    </row>
    <row r="2" spans="1:13" hidden="1" x14ac:dyDescent="0.25"/>
    <row r="3" spans="1:13" hidden="1" x14ac:dyDescent="0.25">
      <c r="B3" s="192">
        <f>B246/B245-1</f>
        <v>-3.6034591339255462E-2</v>
      </c>
      <c r="C3" s="192">
        <f t="shared" ref="C3:G3" si="0">C246/C245-1</f>
        <v>0.14417079331493743</v>
      </c>
      <c r="D3" s="192">
        <f t="shared" si="0"/>
        <v>-1</v>
      </c>
      <c r="E3" s="192">
        <f>E246/E245-1</f>
        <v>0.52063667506666489</v>
      </c>
      <c r="F3" s="192">
        <f t="shared" si="0"/>
        <v>-1</v>
      </c>
      <c r="G3" s="192">
        <f t="shared" si="0"/>
        <v>-1</v>
      </c>
      <c r="H3" s="192">
        <f>H246/H245-1</f>
        <v>0.35366648882565666</v>
      </c>
      <c r="I3" s="192"/>
    </row>
    <row r="4" spans="1:13" x14ac:dyDescent="0.25">
      <c r="B4" s="70" t="s">
        <v>135</v>
      </c>
      <c r="C4" s="20"/>
      <c r="D4" s="20"/>
      <c r="E4" s="20"/>
      <c r="F4" s="19" t="s">
        <v>140</v>
      </c>
      <c r="G4" s="8"/>
      <c r="H4" s="8"/>
    </row>
    <row r="5" spans="1:13" s="208" customFormat="1" ht="30" x14ac:dyDescent="0.25">
      <c r="B5" s="208" t="s">
        <v>136</v>
      </c>
      <c r="C5" s="208" t="s">
        <v>137</v>
      </c>
      <c r="D5" s="208" t="s">
        <v>138</v>
      </c>
      <c r="E5" s="208" t="s">
        <v>139</v>
      </c>
      <c r="F5" s="208" t="s">
        <v>355</v>
      </c>
      <c r="G5" s="208" t="s">
        <v>355</v>
      </c>
      <c r="H5" s="208" t="s">
        <v>411</v>
      </c>
    </row>
    <row r="6" spans="1:13" x14ac:dyDescent="0.25"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141</v>
      </c>
      <c r="H6" t="s">
        <v>28</v>
      </c>
    </row>
    <row r="7" spans="1:13" x14ac:dyDescent="0.25">
      <c r="A7" s="11">
        <v>38718</v>
      </c>
      <c r="B7" s="76">
        <v>60.285235999999998</v>
      </c>
      <c r="C7" s="76">
        <v>19.516724</v>
      </c>
      <c r="D7" s="76">
        <v>2.8959920000000001</v>
      </c>
      <c r="E7" s="76">
        <v>19.235323000000001</v>
      </c>
      <c r="F7" s="76">
        <v>0.251</v>
      </c>
      <c r="G7" s="76">
        <v>3.996795E-3</v>
      </c>
      <c r="H7" s="76">
        <v>5.4279999999999999</v>
      </c>
    </row>
    <row r="8" spans="1:13" x14ac:dyDescent="0.25">
      <c r="A8" s="11">
        <v>38749</v>
      </c>
      <c r="B8" s="76">
        <v>61.090215000000001</v>
      </c>
      <c r="C8" s="76">
        <v>41.861676000000003</v>
      </c>
      <c r="D8" s="76">
        <v>116.3107</v>
      </c>
      <c r="E8" s="76">
        <v>48.903882000000003</v>
      </c>
      <c r="F8" s="76">
        <v>11.766437</v>
      </c>
      <c r="G8" s="76">
        <v>3.4296095879999999</v>
      </c>
      <c r="H8" s="76">
        <v>4.6340000000000003</v>
      </c>
    </row>
    <row r="9" spans="1:13" x14ac:dyDescent="0.25">
      <c r="A9" s="11">
        <v>38777</v>
      </c>
      <c r="B9" s="76">
        <v>75.280203999999998</v>
      </c>
      <c r="C9" s="76">
        <v>26.810907</v>
      </c>
      <c r="D9" s="76">
        <v>0.64638899999999999</v>
      </c>
      <c r="E9" s="76">
        <v>77.313783000000001</v>
      </c>
      <c r="F9" s="76">
        <v>5.9687669999999997</v>
      </c>
      <c r="G9" s="76">
        <v>0.93532294800000004</v>
      </c>
      <c r="H9" s="76">
        <v>7.3570000000000002</v>
      </c>
    </row>
    <row r="10" spans="1:13" x14ac:dyDescent="0.25">
      <c r="A10" s="11">
        <v>38808</v>
      </c>
      <c r="B10" s="76">
        <v>67.077950999999999</v>
      </c>
      <c r="C10" s="76">
        <v>21.440453000000002</v>
      </c>
      <c r="D10" s="76">
        <v>92.450547999999998</v>
      </c>
      <c r="E10" s="76">
        <v>56.876328000000001</v>
      </c>
      <c r="F10" s="76">
        <v>8.0165600000000001</v>
      </c>
      <c r="G10" s="76">
        <v>2.7638911259999999</v>
      </c>
      <c r="H10" s="76">
        <v>8.1189999999999998</v>
      </c>
    </row>
    <row r="11" spans="1:13" x14ac:dyDescent="0.25">
      <c r="A11" s="11">
        <v>38838</v>
      </c>
      <c r="B11" s="76">
        <v>64.442440000000005</v>
      </c>
      <c r="C11" s="76">
        <v>38.117966000000003</v>
      </c>
      <c r="D11" s="76">
        <v>116.822562</v>
      </c>
      <c r="E11" s="76">
        <v>56.000073999999998</v>
      </c>
      <c r="F11" s="76">
        <v>1.471649</v>
      </c>
      <c r="G11" s="76">
        <v>0.167922928</v>
      </c>
      <c r="H11" s="76">
        <v>19.216000000000001</v>
      </c>
    </row>
    <row r="12" spans="1:13" x14ac:dyDescent="0.25">
      <c r="A12" s="11">
        <v>38869</v>
      </c>
      <c r="B12" s="76">
        <v>57.406295999999998</v>
      </c>
      <c r="C12" s="76">
        <v>32.766931</v>
      </c>
      <c r="D12" s="76">
        <v>2.4854419999999999</v>
      </c>
      <c r="E12" s="76">
        <v>59.974124000000003</v>
      </c>
      <c r="F12" s="76">
        <v>7.3386630000000004</v>
      </c>
      <c r="G12" s="76">
        <v>2.5706801920000002</v>
      </c>
      <c r="H12" s="76">
        <v>13.510999999999999</v>
      </c>
    </row>
    <row r="13" spans="1:13" x14ac:dyDescent="0.25">
      <c r="A13" s="11">
        <v>38899</v>
      </c>
      <c r="B13" s="76">
        <v>90.191812999999996</v>
      </c>
      <c r="C13" s="76">
        <v>35.454872000000002</v>
      </c>
      <c r="D13" s="76">
        <v>0.40972999999999998</v>
      </c>
      <c r="E13" s="76">
        <v>83.190048000000004</v>
      </c>
      <c r="F13" s="76">
        <v>3.4721549999999999</v>
      </c>
      <c r="G13" s="76">
        <v>0.89884928600000003</v>
      </c>
      <c r="H13" s="76">
        <v>7.0810000000000004</v>
      </c>
    </row>
    <row r="14" spans="1:13" x14ac:dyDescent="0.25">
      <c r="A14" s="11">
        <v>38930</v>
      </c>
      <c r="B14" s="76">
        <v>47.728704</v>
      </c>
      <c r="C14" s="76">
        <v>17.600272</v>
      </c>
      <c r="D14" s="76">
        <v>3.2122999999999999E-2</v>
      </c>
      <c r="E14" s="76">
        <v>166.01681099999999</v>
      </c>
      <c r="F14" s="76">
        <v>4.7423650000000004</v>
      </c>
      <c r="G14" s="76">
        <v>1.875563506</v>
      </c>
      <c r="H14" s="76">
        <v>5.7549999999999999</v>
      </c>
    </row>
    <row r="15" spans="1:13" x14ac:dyDescent="0.25">
      <c r="A15" s="11">
        <v>38961</v>
      </c>
      <c r="B15" s="76">
        <v>69.525559999999999</v>
      </c>
      <c r="C15" s="76">
        <v>28.763095</v>
      </c>
      <c r="D15" s="76">
        <v>3.4770000000000001E-3</v>
      </c>
      <c r="E15" s="76">
        <v>102.89541</v>
      </c>
      <c r="F15" s="76">
        <v>7.8473439999999997</v>
      </c>
      <c r="G15" s="76">
        <v>3.323127248</v>
      </c>
      <c r="H15" s="76">
        <v>5.1870000000000003</v>
      </c>
    </row>
    <row r="16" spans="1:13" x14ac:dyDescent="0.25">
      <c r="A16" s="11">
        <v>38991</v>
      </c>
      <c r="B16" s="76">
        <v>48.109470999999999</v>
      </c>
      <c r="C16" s="76">
        <v>31.653655000000001</v>
      </c>
      <c r="D16" s="76">
        <v>4.3900000000000002E-2</v>
      </c>
      <c r="E16" s="76">
        <v>102.38887200000001</v>
      </c>
      <c r="F16" s="76">
        <v>21.750525</v>
      </c>
      <c r="G16" s="76">
        <v>8.0504972600000002</v>
      </c>
      <c r="H16" s="76">
        <v>4.569</v>
      </c>
    </row>
    <row r="17" spans="1:8" x14ac:dyDescent="0.25">
      <c r="A17" s="11">
        <v>39022</v>
      </c>
      <c r="B17" s="76">
        <v>68.901645000000002</v>
      </c>
      <c r="C17" s="76">
        <v>33.948929999999997</v>
      </c>
      <c r="D17" s="76">
        <v>1.4660000000000001E-3</v>
      </c>
      <c r="E17" s="76">
        <v>96.676608999999999</v>
      </c>
      <c r="F17" s="76">
        <v>10.350384</v>
      </c>
      <c r="G17" s="76">
        <v>3.1265347100000001</v>
      </c>
      <c r="H17" s="76">
        <v>4.1710000000000003</v>
      </c>
    </row>
    <row r="18" spans="1:8" x14ac:dyDescent="0.25">
      <c r="A18" s="11">
        <v>39052</v>
      </c>
      <c r="B18" s="76">
        <v>79.408223000000007</v>
      </c>
      <c r="C18" s="76">
        <v>25.618220000000001</v>
      </c>
      <c r="D18" s="76">
        <v>0</v>
      </c>
      <c r="E18" s="76">
        <v>148.908871</v>
      </c>
      <c r="F18" s="76">
        <v>9.7006990000000002</v>
      </c>
      <c r="G18" s="76">
        <v>3.0573169619999998</v>
      </c>
      <c r="H18" s="76">
        <v>4.5</v>
      </c>
    </row>
    <row r="19" spans="1:8" x14ac:dyDescent="0.25">
      <c r="A19" s="11">
        <v>39083</v>
      </c>
      <c r="B19" s="76">
        <v>82.348631999999995</v>
      </c>
      <c r="C19" s="76">
        <v>38.186624000000002</v>
      </c>
      <c r="D19" s="76">
        <v>0.28277799999999997</v>
      </c>
      <c r="E19" s="76">
        <v>53.070455000000003</v>
      </c>
      <c r="F19" s="76">
        <v>7.2498699999999996</v>
      </c>
      <c r="G19" s="76">
        <v>2.0784932779999998</v>
      </c>
      <c r="H19" s="76">
        <v>6.91</v>
      </c>
    </row>
    <row r="20" spans="1:8" x14ac:dyDescent="0.25">
      <c r="A20" s="11">
        <v>39114</v>
      </c>
      <c r="B20" s="76">
        <v>44.800525999999998</v>
      </c>
      <c r="C20" s="76">
        <v>29.235279999999999</v>
      </c>
      <c r="D20" s="76">
        <v>0.15588199999999999</v>
      </c>
      <c r="E20" s="76">
        <v>110.07311</v>
      </c>
      <c r="F20" s="76">
        <v>14.715108000000001</v>
      </c>
      <c r="G20" s="76">
        <v>5.1879459499999996</v>
      </c>
      <c r="H20" s="76">
        <v>5.2249999999999996</v>
      </c>
    </row>
    <row r="21" spans="1:8" x14ac:dyDescent="0.25">
      <c r="A21" s="11">
        <v>39142</v>
      </c>
      <c r="B21" s="76">
        <v>85.077309</v>
      </c>
      <c r="C21" s="76">
        <v>31.625996000000001</v>
      </c>
      <c r="D21" s="76">
        <v>0.39709899999999998</v>
      </c>
      <c r="E21" s="76">
        <v>146.179373</v>
      </c>
      <c r="F21" s="76">
        <v>6.5170000000000003</v>
      </c>
      <c r="G21" s="76">
        <v>2.2296472459999999</v>
      </c>
      <c r="H21" s="76">
        <v>8.5609999999999999</v>
      </c>
    </row>
    <row r="22" spans="1:8" x14ac:dyDescent="0.25">
      <c r="A22" s="11">
        <v>39173</v>
      </c>
      <c r="B22" s="76">
        <v>89.674661999999998</v>
      </c>
      <c r="C22" s="76">
        <v>35.506284999999998</v>
      </c>
      <c r="D22" s="76">
        <v>16.766763999999998</v>
      </c>
      <c r="E22" s="76">
        <v>87.308419000000001</v>
      </c>
      <c r="F22" s="76">
        <v>13.735144999999999</v>
      </c>
      <c r="G22" s="76">
        <v>4.8520624559999996</v>
      </c>
      <c r="H22" s="76">
        <v>7.2770000000000001</v>
      </c>
    </row>
    <row r="23" spans="1:8" x14ac:dyDescent="0.25">
      <c r="A23" s="11">
        <v>39203</v>
      </c>
      <c r="B23" s="76">
        <v>87.964089000000001</v>
      </c>
      <c r="C23" s="76">
        <v>30.130980000000001</v>
      </c>
      <c r="D23" s="76">
        <v>130.28229300000001</v>
      </c>
      <c r="E23" s="76">
        <v>62.661352999999998</v>
      </c>
      <c r="F23" s="76">
        <v>12.528363000000001</v>
      </c>
      <c r="G23" s="76">
        <v>4.2041363260000004</v>
      </c>
      <c r="H23" s="76">
        <v>15.571</v>
      </c>
    </row>
    <row r="24" spans="1:8" x14ac:dyDescent="0.25">
      <c r="A24" s="11">
        <v>39234</v>
      </c>
      <c r="B24" s="76">
        <v>97.879172999999994</v>
      </c>
      <c r="C24" s="76">
        <v>21.04252</v>
      </c>
      <c r="D24" s="76">
        <v>5.2254000000000002E-2</v>
      </c>
      <c r="E24" s="76">
        <v>101.613698</v>
      </c>
      <c r="F24" s="76">
        <v>1.93424</v>
      </c>
      <c r="G24" s="76">
        <v>0.99225872800000003</v>
      </c>
      <c r="H24" s="76">
        <v>7.008</v>
      </c>
    </row>
    <row r="25" spans="1:8" x14ac:dyDescent="0.25">
      <c r="A25" s="11">
        <v>39264</v>
      </c>
      <c r="B25" s="76">
        <v>140.54095599999999</v>
      </c>
      <c r="C25" s="76">
        <v>53.00403</v>
      </c>
      <c r="D25" s="76">
        <v>130.47683599999999</v>
      </c>
      <c r="E25" s="76">
        <v>90.749972</v>
      </c>
      <c r="F25" s="76">
        <v>8.2273019999999999</v>
      </c>
      <c r="G25" s="76">
        <v>2.1724738719999999</v>
      </c>
      <c r="H25" s="76">
        <v>10.464</v>
      </c>
    </row>
    <row r="26" spans="1:8" x14ac:dyDescent="0.25">
      <c r="A26" s="11">
        <v>39295</v>
      </c>
      <c r="B26" s="76">
        <v>80.126491999999999</v>
      </c>
      <c r="C26" s="76">
        <v>24.597394999999999</v>
      </c>
      <c r="D26" s="76">
        <v>130.23481799999999</v>
      </c>
      <c r="E26" s="76">
        <v>62.382252000000001</v>
      </c>
      <c r="F26" s="76">
        <v>12.94572</v>
      </c>
      <c r="G26" s="76">
        <v>4.9764041819999996</v>
      </c>
      <c r="H26" s="76">
        <v>7.1369999999999996</v>
      </c>
    </row>
    <row r="27" spans="1:8" x14ac:dyDescent="0.25">
      <c r="A27" s="11">
        <v>39326</v>
      </c>
      <c r="B27" s="76">
        <v>114.02842</v>
      </c>
      <c r="C27" s="76">
        <v>12.545909999999999</v>
      </c>
      <c r="D27" s="76">
        <v>7.6909999999999999E-3</v>
      </c>
      <c r="E27" s="76">
        <v>62.243850000000002</v>
      </c>
      <c r="F27" s="76">
        <v>5.3999999999999999E-2</v>
      </c>
      <c r="G27" s="76">
        <v>2.3605451999999999E-2</v>
      </c>
      <c r="H27" s="76">
        <v>5.0830000000000002</v>
      </c>
    </row>
    <row r="28" spans="1:8" x14ac:dyDescent="0.25">
      <c r="A28" s="11">
        <v>39356</v>
      </c>
      <c r="B28" s="76">
        <v>70.455830000000006</v>
      </c>
      <c r="C28" s="76">
        <v>12.587192</v>
      </c>
      <c r="D28" s="76">
        <v>131.26251999999999</v>
      </c>
      <c r="E28" s="76">
        <v>53.467382000000001</v>
      </c>
      <c r="F28" s="76">
        <v>14.222479999999999</v>
      </c>
      <c r="G28" s="76">
        <v>5.4070626910000001</v>
      </c>
      <c r="H28" s="76">
        <v>6.0069999999999997</v>
      </c>
    </row>
    <row r="29" spans="1:8" x14ac:dyDescent="0.25">
      <c r="A29" s="11">
        <v>39387</v>
      </c>
      <c r="B29" s="76">
        <v>103.49956899999999</v>
      </c>
      <c r="C29" s="76">
        <v>21.464613</v>
      </c>
      <c r="D29" s="76">
        <v>0</v>
      </c>
      <c r="E29" s="76">
        <v>55.951014999999998</v>
      </c>
      <c r="F29" s="76">
        <v>0.74543700000000002</v>
      </c>
      <c r="G29" s="76">
        <v>0.442837808</v>
      </c>
      <c r="H29" s="76">
        <v>5.266</v>
      </c>
    </row>
    <row r="30" spans="1:8" x14ac:dyDescent="0.25">
      <c r="A30" s="11">
        <v>39417</v>
      </c>
      <c r="B30" s="76">
        <v>91.126442999999995</v>
      </c>
      <c r="C30" s="76">
        <v>27.183132000000001</v>
      </c>
      <c r="D30" s="76">
        <v>130.258925</v>
      </c>
      <c r="E30" s="76">
        <v>71.488507999999996</v>
      </c>
      <c r="F30" s="76">
        <v>7.8505000000000003</v>
      </c>
      <c r="G30" s="76">
        <v>3.4274316520000001</v>
      </c>
      <c r="H30" s="76">
        <v>6.0380000000000003</v>
      </c>
    </row>
    <row r="31" spans="1:8" x14ac:dyDescent="0.25">
      <c r="A31" s="11">
        <v>39448</v>
      </c>
      <c r="B31" s="76">
        <v>60.908921999999997</v>
      </c>
      <c r="C31" s="76">
        <v>33.985844</v>
      </c>
      <c r="D31" s="76">
        <v>108.50982999999999</v>
      </c>
      <c r="E31" s="76">
        <v>58.545513999999997</v>
      </c>
      <c r="F31" s="76">
        <v>0.3</v>
      </c>
      <c r="G31" s="76">
        <v>2.0784932779999998</v>
      </c>
      <c r="H31" s="76">
        <v>5.6029999999999998</v>
      </c>
    </row>
    <row r="32" spans="1:8" x14ac:dyDescent="0.25">
      <c r="A32" s="11">
        <v>39479</v>
      </c>
      <c r="B32" s="76">
        <v>54.264287000000003</v>
      </c>
      <c r="C32" s="76">
        <v>26.423005</v>
      </c>
      <c r="D32" s="76">
        <v>6.3644999999999993E-2</v>
      </c>
      <c r="E32" s="76">
        <v>58.515667000000001</v>
      </c>
      <c r="F32" s="76">
        <v>2.1000000000000001E-4</v>
      </c>
      <c r="G32" s="76">
        <v>5.1879459499999996</v>
      </c>
      <c r="H32" s="76">
        <v>7.1180000000000003</v>
      </c>
    </row>
    <row r="33" spans="1:8" x14ac:dyDescent="0.25">
      <c r="A33" s="11">
        <v>39508</v>
      </c>
      <c r="B33" s="76">
        <v>60.238427000000001</v>
      </c>
      <c r="C33" s="76">
        <v>30.51878</v>
      </c>
      <c r="D33" s="76">
        <v>4.7140000000000001E-2</v>
      </c>
      <c r="E33" s="76">
        <v>71.885552000000004</v>
      </c>
      <c r="F33" s="76">
        <v>8.1720000000000006</v>
      </c>
      <c r="G33" s="76">
        <v>2.2296472459999999</v>
      </c>
      <c r="H33" s="76">
        <v>5.8789999999999996</v>
      </c>
    </row>
    <row r="34" spans="1:8" x14ac:dyDescent="0.25">
      <c r="A34" s="11">
        <v>39539</v>
      </c>
      <c r="B34" s="76">
        <v>89.855165999999997</v>
      </c>
      <c r="C34" s="76">
        <v>23.893052999999998</v>
      </c>
      <c r="D34" s="76">
        <v>126.072654</v>
      </c>
      <c r="E34" s="76">
        <v>51.275489999999998</v>
      </c>
      <c r="F34" s="76">
        <v>0.143538</v>
      </c>
      <c r="G34" s="76">
        <v>4.8520624559999996</v>
      </c>
      <c r="H34" s="76">
        <v>7.891</v>
      </c>
    </row>
    <row r="35" spans="1:8" x14ac:dyDescent="0.25">
      <c r="A35" s="11">
        <v>39569</v>
      </c>
      <c r="B35" s="76">
        <v>88.276071999999999</v>
      </c>
      <c r="C35" s="76">
        <v>37.887858000000001</v>
      </c>
      <c r="D35" s="76">
        <v>128.86834099999999</v>
      </c>
      <c r="E35" s="76">
        <v>50.161330999999997</v>
      </c>
      <c r="F35" s="76">
        <v>7.1999999999999995E-2</v>
      </c>
      <c r="G35" s="76">
        <v>4.2041363260000004</v>
      </c>
      <c r="H35" s="76">
        <v>9.6829999999999998</v>
      </c>
    </row>
    <row r="36" spans="1:8" x14ac:dyDescent="0.25">
      <c r="A36" s="11">
        <v>39600</v>
      </c>
      <c r="B36" s="76">
        <v>54.694650000000003</v>
      </c>
      <c r="C36" s="76">
        <v>37.499062000000002</v>
      </c>
      <c r="D36" s="76">
        <v>135.70957100000001</v>
      </c>
      <c r="E36" s="76">
        <v>22.897344</v>
      </c>
      <c r="F36" s="76">
        <v>0</v>
      </c>
      <c r="G36" s="76">
        <v>0.99225872800000003</v>
      </c>
      <c r="H36" s="76">
        <v>11.254</v>
      </c>
    </row>
    <row r="37" spans="1:8" x14ac:dyDescent="0.25">
      <c r="A37" s="11">
        <v>39630</v>
      </c>
      <c r="B37" s="76">
        <v>103.30917599999999</v>
      </c>
      <c r="C37" s="76">
        <v>24.016286999999998</v>
      </c>
      <c r="D37" s="76">
        <v>0.126808</v>
      </c>
      <c r="E37" s="76">
        <v>19.869236000000001</v>
      </c>
      <c r="F37" s="76">
        <v>0</v>
      </c>
      <c r="G37" s="76">
        <v>2.1724738719999999</v>
      </c>
      <c r="H37" s="76">
        <v>11.026999999999999</v>
      </c>
    </row>
    <row r="38" spans="1:8" x14ac:dyDescent="0.25">
      <c r="A38" s="11">
        <v>39661</v>
      </c>
      <c r="B38" s="76">
        <v>80.976783999999995</v>
      </c>
      <c r="C38" s="76">
        <v>26.25967</v>
      </c>
      <c r="D38" s="76">
        <v>135.74161599999999</v>
      </c>
      <c r="E38" s="76">
        <v>15.537124</v>
      </c>
      <c r="F38" s="76">
        <v>2.3500000000000001E-3</v>
      </c>
      <c r="G38" s="76">
        <v>4.9764041819999996</v>
      </c>
      <c r="H38" s="76">
        <v>3.4870000000000001</v>
      </c>
    </row>
    <row r="39" spans="1:8" x14ac:dyDescent="0.25">
      <c r="A39" s="11">
        <v>39692</v>
      </c>
      <c r="B39" s="76">
        <v>116.836596</v>
      </c>
      <c r="C39" s="76">
        <v>21.622095000000002</v>
      </c>
      <c r="D39" s="76">
        <v>128.823329</v>
      </c>
      <c r="E39" s="76">
        <v>19.114526999999999</v>
      </c>
      <c r="F39" s="76">
        <v>1.8621430000000001</v>
      </c>
      <c r="G39" s="76">
        <v>2.3605451999999999E-2</v>
      </c>
      <c r="H39" s="76">
        <v>9.3789999999999996</v>
      </c>
    </row>
    <row r="40" spans="1:8" x14ac:dyDescent="0.25">
      <c r="A40" s="11">
        <v>39722</v>
      </c>
      <c r="B40" s="76">
        <v>90.237589999999997</v>
      </c>
      <c r="C40" s="76">
        <v>56.605801</v>
      </c>
      <c r="D40" s="76">
        <v>130.738125</v>
      </c>
      <c r="E40" s="76">
        <v>15.056414999999999</v>
      </c>
      <c r="F40" s="76">
        <v>5.191255</v>
      </c>
      <c r="G40" s="76">
        <v>5.4070626910000001</v>
      </c>
      <c r="H40" s="76">
        <v>4.1820000000000004</v>
      </c>
    </row>
    <row r="41" spans="1:8" x14ac:dyDescent="0.25">
      <c r="A41" s="11">
        <v>39753</v>
      </c>
      <c r="B41" s="76">
        <v>22.229555000000001</v>
      </c>
      <c r="C41" s="76">
        <v>11.150850999999999</v>
      </c>
      <c r="D41" s="76">
        <v>0.43758999999999998</v>
      </c>
      <c r="E41" s="76">
        <v>7.9505100000000004</v>
      </c>
      <c r="F41" s="76">
        <v>0.4</v>
      </c>
      <c r="G41" s="76">
        <v>0.442837808</v>
      </c>
      <c r="H41" s="76">
        <v>5.048</v>
      </c>
    </row>
    <row r="42" spans="1:8" x14ac:dyDescent="0.25">
      <c r="A42" s="11">
        <v>39783</v>
      </c>
      <c r="B42" s="76">
        <v>41.807968000000002</v>
      </c>
      <c r="C42" s="76">
        <v>34.831923000000003</v>
      </c>
      <c r="D42" s="76">
        <v>37.608612000000001</v>
      </c>
      <c r="E42" s="76">
        <v>8.6381350000000001</v>
      </c>
      <c r="F42" s="76">
        <v>1.5</v>
      </c>
      <c r="G42" s="76">
        <v>3.4274316520000001</v>
      </c>
      <c r="H42" s="76">
        <v>6.3360000000000003</v>
      </c>
    </row>
    <row r="43" spans="1:8" x14ac:dyDescent="0.25">
      <c r="A43" s="11">
        <v>39814</v>
      </c>
      <c r="B43" s="76">
        <v>29.015940000000001</v>
      </c>
      <c r="C43" s="76">
        <v>51.234814</v>
      </c>
      <c r="D43" s="76">
        <v>122.714566</v>
      </c>
      <c r="E43" s="76">
        <v>3.7102620000000002</v>
      </c>
      <c r="F43" s="76">
        <v>0.56000000000000005</v>
      </c>
      <c r="G43" s="76">
        <v>0.15507744700000001</v>
      </c>
      <c r="H43" s="76">
        <v>8.1869999999999994</v>
      </c>
    </row>
    <row r="44" spans="1:8" x14ac:dyDescent="0.25">
      <c r="A44" s="11">
        <v>39845</v>
      </c>
      <c r="B44" s="76">
        <v>52.70975</v>
      </c>
      <c r="C44" s="76">
        <v>37.501023000000004</v>
      </c>
      <c r="D44" s="76">
        <v>0.40041199999999999</v>
      </c>
      <c r="E44" s="76">
        <v>30.571269999999998</v>
      </c>
      <c r="F44" s="76">
        <v>2.0842800000000001</v>
      </c>
      <c r="G44" s="76">
        <v>1.227004051</v>
      </c>
      <c r="H44" s="76">
        <v>6.4749999999999996</v>
      </c>
    </row>
    <row r="45" spans="1:8" x14ac:dyDescent="0.25">
      <c r="A45" s="11">
        <v>39873</v>
      </c>
      <c r="B45" s="76">
        <v>78.516670000000005</v>
      </c>
      <c r="C45" s="76">
        <v>34.551070000000003</v>
      </c>
      <c r="D45" s="76">
        <v>126.947304</v>
      </c>
      <c r="E45" s="76">
        <v>56.839325000000002</v>
      </c>
      <c r="F45" s="76">
        <v>10.642358</v>
      </c>
      <c r="G45" s="76">
        <v>6.405047465</v>
      </c>
      <c r="H45" s="76">
        <v>6.9640000000000004</v>
      </c>
    </row>
    <row r="46" spans="1:8" x14ac:dyDescent="0.25">
      <c r="A46" s="11">
        <v>39904</v>
      </c>
      <c r="B46" s="76">
        <v>56.38738</v>
      </c>
      <c r="C46" s="76">
        <v>19.520045</v>
      </c>
      <c r="D46" s="76">
        <v>0.56639300000000004</v>
      </c>
      <c r="E46" s="76">
        <v>146.59822600000001</v>
      </c>
      <c r="F46" s="76">
        <v>2.032295</v>
      </c>
      <c r="G46" s="76">
        <v>1.1192543180000001</v>
      </c>
      <c r="H46" s="76">
        <v>11.173</v>
      </c>
    </row>
    <row r="47" spans="1:8" x14ac:dyDescent="0.25">
      <c r="A47" s="11">
        <v>39934</v>
      </c>
      <c r="B47" s="76">
        <v>66.687122000000002</v>
      </c>
      <c r="C47" s="76">
        <v>28.775006000000001</v>
      </c>
      <c r="D47" s="76">
        <v>9.7009999999999996E-3</v>
      </c>
      <c r="E47" s="76">
        <v>49.696885000000002</v>
      </c>
      <c r="F47" s="76">
        <v>8.7000000000000001E-4</v>
      </c>
      <c r="G47" s="76">
        <v>1.3411040000000001E-3</v>
      </c>
      <c r="H47" s="76">
        <v>11.115</v>
      </c>
    </row>
    <row r="48" spans="1:8" x14ac:dyDescent="0.25">
      <c r="A48" s="11">
        <v>39965</v>
      </c>
      <c r="B48" s="76">
        <v>59.617652999999997</v>
      </c>
      <c r="C48" s="76">
        <v>48.380994999999999</v>
      </c>
      <c r="D48" s="76">
        <v>129.28667100000001</v>
      </c>
      <c r="E48" s="76">
        <v>65.105947999999998</v>
      </c>
      <c r="F48" s="76">
        <v>4.9426709999999998</v>
      </c>
      <c r="G48" s="76">
        <v>1.9141382899999999</v>
      </c>
      <c r="H48" s="76">
        <v>9.85</v>
      </c>
    </row>
    <row r="49" spans="1:8" x14ac:dyDescent="0.25">
      <c r="A49" s="11">
        <v>39995</v>
      </c>
      <c r="B49" s="76">
        <v>74.912537999999998</v>
      </c>
      <c r="C49" s="76">
        <v>41.960509999999999</v>
      </c>
      <c r="D49" s="76">
        <f>(D48+D47+D46)/3</f>
        <v>43.287588333333339</v>
      </c>
      <c r="E49" s="76">
        <v>0.27726000000000001</v>
      </c>
      <c r="F49" s="76">
        <v>7.55</v>
      </c>
      <c r="G49" s="76">
        <v>4.0539221029999997</v>
      </c>
      <c r="H49" s="76">
        <v>10.222</v>
      </c>
    </row>
    <row r="50" spans="1:8" x14ac:dyDescent="0.25">
      <c r="A50" s="11">
        <v>40026</v>
      </c>
      <c r="B50" s="76">
        <v>65.009184000000005</v>
      </c>
      <c r="C50" s="76">
        <v>20.462969999999999</v>
      </c>
      <c r="D50" s="76">
        <v>0.60726400000000003</v>
      </c>
      <c r="E50" s="76">
        <v>39.779178999999999</v>
      </c>
      <c r="F50" s="76">
        <v>1.6069999999999999E-3</v>
      </c>
      <c r="G50" s="76">
        <v>0.45135320600000001</v>
      </c>
      <c r="H50" s="76">
        <v>6.9260000000000002</v>
      </c>
    </row>
    <row r="51" spans="1:8" x14ac:dyDescent="0.25">
      <c r="A51" s="11">
        <v>40057</v>
      </c>
      <c r="B51" s="76">
        <v>47.559452</v>
      </c>
      <c r="C51" s="76">
        <v>29.778013999999999</v>
      </c>
      <c r="D51" s="76">
        <v>128.84792899999999</v>
      </c>
      <c r="E51" s="76">
        <v>111.758251</v>
      </c>
      <c r="F51" s="76">
        <v>1.50292</v>
      </c>
      <c r="G51" s="76">
        <v>0.95242281200000001</v>
      </c>
      <c r="H51" s="76">
        <v>6.375</v>
      </c>
    </row>
    <row r="52" spans="1:8" x14ac:dyDescent="0.25">
      <c r="A52" s="11">
        <v>40087</v>
      </c>
      <c r="B52" s="76">
        <v>61.982982</v>
      </c>
      <c r="C52" s="76">
        <v>44.096580000000003</v>
      </c>
      <c r="D52" s="76">
        <v>1.6978E-2</v>
      </c>
      <c r="E52" s="76">
        <v>26.354058999999999</v>
      </c>
      <c r="F52" s="76">
        <v>4.0989999999999999E-2</v>
      </c>
      <c r="G52" s="76">
        <v>5.1021909999999998E-3</v>
      </c>
      <c r="H52" s="76">
        <v>4.7770000000000001</v>
      </c>
    </row>
    <row r="53" spans="1:8" x14ac:dyDescent="0.25">
      <c r="A53" s="11">
        <v>40118</v>
      </c>
      <c r="B53" s="76">
        <v>52.846437999999999</v>
      </c>
      <c r="C53" s="76">
        <v>19.32</v>
      </c>
      <c r="D53" s="76">
        <v>134.60411500000001</v>
      </c>
      <c r="E53" s="76">
        <v>109.29042</v>
      </c>
      <c r="F53" s="76">
        <v>6.46</v>
      </c>
      <c r="G53" s="76">
        <v>3.1894550939999999</v>
      </c>
      <c r="H53" s="76">
        <v>3.6349999999999998</v>
      </c>
    </row>
    <row r="54" spans="1:8" x14ac:dyDescent="0.25">
      <c r="A54" s="11">
        <v>40148</v>
      </c>
      <c r="B54" s="76">
        <v>71.065161000000003</v>
      </c>
      <c r="C54" s="76">
        <v>43.031990999999998</v>
      </c>
      <c r="D54" s="76">
        <v>0.113858</v>
      </c>
      <c r="E54" s="76">
        <v>119.47532200000001</v>
      </c>
      <c r="F54" s="76">
        <v>1.973338</v>
      </c>
      <c r="G54" s="76">
        <v>0.948993376</v>
      </c>
      <c r="H54" s="76">
        <v>6.0339999999999998</v>
      </c>
    </row>
    <row r="55" spans="1:8" x14ac:dyDescent="0.25">
      <c r="A55" s="11">
        <v>40179</v>
      </c>
      <c r="B55" s="76">
        <v>34.454073999999999</v>
      </c>
      <c r="C55" s="76">
        <v>18.238506000000001</v>
      </c>
      <c r="D55" s="76">
        <v>0.92107799999999995</v>
      </c>
      <c r="E55" s="76">
        <v>58.028534999999998</v>
      </c>
      <c r="F55" s="76">
        <v>1.5202E-2</v>
      </c>
      <c r="G55" s="76">
        <v>0.163611165</v>
      </c>
      <c r="H55" s="76">
        <v>7.7619999999999996</v>
      </c>
    </row>
    <row r="56" spans="1:8" x14ac:dyDescent="0.25">
      <c r="A56" s="11">
        <v>40210</v>
      </c>
      <c r="B56" s="76">
        <v>40.436213000000002</v>
      </c>
      <c r="C56" s="76">
        <v>54.493367999999997</v>
      </c>
      <c r="D56" s="76">
        <v>128.41562099999999</v>
      </c>
      <c r="E56" s="76">
        <v>59.318283000000001</v>
      </c>
      <c r="F56" s="76">
        <v>5.2410050000000004</v>
      </c>
      <c r="G56" s="76">
        <v>2.9127399270000001</v>
      </c>
      <c r="H56" s="76">
        <v>6.9429999999999996</v>
      </c>
    </row>
    <row r="57" spans="1:8" x14ac:dyDescent="0.25">
      <c r="A57" s="11">
        <v>40238</v>
      </c>
      <c r="B57" s="76">
        <v>49.973221000000002</v>
      </c>
      <c r="C57" s="76">
        <v>32.604239999999997</v>
      </c>
      <c r="D57" s="76">
        <v>0.132824</v>
      </c>
      <c r="E57" s="76">
        <v>172.32857000000001</v>
      </c>
      <c r="F57" s="76">
        <v>11.80423</v>
      </c>
      <c r="G57" s="76">
        <v>5.9451727510000003</v>
      </c>
      <c r="H57" s="76">
        <v>6.6710000000000003</v>
      </c>
    </row>
    <row r="58" spans="1:8" x14ac:dyDescent="0.25">
      <c r="A58" s="11">
        <v>40269</v>
      </c>
      <c r="B58" s="76">
        <v>60.467049000000003</v>
      </c>
      <c r="C58" s="76">
        <v>28.414819000000001</v>
      </c>
      <c r="D58" s="76">
        <v>0.57307600000000003</v>
      </c>
      <c r="E58" s="76">
        <v>71.400120999999999</v>
      </c>
      <c r="F58" s="76">
        <v>5.0109979999999998</v>
      </c>
      <c r="G58" s="76">
        <v>0.51164984700000005</v>
      </c>
      <c r="H58" s="76">
        <v>10.423</v>
      </c>
    </row>
    <row r="59" spans="1:8" x14ac:dyDescent="0.25">
      <c r="A59" s="11">
        <v>40299</v>
      </c>
      <c r="B59" s="76">
        <v>65.833405999999997</v>
      </c>
      <c r="C59" s="76">
        <v>39.587111</v>
      </c>
      <c r="D59" s="76">
        <v>129.20416499999999</v>
      </c>
      <c r="E59" s="76">
        <v>148.021657</v>
      </c>
      <c r="F59" s="76">
        <v>1.7649999999999999E-2</v>
      </c>
      <c r="G59" s="76">
        <v>4.9368659999999998E-3</v>
      </c>
      <c r="H59" s="76">
        <v>9.5419999999999998</v>
      </c>
    </row>
    <row r="60" spans="1:8" x14ac:dyDescent="0.25">
      <c r="A60" s="11">
        <v>40330</v>
      </c>
      <c r="B60" s="76">
        <v>65.430021999999994</v>
      </c>
      <c r="C60" s="76">
        <v>53.865105</v>
      </c>
      <c r="D60" s="76">
        <f>(D57+D58)/2</f>
        <v>0.35294999999999999</v>
      </c>
      <c r="E60" s="76">
        <v>27.394355000000001</v>
      </c>
      <c r="F60" s="76">
        <v>6.379702</v>
      </c>
      <c r="G60" s="76">
        <v>3.8756964599999999</v>
      </c>
      <c r="H60" s="76">
        <v>10.135999999999999</v>
      </c>
    </row>
    <row r="61" spans="1:8" x14ac:dyDescent="0.25">
      <c r="A61" s="11">
        <v>40360</v>
      </c>
      <c r="B61" s="76">
        <v>57.943510000000003</v>
      </c>
      <c r="C61" s="76">
        <v>32.877403999999999</v>
      </c>
      <c r="D61" s="76">
        <v>136.00513000000001</v>
      </c>
      <c r="E61" s="76">
        <v>57.588118000000001</v>
      </c>
      <c r="F61" s="76">
        <v>0.97041999999999995</v>
      </c>
      <c r="G61" s="76">
        <v>0.20845676199999999</v>
      </c>
      <c r="H61" s="76">
        <v>7.6440000000000001</v>
      </c>
    </row>
    <row r="62" spans="1:8" x14ac:dyDescent="0.25">
      <c r="A62" s="11">
        <v>40391</v>
      </c>
      <c r="B62" s="76">
        <v>60.148792</v>
      </c>
      <c r="C62" s="76">
        <v>32.835289000000003</v>
      </c>
      <c r="D62" s="76">
        <v>3.4476E-2</v>
      </c>
      <c r="E62" s="76">
        <v>84.201239999999999</v>
      </c>
      <c r="F62" s="76">
        <v>11.0204</v>
      </c>
      <c r="G62" s="76">
        <v>6.1959706109999999</v>
      </c>
      <c r="H62" s="76">
        <v>6.7009999999999996</v>
      </c>
    </row>
    <row r="63" spans="1:8" x14ac:dyDescent="0.25">
      <c r="A63" s="11">
        <v>40422</v>
      </c>
      <c r="B63" s="76">
        <v>69.624988000000002</v>
      </c>
      <c r="C63" s="76">
        <v>49.671399999999998</v>
      </c>
      <c r="D63" s="76">
        <v>135.32992999999999</v>
      </c>
      <c r="E63" s="76">
        <v>79.222402000000002</v>
      </c>
      <c r="F63" s="76">
        <v>13.882334999999999</v>
      </c>
      <c r="G63" s="76">
        <v>3.0403254510000002</v>
      </c>
      <c r="H63" s="76">
        <v>5.7729999999999997</v>
      </c>
    </row>
    <row r="64" spans="1:8" x14ac:dyDescent="0.25">
      <c r="A64" s="11">
        <v>40452</v>
      </c>
      <c r="B64" s="76">
        <v>41.717218000000003</v>
      </c>
      <c r="C64" s="76">
        <v>31.943079999999998</v>
      </c>
      <c r="D64" s="76">
        <v>0</v>
      </c>
      <c r="E64" s="76">
        <v>68.672777999999994</v>
      </c>
      <c r="F64" s="76">
        <v>7.2268679999999996</v>
      </c>
      <c r="G64" s="76">
        <v>2.1933428899999998</v>
      </c>
      <c r="H64" s="76">
        <v>5.3609999999999998</v>
      </c>
    </row>
    <row r="65" spans="1:8" x14ac:dyDescent="0.25">
      <c r="A65" s="11">
        <v>40483</v>
      </c>
      <c r="B65" s="76">
        <v>44.844116</v>
      </c>
      <c r="C65" s="76">
        <v>19.187999999999999</v>
      </c>
      <c r="D65" s="76">
        <v>8.9155999999999999E-2</v>
      </c>
      <c r="E65" s="76">
        <v>77.791644000000005</v>
      </c>
      <c r="F65" s="76">
        <v>10.789440000000001</v>
      </c>
      <c r="G65" s="76">
        <v>4.3485680630000001</v>
      </c>
      <c r="H65" s="76">
        <v>4.3970000000000002</v>
      </c>
    </row>
    <row r="66" spans="1:8" x14ac:dyDescent="0.25">
      <c r="A66" s="11">
        <v>40513</v>
      </c>
      <c r="B66" s="76">
        <v>75.876289999999997</v>
      </c>
      <c r="C66" s="76">
        <v>42.356509000000003</v>
      </c>
      <c r="D66" s="76">
        <v>129.51595499999999</v>
      </c>
      <c r="E66" s="76">
        <v>59.105134999999997</v>
      </c>
      <c r="F66" s="76">
        <v>10.27145</v>
      </c>
      <c r="G66" s="76">
        <v>3.5393499770000001</v>
      </c>
      <c r="H66" s="76">
        <v>11.627000000000001</v>
      </c>
    </row>
    <row r="67" spans="1:8" x14ac:dyDescent="0.25">
      <c r="A67" s="11">
        <v>40544</v>
      </c>
      <c r="B67" s="76">
        <v>69.478869000000003</v>
      </c>
      <c r="C67" s="76">
        <v>40.852080000000001</v>
      </c>
      <c r="D67" s="76">
        <v>0</v>
      </c>
      <c r="E67" s="76">
        <v>127.926641</v>
      </c>
      <c r="F67" s="76">
        <v>10.522024</v>
      </c>
      <c r="G67" s="76">
        <v>2.47908733</v>
      </c>
      <c r="H67" s="76">
        <v>11.313000000000001</v>
      </c>
    </row>
    <row r="68" spans="1:8" x14ac:dyDescent="0.25">
      <c r="A68" s="11">
        <v>40575</v>
      </c>
      <c r="B68" s="76">
        <v>48.023825000000002</v>
      </c>
      <c r="C68" s="76">
        <v>16.107106000000002</v>
      </c>
      <c r="D68" s="76">
        <v>0</v>
      </c>
      <c r="E68" s="76">
        <v>2.613893</v>
      </c>
      <c r="F68" s="76">
        <v>6.9786000000000001</v>
      </c>
      <c r="G68" s="76">
        <v>1.078632346</v>
      </c>
      <c r="H68" s="76">
        <v>12.071</v>
      </c>
    </row>
    <row r="69" spans="1:8" x14ac:dyDescent="0.25">
      <c r="A69" s="11">
        <v>40603</v>
      </c>
      <c r="B69" s="76">
        <v>75.769951000000006</v>
      </c>
      <c r="C69" s="76">
        <v>67.709810000000004</v>
      </c>
      <c r="D69" s="76">
        <v>123.093349</v>
      </c>
      <c r="E69" s="76">
        <v>76.126901000000004</v>
      </c>
      <c r="F69" s="76">
        <v>7.6316680000000003</v>
      </c>
      <c r="G69" s="76">
        <v>4.0481675680000002</v>
      </c>
      <c r="H69" s="76">
        <v>12.313000000000001</v>
      </c>
    </row>
    <row r="70" spans="1:8" x14ac:dyDescent="0.25">
      <c r="A70" s="11">
        <v>40634</v>
      </c>
      <c r="B70" s="76">
        <v>82.601112999999998</v>
      </c>
      <c r="C70" s="76">
        <v>20.521211999999998</v>
      </c>
      <c r="D70" s="76">
        <v>0</v>
      </c>
      <c r="E70" s="76">
        <v>59.569661000000004</v>
      </c>
      <c r="F70" s="76">
        <v>14.578165</v>
      </c>
      <c r="G70" s="76">
        <v>7.1566686449999999</v>
      </c>
      <c r="H70" s="76">
        <v>15.64</v>
      </c>
    </row>
    <row r="71" spans="1:8" x14ac:dyDescent="0.25">
      <c r="A71" s="11">
        <v>40664</v>
      </c>
      <c r="B71" s="76">
        <v>64.549796000000001</v>
      </c>
      <c r="C71" s="76">
        <v>43.606299</v>
      </c>
      <c r="D71" s="76">
        <v>122.114144</v>
      </c>
      <c r="E71" s="76">
        <v>47.805585999999998</v>
      </c>
      <c r="F71" s="76">
        <v>9.6138209999999997</v>
      </c>
      <c r="G71" s="76">
        <v>2.4729744239999998</v>
      </c>
      <c r="H71" s="76">
        <v>16.387</v>
      </c>
    </row>
    <row r="72" spans="1:8" x14ac:dyDescent="0.25">
      <c r="A72" s="11">
        <v>40695</v>
      </c>
      <c r="B72" s="76">
        <v>56.287515999999997</v>
      </c>
      <c r="C72" s="76">
        <v>24.900010000000002</v>
      </c>
      <c r="D72" s="76">
        <v>0.102774</v>
      </c>
      <c r="E72" s="76">
        <v>42.727882000000001</v>
      </c>
      <c r="F72" s="76">
        <v>12.622642000000001</v>
      </c>
      <c r="G72" s="76">
        <v>6.3981223360000001</v>
      </c>
      <c r="H72" s="76">
        <v>10.571</v>
      </c>
    </row>
    <row r="73" spans="1:8" x14ac:dyDescent="0.25">
      <c r="A73" s="11">
        <v>40725</v>
      </c>
      <c r="B73" s="76">
        <v>67.918906000000007</v>
      </c>
      <c r="C73" s="76">
        <v>38.493547</v>
      </c>
      <c r="D73" s="76">
        <v>1.6633629999999999</v>
      </c>
      <c r="E73" s="76">
        <v>82.598391000000007</v>
      </c>
      <c r="F73" s="76">
        <v>5.2164599999999997</v>
      </c>
      <c r="G73" s="76">
        <v>2.0361979510000001</v>
      </c>
      <c r="H73" s="76">
        <v>10.614000000000001</v>
      </c>
    </row>
    <row r="74" spans="1:8" x14ac:dyDescent="0.25">
      <c r="A74" s="11">
        <v>40756</v>
      </c>
      <c r="B74" s="76">
        <v>87.575832000000005</v>
      </c>
      <c r="C74" s="76">
        <v>43.047137999999997</v>
      </c>
      <c r="D74" s="76">
        <v>128.087267</v>
      </c>
      <c r="E74" s="76">
        <v>90.988076000000007</v>
      </c>
      <c r="F74" s="76">
        <v>9.866384</v>
      </c>
      <c r="G74" s="76">
        <v>5.4843320609999999</v>
      </c>
      <c r="H74" s="76">
        <v>7.992</v>
      </c>
    </row>
    <row r="75" spans="1:8" x14ac:dyDescent="0.25">
      <c r="A75" s="11">
        <v>40787</v>
      </c>
      <c r="B75" s="76">
        <v>39.438448999999999</v>
      </c>
      <c r="C75" s="76">
        <v>36.895899999999997</v>
      </c>
      <c r="D75" s="76">
        <v>122.902106</v>
      </c>
      <c r="E75" s="76">
        <v>67.773308999999998</v>
      </c>
      <c r="F75" s="76">
        <v>18.061205000000001</v>
      </c>
      <c r="G75" s="76">
        <v>7.2106659249999998</v>
      </c>
      <c r="H75" s="76">
        <v>5.4450000000000003</v>
      </c>
    </row>
    <row r="76" spans="1:8" x14ac:dyDescent="0.25">
      <c r="A76" s="11">
        <v>40817</v>
      </c>
      <c r="B76" s="76">
        <v>66.897062000000005</v>
      </c>
      <c r="C76" s="76">
        <v>46.355409999999999</v>
      </c>
      <c r="D76" s="76">
        <v>0.14283299999999999</v>
      </c>
      <c r="E76" s="76">
        <v>76.892081000000005</v>
      </c>
      <c r="F76" s="76">
        <v>6.2522989999999998</v>
      </c>
      <c r="G76" s="76">
        <v>3.9537100449999998</v>
      </c>
      <c r="H76" s="76">
        <v>7.5640000000000001</v>
      </c>
    </row>
    <row r="77" spans="1:8" x14ac:dyDescent="0.25">
      <c r="A77" s="11">
        <v>40848</v>
      </c>
      <c r="B77" s="76">
        <v>81.215186000000003</v>
      </c>
      <c r="C77" s="76">
        <v>13.060840000000001</v>
      </c>
      <c r="D77" s="76">
        <v>0.19816500000000001</v>
      </c>
      <c r="E77" s="76">
        <v>102.792742</v>
      </c>
      <c r="F77" s="76">
        <v>572.17159000000004</v>
      </c>
      <c r="G77" s="76">
        <v>0.41679158399999999</v>
      </c>
      <c r="H77" s="76">
        <v>3.0529999999999999</v>
      </c>
    </row>
    <row r="78" spans="1:8" x14ac:dyDescent="0.25">
      <c r="A78" s="11">
        <v>40878</v>
      </c>
      <c r="B78" s="76">
        <v>65.177394000000007</v>
      </c>
      <c r="C78" s="76">
        <v>37.992825000000003</v>
      </c>
      <c r="D78" s="76">
        <v>124.491264</v>
      </c>
      <c r="E78" s="76">
        <v>182.58211600000001</v>
      </c>
      <c r="F78" s="76">
        <v>6.4608619999999997</v>
      </c>
      <c r="G78" s="76">
        <v>4.5098894229999997</v>
      </c>
      <c r="H78" s="76">
        <v>6.548</v>
      </c>
    </row>
    <row r="79" spans="1:8" x14ac:dyDescent="0.25">
      <c r="A79" s="11">
        <v>40909</v>
      </c>
      <c r="B79" s="76">
        <v>66.944310999999999</v>
      </c>
      <c r="C79" s="76">
        <v>62.763894999999998</v>
      </c>
      <c r="D79" s="76">
        <v>122.745025</v>
      </c>
      <c r="E79" s="76">
        <v>27.820001999999999</v>
      </c>
      <c r="F79" s="76">
        <v>3.312694</v>
      </c>
      <c r="G79" s="76">
        <v>1.700544147</v>
      </c>
      <c r="H79" s="76">
        <v>14.093</v>
      </c>
    </row>
    <row r="80" spans="1:8" x14ac:dyDescent="0.25">
      <c r="A80" s="11">
        <v>40940</v>
      </c>
      <c r="B80" s="76">
        <v>84.310553999999996</v>
      </c>
      <c r="C80" s="76">
        <v>21.224789999999999</v>
      </c>
      <c r="D80" s="76">
        <v>8.9200000000000002E-2</v>
      </c>
      <c r="E80" s="76">
        <v>107.458258</v>
      </c>
      <c r="F80" s="76">
        <v>3.7045699999999999</v>
      </c>
      <c r="G80" s="76">
        <v>1.054745227</v>
      </c>
      <c r="H80" s="76">
        <v>13.234</v>
      </c>
    </row>
    <row r="81" spans="1:8" x14ac:dyDescent="0.25">
      <c r="A81" s="11">
        <v>40969</v>
      </c>
      <c r="B81" s="76">
        <v>90.213848999999996</v>
      </c>
      <c r="C81" s="76">
        <v>31.995999999999999</v>
      </c>
      <c r="D81" s="76">
        <v>127.147423</v>
      </c>
      <c r="E81" s="76">
        <v>51.180549999999997</v>
      </c>
      <c r="F81" s="76">
        <v>1.61991</v>
      </c>
      <c r="G81" s="76">
        <v>0.72752757300000004</v>
      </c>
      <c r="H81" s="76">
        <v>8.9309999999999992</v>
      </c>
    </row>
    <row r="82" spans="1:8" x14ac:dyDescent="0.25">
      <c r="A82" s="11">
        <v>41000</v>
      </c>
      <c r="B82" s="76">
        <v>57.176288999999997</v>
      </c>
      <c r="C82" s="76">
        <v>51.741221000000003</v>
      </c>
      <c r="D82" s="76">
        <v>5.7487000000000003E-2</v>
      </c>
      <c r="E82" s="76">
        <v>29.784668</v>
      </c>
      <c r="F82" s="76">
        <v>2.3405499999999999</v>
      </c>
      <c r="G82" s="76">
        <v>0.66599429099999996</v>
      </c>
      <c r="H82" s="76">
        <v>19.280999999999999</v>
      </c>
    </row>
    <row r="83" spans="1:8" x14ac:dyDescent="0.25">
      <c r="A83" s="11">
        <v>41030</v>
      </c>
      <c r="B83" s="76">
        <v>84.788869000000005</v>
      </c>
      <c r="C83" s="76">
        <v>22.0259</v>
      </c>
      <c r="D83" s="76">
        <v>123.59163599999999</v>
      </c>
      <c r="E83" s="76">
        <v>71.059662000000003</v>
      </c>
      <c r="F83" s="76">
        <v>1.9985299999999999</v>
      </c>
      <c r="G83" s="76">
        <v>0.46324925500000003</v>
      </c>
      <c r="H83" s="76">
        <v>22.175000000000001</v>
      </c>
    </row>
    <row r="84" spans="1:8" x14ac:dyDescent="0.25">
      <c r="A84" s="11">
        <v>41061</v>
      </c>
      <c r="B84" s="76">
        <v>85.232500999999999</v>
      </c>
      <c r="C84" s="76">
        <v>57.045906000000002</v>
      </c>
      <c r="D84" s="76">
        <v>123.515033</v>
      </c>
      <c r="E84" s="76">
        <v>95.707179999999994</v>
      </c>
      <c r="F84" s="76">
        <v>1.396684</v>
      </c>
      <c r="G84" s="76">
        <v>0.33154271699999999</v>
      </c>
      <c r="H84" s="76">
        <v>12.222</v>
      </c>
    </row>
    <row r="85" spans="1:8" x14ac:dyDescent="0.25">
      <c r="A85" s="11">
        <v>41091</v>
      </c>
      <c r="B85" s="76">
        <v>79.943760999999995</v>
      </c>
      <c r="C85" s="76">
        <v>37.812600000000003</v>
      </c>
      <c r="D85" s="76">
        <v>0.47014</v>
      </c>
      <c r="E85" s="76">
        <v>81.879327000000004</v>
      </c>
      <c r="F85" s="76">
        <v>2.294117</v>
      </c>
      <c r="G85" s="76">
        <v>1.711106655</v>
      </c>
      <c r="H85" s="76">
        <v>11.701000000000001</v>
      </c>
    </row>
    <row r="86" spans="1:8" x14ac:dyDescent="0.25">
      <c r="A86" s="11">
        <v>41122</v>
      </c>
      <c r="B86" s="76">
        <v>86.023090999999994</v>
      </c>
      <c r="C86" s="76">
        <v>51.085903999999999</v>
      </c>
      <c r="D86" s="76">
        <v>127.95080400000001</v>
      </c>
      <c r="E86" s="76">
        <v>44.679353999999996</v>
      </c>
      <c r="F86" s="76">
        <v>10.983000000000001</v>
      </c>
      <c r="G86" s="76">
        <v>10.396349385000001</v>
      </c>
      <c r="H86" s="76">
        <v>10.622999999999999</v>
      </c>
    </row>
    <row r="87" spans="1:8" x14ac:dyDescent="0.25">
      <c r="A87" s="11">
        <v>41153</v>
      </c>
      <c r="B87" s="76">
        <v>64.521260999999996</v>
      </c>
      <c r="C87" s="76">
        <v>42.022312999999997</v>
      </c>
      <c r="D87" s="76">
        <v>0.36161599999999999</v>
      </c>
      <c r="E87" s="76">
        <v>106.29502599999999</v>
      </c>
      <c r="F87" s="76">
        <v>0.95025000000000004</v>
      </c>
      <c r="G87" s="76">
        <v>0.25824095600000002</v>
      </c>
      <c r="H87" s="76">
        <v>22.234999999999999</v>
      </c>
    </row>
    <row r="88" spans="1:8" x14ac:dyDescent="0.25">
      <c r="A88" s="11">
        <v>41183</v>
      </c>
      <c r="B88" s="76">
        <v>76.743906999999993</v>
      </c>
      <c r="C88" s="76">
        <v>50.351574999999997</v>
      </c>
      <c r="D88" s="76">
        <v>127.67582899999999</v>
      </c>
      <c r="E88" s="76">
        <v>52.888855999999997</v>
      </c>
      <c r="F88" s="76">
        <v>0.25419999999999998</v>
      </c>
      <c r="G88" s="76">
        <v>0.164206514</v>
      </c>
      <c r="H88" s="76">
        <v>12.712999999999999</v>
      </c>
    </row>
    <row r="89" spans="1:8" x14ac:dyDescent="0.25">
      <c r="A89" s="11">
        <v>41214</v>
      </c>
      <c r="B89" s="76">
        <v>77.927059</v>
      </c>
      <c r="C89" s="76">
        <v>19.636205</v>
      </c>
      <c r="D89" s="76">
        <v>8.0393999999999993E-2</v>
      </c>
      <c r="E89" s="76">
        <v>79.195442</v>
      </c>
      <c r="F89" s="76">
        <v>3.4550000000000001</v>
      </c>
      <c r="G89" s="76">
        <v>2.1031044940000001</v>
      </c>
      <c r="H89" s="76">
        <v>11.606999999999999</v>
      </c>
    </row>
    <row r="90" spans="1:8" x14ac:dyDescent="0.25">
      <c r="A90" s="11">
        <v>41244</v>
      </c>
      <c r="B90" s="76">
        <v>65.071834999999993</v>
      </c>
      <c r="C90" s="76">
        <v>54.96602</v>
      </c>
      <c r="D90" s="76">
        <v>127.767633</v>
      </c>
      <c r="E90" s="76">
        <v>111.36532099999999</v>
      </c>
      <c r="F90" s="76">
        <v>4.2620399999999998</v>
      </c>
      <c r="G90" s="76">
        <v>1.1782402910000001</v>
      </c>
      <c r="H90" s="76">
        <v>7.859</v>
      </c>
    </row>
    <row r="91" spans="1:8" x14ac:dyDescent="0.25">
      <c r="A91" s="11">
        <v>41275</v>
      </c>
      <c r="B91" s="76">
        <v>62.212057999999999</v>
      </c>
      <c r="C91" s="76">
        <v>33.215679999999999</v>
      </c>
      <c r="D91" s="76">
        <v>2.7425999999999999E-2</v>
      </c>
      <c r="E91" s="76">
        <v>75.995202000000006</v>
      </c>
      <c r="F91" s="76">
        <v>8.6634820000000001</v>
      </c>
      <c r="G91" s="76">
        <v>2.6803583799999999</v>
      </c>
      <c r="H91" s="76">
        <v>11.346</v>
      </c>
    </row>
    <row r="92" spans="1:8" x14ac:dyDescent="0.25">
      <c r="A92" s="11">
        <v>41306</v>
      </c>
      <c r="B92" s="76">
        <v>87.745073000000005</v>
      </c>
      <c r="C92" s="76">
        <v>19.508839999999999</v>
      </c>
      <c r="D92" s="76">
        <v>128.828138</v>
      </c>
      <c r="E92" s="76">
        <v>45.125919000000003</v>
      </c>
      <c r="F92" s="76">
        <v>10.671773</v>
      </c>
      <c r="G92" s="76">
        <v>5.3648572249999997</v>
      </c>
      <c r="H92" s="76">
        <v>11.382999999999999</v>
      </c>
    </row>
    <row r="93" spans="1:8" x14ac:dyDescent="0.25">
      <c r="A93" s="11">
        <v>41334</v>
      </c>
      <c r="B93" s="76">
        <v>93.369208</v>
      </c>
      <c r="C93" s="76">
        <v>54.79665</v>
      </c>
      <c r="D93" s="76">
        <v>0.70871499999999998</v>
      </c>
      <c r="E93" s="76">
        <v>44.349279000000003</v>
      </c>
      <c r="F93" s="76">
        <v>8.1487680000000005</v>
      </c>
      <c r="G93" s="76">
        <v>4.8481975889999998</v>
      </c>
      <c r="H93" s="76">
        <v>11.486000000000001</v>
      </c>
    </row>
    <row r="94" spans="1:8" x14ac:dyDescent="0.25">
      <c r="A94" s="11">
        <v>41365</v>
      </c>
      <c r="B94" s="76">
        <v>69.475854999999996</v>
      </c>
      <c r="C94" s="76">
        <v>55.16263</v>
      </c>
      <c r="D94" s="76">
        <v>127.519811</v>
      </c>
      <c r="E94" s="76">
        <v>54.722456000000001</v>
      </c>
      <c r="F94" s="76">
        <v>4.5370939999999997</v>
      </c>
      <c r="G94" s="76">
        <v>3.2372396829999999</v>
      </c>
      <c r="H94" s="76">
        <v>14.242000000000001</v>
      </c>
    </row>
    <row r="95" spans="1:8" x14ac:dyDescent="0.25">
      <c r="A95" s="11">
        <v>41395</v>
      </c>
      <c r="B95" s="76">
        <v>67.177340000000001</v>
      </c>
      <c r="C95" s="76">
        <v>37.558200999999997</v>
      </c>
      <c r="D95" s="76">
        <v>127.60501499999999</v>
      </c>
      <c r="E95" s="76">
        <v>38.810783000000001</v>
      </c>
      <c r="F95" s="76">
        <v>2.0339670000000001</v>
      </c>
      <c r="G95" s="76">
        <v>0.54311334600000005</v>
      </c>
      <c r="H95" s="76">
        <v>21.334</v>
      </c>
    </row>
    <row r="96" spans="1:8" x14ac:dyDescent="0.25">
      <c r="A96" s="11">
        <v>41426</v>
      </c>
      <c r="B96" s="76">
        <v>79.091857000000005</v>
      </c>
      <c r="C96" s="76">
        <v>52.852364000000001</v>
      </c>
      <c r="D96" s="76">
        <v>0.39189299999999999</v>
      </c>
      <c r="E96" s="76">
        <v>64.895094999999998</v>
      </c>
      <c r="F96" s="76">
        <v>1.005557</v>
      </c>
      <c r="G96" s="76">
        <v>0.68820231600000004</v>
      </c>
      <c r="H96" s="76">
        <v>14.384</v>
      </c>
    </row>
    <row r="97" spans="1:8" x14ac:dyDescent="0.25">
      <c r="A97" s="11">
        <v>41456</v>
      </c>
      <c r="B97" s="76">
        <v>87.290364999999994</v>
      </c>
      <c r="C97" s="76">
        <v>22.939122999999999</v>
      </c>
      <c r="D97" s="76">
        <v>88.176238999999995</v>
      </c>
      <c r="E97" s="76">
        <v>101.65874100000001</v>
      </c>
      <c r="F97" s="76">
        <v>4.7457570000000002</v>
      </c>
      <c r="G97" s="76">
        <v>2.7341040250000002</v>
      </c>
      <c r="H97" s="76">
        <v>6.1289999999999996</v>
      </c>
    </row>
    <row r="98" spans="1:8" x14ac:dyDescent="0.25">
      <c r="A98" s="11">
        <v>41487</v>
      </c>
      <c r="B98" s="76">
        <v>70.262467999999998</v>
      </c>
      <c r="C98" s="76">
        <v>56.866562000000002</v>
      </c>
      <c r="D98" s="76">
        <v>0.63050899999999999</v>
      </c>
      <c r="E98" s="76">
        <v>47.363822999999996</v>
      </c>
      <c r="F98" s="76">
        <v>8.0276340000000008</v>
      </c>
      <c r="G98" s="76">
        <v>4.8413100409999998</v>
      </c>
      <c r="H98" s="76">
        <v>7.6219999999999999</v>
      </c>
    </row>
    <row r="99" spans="1:8" x14ac:dyDescent="0.25">
      <c r="A99" s="11">
        <v>41518</v>
      </c>
      <c r="B99" s="76">
        <v>65.644412000000003</v>
      </c>
      <c r="C99" s="76">
        <v>9.7629199999999994</v>
      </c>
      <c r="D99" s="76">
        <v>128.568738</v>
      </c>
      <c r="E99" s="76">
        <v>132.58659399999999</v>
      </c>
      <c r="F99" s="76">
        <v>1.7184900000000001</v>
      </c>
      <c r="G99" s="76">
        <v>1.4525078709999999</v>
      </c>
      <c r="H99" s="76">
        <v>12.661</v>
      </c>
    </row>
    <row r="100" spans="1:8" x14ac:dyDescent="0.25">
      <c r="A100" s="11">
        <v>41548</v>
      </c>
      <c r="B100" s="76">
        <v>64.287828000000005</v>
      </c>
      <c r="C100" s="76">
        <v>54.893635000000003</v>
      </c>
      <c r="D100" s="76">
        <v>91.044104000000004</v>
      </c>
      <c r="E100" s="76">
        <v>32.835337000000003</v>
      </c>
      <c r="F100" s="76">
        <v>5.2229780000000003</v>
      </c>
      <c r="G100" s="76">
        <v>2.2259899509999999</v>
      </c>
      <c r="H100" s="76">
        <v>7.9770000000000003</v>
      </c>
    </row>
    <row r="101" spans="1:8" x14ac:dyDescent="0.25">
      <c r="A101" s="11">
        <v>41579</v>
      </c>
      <c r="B101" s="76">
        <v>74.788905999999997</v>
      </c>
      <c r="C101" s="76">
        <v>62.012383999999997</v>
      </c>
      <c r="D101" s="76">
        <v>7.4091000000000004E-2</v>
      </c>
      <c r="E101" s="76">
        <v>146.19429700000001</v>
      </c>
      <c r="F101" s="76">
        <v>0.56386000000000003</v>
      </c>
      <c r="G101" s="76">
        <v>5.7398486999999998E-2</v>
      </c>
      <c r="H101" s="76">
        <v>8.5039999999999996</v>
      </c>
    </row>
    <row r="102" spans="1:8" x14ac:dyDescent="0.25">
      <c r="A102" s="11">
        <v>41609</v>
      </c>
      <c r="B102" s="76">
        <v>81.180794000000006</v>
      </c>
      <c r="C102" s="76">
        <v>56.009649000000003</v>
      </c>
      <c r="D102" s="76">
        <v>128.67423600000001</v>
      </c>
      <c r="E102" s="76">
        <v>80.589094000000003</v>
      </c>
      <c r="F102" s="76">
        <v>8.3248689999999996</v>
      </c>
      <c r="G102" s="76">
        <v>4.7899665789999997</v>
      </c>
      <c r="H102" s="76">
        <v>7.8639999999999999</v>
      </c>
    </row>
    <row r="103" spans="1:8" x14ac:dyDescent="0.25">
      <c r="A103" s="11">
        <v>41640</v>
      </c>
      <c r="B103" s="76">
        <v>76.666944000000001</v>
      </c>
      <c r="C103" s="76">
        <v>15.15</v>
      </c>
      <c r="D103" s="76">
        <v>0.100537</v>
      </c>
      <c r="E103" s="76">
        <v>60.286625000000001</v>
      </c>
      <c r="F103" s="76">
        <v>1.3950400000000001</v>
      </c>
      <c r="G103" s="76">
        <v>0.203226622</v>
      </c>
      <c r="H103" s="76">
        <v>11.691000000000001</v>
      </c>
    </row>
    <row r="104" spans="1:8" x14ac:dyDescent="0.25">
      <c r="A104" s="11">
        <v>41671</v>
      </c>
      <c r="B104" s="76">
        <v>58.950313000000001</v>
      </c>
      <c r="C104" s="76">
        <v>46.968375000000002</v>
      </c>
      <c r="D104" s="76">
        <v>132.46428599999999</v>
      </c>
      <c r="E104" s="76">
        <v>61.706099000000002</v>
      </c>
      <c r="F104" s="76">
        <v>1.159076</v>
      </c>
      <c r="G104" s="76">
        <v>0.75325589299999995</v>
      </c>
      <c r="H104" s="76">
        <v>9.6370000000000005</v>
      </c>
    </row>
    <row r="105" spans="1:8" x14ac:dyDescent="0.25">
      <c r="A105" s="11">
        <v>41699</v>
      </c>
      <c r="B105" s="76">
        <v>76.367166999999995</v>
      </c>
      <c r="C105" s="76">
        <v>64.401619999999994</v>
      </c>
      <c r="D105" s="76">
        <v>0.12867000000000001</v>
      </c>
      <c r="E105" s="76">
        <v>40.912213000000001</v>
      </c>
      <c r="F105" s="76">
        <v>0.16930000000000001</v>
      </c>
      <c r="G105" s="76">
        <v>9.4636209999999998E-2</v>
      </c>
      <c r="H105" s="76">
        <v>10.212</v>
      </c>
    </row>
    <row r="106" spans="1:8" x14ac:dyDescent="0.25">
      <c r="A106" s="11">
        <v>41730</v>
      </c>
      <c r="B106" s="76">
        <v>75.849265000000003</v>
      </c>
      <c r="C106" s="76">
        <v>47.445881999999997</v>
      </c>
      <c r="D106" s="76">
        <v>128.607652</v>
      </c>
      <c r="E106" s="76">
        <v>102.17758600000001</v>
      </c>
      <c r="F106" s="76">
        <v>3.114449</v>
      </c>
      <c r="G106" s="76">
        <v>0.73119349499999997</v>
      </c>
      <c r="H106" s="76">
        <v>16.327999999999999</v>
      </c>
    </row>
    <row r="107" spans="1:8" x14ac:dyDescent="0.25">
      <c r="A107" s="11">
        <v>41760</v>
      </c>
      <c r="B107" s="76">
        <v>77.630949999999999</v>
      </c>
      <c r="C107" s="76">
        <v>28.514475000000001</v>
      </c>
      <c r="D107" s="76">
        <v>0</v>
      </c>
      <c r="E107" s="76">
        <v>111.855026</v>
      </c>
      <c r="F107" s="76">
        <v>3.7523</v>
      </c>
      <c r="G107" s="76">
        <v>1.4192125900000001</v>
      </c>
      <c r="H107" s="76">
        <v>24.327000000000002</v>
      </c>
    </row>
    <row r="108" spans="1:8" x14ac:dyDescent="0.25">
      <c r="A108" s="11">
        <v>41791</v>
      </c>
      <c r="B108" s="76">
        <v>83.673371000000003</v>
      </c>
      <c r="C108" s="76">
        <v>61.065964000000001</v>
      </c>
      <c r="D108" s="76">
        <v>0.25936500000000001</v>
      </c>
      <c r="E108" s="76">
        <v>96.366804000000002</v>
      </c>
      <c r="F108" s="76">
        <v>3.4881280000000001</v>
      </c>
      <c r="G108" s="76">
        <v>1.413135298</v>
      </c>
      <c r="H108" s="76">
        <v>24.327000000000002</v>
      </c>
    </row>
    <row r="109" spans="1:8" x14ac:dyDescent="0.25">
      <c r="A109" s="11">
        <v>41821</v>
      </c>
      <c r="B109" s="76">
        <v>89.081149999999994</v>
      </c>
      <c r="C109" s="76">
        <v>38.674526</v>
      </c>
      <c r="D109" s="76">
        <v>0</v>
      </c>
      <c r="E109" s="76">
        <v>118.671967</v>
      </c>
      <c r="F109" s="76">
        <v>6.0423799999999996</v>
      </c>
      <c r="G109" s="76">
        <v>3.8633442850000002</v>
      </c>
      <c r="H109" s="76">
        <v>17.109000000000002</v>
      </c>
    </row>
    <row r="110" spans="1:8" x14ac:dyDescent="0.25">
      <c r="A110" s="11">
        <v>41852</v>
      </c>
      <c r="B110" s="76">
        <v>80.260192000000004</v>
      </c>
      <c r="C110" s="76">
        <v>43.018099999999997</v>
      </c>
      <c r="D110" s="76">
        <v>0</v>
      </c>
      <c r="E110" s="76">
        <v>88.956743000000003</v>
      </c>
      <c r="F110" s="76">
        <v>7.678159</v>
      </c>
      <c r="G110" s="76">
        <v>3.3317051229999999</v>
      </c>
      <c r="H110" s="76">
        <v>31.6</v>
      </c>
    </row>
    <row r="111" spans="1:8" x14ac:dyDescent="0.25">
      <c r="A111" s="11">
        <v>41883</v>
      </c>
      <c r="B111" s="76">
        <v>87.304648</v>
      </c>
      <c r="C111" s="76">
        <v>75.454774999999998</v>
      </c>
      <c r="D111" s="76">
        <v>128.074454</v>
      </c>
      <c r="E111" s="76">
        <v>130.29127</v>
      </c>
      <c r="F111" s="76">
        <v>9.4036709999999992</v>
      </c>
      <c r="G111" s="76">
        <v>4.4247562289999998</v>
      </c>
      <c r="H111" s="76">
        <v>8.3209999999999997</v>
      </c>
    </row>
    <row r="112" spans="1:8" x14ac:dyDescent="0.25">
      <c r="A112" s="11">
        <v>41913</v>
      </c>
      <c r="B112" s="76">
        <v>84.102870999999993</v>
      </c>
      <c r="C112" s="76">
        <v>25.000001999999999</v>
      </c>
      <c r="D112" s="76">
        <v>134.28495100000001</v>
      </c>
      <c r="E112" s="76">
        <v>53.418092000000001</v>
      </c>
      <c r="F112" s="76">
        <v>4.6237979999999999</v>
      </c>
      <c r="G112" s="76">
        <v>2.8771182099999999</v>
      </c>
      <c r="H112" s="76">
        <v>8.1950000000000003</v>
      </c>
    </row>
    <row r="113" spans="1:8" x14ac:dyDescent="0.25">
      <c r="A113" s="11">
        <v>41944</v>
      </c>
      <c r="B113" s="76">
        <v>81.224530000000001</v>
      </c>
      <c r="C113" s="76">
        <v>38.399994999999997</v>
      </c>
      <c r="D113" s="76">
        <v>0.84628999999999999</v>
      </c>
      <c r="E113" s="76">
        <v>86.530197999999999</v>
      </c>
      <c r="F113" s="76">
        <v>4.1513879999999999</v>
      </c>
      <c r="G113" s="76">
        <v>2.1732361469999999</v>
      </c>
      <c r="H113" s="76">
        <v>9.1920000000000002</v>
      </c>
    </row>
    <row r="114" spans="1:8" x14ac:dyDescent="0.25">
      <c r="A114" s="11">
        <v>41974</v>
      </c>
      <c r="B114" s="76">
        <v>88.218160999999995</v>
      </c>
      <c r="C114" s="76">
        <v>61.132150000000003</v>
      </c>
      <c r="D114" s="76">
        <v>128.78817000000001</v>
      </c>
      <c r="E114" s="76">
        <v>155.791561</v>
      </c>
      <c r="F114" s="76">
        <v>16.144998999999999</v>
      </c>
      <c r="G114" s="76">
        <v>7.8155205350000001</v>
      </c>
      <c r="H114" s="76">
        <v>8.5120000000000005</v>
      </c>
    </row>
    <row r="115" spans="1:8" x14ac:dyDescent="0.25">
      <c r="A115" s="11">
        <v>42005</v>
      </c>
      <c r="B115" s="76">
        <v>66.390891999999994</v>
      </c>
      <c r="C115" s="76">
        <v>49.679664000000002</v>
      </c>
      <c r="D115" s="76">
        <v>0.80279400000000001</v>
      </c>
      <c r="E115" s="76">
        <v>111.409023</v>
      </c>
      <c r="F115" s="76">
        <v>15.18792</v>
      </c>
      <c r="G115" s="76">
        <v>6.312762835</v>
      </c>
      <c r="H115" s="76">
        <v>13.564</v>
      </c>
    </row>
    <row r="116" spans="1:8" x14ac:dyDescent="0.25">
      <c r="A116" s="11">
        <v>42036</v>
      </c>
      <c r="B116" s="76">
        <v>40.227547999999999</v>
      </c>
      <c r="C116" s="76">
        <v>18.704453999999998</v>
      </c>
      <c r="D116" s="76">
        <v>133.75078099999999</v>
      </c>
      <c r="E116" s="76">
        <v>74.207285999999996</v>
      </c>
      <c r="F116" s="76">
        <v>15.59764</v>
      </c>
      <c r="G116" s="76">
        <v>8.0336396489999995</v>
      </c>
      <c r="H116" s="76">
        <v>15.827</v>
      </c>
    </row>
    <row r="117" spans="1:8" x14ac:dyDescent="0.25">
      <c r="A117" s="11">
        <v>42064</v>
      </c>
      <c r="B117" s="76">
        <v>189.633027</v>
      </c>
      <c r="C117" s="76">
        <v>4.9206450000000004</v>
      </c>
      <c r="D117" s="76">
        <v>0</v>
      </c>
      <c r="E117" s="76">
        <v>63.460500000000003</v>
      </c>
      <c r="F117" s="76">
        <v>18.326219999999999</v>
      </c>
      <c r="G117" s="76">
        <v>10.790104247</v>
      </c>
      <c r="H117" s="76">
        <v>16.72</v>
      </c>
    </row>
    <row r="118" spans="1:8" x14ac:dyDescent="0.25">
      <c r="A118" s="11">
        <v>42095</v>
      </c>
      <c r="B118" s="76">
        <v>65.272994999999995</v>
      </c>
      <c r="C118" s="76">
        <v>49.672004999999999</v>
      </c>
      <c r="D118" s="76">
        <v>127.24819100000001</v>
      </c>
      <c r="E118" s="76">
        <v>28.685178000000001</v>
      </c>
      <c r="F118" s="76">
        <v>18.563849999999999</v>
      </c>
      <c r="G118" s="76">
        <v>8.9090794659999997</v>
      </c>
      <c r="H118" s="76">
        <v>20.309999999999999</v>
      </c>
    </row>
    <row r="119" spans="1:8" x14ac:dyDescent="0.25">
      <c r="A119" s="11">
        <v>42125</v>
      </c>
      <c r="B119" s="76">
        <v>46.498151999999997</v>
      </c>
      <c r="C119" s="76">
        <v>62.093125000000001</v>
      </c>
      <c r="D119" s="76">
        <v>0.12456399999999999</v>
      </c>
      <c r="E119" s="76">
        <v>56.883277</v>
      </c>
      <c r="F119" s="76">
        <v>20.990285</v>
      </c>
      <c r="G119" s="76">
        <v>11.396053240000001</v>
      </c>
      <c r="H119" s="76">
        <v>38.128</v>
      </c>
    </row>
    <row r="120" spans="1:8" x14ac:dyDescent="0.25">
      <c r="A120" s="11">
        <v>42156</v>
      </c>
      <c r="B120" s="76">
        <v>84.439323000000002</v>
      </c>
      <c r="C120" s="76">
        <v>43.615205000000003</v>
      </c>
      <c r="D120" s="76">
        <v>127.616282</v>
      </c>
      <c r="E120" s="76">
        <v>71.311532</v>
      </c>
      <c r="F120" s="76">
        <v>7.1758449999999998</v>
      </c>
      <c r="G120" s="76">
        <v>5.2405822999999998</v>
      </c>
      <c r="H120" s="76">
        <v>31.024000000000001</v>
      </c>
    </row>
    <row r="121" spans="1:8" x14ac:dyDescent="0.25">
      <c r="A121" s="11">
        <v>42186</v>
      </c>
      <c r="B121" s="76">
        <v>152.27210099999999</v>
      </c>
      <c r="C121" s="76">
        <v>13.921177999999999</v>
      </c>
      <c r="D121" s="76">
        <v>128.05364399999999</v>
      </c>
      <c r="E121" s="76">
        <v>152.77540500000001</v>
      </c>
      <c r="F121" s="76">
        <v>2.6860050000000002</v>
      </c>
      <c r="G121" s="76">
        <v>1.9686399670000001</v>
      </c>
      <c r="H121" s="76">
        <v>25.704000000000001</v>
      </c>
    </row>
    <row r="122" spans="1:8" x14ac:dyDescent="0.25">
      <c r="A122" s="11">
        <v>42217</v>
      </c>
      <c r="B122" s="76">
        <v>40.496977999999999</v>
      </c>
      <c r="C122" s="76">
        <v>48.604559999999999</v>
      </c>
      <c r="D122" s="76">
        <v>134.181907</v>
      </c>
      <c r="E122" s="76">
        <v>118.93439499999999</v>
      </c>
      <c r="F122" s="76">
        <v>2.3222999999999998</v>
      </c>
      <c r="G122" s="76">
        <v>1.7042403100000001</v>
      </c>
      <c r="H122" s="76">
        <v>26.731000000000002</v>
      </c>
    </row>
    <row r="123" spans="1:8" x14ac:dyDescent="0.25">
      <c r="A123" s="11">
        <v>42248</v>
      </c>
      <c r="B123" s="76">
        <v>62.136670000000002</v>
      </c>
      <c r="C123" s="76">
        <v>33.299999999999997</v>
      </c>
      <c r="D123" s="76">
        <v>0.127613</v>
      </c>
      <c r="E123" s="76">
        <v>107.825084</v>
      </c>
      <c r="F123" s="76">
        <v>0.57645500000000005</v>
      </c>
      <c r="G123" s="76">
        <v>0.35571332100000003</v>
      </c>
      <c r="H123" s="76">
        <v>11.752000000000001</v>
      </c>
    </row>
    <row r="124" spans="1:8" x14ac:dyDescent="0.25">
      <c r="A124" s="11">
        <v>42278</v>
      </c>
      <c r="B124" s="76">
        <v>69.810550000000006</v>
      </c>
      <c r="C124" s="76">
        <v>16.022134000000001</v>
      </c>
      <c r="D124" s="76">
        <v>83.483249000000001</v>
      </c>
      <c r="E124" s="76">
        <v>77.136814000000001</v>
      </c>
      <c r="F124" s="76">
        <v>1.825</v>
      </c>
      <c r="G124" s="76">
        <v>0.97534777500000003</v>
      </c>
      <c r="H124" s="76">
        <v>7.3710000000000004</v>
      </c>
    </row>
    <row r="125" spans="1:8" x14ac:dyDescent="0.25">
      <c r="A125" s="11">
        <v>42309</v>
      </c>
      <c r="B125" s="76">
        <v>72.627480000000006</v>
      </c>
      <c r="C125" s="76">
        <v>32.044314999999997</v>
      </c>
      <c r="D125" s="76">
        <v>127.321091</v>
      </c>
      <c r="E125" s="76">
        <v>99.373440000000002</v>
      </c>
      <c r="F125" s="76">
        <v>10.908144</v>
      </c>
      <c r="G125" s="76">
        <v>6.7815372639999998</v>
      </c>
      <c r="H125" s="76">
        <v>13.013</v>
      </c>
    </row>
    <row r="126" spans="1:8" x14ac:dyDescent="0.25">
      <c r="A126" s="11">
        <v>42339</v>
      </c>
      <c r="B126" s="76">
        <v>9.4867600000000003</v>
      </c>
      <c r="C126" s="76">
        <v>99.731779000000003</v>
      </c>
      <c r="D126" s="76">
        <v>126.68567</v>
      </c>
      <c r="E126" s="76">
        <v>80.693573999999998</v>
      </c>
      <c r="F126" s="76">
        <v>26.588144</v>
      </c>
      <c r="G126" s="76">
        <v>14.652758828</v>
      </c>
      <c r="H126" s="76">
        <v>14.423</v>
      </c>
    </row>
    <row r="127" spans="1:8" x14ac:dyDescent="0.25">
      <c r="A127" s="11">
        <v>42370</v>
      </c>
      <c r="B127" s="76">
        <v>86.358052000000001</v>
      </c>
      <c r="C127" s="76">
        <v>40.574159999999999</v>
      </c>
      <c r="D127" s="76">
        <v>0.20159299999999999</v>
      </c>
      <c r="E127" s="76">
        <v>64.278424000000001</v>
      </c>
      <c r="F127" s="76">
        <v>31.970859999999998</v>
      </c>
      <c r="G127" s="76">
        <v>15.759588847</v>
      </c>
      <c r="H127" s="76">
        <v>21.388000000000002</v>
      </c>
    </row>
    <row r="128" spans="1:8" x14ac:dyDescent="0.25">
      <c r="A128" s="11">
        <v>42401</v>
      </c>
      <c r="B128" s="76">
        <v>68.636342999999997</v>
      </c>
      <c r="C128" s="76">
        <v>24.745519999999999</v>
      </c>
      <c r="D128" s="76">
        <v>127.33308599999999</v>
      </c>
      <c r="E128" s="76">
        <v>27.913672999999999</v>
      </c>
      <c r="F128" s="76">
        <v>21.301492</v>
      </c>
      <c r="G128" s="76">
        <v>10.462159814</v>
      </c>
      <c r="H128" s="76">
        <v>20.791</v>
      </c>
    </row>
    <row r="129" spans="1:8" x14ac:dyDescent="0.25">
      <c r="A129" s="11">
        <v>42430</v>
      </c>
      <c r="B129" s="76">
        <v>77.820055999999994</v>
      </c>
      <c r="C129" s="76">
        <v>16.309419999999999</v>
      </c>
      <c r="D129" s="76">
        <v>127.76181099999999</v>
      </c>
      <c r="E129" s="76">
        <v>93.580505000000002</v>
      </c>
      <c r="F129" s="76">
        <v>21.743607000000001</v>
      </c>
      <c r="G129" s="76">
        <v>11.043920478</v>
      </c>
      <c r="H129" s="76">
        <v>19.05</v>
      </c>
    </row>
    <row r="130" spans="1:8" x14ac:dyDescent="0.25">
      <c r="A130" s="11">
        <v>42461</v>
      </c>
      <c r="B130" s="76">
        <v>147.513972</v>
      </c>
      <c r="C130" s="76">
        <v>39.179519999999997</v>
      </c>
      <c r="D130" s="76">
        <v>1.948995</v>
      </c>
      <c r="E130" s="76">
        <v>29.484587000000001</v>
      </c>
      <c r="F130" s="76">
        <v>1.206</v>
      </c>
      <c r="G130" s="76">
        <v>0.87049990799999999</v>
      </c>
      <c r="H130" s="76">
        <v>28.126000000000001</v>
      </c>
    </row>
    <row r="131" spans="1:8" x14ac:dyDescent="0.25">
      <c r="A131" s="11">
        <v>42491</v>
      </c>
      <c r="B131" s="76">
        <v>95.813385999999994</v>
      </c>
      <c r="C131" s="76">
        <v>81.111239999999995</v>
      </c>
      <c r="D131" s="76">
        <v>126.98682700000001</v>
      </c>
      <c r="E131" s="76">
        <v>73.793135000000007</v>
      </c>
      <c r="F131" s="76">
        <v>3.948248</v>
      </c>
      <c r="G131" s="76">
        <v>2.7038923619999999</v>
      </c>
      <c r="H131" s="76">
        <v>34.424999999999997</v>
      </c>
    </row>
    <row r="132" spans="1:8" x14ac:dyDescent="0.25">
      <c r="A132" s="11">
        <v>42522</v>
      </c>
      <c r="B132" s="76">
        <v>73.690025000000006</v>
      </c>
      <c r="C132" s="76">
        <v>67.783370000000005</v>
      </c>
      <c r="D132" s="76">
        <v>127.654867</v>
      </c>
      <c r="E132" s="76">
        <v>108.10447000000001</v>
      </c>
      <c r="F132" s="76">
        <v>0.48</v>
      </c>
      <c r="G132" s="76">
        <v>0.29449924</v>
      </c>
      <c r="H132" s="76">
        <v>27.654</v>
      </c>
    </row>
    <row r="133" spans="1:8" x14ac:dyDescent="0.25">
      <c r="A133" s="11">
        <v>42552</v>
      </c>
      <c r="B133" s="76">
        <v>62.280256000000001</v>
      </c>
      <c r="C133" s="76">
        <v>24.4</v>
      </c>
      <c r="D133" s="76">
        <v>125.965964</v>
      </c>
      <c r="E133" s="76">
        <v>98.611318999999995</v>
      </c>
      <c r="F133" s="76">
        <v>1.7006380000000001</v>
      </c>
      <c r="G133" s="76">
        <v>1.1883884629999999</v>
      </c>
      <c r="H133" s="76">
        <v>25.844000000000001</v>
      </c>
    </row>
    <row r="134" spans="1:8" x14ac:dyDescent="0.25">
      <c r="A134" s="11">
        <v>42583</v>
      </c>
      <c r="B134" s="76">
        <v>87.574770000000001</v>
      </c>
      <c r="C134" s="76">
        <v>84.226483999999999</v>
      </c>
      <c r="D134" s="76">
        <v>134.86400900000001</v>
      </c>
      <c r="E134" s="76">
        <v>78.777163000000002</v>
      </c>
      <c r="F134" s="76">
        <v>3.5000000000000003E-2</v>
      </c>
      <c r="G134" s="76">
        <v>6.3E-3</v>
      </c>
      <c r="H134" s="76">
        <v>17.222999999999999</v>
      </c>
    </row>
    <row r="135" spans="1:8" x14ac:dyDescent="0.25">
      <c r="A135" s="11">
        <v>42614</v>
      </c>
      <c r="B135" s="76">
        <v>72.123003999999995</v>
      </c>
      <c r="C135" s="76">
        <v>52.389150000000001</v>
      </c>
      <c r="D135" s="76">
        <v>0.13076299999999999</v>
      </c>
      <c r="E135" s="76">
        <v>88.104247000000001</v>
      </c>
      <c r="F135" s="76">
        <v>8.1920000000000007E-2</v>
      </c>
      <c r="G135" s="76">
        <v>1.0387970999999999E-2</v>
      </c>
      <c r="H135" s="76">
        <v>16.155999999999999</v>
      </c>
    </row>
    <row r="136" spans="1:8" x14ac:dyDescent="0.25">
      <c r="A136" s="11">
        <v>42644</v>
      </c>
      <c r="B136" s="76">
        <v>33.683002000000002</v>
      </c>
      <c r="C136" s="76">
        <v>18.15344</v>
      </c>
      <c r="D136" s="76">
        <v>134.74865800000001</v>
      </c>
      <c r="E136" s="76">
        <v>75.835035000000005</v>
      </c>
      <c r="F136" s="76">
        <v>1.7250000000000001E-2</v>
      </c>
      <c r="G136" s="76">
        <v>1.652994E-2</v>
      </c>
      <c r="H136" s="76">
        <v>14.132999999999999</v>
      </c>
    </row>
    <row r="137" spans="1:8" x14ac:dyDescent="0.25">
      <c r="A137" s="11">
        <v>42675</v>
      </c>
      <c r="B137" s="76">
        <v>138.089472</v>
      </c>
      <c r="C137" s="76">
        <v>56.895429999999998</v>
      </c>
      <c r="D137" s="76">
        <v>116.98885</v>
      </c>
      <c r="E137" s="76">
        <v>85.564851000000004</v>
      </c>
      <c r="F137" s="76">
        <v>0.59458</v>
      </c>
      <c r="G137" s="76">
        <v>0.10598299999999999</v>
      </c>
      <c r="H137" s="76">
        <v>14.311999999999999</v>
      </c>
    </row>
    <row r="138" spans="1:8" x14ac:dyDescent="0.25">
      <c r="A138" s="11">
        <v>42705</v>
      </c>
      <c r="B138" s="76">
        <v>22.915458000000001</v>
      </c>
      <c r="C138" s="76">
        <v>27.206119999999999</v>
      </c>
      <c r="D138" s="76">
        <v>134.88630699999999</v>
      </c>
      <c r="E138" s="76">
        <v>106.236293</v>
      </c>
      <c r="F138" s="76">
        <v>0</v>
      </c>
      <c r="G138" s="76">
        <v>0</v>
      </c>
      <c r="H138" s="76">
        <v>11.228</v>
      </c>
    </row>
    <row r="139" spans="1:8" x14ac:dyDescent="0.25">
      <c r="A139" s="11">
        <v>42736</v>
      </c>
      <c r="B139" s="76">
        <v>67.934774000000004</v>
      </c>
      <c r="C139" s="76">
        <v>41.596393999999997</v>
      </c>
      <c r="D139" s="76">
        <v>134.59590499999999</v>
      </c>
      <c r="E139" s="76">
        <v>53.143183999999998</v>
      </c>
      <c r="F139" s="76">
        <v>4.3778430000000004</v>
      </c>
      <c r="G139" s="76">
        <v>3.6083902320000001</v>
      </c>
      <c r="H139" s="76">
        <v>23.423999999999999</v>
      </c>
    </row>
    <row r="140" spans="1:8" x14ac:dyDescent="0.25">
      <c r="A140" s="11">
        <v>42767</v>
      </c>
      <c r="B140" s="76">
        <v>73.985001999999994</v>
      </c>
      <c r="C140" s="76">
        <v>42.259548000000002</v>
      </c>
      <c r="D140" s="76">
        <v>8.8858000000000006E-2</v>
      </c>
      <c r="E140" s="76">
        <v>65.328048999999993</v>
      </c>
      <c r="F140" s="76">
        <v>3.0301480000000001</v>
      </c>
      <c r="G140" s="76">
        <v>2.680444531</v>
      </c>
      <c r="H140" s="76">
        <v>17.282</v>
      </c>
    </row>
    <row r="141" spans="1:8" x14ac:dyDescent="0.25">
      <c r="A141" s="11">
        <v>42795</v>
      </c>
      <c r="B141" s="76">
        <v>62.767170999999998</v>
      </c>
      <c r="C141" s="76">
        <v>62.468330000000002</v>
      </c>
      <c r="D141" s="76">
        <v>128.656826</v>
      </c>
      <c r="E141" s="76">
        <v>92.866950000000003</v>
      </c>
      <c r="F141" s="76">
        <v>1.4233499999999999</v>
      </c>
      <c r="G141" s="76">
        <v>0.85776469499999997</v>
      </c>
      <c r="H141" s="76">
        <v>19.876000000000001</v>
      </c>
    </row>
    <row r="142" spans="1:8" x14ac:dyDescent="0.25">
      <c r="A142" s="11">
        <v>42826</v>
      </c>
      <c r="B142" s="76">
        <v>97.955293999999995</v>
      </c>
      <c r="C142" s="76">
        <v>66.328995000000006</v>
      </c>
      <c r="D142" s="76">
        <v>4.2900000000000001E-2</v>
      </c>
      <c r="E142" s="76">
        <v>75.666207</v>
      </c>
      <c r="F142" s="76">
        <v>2.920007</v>
      </c>
      <c r="G142" s="76">
        <v>2.7342655640000002</v>
      </c>
      <c r="H142" s="76">
        <v>22.513000000000002</v>
      </c>
    </row>
    <row r="143" spans="1:8" x14ac:dyDescent="0.25">
      <c r="A143" s="11">
        <v>42856</v>
      </c>
      <c r="B143" s="76">
        <v>106.099041</v>
      </c>
      <c r="C143" s="76">
        <v>37.021450000000002</v>
      </c>
      <c r="D143" s="76">
        <v>141.78478200000001</v>
      </c>
      <c r="E143" s="76">
        <v>72.019092999999998</v>
      </c>
      <c r="F143" s="76">
        <v>1.7621830000000001</v>
      </c>
      <c r="G143" s="76">
        <v>1.0417918100000001</v>
      </c>
      <c r="H143" s="76">
        <v>28.882999999999999</v>
      </c>
    </row>
    <row r="144" spans="1:8" x14ac:dyDescent="0.25">
      <c r="A144" s="11">
        <v>42887</v>
      </c>
      <c r="B144" s="76">
        <v>59.985292999999999</v>
      </c>
      <c r="C144" s="76">
        <v>67.387</v>
      </c>
      <c r="D144" s="76">
        <v>262.371329</v>
      </c>
      <c r="E144" s="76">
        <v>75.727739999999997</v>
      </c>
      <c r="F144" s="76">
        <v>2</v>
      </c>
      <c r="G144" s="76">
        <v>1.3302989999999999</v>
      </c>
      <c r="H144" s="76">
        <v>33.616999999999997</v>
      </c>
    </row>
    <row r="145" spans="1:8" x14ac:dyDescent="0.25">
      <c r="A145" s="11">
        <v>42917</v>
      </c>
      <c r="B145" s="76">
        <v>80.909902000000002</v>
      </c>
      <c r="C145" s="76">
        <v>45.828400000000002</v>
      </c>
      <c r="D145" s="76">
        <v>0.18454000000000001</v>
      </c>
      <c r="E145" s="76">
        <v>81.581062000000003</v>
      </c>
      <c r="F145" s="76">
        <v>2.7097530000000001</v>
      </c>
      <c r="G145" s="76">
        <v>2.2635897100000002</v>
      </c>
      <c r="H145" s="76">
        <v>27.904</v>
      </c>
    </row>
    <row r="146" spans="1:8" x14ac:dyDescent="0.25">
      <c r="A146" s="11">
        <v>42948</v>
      </c>
      <c r="B146" s="76">
        <v>104.167641</v>
      </c>
      <c r="C146" s="76">
        <v>51.753794999999997</v>
      </c>
      <c r="D146" s="76">
        <v>134.48098200000001</v>
      </c>
      <c r="E146" s="76">
        <v>87.639900999999995</v>
      </c>
      <c r="F146" s="76">
        <v>5.3999999999999999E-2</v>
      </c>
      <c r="G146" s="76">
        <v>9.9900000000000006E-3</v>
      </c>
      <c r="H146" s="76">
        <v>21.082999999999998</v>
      </c>
    </row>
    <row r="147" spans="1:8" x14ac:dyDescent="0.25">
      <c r="A147" s="11">
        <v>42979</v>
      </c>
      <c r="B147" s="76">
        <v>82.404286999999997</v>
      </c>
      <c r="C147" s="76">
        <v>54.383420000000001</v>
      </c>
      <c r="D147" s="76">
        <v>134.68892700000001</v>
      </c>
      <c r="E147" s="76">
        <v>75.007671000000002</v>
      </c>
      <c r="F147" s="76">
        <v>0</v>
      </c>
      <c r="G147" s="76">
        <v>0</v>
      </c>
      <c r="H147" s="76">
        <v>23.760999999999999</v>
      </c>
    </row>
    <row r="148" spans="1:8" x14ac:dyDescent="0.25">
      <c r="A148" s="11">
        <v>43009</v>
      </c>
      <c r="B148" s="76">
        <v>90.970319000000003</v>
      </c>
      <c r="C148" s="76">
        <v>34.176270000000002</v>
      </c>
      <c r="D148" s="76">
        <v>134.59309500000001</v>
      </c>
      <c r="E148" s="76">
        <v>76.661174000000003</v>
      </c>
      <c r="F148" s="76">
        <v>0</v>
      </c>
      <c r="G148" s="76">
        <v>0</v>
      </c>
      <c r="H148" s="76">
        <v>21.24</v>
      </c>
    </row>
    <row r="149" spans="1:8" x14ac:dyDescent="0.25">
      <c r="A149" s="11">
        <v>43040</v>
      </c>
      <c r="B149" s="76">
        <v>95.603617999999997</v>
      </c>
      <c r="C149" s="76">
        <v>55.41</v>
      </c>
      <c r="D149" s="76">
        <v>0.100454</v>
      </c>
      <c r="E149" s="76">
        <v>112.21962600000001</v>
      </c>
      <c r="F149" s="76">
        <v>1.511231</v>
      </c>
      <c r="G149" s="76">
        <v>1.294393678</v>
      </c>
      <c r="H149" s="76">
        <v>20.393000000000001</v>
      </c>
    </row>
    <row r="150" spans="1:8" x14ac:dyDescent="0.25">
      <c r="A150" s="11">
        <v>43070</v>
      </c>
      <c r="B150" s="76">
        <v>56.575831000000001</v>
      </c>
      <c r="C150" s="76">
        <v>87.773242999999994</v>
      </c>
      <c r="D150" s="76">
        <v>128.14549299999999</v>
      </c>
      <c r="E150" s="76">
        <v>127.772345</v>
      </c>
      <c r="F150" s="76">
        <v>2.0990000000000002</v>
      </c>
      <c r="G150" s="76">
        <v>1.4060201320000001</v>
      </c>
      <c r="H150" s="76">
        <v>13.478999999999999</v>
      </c>
    </row>
    <row r="151" spans="1:8" x14ac:dyDescent="0.25">
      <c r="A151" s="11">
        <v>43101</v>
      </c>
      <c r="B151" s="76">
        <v>105.70035</v>
      </c>
      <c r="C151" s="76">
        <v>32.079493999999997</v>
      </c>
      <c r="D151" s="76">
        <v>128.253984</v>
      </c>
      <c r="E151" s="76">
        <v>79.231233000000003</v>
      </c>
      <c r="F151" s="76">
        <v>3.5350000000000001</v>
      </c>
      <c r="G151" s="76">
        <v>1.4741883069999999</v>
      </c>
      <c r="H151" s="76">
        <v>15.689</v>
      </c>
    </row>
    <row r="152" spans="1:8" x14ac:dyDescent="0.25">
      <c r="A152" s="11">
        <v>43132</v>
      </c>
      <c r="B152" s="76">
        <v>89.797616000000005</v>
      </c>
      <c r="C152" s="76">
        <v>21.746379999999998</v>
      </c>
      <c r="D152" s="76">
        <v>95.946251000000004</v>
      </c>
      <c r="E152" s="76">
        <v>110.99853299999999</v>
      </c>
      <c r="F152" s="76">
        <v>38.184885999999999</v>
      </c>
      <c r="G152" s="76">
        <v>14.114261905999999</v>
      </c>
      <c r="H152" s="76">
        <v>14.816000000000001</v>
      </c>
    </row>
    <row r="153" spans="1:8" x14ac:dyDescent="0.25">
      <c r="A153" s="11">
        <v>43160</v>
      </c>
      <c r="B153" s="76">
        <v>90.772991000000005</v>
      </c>
      <c r="C153" s="76">
        <v>62.1</v>
      </c>
      <c r="D153" s="76">
        <v>8.8128999999999999E-2</v>
      </c>
      <c r="E153" s="76">
        <v>104.927228</v>
      </c>
      <c r="F153" s="76">
        <v>19.530645</v>
      </c>
      <c r="G153" s="76">
        <v>6.9849948810000004</v>
      </c>
      <c r="H153" s="76">
        <v>17.373999999999999</v>
      </c>
    </row>
    <row r="154" spans="1:8" x14ac:dyDescent="0.25">
      <c r="A154" s="11">
        <v>43191</v>
      </c>
      <c r="B154" s="76">
        <v>79.071106</v>
      </c>
      <c r="C154" s="76">
        <v>43.923273999999999</v>
      </c>
      <c r="D154" s="76">
        <v>1.171049</v>
      </c>
      <c r="E154" s="76">
        <v>119.581411</v>
      </c>
      <c r="F154" s="76">
        <v>11.17094</v>
      </c>
      <c r="G154" s="76">
        <v>4.4151714560000004</v>
      </c>
      <c r="H154" s="76">
        <v>22.108000000000001</v>
      </c>
    </row>
    <row r="155" spans="1:8" x14ac:dyDescent="0.25">
      <c r="A155" s="11">
        <v>43221</v>
      </c>
      <c r="B155" s="76">
        <v>96.767887999999999</v>
      </c>
      <c r="C155" s="76">
        <v>87.491609999999994</v>
      </c>
      <c r="D155" s="76">
        <v>129.28195299999999</v>
      </c>
      <c r="E155" s="76">
        <v>101.19864</v>
      </c>
      <c r="F155" s="76">
        <v>6.3424670000000001</v>
      </c>
      <c r="G155" s="76">
        <v>3.2669524380000001</v>
      </c>
      <c r="H155" s="76">
        <v>32.655999999999999</v>
      </c>
    </row>
    <row r="156" spans="1:8" x14ac:dyDescent="0.25">
      <c r="A156" s="11">
        <v>43252</v>
      </c>
      <c r="B156" s="76">
        <v>96.835480000000004</v>
      </c>
      <c r="C156" s="76">
        <v>55.848958000000003</v>
      </c>
      <c r="D156" s="76">
        <v>128.01067900000001</v>
      </c>
      <c r="E156" s="76">
        <v>46.387290999999998</v>
      </c>
      <c r="F156" s="76">
        <v>2.1681590000000002</v>
      </c>
      <c r="G156" s="76">
        <v>1.3942088800000001</v>
      </c>
      <c r="H156" s="76">
        <v>28.837</v>
      </c>
    </row>
    <row r="157" spans="1:8" x14ac:dyDescent="0.25">
      <c r="A157" s="11">
        <v>43282</v>
      </c>
      <c r="B157" s="76">
        <v>79.194996000000003</v>
      </c>
      <c r="C157" s="76">
        <v>58.118172999999999</v>
      </c>
      <c r="D157" s="76">
        <v>128.87480400000001</v>
      </c>
      <c r="E157" s="76">
        <v>155.187769</v>
      </c>
      <c r="F157" s="76">
        <v>5.8482419999999999</v>
      </c>
      <c r="G157" s="76">
        <v>3.677588471</v>
      </c>
      <c r="H157" s="76">
        <v>26.184000000000001</v>
      </c>
    </row>
    <row r="158" spans="1:8" x14ac:dyDescent="0.25">
      <c r="A158" s="11">
        <v>43313</v>
      </c>
      <c r="B158" s="76">
        <v>67.638889000000006</v>
      </c>
      <c r="C158" s="76">
        <v>54.418550000000003</v>
      </c>
      <c r="D158" s="76">
        <v>3.4376999999999998E-2</v>
      </c>
      <c r="E158" s="76">
        <v>111.127346</v>
      </c>
      <c r="F158" s="76">
        <v>6.4524800000000004</v>
      </c>
      <c r="G158" s="76">
        <v>4.2518318349999999</v>
      </c>
      <c r="H158" s="76">
        <v>18.324999999999999</v>
      </c>
    </row>
    <row r="159" spans="1:8" x14ac:dyDescent="0.25">
      <c r="A159" s="11">
        <v>43344</v>
      </c>
      <c r="B159" s="76">
        <v>67.481031999999999</v>
      </c>
      <c r="C159" s="76">
        <v>40.935000000000002</v>
      </c>
      <c r="D159" s="76">
        <v>128.82261099999999</v>
      </c>
      <c r="E159" s="76">
        <v>96.554761999999997</v>
      </c>
      <c r="F159" s="76">
        <v>11.115818000000001</v>
      </c>
      <c r="G159" s="76">
        <v>7.076821603</v>
      </c>
      <c r="H159" s="76">
        <v>12.613</v>
      </c>
    </row>
    <row r="160" spans="1:8" x14ac:dyDescent="0.25">
      <c r="A160" s="11">
        <v>43374</v>
      </c>
      <c r="B160" s="76">
        <v>84.199556999999999</v>
      </c>
      <c r="C160" s="76">
        <v>69.8</v>
      </c>
      <c r="D160" s="76">
        <v>128.46730700000001</v>
      </c>
      <c r="E160" s="76">
        <v>78.660567999999998</v>
      </c>
      <c r="F160" s="76">
        <v>1.5801909999999999</v>
      </c>
      <c r="G160" s="76">
        <v>1.0215188900000001</v>
      </c>
      <c r="H160" s="76">
        <v>10.606999999999999</v>
      </c>
    </row>
    <row r="161" spans="1:8" x14ac:dyDescent="0.25">
      <c r="A161" s="11">
        <v>43405</v>
      </c>
      <c r="B161" s="76">
        <v>77.856823000000006</v>
      </c>
      <c r="C161" s="76">
        <v>57.5</v>
      </c>
      <c r="D161" s="76">
        <v>0</v>
      </c>
      <c r="E161" s="76">
        <v>118.26575800000001</v>
      </c>
      <c r="F161" s="76">
        <v>7.5370999999999997</v>
      </c>
      <c r="G161" s="76">
        <v>4.0050651650000004</v>
      </c>
      <c r="H161" s="76">
        <v>19.817</v>
      </c>
    </row>
    <row r="162" spans="1:8" x14ac:dyDescent="0.25">
      <c r="A162" s="11">
        <v>43435</v>
      </c>
      <c r="B162" s="76">
        <v>61.963593000000003</v>
      </c>
      <c r="C162" s="76">
        <v>20.536898000000001</v>
      </c>
      <c r="D162" s="76">
        <v>256.44253400000002</v>
      </c>
      <c r="E162" s="76">
        <v>146.48260099999999</v>
      </c>
      <c r="F162" s="76">
        <v>33.218000000000004</v>
      </c>
      <c r="G162" s="76">
        <v>11.792602731000001</v>
      </c>
      <c r="H162" s="76">
        <v>24.423999999999999</v>
      </c>
    </row>
    <row r="163" spans="1:8" x14ac:dyDescent="0.25">
      <c r="A163" s="11">
        <v>43466</v>
      </c>
      <c r="B163" s="76">
        <v>67.696307000000004</v>
      </c>
      <c r="C163" s="76">
        <v>57.179274999999997</v>
      </c>
      <c r="D163" s="76">
        <v>0</v>
      </c>
      <c r="E163" s="76">
        <v>94.337474</v>
      </c>
      <c r="F163" s="76">
        <v>67.037957000000006</v>
      </c>
      <c r="G163" s="76">
        <v>23.392519932999999</v>
      </c>
      <c r="H163" s="76">
        <v>22.882999999999999</v>
      </c>
    </row>
    <row r="164" spans="1:8" x14ac:dyDescent="0.25">
      <c r="A164" s="11">
        <v>43497</v>
      </c>
      <c r="B164" s="76">
        <v>112.596189</v>
      </c>
      <c r="C164" s="76">
        <v>80.973704999999995</v>
      </c>
      <c r="D164" s="76">
        <v>128.136346</v>
      </c>
      <c r="E164" s="76">
        <v>124.97818700000001</v>
      </c>
      <c r="F164" s="76">
        <v>30.703790000000001</v>
      </c>
      <c r="G164" s="76">
        <v>11.922698166</v>
      </c>
      <c r="H164" s="76">
        <v>23.638000000000002</v>
      </c>
    </row>
    <row r="165" spans="1:8" x14ac:dyDescent="0.25">
      <c r="A165" s="11">
        <v>43525</v>
      </c>
      <c r="B165" s="76">
        <v>78.757598000000002</v>
      </c>
      <c r="C165" s="76">
        <v>30.684249999999999</v>
      </c>
      <c r="D165" s="76">
        <v>0</v>
      </c>
      <c r="E165" s="76">
        <v>120.49161599999999</v>
      </c>
      <c r="F165" s="76">
        <v>41.533889000000002</v>
      </c>
      <c r="G165" s="76">
        <v>16.652337070000002</v>
      </c>
      <c r="H165" s="76">
        <v>26.001000000000001</v>
      </c>
    </row>
    <row r="166" spans="1:8" x14ac:dyDescent="0.25">
      <c r="A166" s="11">
        <v>43556</v>
      </c>
      <c r="B166" s="76">
        <v>110.323965</v>
      </c>
      <c r="C166" s="76">
        <v>46.101453999999997</v>
      </c>
      <c r="D166" s="76">
        <v>70.244713000000004</v>
      </c>
      <c r="E166" s="76">
        <v>99.088519000000005</v>
      </c>
      <c r="F166" s="76">
        <v>56.029133999999999</v>
      </c>
      <c r="G166" s="76">
        <v>26.639106810999998</v>
      </c>
      <c r="H166" s="76">
        <v>28.707999999999998</v>
      </c>
    </row>
    <row r="167" spans="1:8" x14ac:dyDescent="0.25">
      <c r="A167" s="11">
        <v>43586</v>
      </c>
      <c r="B167" s="76">
        <v>79.544127000000003</v>
      </c>
      <c r="C167" s="76">
        <v>87.160407000000006</v>
      </c>
      <c r="D167" s="76">
        <v>185.59574000000001</v>
      </c>
      <c r="E167" s="76">
        <v>124.958021</v>
      </c>
      <c r="F167" s="76">
        <v>39.616059999999997</v>
      </c>
      <c r="G167" s="76">
        <v>15.434765985</v>
      </c>
      <c r="H167" s="76">
        <v>34.295000000000002</v>
      </c>
    </row>
    <row r="168" spans="1:8" x14ac:dyDescent="0.25">
      <c r="A168" s="11">
        <v>43617</v>
      </c>
      <c r="B168" s="76">
        <v>72.629012000000003</v>
      </c>
      <c r="C168" s="76">
        <v>21.505203999999999</v>
      </c>
      <c r="D168" s="76">
        <v>0</v>
      </c>
      <c r="E168" s="76">
        <v>99.322246000000007</v>
      </c>
      <c r="F168" s="76">
        <v>1.9110910000000001</v>
      </c>
      <c r="G168" s="76">
        <v>1.2247962219999999</v>
      </c>
      <c r="H168" s="76">
        <v>31.233000000000001</v>
      </c>
    </row>
    <row r="169" spans="1:8" x14ac:dyDescent="0.25">
      <c r="A169" s="11">
        <v>43647</v>
      </c>
      <c r="B169" s="76">
        <v>66.336462999999995</v>
      </c>
      <c r="C169" s="76">
        <v>72.836879999999994</v>
      </c>
      <c r="D169" s="76">
        <v>127.674694</v>
      </c>
      <c r="E169" s="76">
        <v>108.878486</v>
      </c>
      <c r="F169" s="76">
        <v>11.571154</v>
      </c>
      <c r="G169" s="76">
        <v>4.7075920409999998</v>
      </c>
      <c r="H169" s="76">
        <v>21.172999999999998</v>
      </c>
    </row>
    <row r="170" spans="1:8" x14ac:dyDescent="0.25">
      <c r="A170" s="11">
        <v>43678</v>
      </c>
      <c r="B170" s="76">
        <v>81.251487999999995</v>
      </c>
      <c r="C170" s="76">
        <v>73.952579999999998</v>
      </c>
      <c r="D170" s="76">
        <v>0</v>
      </c>
      <c r="E170" s="76">
        <v>122.83038999999999</v>
      </c>
      <c r="F170" s="76">
        <v>11.801561</v>
      </c>
      <c r="G170" s="76">
        <v>6.054800524</v>
      </c>
      <c r="H170" s="76">
        <v>19.428999999999998</v>
      </c>
    </row>
    <row r="171" spans="1:8" x14ac:dyDescent="0.25">
      <c r="A171" s="11">
        <v>43709</v>
      </c>
      <c r="B171" s="76">
        <v>81.158642</v>
      </c>
      <c r="C171" s="76">
        <v>21.448001000000001</v>
      </c>
      <c r="D171" s="76">
        <v>128.19128599999999</v>
      </c>
      <c r="E171" s="76">
        <v>163.876597</v>
      </c>
      <c r="F171" s="76">
        <v>16.531793</v>
      </c>
      <c r="G171" s="76">
        <v>8.6985535540000001</v>
      </c>
      <c r="H171" s="76">
        <v>17.280999999999999</v>
      </c>
    </row>
    <row r="172" spans="1:8" x14ac:dyDescent="0.25">
      <c r="A172" s="11">
        <v>43739</v>
      </c>
      <c r="B172" s="76">
        <v>63.921917999999998</v>
      </c>
      <c r="C172" s="76">
        <v>82.492841999999996</v>
      </c>
      <c r="D172" s="76">
        <v>0</v>
      </c>
      <c r="E172" s="76">
        <v>124.95511999999999</v>
      </c>
      <c r="F172" s="76">
        <v>5.5735260000000002</v>
      </c>
      <c r="G172" s="76">
        <v>1.8050186909999999</v>
      </c>
      <c r="H172" s="76">
        <v>16.044</v>
      </c>
    </row>
    <row r="173" spans="1:8" x14ac:dyDescent="0.25">
      <c r="A173" s="11">
        <v>43770</v>
      </c>
      <c r="B173" s="76">
        <v>55.894626000000002</v>
      </c>
      <c r="C173" s="76">
        <v>34.801318999999999</v>
      </c>
      <c r="D173" s="76">
        <v>0</v>
      </c>
      <c r="E173" s="76">
        <v>153.12877599999999</v>
      </c>
      <c r="F173" s="76">
        <v>4.3</v>
      </c>
      <c r="G173" s="76">
        <v>1.1080399299999999</v>
      </c>
      <c r="H173" s="76">
        <v>17.39</v>
      </c>
    </row>
    <row r="174" spans="1:8" x14ac:dyDescent="0.25">
      <c r="A174" s="11">
        <v>43800</v>
      </c>
      <c r="B174" s="76">
        <v>87.618347999999997</v>
      </c>
      <c r="C174" s="76">
        <v>93.680423000000005</v>
      </c>
      <c r="D174" s="76">
        <v>127.679506</v>
      </c>
      <c r="E174" s="76">
        <v>162.80412999999999</v>
      </c>
      <c r="F174" s="76">
        <v>104.09887000000001</v>
      </c>
      <c r="G174" s="76">
        <v>35.313215749000001</v>
      </c>
      <c r="H174" s="76">
        <v>24.504999999999999</v>
      </c>
    </row>
    <row r="175" spans="1:8" x14ac:dyDescent="0.25">
      <c r="A175" s="11">
        <v>43831</v>
      </c>
      <c r="B175" s="76">
        <v>100.065579</v>
      </c>
      <c r="C175" s="76">
        <v>44.850113</v>
      </c>
      <c r="D175" s="76">
        <v>127.9284</v>
      </c>
      <c r="E175" s="76">
        <v>138.715757</v>
      </c>
      <c r="F175" s="76">
        <v>161.92460299999999</v>
      </c>
      <c r="G175" s="76">
        <v>70.215542149000001</v>
      </c>
      <c r="H175" s="76">
        <v>22.643000000000001</v>
      </c>
    </row>
    <row r="176" spans="1:8" x14ac:dyDescent="0.25">
      <c r="A176" s="11">
        <v>43862</v>
      </c>
      <c r="B176" s="76">
        <v>40.617790999999997</v>
      </c>
      <c r="C176" s="76">
        <v>35.611556999999998</v>
      </c>
      <c r="D176" s="76">
        <v>0</v>
      </c>
      <c r="E176" s="76">
        <v>107.027254</v>
      </c>
      <c r="F176" s="76">
        <v>30.089103999999999</v>
      </c>
      <c r="G176" s="76">
        <v>13.313261984</v>
      </c>
      <c r="H176" s="76">
        <v>26.081</v>
      </c>
    </row>
    <row r="177" spans="1:8" x14ac:dyDescent="0.25">
      <c r="A177" s="11">
        <v>43891</v>
      </c>
      <c r="B177" s="76">
        <v>98.915465999999995</v>
      </c>
      <c r="C177" s="76">
        <v>73.841859999999997</v>
      </c>
      <c r="D177" s="76">
        <v>256.33925599999998</v>
      </c>
      <c r="E177" s="76">
        <v>127.90907799999999</v>
      </c>
      <c r="F177" s="76">
        <v>1.57402</v>
      </c>
      <c r="G177" s="76">
        <v>1.254501884</v>
      </c>
      <c r="H177" s="76">
        <v>27.507000000000001</v>
      </c>
    </row>
    <row r="178" spans="1:8" x14ac:dyDescent="0.25">
      <c r="A178" s="11">
        <v>43922</v>
      </c>
      <c r="B178" s="76">
        <v>206.02720600000001</v>
      </c>
      <c r="C178" s="76">
        <v>51.859139999999996</v>
      </c>
      <c r="D178" s="76">
        <v>128.32324</v>
      </c>
      <c r="E178" s="76">
        <v>165.36372800000001</v>
      </c>
      <c r="F178" s="76">
        <v>2.1000000000000001E-2</v>
      </c>
      <c r="G178" s="76">
        <v>1.7561502E-2</v>
      </c>
      <c r="H178" s="76">
        <v>33.332999999999998</v>
      </c>
    </row>
    <row r="179" spans="1:8" x14ac:dyDescent="0.25">
      <c r="A179" s="11">
        <v>43952</v>
      </c>
      <c r="B179" s="76">
        <v>105.070911</v>
      </c>
      <c r="C179" s="76">
        <v>60.998593</v>
      </c>
      <c r="D179" s="76">
        <v>0</v>
      </c>
      <c r="E179" s="76">
        <v>85.222769999999997</v>
      </c>
      <c r="F179" s="76">
        <v>25.881098000000001</v>
      </c>
      <c r="G179" s="76">
        <v>12.853835011999999</v>
      </c>
      <c r="H179" s="76">
        <v>38.933999999999997</v>
      </c>
    </row>
    <row r="180" spans="1:8" x14ac:dyDescent="0.25">
      <c r="A180" s="11">
        <v>43983</v>
      </c>
      <c r="B180" s="76">
        <v>85.457199000000003</v>
      </c>
      <c r="C180" s="76">
        <v>46.060454999999997</v>
      </c>
      <c r="D180" s="76">
        <v>128.10706400000001</v>
      </c>
      <c r="E180" s="76">
        <v>137.06202500000001</v>
      </c>
      <c r="F180" s="76">
        <v>11.410288</v>
      </c>
      <c r="G180" s="76">
        <v>4.8630362099999997</v>
      </c>
      <c r="H180" s="76">
        <v>32.923000000000002</v>
      </c>
    </row>
    <row r="181" spans="1:8" x14ac:dyDescent="0.25">
      <c r="A181" s="11">
        <v>44013</v>
      </c>
      <c r="B181" s="76">
        <v>34.054169999999999</v>
      </c>
      <c r="C181" s="76">
        <v>29.5</v>
      </c>
      <c r="D181" s="76">
        <v>129.027648</v>
      </c>
      <c r="E181" s="76">
        <v>104.86769</v>
      </c>
      <c r="F181" s="76">
        <v>1.3542000000000001</v>
      </c>
      <c r="G181" s="76">
        <v>0.34612137700000001</v>
      </c>
      <c r="H181" s="76">
        <v>21.893000000000001</v>
      </c>
    </row>
    <row r="182" spans="1:8" x14ac:dyDescent="0.25">
      <c r="A182" s="11">
        <v>44044</v>
      </c>
      <c r="B182" s="76">
        <v>64.656998000000002</v>
      </c>
      <c r="C182" s="76">
        <v>49.295000000000002</v>
      </c>
      <c r="D182" s="76">
        <v>0</v>
      </c>
      <c r="E182" s="76">
        <v>90.952789999999993</v>
      </c>
      <c r="F182" s="76">
        <v>0</v>
      </c>
      <c r="G182" s="76">
        <v>0</v>
      </c>
      <c r="H182" s="76">
        <v>12.391</v>
      </c>
    </row>
    <row r="183" spans="1:8" x14ac:dyDescent="0.25">
      <c r="A183" s="11">
        <v>44075</v>
      </c>
      <c r="B183" s="76">
        <v>93.123057000000003</v>
      </c>
      <c r="C183" s="76">
        <v>75.242842999999993</v>
      </c>
      <c r="D183" s="76">
        <v>0</v>
      </c>
      <c r="E183" s="76">
        <v>189.14741900000001</v>
      </c>
      <c r="F183" s="76">
        <v>0</v>
      </c>
      <c r="G183" s="76">
        <v>0</v>
      </c>
      <c r="H183" s="76">
        <v>11.113</v>
      </c>
    </row>
    <row r="184" spans="1:8" x14ac:dyDescent="0.25">
      <c r="A184" s="11">
        <v>44105</v>
      </c>
      <c r="B184" s="76">
        <v>61.116225999999997</v>
      </c>
      <c r="C184" s="76">
        <v>72.773933</v>
      </c>
      <c r="D184" s="76">
        <v>0</v>
      </c>
      <c r="E184" s="76">
        <v>125.34666799999999</v>
      </c>
      <c r="F184" s="76">
        <v>1.5008999999999999</v>
      </c>
      <c r="G184" s="76">
        <v>1.233029997</v>
      </c>
      <c r="H184" s="76">
        <v>13.221</v>
      </c>
    </row>
    <row r="185" spans="1:8" x14ac:dyDescent="0.25">
      <c r="A185" s="11">
        <v>44136</v>
      </c>
      <c r="B185" s="76">
        <v>99.558617999999996</v>
      </c>
      <c r="C185" s="76">
        <v>49.250019999999999</v>
      </c>
      <c r="D185" s="76">
        <v>128.139847</v>
      </c>
      <c r="E185" s="76">
        <v>150.31383</v>
      </c>
      <c r="F185" s="76">
        <v>37.427999999999997</v>
      </c>
      <c r="G185" s="76">
        <v>14.895451224</v>
      </c>
      <c r="H185" s="76">
        <v>15.038</v>
      </c>
    </row>
    <row r="186" spans="1:8" x14ac:dyDescent="0.25">
      <c r="A186" s="11">
        <v>44166</v>
      </c>
      <c r="B186" s="76">
        <v>63.941536999999997</v>
      </c>
      <c r="C186" s="76">
        <v>70.911321999999998</v>
      </c>
      <c r="D186" s="76">
        <v>127.532962</v>
      </c>
      <c r="E186" s="76">
        <v>169.302705</v>
      </c>
      <c r="F186" s="76">
        <v>1.2155</v>
      </c>
      <c r="G186" s="76">
        <v>1.0659001699999999</v>
      </c>
      <c r="H186" s="76">
        <v>38.933999999999997</v>
      </c>
    </row>
    <row r="187" spans="1:8" x14ac:dyDescent="0.25">
      <c r="A187" s="11">
        <v>44197</v>
      </c>
      <c r="B187" s="76">
        <v>100.548053</v>
      </c>
      <c r="C187" s="76">
        <v>34.771999999999998</v>
      </c>
      <c r="D187" s="76">
        <v>118.09773300000001</v>
      </c>
      <c r="E187" s="76">
        <v>53.089661</v>
      </c>
      <c r="F187" s="76">
        <v>144.65228400000001</v>
      </c>
      <c r="G187" s="76">
        <v>67.601601196999994</v>
      </c>
      <c r="H187" s="76">
        <v>30.76</v>
      </c>
    </row>
    <row r="188" spans="1:8" x14ac:dyDescent="0.25">
      <c r="A188" s="11">
        <v>44228</v>
      </c>
      <c r="B188" s="76">
        <v>78.966752</v>
      </c>
      <c r="C188" s="76">
        <v>54.6997</v>
      </c>
      <c r="D188" s="76">
        <v>0</v>
      </c>
      <c r="E188" s="76">
        <v>98.113989000000004</v>
      </c>
      <c r="F188" s="76">
        <v>107.92726999999999</v>
      </c>
      <c r="G188" s="76">
        <v>51.586815358000003</v>
      </c>
      <c r="H188" s="76">
        <v>21.14</v>
      </c>
    </row>
    <row r="189" spans="1:8" x14ac:dyDescent="0.25">
      <c r="A189" s="11">
        <v>44256</v>
      </c>
      <c r="B189" s="76">
        <v>87.416431000000003</v>
      </c>
      <c r="C189" s="76">
        <v>57.68262</v>
      </c>
      <c r="D189" s="76">
        <v>128.26669799999999</v>
      </c>
      <c r="E189" s="76">
        <v>124.68916400000001</v>
      </c>
      <c r="F189" s="76">
        <v>67.457566</v>
      </c>
      <c r="G189" s="76">
        <v>32.777756426000003</v>
      </c>
      <c r="H189" s="76">
        <v>24.87</v>
      </c>
    </row>
    <row r="190" spans="1:8" x14ac:dyDescent="0.25">
      <c r="A190" s="11">
        <v>44287</v>
      </c>
      <c r="B190" s="76">
        <v>109.434845</v>
      </c>
      <c r="C190" s="76">
        <v>87.042681999999999</v>
      </c>
      <c r="D190" s="76">
        <v>128.299815</v>
      </c>
      <c r="E190" s="76">
        <v>117.129356</v>
      </c>
      <c r="F190" s="76">
        <v>21.809809999999999</v>
      </c>
      <c r="G190" s="76">
        <v>10.307413273</v>
      </c>
      <c r="H190" s="76">
        <v>30.89</v>
      </c>
    </row>
    <row r="191" spans="1:8" x14ac:dyDescent="0.25">
      <c r="A191" s="11">
        <v>44317</v>
      </c>
      <c r="B191" s="76">
        <v>74.018664000000001</v>
      </c>
      <c r="C191" s="76">
        <v>39</v>
      </c>
      <c r="D191" s="76">
        <v>0</v>
      </c>
      <c r="E191" s="76">
        <v>137.982268</v>
      </c>
      <c r="F191" s="76">
        <v>2.7090000000000001</v>
      </c>
      <c r="G191" s="76">
        <v>1.898263254</v>
      </c>
      <c r="H191" s="76">
        <v>35.58</v>
      </c>
    </row>
    <row r="192" spans="1:8" x14ac:dyDescent="0.25">
      <c r="A192" s="11">
        <v>44348</v>
      </c>
      <c r="B192" s="76">
        <v>89.110704999999996</v>
      </c>
      <c r="C192" s="76">
        <v>70.858530000000002</v>
      </c>
      <c r="D192" s="76">
        <v>127.66147100000001</v>
      </c>
      <c r="E192" s="76">
        <v>130.760604</v>
      </c>
      <c r="F192" s="76">
        <v>0.56200000000000006</v>
      </c>
      <c r="G192" s="76">
        <v>0.45723994000000001</v>
      </c>
      <c r="H192" s="76">
        <v>32.96</v>
      </c>
    </row>
    <row r="193" spans="1:10" x14ac:dyDescent="0.25">
      <c r="A193" s="11">
        <v>44378</v>
      </c>
      <c r="B193" s="76">
        <v>101.16140799999999</v>
      </c>
      <c r="C193" s="76">
        <v>80.057937999999993</v>
      </c>
      <c r="D193" s="76">
        <v>0</v>
      </c>
      <c r="E193" s="76">
        <v>137.76479499999999</v>
      </c>
      <c r="F193" s="76">
        <v>0.30249999999999999</v>
      </c>
      <c r="G193" s="76">
        <v>0.31368469199999999</v>
      </c>
      <c r="H193" s="76">
        <v>23.65</v>
      </c>
    </row>
    <row r="194" spans="1:10" x14ac:dyDescent="0.25">
      <c r="A194" s="11">
        <v>44409</v>
      </c>
      <c r="B194" s="76">
        <v>102.438304</v>
      </c>
      <c r="C194" s="76">
        <v>52.005000000000003</v>
      </c>
      <c r="D194" s="76">
        <v>127.65527400000001</v>
      </c>
      <c r="E194" s="76">
        <v>144.473557</v>
      </c>
      <c r="F194" s="76">
        <v>0.247</v>
      </c>
      <c r="G194" s="76">
        <v>0.10916412</v>
      </c>
      <c r="H194" s="76">
        <v>17.14</v>
      </c>
    </row>
    <row r="195" spans="1:10" x14ac:dyDescent="0.25">
      <c r="A195" s="11">
        <v>44440</v>
      </c>
      <c r="B195" s="76">
        <v>59.260609000000002</v>
      </c>
      <c r="C195" s="76">
        <v>22.005005000000001</v>
      </c>
      <c r="D195" s="76">
        <v>128.138004</v>
      </c>
      <c r="E195" s="76">
        <v>171.82785799999999</v>
      </c>
      <c r="F195" s="76">
        <v>0.16869999999999999</v>
      </c>
      <c r="G195" s="76">
        <v>0.15322886999999999</v>
      </c>
      <c r="H195" s="76">
        <v>18.3</v>
      </c>
    </row>
    <row r="196" spans="1:10" x14ac:dyDescent="0.25">
      <c r="A196" s="11">
        <v>44470</v>
      </c>
      <c r="B196" s="76">
        <v>81.216412000000005</v>
      </c>
      <c r="C196" s="76">
        <v>90.005842999999999</v>
      </c>
      <c r="D196" s="76">
        <v>127.88594999999999</v>
      </c>
      <c r="E196" s="76">
        <v>136.380111</v>
      </c>
      <c r="F196" s="76">
        <v>2.2756259999999999</v>
      </c>
      <c r="G196" s="76">
        <v>2.6424884309999999</v>
      </c>
      <c r="H196" s="76">
        <v>20.059999999999999</v>
      </c>
    </row>
    <row r="197" spans="1:10" x14ac:dyDescent="0.25">
      <c r="A197" s="11">
        <v>44501</v>
      </c>
      <c r="B197" s="76">
        <v>106.539203</v>
      </c>
      <c r="C197" s="76">
        <v>88.004068000000004</v>
      </c>
      <c r="D197" s="76">
        <v>128.05278000000001</v>
      </c>
      <c r="E197" s="76">
        <v>158.682446</v>
      </c>
      <c r="F197" s="76">
        <v>0.71988298299999998</v>
      </c>
      <c r="G197" s="76">
        <v>0.65393999999999997</v>
      </c>
      <c r="H197" s="76">
        <v>20.43</v>
      </c>
    </row>
    <row r="198" spans="1:10" x14ac:dyDescent="0.25">
      <c r="A198" s="11">
        <v>44531</v>
      </c>
      <c r="B198" s="76">
        <v>82.862392</v>
      </c>
      <c r="C198" s="76">
        <v>79.005007000000006</v>
      </c>
      <c r="D198" s="76">
        <v>0</v>
      </c>
      <c r="E198" s="76">
        <v>222.842792</v>
      </c>
      <c r="F198" s="76">
        <v>0.05</v>
      </c>
      <c r="G198" s="76">
        <v>3.5000000000000001E-3</v>
      </c>
      <c r="H198" s="76">
        <v>22.8</v>
      </c>
    </row>
    <row r="199" spans="1:10" x14ac:dyDescent="0.25">
      <c r="A199" s="11">
        <v>44562</v>
      </c>
      <c r="B199" s="76">
        <v>142.49643</v>
      </c>
      <c r="C199" s="76">
        <v>42.521000000000001</v>
      </c>
      <c r="D199" s="76">
        <v>0</v>
      </c>
      <c r="E199" s="76">
        <v>259.236017</v>
      </c>
      <c r="F199" s="76">
        <v>30.491679999999999</v>
      </c>
      <c r="G199" s="76">
        <v>14.912057092</v>
      </c>
      <c r="H199" s="76">
        <v>26.21</v>
      </c>
    </row>
    <row r="200" spans="1:10" x14ac:dyDescent="0.25">
      <c r="A200" s="11">
        <v>44593</v>
      </c>
      <c r="B200" s="76">
        <v>15.925319999999999</v>
      </c>
      <c r="C200" s="76">
        <v>33.879660999999999</v>
      </c>
      <c r="D200" s="76">
        <v>0</v>
      </c>
      <c r="E200" s="76">
        <v>258.79459500000002</v>
      </c>
      <c r="F200" s="76">
        <v>52.784529999999997</v>
      </c>
      <c r="G200" s="76">
        <v>24.960267606999999</v>
      </c>
      <c r="H200" s="76">
        <v>18.28</v>
      </c>
    </row>
    <row r="201" spans="1:10" x14ac:dyDescent="0.25">
      <c r="A201" s="11">
        <v>44621</v>
      </c>
      <c r="B201" s="76">
        <v>205.39929100000001</v>
      </c>
      <c r="C201" s="76">
        <v>129.29760099999999</v>
      </c>
      <c r="D201" s="76">
        <v>0</v>
      </c>
      <c r="E201" s="76">
        <v>351.60599400000001</v>
      </c>
      <c r="F201" s="76">
        <v>48.646459999999998</v>
      </c>
      <c r="G201" s="76">
        <v>23.656638418</v>
      </c>
      <c r="H201" s="76">
        <v>20.13</v>
      </c>
    </row>
    <row r="202" spans="1:10" x14ac:dyDescent="0.25">
      <c r="A202" s="11">
        <v>44652</v>
      </c>
      <c r="B202" s="76">
        <v>92.943348999999998</v>
      </c>
      <c r="C202" s="76">
        <v>51.130502</v>
      </c>
      <c r="D202" s="76">
        <v>0</v>
      </c>
      <c r="E202" s="76">
        <v>377.76585999999998</v>
      </c>
      <c r="F202" s="76">
        <v>27.701414</v>
      </c>
      <c r="G202" s="76">
        <v>14.837001606999999</v>
      </c>
      <c r="H202" s="76">
        <v>23.7</v>
      </c>
    </row>
    <row r="203" spans="1:10" x14ac:dyDescent="0.25">
      <c r="A203" s="11">
        <v>44682</v>
      </c>
      <c r="B203" s="76">
        <v>78.310023999999999</v>
      </c>
      <c r="C203" s="76">
        <v>81.963877999999994</v>
      </c>
      <c r="D203" s="76">
        <v>1.9999999999999999E-6</v>
      </c>
      <c r="E203" s="76">
        <v>258.55063000000001</v>
      </c>
      <c r="F203" s="76">
        <v>3.0581119999999999</v>
      </c>
      <c r="G203" s="76">
        <v>2.8714635080000002</v>
      </c>
      <c r="H203" s="76">
        <v>37.630000000000003</v>
      </c>
      <c r="I203" s="195"/>
      <c r="J203" s="195"/>
    </row>
    <row r="204" spans="1:10" x14ac:dyDescent="0.25">
      <c r="A204" s="11">
        <v>44713</v>
      </c>
      <c r="B204" s="76">
        <v>179.92230599999999</v>
      </c>
      <c r="C204" s="76">
        <v>123.4</v>
      </c>
      <c r="D204" s="76">
        <v>0</v>
      </c>
      <c r="E204" s="76">
        <v>327.68029799999999</v>
      </c>
      <c r="F204" s="76">
        <v>9.8365939999999998</v>
      </c>
      <c r="G204" s="76">
        <v>5.458941512</v>
      </c>
      <c r="H204" s="76">
        <v>31.84</v>
      </c>
    </row>
    <row r="205" spans="1:10" x14ac:dyDescent="0.25">
      <c r="A205" s="11">
        <v>44743</v>
      </c>
      <c r="B205" s="76">
        <v>136.20591200000001</v>
      </c>
      <c r="C205" s="76">
        <v>33.850589999999997</v>
      </c>
      <c r="D205" s="76">
        <v>0</v>
      </c>
      <c r="E205" s="76">
        <v>286.48039999999997</v>
      </c>
      <c r="F205" s="76">
        <v>6.1780600000000003</v>
      </c>
      <c r="G205" s="76">
        <v>4.0694021229999997</v>
      </c>
      <c r="H205" s="76">
        <v>24.07</v>
      </c>
    </row>
    <row r="206" spans="1:10" x14ac:dyDescent="0.25">
      <c r="A206" s="11">
        <v>44774</v>
      </c>
      <c r="B206" s="76">
        <v>174.91261900000001</v>
      </c>
      <c r="C206" s="76">
        <v>52.43486</v>
      </c>
      <c r="D206" s="76">
        <v>0</v>
      </c>
      <c r="E206" s="76">
        <v>231.51657800000001</v>
      </c>
      <c r="F206" s="76">
        <v>6.3E-2</v>
      </c>
      <c r="G206" s="76">
        <v>7.1036279999999993E-2</v>
      </c>
      <c r="H206" s="76">
        <v>17.79</v>
      </c>
    </row>
    <row r="207" spans="1:10" x14ac:dyDescent="0.25">
      <c r="A207" s="11">
        <v>44805</v>
      </c>
      <c r="B207" s="76">
        <v>110.478542</v>
      </c>
      <c r="C207" s="76">
        <v>46.220095999999998</v>
      </c>
      <c r="D207" s="76">
        <v>128.085196</v>
      </c>
      <c r="E207" s="76">
        <v>428.520917</v>
      </c>
      <c r="F207" s="76">
        <v>2.4180000000000001</v>
      </c>
      <c r="G207" s="76">
        <v>2.829042598</v>
      </c>
      <c r="H207" s="76">
        <v>14.46</v>
      </c>
    </row>
    <row r="208" spans="1:10" x14ac:dyDescent="0.25">
      <c r="A208" s="11">
        <v>44835</v>
      </c>
      <c r="B208" s="76">
        <v>50.673095000000004</v>
      </c>
      <c r="C208" s="76">
        <v>89.749899999999997</v>
      </c>
      <c r="D208" s="76">
        <v>127.92593599999999</v>
      </c>
      <c r="E208" s="76">
        <v>247.324333</v>
      </c>
      <c r="F208" s="76">
        <v>1.50346</v>
      </c>
      <c r="G208" s="76">
        <v>1.882539398</v>
      </c>
      <c r="H208" s="76">
        <v>10.8</v>
      </c>
    </row>
    <row r="209" spans="1:8" x14ac:dyDescent="0.25">
      <c r="A209" s="11">
        <v>44866</v>
      </c>
      <c r="B209" s="76">
        <v>184.410372</v>
      </c>
      <c r="C209" s="76">
        <v>67.511700000000005</v>
      </c>
      <c r="D209" s="76">
        <v>126.21974299999999</v>
      </c>
      <c r="E209" s="76">
        <v>324.26249300000001</v>
      </c>
      <c r="F209" s="76">
        <v>5.1580000000000004</v>
      </c>
      <c r="G209" s="76">
        <v>2.465843096</v>
      </c>
      <c r="H209" s="76">
        <v>18.62</v>
      </c>
    </row>
    <row r="210" spans="1:8" x14ac:dyDescent="0.25">
      <c r="A210" s="11">
        <v>44896</v>
      </c>
      <c r="B210" s="76">
        <v>115.65860600000001</v>
      </c>
      <c r="C210" s="76">
        <v>108.18958499999999</v>
      </c>
      <c r="D210" s="76">
        <v>121.67829399999999</v>
      </c>
      <c r="E210" s="76">
        <v>296.95765399999999</v>
      </c>
      <c r="F210" s="76">
        <v>3.4882249999999999</v>
      </c>
      <c r="G210" s="76">
        <v>2.415944986</v>
      </c>
      <c r="H210" s="76">
        <v>21.29</v>
      </c>
    </row>
    <row r="211" spans="1:8" x14ac:dyDescent="0.25">
      <c r="A211" s="11">
        <v>44927</v>
      </c>
      <c r="B211" s="76">
        <v>114.916439</v>
      </c>
      <c r="C211" s="76">
        <v>68.559425000000005</v>
      </c>
      <c r="D211" s="76">
        <v>133.527108</v>
      </c>
      <c r="E211" s="76">
        <v>158.32699299999999</v>
      </c>
      <c r="F211" s="76">
        <v>80.699889999999996</v>
      </c>
      <c r="G211" s="76">
        <v>45.927916916000001</v>
      </c>
      <c r="H211" s="76">
        <v>30.46</v>
      </c>
    </row>
    <row r="212" spans="1:8" x14ac:dyDescent="0.25">
      <c r="A212" s="11">
        <v>44958</v>
      </c>
      <c r="B212" s="76">
        <v>111.90272400000001</v>
      </c>
      <c r="C212" s="76">
        <v>58</v>
      </c>
      <c r="D212" s="76">
        <v>133.08115000000001</v>
      </c>
      <c r="E212" s="76">
        <v>284.20940300000001</v>
      </c>
      <c r="F212" s="76">
        <v>27.16422</v>
      </c>
      <c r="G212" s="76">
        <v>14.359604604999999</v>
      </c>
      <c r="H212" s="76">
        <v>15.35</v>
      </c>
    </row>
    <row r="213" spans="1:8" x14ac:dyDescent="0.25">
      <c r="A213" s="11">
        <v>44986</v>
      </c>
      <c r="B213" s="76">
        <v>107.564227</v>
      </c>
      <c r="C213" s="76">
        <v>53.783999999999999</v>
      </c>
      <c r="D213" s="76">
        <v>128.09030999999999</v>
      </c>
      <c r="E213" s="76">
        <v>304.51817699999998</v>
      </c>
      <c r="F213" s="76">
        <v>8.6989110000000007</v>
      </c>
      <c r="G213" s="76">
        <v>4.5428836930000003</v>
      </c>
      <c r="H213" s="76">
        <v>27.8</v>
      </c>
    </row>
    <row r="214" spans="1:8" x14ac:dyDescent="0.25">
      <c r="A214" s="11">
        <v>45017</v>
      </c>
      <c r="B214" s="76">
        <v>145.08636999999999</v>
      </c>
      <c r="C214" s="76">
        <v>76.155505000000005</v>
      </c>
      <c r="D214" s="76">
        <v>0</v>
      </c>
      <c r="E214" s="76">
        <v>88.912835999999999</v>
      </c>
      <c r="F214" s="76">
        <v>2.0310000000000001</v>
      </c>
      <c r="G214" s="76">
        <v>1.3519088050000001</v>
      </c>
      <c r="H214" s="76">
        <v>25.74</v>
      </c>
    </row>
    <row r="215" spans="1:8" x14ac:dyDescent="0.25">
      <c r="A215" s="11">
        <v>45047</v>
      </c>
      <c r="B215" s="76">
        <v>68.414238999999995</v>
      </c>
      <c r="C215" s="76">
        <v>135.36055999999999</v>
      </c>
      <c r="D215" s="76">
        <v>133.798464</v>
      </c>
      <c r="E215" s="76">
        <v>287.63637999999997</v>
      </c>
      <c r="F215" s="76">
        <v>0.55700000000000005</v>
      </c>
      <c r="G215" s="76">
        <v>0.43301666999999999</v>
      </c>
      <c r="H215" s="76">
        <v>31.38</v>
      </c>
    </row>
    <row r="216" spans="1:8" x14ac:dyDescent="0.25">
      <c r="A216" s="11">
        <v>45078</v>
      </c>
      <c r="B216" s="76">
        <v>161.592389</v>
      </c>
      <c r="C216" s="76">
        <v>33.000145000000003</v>
      </c>
      <c r="D216" s="76">
        <v>133.879558</v>
      </c>
      <c r="E216" s="76">
        <v>381.707764</v>
      </c>
      <c r="F216" s="76">
        <v>1.5214380000000001</v>
      </c>
      <c r="G216" s="76">
        <v>2.2116253989999999</v>
      </c>
      <c r="H216" s="76">
        <v>22.46</v>
      </c>
    </row>
    <row r="217" spans="1:8" x14ac:dyDescent="0.25">
      <c r="A217" s="11">
        <v>45108</v>
      </c>
      <c r="B217" s="76">
        <v>156.42222000000001</v>
      </c>
      <c r="C217" s="76">
        <v>99.009065000000007</v>
      </c>
      <c r="D217" s="76">
        <v>0</v>
      </c>
      <c r="E217" s="76">
        <v>277.456841</v>
      </c>
      <c r="F217" s="76">
        <v>7.8999999999999996E-5</v>
      </c>
      <c r="G217" s="76">
        <v>0.13556299999999999</v>
      </c>
      <c r="H217" s="76">
        <v>21.84</v>
      </c>
    </row>
    <row r="218" spans="1:8" x14ac:dyDescent="0.25">
      <c r="A218" s="11">
        <v>45139</v>
      </c>
      <c r="B218" s="76">
        <v>139.401442</v>
      </c>
      <c r="C218" s="76">
        <v>78.163020000000003</v>
      </c>
      <c r="D218" s="76">
        <v>133.15575899999999</v>
      </c>
      <c r="E218" s="76">
        <v>282.56398200000001</v>
      </c>
      <c r="F218" s="76">
        <v>0</v>
      </c>
      <c r="G218" s="76">
        <v>0</v>
      </c>
      <c r="H218" s="76">
        <v>22.72</v>
      </c>
    </row>
    <row r="219" spans="1:8" x14ac:dyDescent="0.25">
      <c r="A219" s="11">
        <v>45170</v>
      </c>
      <c r="B219" s="76">
        <v>51.562871000000001</v>
      </c>
      <c r="C219" s="76">
        <v>62.974801999999997</v>
      </c>
      <c r="D219" s="76">
        <v>127.72829</v>
      </c>
      <c r="E219" s="76">
        <v>215.22315800000001</v>
      </c>
      <c r="F219" s="76">
        <v>0</v>
      </c>
      <c r="G219" s="76">
        <v>0</v>
      </c>
      <c r="H219" s="76">
        <v>14.74</v>
      </c>
    </row>
    <row r="220" spans="1:8" x14ac:dyDescent="0.25">
      <c r="A220" s="11">
        <v>45200</v>
      </c>
      <c r="B220" s="76">
        <v>120.226298</v>
      </c>
      <c r="C220" s="76">
        <v>58.550055</v>
      </c>
      <c r="D220" s="76">
        <v>133.332999</v>
      </c>
      <c r="E220" s="76">
        <v>250.78402299999999</v>
      </c>
      <c r="F220" s="76">
        <v>0</v>
      </c>
      <c r="G220" s="76">
        <v>0</v>
      </c>
      <c r="H220" s="76">
        <v>19.95</v>
      </c>
    </row>
    <row r="221" spans="1:8" x14ac:dyDescent="0.25">
      <c r="A221" s="11">
        <v>45231</v>
      </c>
      <c r="B221" s="76">
        <v>58.341943000000001</v>
      </c>
      <c r="C221" s="76">
        <v>81.687280000000001</v>
      </c>
      <c r="D221" s="76">
        <v>0</v>
      </c>
      <c r="E221" s="76">
        <v>292.71503799999999</v>
      </c>
      <c r="F221" s="76">
        <v>0</v>
      </c>
      <c r="G221" s="76">
        <v>0</v>
      </c>
      <c r="H221" s="76">
        <v>17.64</v>
      </c>
    </row>
    <row r="222" spans="1:8" x14ac:dyDescent="0.25">
      <c r="A222" s="11">
        <v>45261</v>
      </c>
      <c r="B222" s="76">
        <v>66.886013000000005</v>
      </c>
      <c r="C222" s="76">
        <v>92.554469999999995</v>
      </c>
      <c r="D222" s="76">
        <v>261.59287599999999</v>
      </c>
      <c r="E222" s="76">
        <v>234.387394</v>
      </c>
      <c r="F222" s="76">
        <v>0.28000000000000003</v>
      </c>
      <c r="G222" s="76">
        <v>0.1557192</v>
      </c>
      <c r="H222" s="76">
        <v>17.899999999999999</v>
      </c>
    </row>
    <row r="223" spans="1:8" x14ac:dyDescent="0.25">
      <c r="A223" s="11">
        <v>45292</v>
      </c>
      <c r="B223" s="76">
        <v>157.79077699999999</v>
      </c>
      <c r="C223" s="76">
        <v>35.314075000000003</v>
      </c>
      <c r="D223" s="76">
        <v>127.973263</v>
      </c>
      <c r="E223" s="76">
        <v>356.54894200000001</v>
      </c>
      <c r="F223" s="76">
        <v>69.569950000000006</v>
      </c>
      <c r="G223" s="76">
        <v>38.331455656999999</v>
      </c>
      <c r="H223" s="76">
        <v>23.3</v>
      </c>
    </row>
    <row r="224" spans="1:8" x14ac:dyDescent="0.25">
      <c r="A224" s="11">
        <v>45323</v>
      </c>
      <c r="B224" s="76">
        <v>138.55382499999999</v>
      </c>
      <c r="C224" s="76">
        <v>52.865278000000004</v>
      </c>
      <c r="D224" s="76">
        <v>0</v>
      </c>
      <c r="E224" s="76">
        <v>160.554789</v>
      </c>
      <c r="F224" s="76">
        <v>22.760770000000001</v>
      </c>
      <c r="G224" s="76">
        <v>11.824687906999999</v>
      </c>
      <c r="H224" s="76">
        <v>16.489999999999998</v>
      </c>
    </row>
    <row r="225" spans="1:8" x14ac:dyDescent="0.25">
      <c r="A225" s="11">
        <v>45352</v>
      </c>
      <c r="B225" s="76">
        <v>100.345771</v>
      </c>
      <c r="C225" s="76">
        <v>98.346380999999994</v>
      </c>
      <c r="D225" s="76">
        <v>127.954228</v>
      </c>
      <c r="E225" s="76">
        <v>319.63982499999997</v>
      </c>
      <c r="F225" s="76">
        <v>17.663499000000002</v>
      </c>
      <c r="G225" s="76">
        <v>9.0912660689999996</v>
      </c>
      <c r="H225" s="76">
        <v>20.46</v>
      </c>
    </row>
    <row r="226" spans="1:8" x14ac:dyDescent="0.25">
      <c r="A226" s="11">
        <v>45383</v>
      </c>
      <c r="B226" s="76">
        <v>35.321053999999997</v>
      </c>
      <c r="C226" s="76">
        <v>95.433606999999995</v>
      </c>
      <c r="D226" s="76">
        <v>0</v>
      </c>
      <c r="E226" s="76">
        <v>333.93025799999998</v>
      </c>
      <c r="F226" s="76">
        <v>6.1637029999999999</v>
      </c>
      <c r="G226" s="76">
        <v>4.5559736629999996</v>
      </c>
      <c r="H226" s="76">
        <v>22.73</v>
      </c>
    </row>
    <row r="227" spans="1:8" x14ac:dyDescent="0.25">
      <c r="A227" s="11">
        <v>45413</v>
      </c>
      <c r="B227" s="76">
        <v>105.819997</v>
      </c>
      <c r="C227" s="76">
        <v>102.247879</v>
      </c>
      <c r="D227" s="76">
        <v>128.11829499999999</v>
      </c>
      <c r="E227" s="76">
        <v>325.48142100000001</v>
      </c>
      <c r="F227" s="76">
        <v>5.5733750000000004</v>
      </c>
      <c r="G227" s="76">
        <v>2.8876366920000001</v>
      </c>
      <c r="H227" s="76">
        <v>32.64</v>
      </c>
    </row>
    <row r="228" spans="1:8" x14ac:dyDescent="0.25">
      <c r="A228" s="11">
        <v>45444</v>
      </c>
      <c r="B228" s="76">
        <v>83.091140999999993</v>
      </c>
      <c r="C228" s="76">
        <v>25.889945999999998</v>
      </c>
      <c r="D228" s="76">
        <v>128.42118300000001</v>
      </c>
      <c r="E228" s="76">
        <v>301.24961500000001</v>
      </c>
      <c r="F228" s="76">
        <v>0.55286900000000005</v>
      </c>
      <c r="G228" s="76">
        <v>0.34183493999999998</v>
      </c>
      <c r="H228" s="76">
        <v>20.7</v>
      </c>
    </row>
    <row r="229" spans="1:8" x14ac:dyDescent="0.25">
      <c r="A229" s="11">
        <v>45474</v>
      </c>
      <c r="B229" s="76">
        <v>113.054081</v>
      </c>
      <c r="C229" s="76">
        <v>111.25174</v>
      </c>
      <c r="D229" s="76">
        <v>0</v>
      </c>
      <c r="E229" s="76">
        <v>394.48822999999999</v>
      </c>
      <c r="F229" s="76">
        <v>0.03</v>
      </c>
      <c r="G229" s="76">
        <v>1.465296E-2</v>
      </c>
      <c r="H229" s="76">
        <v>16.96</v>
      </c>
    </row>
    <row r="230" spans="1:8" x14ac:dyDescent="0.25">
      <c r="A230" s="11">
        <v>45505</v>
      </c>
      <c r="B230" s="76">
        <v>104.46857799999999</v>
      </c>
      <c r="C230" s="76">
        <v>75.199758000000003</v>
      </c>
      <c r="D230" s="76">
        <v>267.43602800000002</v>
      </c>
      <c r="E230" s="76">
        <v>289.552888</v>
      </c>
      <c r="F230" s="76">
        <v>1.895554</v>
      </c>
      <c r="G230" s="76">
        <v>2.036538636</v>
      </c>
      <c r="H230" s="76">
        <v>14.59</v>
      </c>
    </row>
    <row r="231" spans="1:8" x14ac:dyDescent="0.25">
      <c r="A231" s="11">
        <v>45536</v>
      </c>
      <c r="B231" s="76">
        <v>147.74506700000001</v>
      </c>
      <c r="C231" s="76">
        <v>68.281999999999996</v>
      </c>
      <c r="D231" s="76">
        <v>53.893735</v>
      </c>
      <c r="E231" s="76">
        <v>352.88849099999999</v>
      </c>
      <c r="F231" s="76">
        <v>0.192998</v>
      </c>
      <c r="G231" s="76">
        <v>0.233179092</v>
      </c>
      <c r="H231" s="76">
        <v>17.18</v>
      </c>
    </row>
    <row r="232" spans="1:8" x14ac:dyDescent="0.25">
      <c r="A232" s="11">
        <v>45566</v>
      </c>
      <c r="B232" s="76">
        <v>202.786404</v>
      </c>
      <c r="C232" s="76">
        <v>97.183756000000002</v>
      </c>
      <c r="D232" s="76">
        <v>207.66202999999999</v>
      </c>
      <c r="E232" s="76">
        <v>330.311846</v>
      </c>
      <c r="F232" s="76">
        <v>1.3</v>
      </c>
      <c r="G232" s="76">
        <v>0.6549777</v>
      </c>
      <c r="H232" s="76">
        <v>15.94</v>
      </c>
    </row>
    <row r="233" spans="1:8" x14ac:dyDescent="0.25">
      <c r="A233" s="11">
        <v>45597</v>
      </c>
      <c r="B233" s="76">
        <v>74.884358000000006</v>
      </c>
      <c r="C233" s="76">
        <v>60.832999999999998</v>
      </c>
      <c r="D233" s="76">
        <v>133.87131199999999</v>
      </c>
      <c r="E233" s="76">
        <v>333.332426</v>
      </c>
      <c r="F233" s="76">
        <v>1.4999999999999999E-2</v>
      </c>
      <c r="G233" s="76">
        <v>8.8553250000000007E-3</v>
      </c>
      <c r="H233" s="76">
        <v>12.19</v>
      </c>
    </row>
    <row r="234" spans="1:8" x14ac:dyDescent="0.25">
      <c r="A234" s="11">
        <v>45627</v>
      </c>
      <c r="B234" s="76">
        <v>123.481886</v>
      </c>
      <c r="C234" s="76">
        <v>82.09984</v>
      </c>
      <c r="D234" s="76">
        <v>0</v>
      </c>
      <c r="E234" s="76">
        <v>251.15785600000001</v>
      </c>
      <c r="F234" s="76">
        <v>2.1650900000000002</v>
      </c>
      <c r="G234" s="76">
        <v>2.2935992289999998</v>
      </c>
      <c r="H234" s="76">
        <v>15.42</v>
      </c>
    </row>
    <row r="235" spans="1:8" x14ac:dyDescent="0.25">
      <c r="A235" s="11">
        <v>45658</v>
      </c>
      <c r="B235" s="76">
        <v>157.202889</v>
      </c>
      <c r="C235" s="76">
        <v>54.246848</v>
      </c>
      <c r="D235" s="76">
        <v>128.08871300000001</v>
      </c>
      <c r="E235" s="76">
        <v>327.88081199999999</v>
      </c>
      <c r="F235" s="76">
        <v>1</v>
      </c>
      <c r="G235" s="76">
        <v>1.0579227609999999</v>
      </c>
      <c r="H235" s="76">
        <v>17.175999999999998</v>
      </c>
    </row>
    <row r="236" spans="1:8" x14ac:dyDescent="0.25">
      <c r="A236" s="11">
        <v>45689</v>
      </c>
      <c r="B236" s="76">
        <v>117.048455</v>
      </c>
      <c r="C236" s="76">
        <v>112.80226999999999</v>
      </c>
      <c r="D236" s="76">
        <v>127.68535</v>
      </c>
      <c r="E236" s="76">
        <v>332.99928499999999</v>
      </c>
      <c r="F236" s="76">
        <v>6.3699999999999998E-4</v>
      </c>
      <c r="G236" s="76">
        <v>2.4000000000000001E-4</v>
      </c>
      <c r="H236" s="76">
        <v>14.442</v>
      </c>
    </row>
    <row r="237" spans="1:8" x14ac:dyDescent="0.25">
      <c r="A237" s="11">
        <v>45717</v>
      </c>
      <c r="B237" s="76">
        <v>140.335781</v>
      </c>
      <c r="C237" s="76">
        <v>51.866</v>
      </c>
      <c r="D237" s="76">
        <v>127.985114</v>
      </c>
      <c r="E237" s="76">
        <v>221.94645800000001</v>
      </c>
      <c r="F237" s="76">
        <v>0.26800000000000002</v>
      </c>
      <c r="G237" s="76">
        <v>9.8308618E-2</v>
      </c>
      <c r="H237" s="76">
        <v>24.155000000000001</v>
      </c>
    </row>
    <row r="238" spans="1:8" x14ac:dyDescent="0.25">
      <c r="A238" s="11">
        <v>45748</v>
      </c>
      <c r="B238" s="76">
        <v>264.58397600000001</v>
      </c>
      <c r="C238" s="76">
        <v>117.42841900000001</v>
      </c>
      <c r="D238" s="76">
        <v>128.06811999999999</v>
      </c>
      <c r="E238" s="76">
        <v>326.32690400000001</v>
      </c>
      <c r="F238" s="76">
        <v>0.27651500000000001</v>
      </c>
      <c r="G238" s="76">
        <v>0.167042307</v>
      </c>
      <c r="H238" s="76">
        <v>24.911999999999999</v>
      </c>
    </row>
    <row r="239" spans="1:8" x14ac:dyDescent="0.25">
      <c r="A239" s="11">
        <v>45778</v>
      </c>
      <c r="B239" s="76">
        <v>142.81517700000001</v>
      </c>
      <c r="C239" s="76">
        <v>70.366731999999999</v>
      </c>
      <c r="D239" s="76">
        <v>128.010448</v>
      </c>
      <c r="E239" s="76">
        <v>334.08892800000001</v>
      </c>
      <c r="F239" s="76">
        <v>3.6560000000000001</v>
      </c>
      <c r="G239" s="76">
        <v>2.6972743490000002</v>
      </c>
      <c r="H239" s="76">
        <v>26.166</v>
      </c>
    </row>
    <row r="240" spans="1:8" x14ac:dyDescent="0.25">
      <c r="A240" s="11">
        <v>45809</v>
      </c>
      <c r="B240" s="76">
        <v>88.731887</v>
      </c>
      <c r="C240" s="76">
        <v>61.180407000000002</v>
      </c>
      <c r="D240" s="76">
        <v>0</v>
      </c>
      <c r="E240" s="76">
        <v>412.31585899999999</v>
      </c>
      <c r="F240" s="76">
        <v>2.2574649999999998</v>
      </c>
      <c r="G240" s="76">
        <v>1.93396397</v>
      </c>
      <c r="H240" s="76">
        <v>24.338000000000001</v>
      </c>
    </row>
    <row r="241" spans="1:15" x14ac:dyDescent="0.25">
      <c r="A241" s="11">
        <v>45839</v>
      </c>
      <c r="B241" s="76">
        <v>38.176327999999998</v>
      </c>
      <c r="C241" s="76">
        <v>70.147565999999998</v>
      </c>
      <c r="D241" s="76">
        <v>262.73401899999999</v>
      </c>
      <c r="E241" s="76">
        <v>376.61120699999998</v>
      </c>
      <c r="F241" s="76">
        <v>1.2792399999999999</v>
      </c>
      <c r="G241" s="76">
        <v>1.234576484</v>
      </c>
      <c r="H241" s="76">
        <v>28.257999999999999</v>
      </c>
    </row>
    <row r="242" spans="1:15" x14ac:dyDescent="0.25">
      <c r="A242" s="11">
        <v>45870</v>
      </c>
      <c r="B242" s="76">
        <v>186.15443200000001</v>
      </c>
      <c r="C242" s="76">
        <v>64.269735999999995</v>
      </c>
      <c r="D242" s="76">
        <v>128.24646999999999</v>
      </c>
      <c r="E242" s="76">
        <v>256.038814</v>
      </c>
      <c r="F242" s="76">
        <v>3</v>
      </c>
      <c r="G242" s="76">
        <v>2.7497560000000001</v>
      </c>
      <c r="H242" s="76">
        <v>19.981000000000002</v>
      </c>
    </row>
    <row r="243" spans="1:15" x14ac:dyDescent="0.25">
      <c r="A243" s="11">
        <v>45901</v>
      </c>
      <c r="B243" s="76">
        <v>114.748744</v>
      </c>
      <c r="C243" s="76">
        <v>76.300989999999999</v>
      </c>
      <c r="D243" s="76">
        <v>127.951806</v>
      </c>
      <c r="E243" s="76">
        <v>192.746374</v>
      </c>
      <c r="F243" s="76">
        <v>5.5157340000000001</v>
      </c>
      <c r="G243" s="76">
        <v>5.0094346390000002</v>
      </c>
      <c r="H243" s="76">
        <v>23.425999999999998</v>
      </c>
      <c r="K243" s="75"/>
    </row>
    <row r="244" spans="1:15" x14ac:dyDescent="0.25">
      <c r="A244" s="11">
        <v>45931</v>
      </c>
      <c r="B244" s="76">
        <v>76.816985000000003</v>
      </c>
      <c r="C244" s="76">
        <v>103.203925</v>
      </c>
      <c r="D244" s="76">
        <v>128.326221</v>
      </c>
      <c r="E244" s="76">
        <v>392.88552499999997</v>
      </c>
      <c r="F244" s="76">
        <v>4.6846589999999999</v>
      </c>
      <c r="G244" s="76">
        <v>4.2346389530000001</v>
      </c>
      <c r="H244" s="76">
        <v>20.966999999999999</v>
      </c>
      <c r="L244" s="365"/>
      <c r="M244" s="365"/>
      <c r="N244" s="365"/>
      <c r="O244" s="365"/>
    </row>
    <row r="245" spans="1:15" x14ac:dyDescent="0.25">
      <c r="A245" s="11">
        <v>45962</v>
      </c>
      <c r="B245" s="76">
        <v>76.128073000000001</v>
      </c>
      <c r="C245" s="76">
        <v>93.412976999999998</v>
      </c>
      <c r="D245" s="76">
        <v>133.77174199999999</v>
      </c>
      <c r="E245" s="76">
        <v>212.23893799999999</v>
      </c>
      <c r="F245" s="76">
        <v>2.2114999999999999E-2</v>
      </c>
      <c r="G245" s="76">
        <v>2.5242924999999999E-2</v>
      </c>
      <c r="H245" s="76">
        <v>16.869</v>
      </c>
    </row>
    <row r="246" spans="1:15" x14ac:dyDescent="0.25">
      <c r="A246" s="11">
        <v>45992</v>
      </c>
      <c r="B246" s="76">
        <v>73.384828999999996</v>
      </c>
      <c r="C246" s="76">
        <v>106.88039999999999</v>
      </c>
      <c r="D246" s="76">
        <v>0</v>
      </c>
      <c r="E246" s="76">
        <v>322.73831300000001</v>
      </c>
      <c r="F246" s="76">
        <v>0</v>
      </c>
      <c r="G246" s="76">
        <v>0</v>
      </c>
      <c r="H246" s="76">
        <v>22.835000000000001</v>
      </c>
    </row>
    <row r="247" spans="1:15" x14ac:dyDescent="0.25">
      <c r="A247" s="11">
        <v>46023</v>
      </c>
      <c r="B247" s="76">
        <v>91.917691000000005</v>
      </c>
      <c r="C247" s="76">
        <v>66.609164000000007</v>
      </c>
      <c r="D247" s="76">
        <v>0</v>
      </c>
      <c r="E247" s="76">
        <v>431.33009399999997</v>
      </c>
      <c r="F247" s="76">
        <v>0</v>
      </c>
      <c r="G247" s="76">
        <v>0</v>
      </c>
      <c r="H247" s="76">
        <v>18.681000000000001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648"/>
  <sheetViews>
    <sheetView workbookViewId="0">
      <pane xSplit="1" ySplit="6" topLeftCell="B235" activePane="bottomRight" state="frozen"/>
      <selection pane="topRight" activeCell="B1" sqref="B1"/>
      <selection pane="bottomLeft" activeCell="A7" sqref="A7"/>
      <selection pane="bottomRight" activeCell="D252" sqref="D252"/>
    </sheetView>
  </sheetViews>
  <sheetFormatPr defaultColWidth="11.42578125" defaultRowHeight="15" x14ac:dyDescent="0.25"/>
  <cols>
    <col min="1" max="1" width="10.85546875" customWidth="1"/>
    <col min="2" max="2" width="12.42578125" style="315" bestFit="1" customWidth="1"/>
    <col min="3" max="3" width="29.42578125" style="315" bestFit="1" customWidth="1"/>
    <col min="4" max="4" width="28.42578125" style="315" bestFit="1" customWidth="1"/>
    <col min="5" max="8" width="11.42578125" style="315"/>
    <col min="9" max="9" width="29.42578125" style="315" customWidth="1"/>
    <col min="10" max="11" width="29.42578125" style="315" bestFit="1" customWidth="1"/>
    <col min="12" max="12" width="28.85546875" style="315" customWidth="1"/>
    <col min="13" max="13" width="16" style="315" bestFit="1" customWidth="1"/>
    <col min="14" max="14" width="14.42578125" style="315" bestFit="1" customWidth="1"/>
    <col min="15" max="16384" width="11.42578125" style="315"/>
  </cols>
  <sheetData>
    <row r="1" spans="1:51" customFormat="1" ht="23.25" x14ac:dyDescent="0.35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2"/>
      <c r="L1" s="2"/>
      <c r="M1" s="2"/>
    </row>
    <row r="2" spans="1:51" customFormat="1" x14ac:dyDescent="0.25">
      <c r="B2" s="75"/>
      <c r="C2" s="75"/>
    </row>
    <row r="3" spans="1:51" customFormat="1" x14ac:dyDescent="0.25">
      <c r="B3" s="80" t="s">
        <v>421</v>
      </c>
      <c r="C3" s="86"/>
      <c r="D3" s="86"/>
      <c r="E3" s="86"/>
      <c r="F3" s="21"/>
      <c r="G3" s="21"/>
      <c r="H3" s="21"/>
      <c r="I3" s="21"/>
      <c r="J3" s="21"/>
      <c r="K3" s="21"/>
      <c r="L3" s="487" t="s">
        <v>407</v>
      </c>
      <c r="M3" s="487"/>
      <c r="N3" s="487"/>
      <c r="O3" s="1"/>
      <c r="P3" s="1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5"/>
    </row>
    <row r="4" spans="1:51" s="1" customFormat="1" x14ac:dyDescent="0.2">
      <c r="B4" s="80"/>
      <c r="C4" s="83" t="s">
        <v>142</v>
      </c>
      <c r="D4" s="83"/>
      <c r="E4" s="84"/>
      <c r="F4" s="84"/>
      <c r="G4" s="84"/>
      <c r="H4" s="84"/>
      <c r="I4" s="84"/>
      <c r="J4" s="84"/>
      <c r="K4" s="84"/>
      <c r="L4" s="487"/>
      <c r="M4" s="487"/>
      <c r="N4" s="487"/>
    </row>
    <row r="5" spans="1:51" s="1" customFormat="1" ht="60" x14ac:dyDescent="0.25">
      <c r="B5" s="81"/>
      <c r="C5" s="85"/>
      <c r="D5" s="89" t="s">
        <v>143</v>
      </c>
      <c r="E5" s="87"/>
      <c r="F5" s="87"/>
      <c r="G5" s="87"/>
      <c r="H5" s="87"/>
      <c r="I5" s="87"/>
      <c r="J5" s="87"/>
      <c r="K5" s="91" t="s">
        <v>406</v>
      </c>
      <c r="L5" s="278" t="s">
        <v>469</v>
      </c>
      <c r="M5" s="1" t="s">
        <v>150</v>
      </c>
      <c r="N5" s="1" t="s">
        <v>414</v>
      </c>
    </row>
    <row r="6" spans="1:51" s="3" customFormat="1" ht="42.75" x14ac:dyDescent="0.2">
      <c r="B6" s="225" t="s">
        <v>141</v>
      </c>
      <c r="C6" s="226" t="s">
        <v>141</v>
      </c>
      <c r="D6" s="227" t="s">
        <v>141</v>
      </c>
      <c r="E6" s="3" t="s">
        <v>144</v>
      </c>
      <c r="F6" s="3" t="s">
        <v>145</v>
      </c>
      <c r="G6" s="3" t="s">
        <v>146</v>
      </c>
      <c r="H6" s="3" t="s">
        <v>147</v>
      </c>
      <c r="I6" s="3" t="s">
        <v>148</v>
      </c>
      <c r="J6" s="3" t="s">
        <v>149</v>
      </c>
      <c r="K6" s="228"/>
      <c r="L6" s="3" t="s">
        <v>141</v>
      </c>
      <c r="M6" s="3" t="s">
        <v>141</v>
      </c>
    </row>
    <row r="7" spans="1:51" s="1" customFormat="1" x14ac:dyDescent="0.25">
      <c r="A7" s="11">
        <v>38718</v>
      </c>
      <c r="B7" s="82">
        <f>C7</f>
        <v>52.399999999999991</v>
      </c>
      <c r="C7" s="88">
        <f>SUM(D7,K7)</f>
        <v>52.399999999999991</v>
      </c>
      <c r="D7" s="89">
        <f>SUM(E7:J7)</f>
        <v>52.099999999999994</v>
      </c>
      <c r="E7" s="1">
        <v>9.6</v>
      </c>
      <c r="F7" s="1">
        <v>0.7</v>
      </c>
      <c r="G7" s="1">
        <v>30.9</v>
      </c>
      <c r="H7" s="1">
        <v>8.1999999999999993</v>
      </c>
      <c r="I7" s="1">
        <v>2.7</v>
      </c>
      <c r="K7" s="92">
        <v>0.3</v>
      </c>
      <c r="L7" s="93">
        <v>23.336684997999999</v>
      </c>
      <c r="M7" s="93">
        <v>0.41377805899999998</v>
      </c>
      <c r="N7" s="279">
        <v>77755</v>
      </c>
    </row>
    <row r="8" spans="1:51" s="1" customFormat="1" x14ac:dyDescent="0.25">
      <c r="A8" s="11">
        <v>38749</v>
      </c>
      <c r="B8" s="82">
        <f>B7+C8</f>
        <v>147.5</v>
      </c>
      <c r="C8" s="88">
        <f t="shared" ref="C8:C71" si="0">SUM(D8,K8)</f>
        <v>95.100000000000009</v>
      </c>
      <c r="D8" s="89">
        <f t="shared" ref="D8:D71" si="1">SUM(E8:J8)</f>
        <v>91.7</v>
      </c>
      <c r="E8" s="1">
        <v>38.4</v>
      </c>
      <c r="F8" s="1">
        <v>1.1000000000000001</v>
      </c>
      <c r="G8" s="1">
        <v>39.299999999999997</v>
      </c>
      <c r="H8" s="1">
        <v>10.7</v>
      </c>
      <c r="I8" s="1">
        <v>2.2000000000000002</v>
      </c>
      <c r="K8" s="92">
        <v>3.4</v>
      </c>
      <c r="L8" s="93">
        <v>21.931053616</v>
      </c>
      <c r="M8" s="93">
        <f>0.556725218</f>
        <v>0.55672521799999997</v>
      </c>
      <c r="N8" s="279">
        <v>78139</v>
      </c>
    </row>
    <row r="9" spans="1:51" s="1" customFormat="1" x14ac:dyDescent="0.25">
      <c r="A9" s="11">
        <v>38777</v>
      </c>
      <c r="B9" s="82">
        <f t="shared" ref="B9:B18" si="2">B8+C9</f>
        <v>221</v>
      </c>
      <c r="C9" s="88">
        <f t="shared" si="0"/>
        <v>73.500000000000014</v>
      </c>
      <c r="D9" s="89">
        <f t="shared" si="1"/>
        <v>69.800000000000011</v>
      </c>
      <c r="E9" s="1">
        <v>13.5</v>
      </c>
      <c r="F9" s="1">
        <v>0.9</v>
      </c>
      <c r="G9" s="1">
        <v>38.6</v>
      </c>
      <c r="H9" s="1">
        <v>13.4</v>
      </c>
      <c r="I9" s="1">
        <v>3.4</v>
      </c>
      <c r="K9" s="92">
        <v>3.7</v>
      </c>
      <c r="L9" s="93">
        <v>22.589721871999998</v>
      </c>
      <c r="M9" s="93">
        <v>0.55783814799999998</v>
      </c>
      <c r="N9" s="279">
        <v>78360</v>
      </c>
    </row>
    <row r="10" spans="1:51" s="1" customFormat="1" x14ac:dyDescent="0.25">
      <c r="A10" s="11">
        <v>38808</v>
      </c>
      <c r="B10" s="82">
        <f t="shared" si="2"/>
        <v>311</v>
      </c>
      <c r="C10" s="88">
        <f t="shared" si="0"/>
        <v>90.000000000000014</v>
      </c>
      <c r="D10" s="89">
        <f t="shared" si="1"/>
        <v>87.600000000000009</v>
      </c>
      <c r="E10" s="1">
        <v>34.299999999999997</v>
      </c>
      <c r="F10" s="1">
        <v>0.8</v>
      </c>
      <c r="G10" s="1">
        <v>38.200000000000003</v>
      </c>
      <c r="H10" s="1">
        <v>11.9</v>
      </c>
      <c r="I10" s="1">
        <v>2.4</v>
      </c>
      <c r="K10" s="92">
        <v>2.4</v>
      </c>
      <c r="L10" s="93">
        <v>23.563097118000002</v>
      </c>
      <c r="M10" s="93">
        <v>0.324658004</v>
      </c>
      <c r="N10" s="279">
        <v>78431</v>
      </c>
    </row>
    <row r="11" spans="1:51" s="1" customFormat="1" x14ac:dyDescent="0.25">
      <c r="A11" s="11">
        <v>38838</v>
      </c>
      <c r="B11" s="82">
        <f t="shared" si="2"/>
        <v>392.7</v>
      </c>
      <c r="C11" s="88">
        <f t="shared" si="0"/>
        <v>81.7</v>
      </c>
      <c r="D11" s="89">
        <f t="shared" si="1"/>
        <v>70.5</v>
      </c>
      <c r="E11" s="1">
        <v>12.2</v>
      </c>
      <c r="F11" s="1">
        <v>0.7</v>
      </c>
      <c r="G11" s="1">
        <v>42.7</v>
      </c>
      <c r="H11" s="1">
        <v>12</v>
      </c>
      <c r="I11" s="1">
        <v>2.9</v>
      </c>
      <c r="K11" s="92">
        <v>11.2</v>
      </c>
      <c r="L11" s="93">
        <v>22.216917344999999</v>
      </c>
      <c r="M11" s="93">
        <v>0.46765520599999999</v>
      </c>
      <c r="N11" s="279">
        <v>78505</v>
      </c>
    </row>
    <row r="12" spans="1:51" s="1" customFormat="1" x14ac:dyDescent="0.25">
      <c r="A12" s="11">
        <v>38869</v>
      </c>
      <c r="B12" s="82">
        <f t="shared" si="2"/>
        <v>483.9</v>
      </c>
      <c r="C12" s="88">
        <f t="shared" si="0"/>
        <v>91.2</v>
      </c>
      <c r="D12" s="89">
        <f t="shared" si="1"/>
        <v>90.600000000000009</v>
      </c>
      <c r="E12" s="1">
        <v>33.700000000000003</v>
      </c>
      <c r="F12" s="1">
        <v>0.7</v>
      </c>
      <c r="G12" s="1">
        <v>39.9</v>
      </c>
      <c r="H12" s="1">
        <v>12.6</v>
      </c>
      <c r="I12" s="1">
        <v>3.7</v>
      </c>
      <c r="K12" s="92">
        <v>0.6</v>
      </c>
      <c r="L12" s="93">
        <v>22.515916479000001</v>
      </c>
      <c r="M12" s="93">
        <v>0.45615166600000001</v>
      </c>
      <c r="N12" s="279">
        <v>78748</v>
      </c>
    </row>
    <row r="13" spans="1:51" s="1" customFormat="1" x14ac:dyDescent="0.25">
      <c r="A13" s="11">
        <v>38899</v>
      </c>
      <c r="B13" s="82">
        <f t="shared" si="2"/>
        <v>562.9</v>
      </c>
      <c r="C13" s="88">
        <f t="shared" si="0"/>
        <v>79</v>
      </c>
      <c r="D13" s="89">
        <f t="shared" si="1"/>
        <v>75</v>
      </c>
      <c r="E13" s="1">
        <v>15</v>
      </c>
      <c r="F13" s="1">
        <v>0.9</v>
      </c>
      <c r="G13" s="1">
        <v>43.4</v>
      </c>
      <c r="H13" s="1">
        <v>12.3</v>
      </c>
      <c r="I13" s="1">
        <v>3.4</v>
      </c>
      <c r="K13" s="92">
        <v>4</v>
      </c>
      <c r="L13" s="93">
        <f>23.813626279</f>
        <v>23.813626279000001</v>
      </c>
      <c r="M13" s="93">
        <v>0.33868863100000002</v>
      </c>
      <c r="N13" s="279">
        <v>79046</v>
      </c>
    </row>
    <row r="14" spans="1:51" s="1" customFormat="1" x14ac:dyDescent="0.25">
      <c r="A14" s="11">
        <v>38930</v>
      </c>
      <c r="B14" s="82">
        <f t="shared" si="2"/>
        <v>635.6</v>
      </c>
      <c r="C14" s="88">
        <f t="shared" si="0"/>
        <v>72.7</v>
      </c>
      <c r="D14" s="89">
        <f t="shared" si="1"/>
        <v>72.3</v>
      </c>
      <c r="E14" s="1">
        <v>10.1</v>
      </c>
      <c r="F14" s="1">
        <v>0.8</v>
      </c>
      <c r="G14" s="1">
        <v>43.8</v>
      </c>
      <c r="H14" s="1">
        <v>14.7</v>
      </c>
      <c r="I14" s="1">
        <v>2.9</v>
      </c>
      <c r="K14" s="92">
        <v>0.4</v>
      </c>
      <c r="L14" s="93">
        <v>22.462038059000001</v>
      </c>
      <c r="M14" s="93">
        <v>0.30678097100000001</v>
      </c>
      <c r="N14" s="279">
        <v>79299</v>
      </c>
    </row>
    <row r="15" spans="1:51" s="1" customFormat="1" x14ac:dyDescent="0.25">
      <c r="A15" s="11">
        <v>38961</v>
      </c>
      <c r="B15" s="82">
        <f t="shared" si="2"/>
        <v>705.48</v>
      </c>
      <c r="C15" s="88">
        <f t="shared" si="0"/>
        <v>69.88000000000001</v>
      </c>
      <c r="D15" s="89">
        <f t="shared" si="1"/>
        <v>67.98</v>
      </c>
      <c r="E15" s="1">
        <v>6.2</v>
      </c>
      <c r="F15" s="1">
        <v>0.64</v>
      </c>
      <c r="G15" s="1">
        <v>43.84</v>
      </c>
      <c r="H15" s="1">
        <v>14.3</v>
      </c>
      <c r="I15" s="1">
        <v>3</v>
      </c>
      <c r="K15" s="92">
        <v>1.9</v>
      </c>
      <c r="L15" s="93">
        <v>22.879069719</v>
      </c>
      <c r="M15" s="93">
        <v>0.38967117699999998</v>
      </c>
      <c r="N15" s="279">
        <v>79476</v>
      </c>
    </row>
    <row r="16" spans="1:51" s="1" customFormat="1" x14ac:dyDescent="0.25">
      <c r="A16" s="11">
        <v>38991</v>
      </c>
      <c r="B16" s="82">
        <f t="shared" si="2"/>
        <v>779.80000000000007</v>
      </c>
      <c r="C16" s="88">
        <f t="shared" si="0"/>
        <v>74.320000000000007</v>
      </c>
      <c r="D16" s="89">
        <f t="shared" si="1"/>
        <v>72.42</v>
      </c>
      <c r="E16" s="1">
        <v>12.8</v>
      </c>
      <c r="F16" s="1">
        <v>0.74</v>
      </c>
      <c r="G16" s="1">
        <v>42.64</v>
      </c>
      <c r="H16" s="1">
        <v>13.3</v>
      </c>
      <c r="I16" s="1">
        <v>2.94</v>
      </c>
      <c r="K16" s="92">
        <v>1.9</v>
      </c>
      <c r="L16" s="93">
        <v>26.900399696000001</v>
      </c>
      <c r="M16" s="93">
        <v>0.93213624399999995</v>
      </c>
      <c r="N16" s="279">
        <v>79650</v>
      </c>
    </row>
    <row r="17" spans="1:14" s="1" customFormat="1" x14ac:dyDescent="0.25">
      <c r="A17" s="11">
        <v>39022</v>
      </c>
      <c r="B17" s="82">
        <f t="shared" si="2"/>
        <v>855.1</v>
      </c>
      <c r="C17" s="88">
        <f t="shared" si="0"/>
        <v>75.299999999999983</v>
      </c>
      <c r="D17" s="89">
        <f t="shared" si="1"/>
        <v>74.199999999999989</v>
      </c>
      <c r="E17" s="1">
        <v>9.6999999999999993</v>
      </c>
      <c r="F17" s="1">
        <v>0.8</v>
      </c>
      <c r="G17" s="1">
        <v>46.4</v>
      </c>
      <c r="H17" s="1">
        <v>14.7</v>
      </c>
      <c r="I17" s="1">
        <v>2.6</v>
      </c>
      <c r="K17" s="92">
        <v>1.1000000000000001</v>
      </c>
      <c r="L17" s="93">
        <v>25.018857856</v>
      </c>
      <c r="M17" s="93">
        <v>0.31908114399999998</v>
      </c>
      <c r="N17" s="279">
        <v>79784</v>
      </c>
    </row>
    <row r="18" spans="1:14" s="1" customFormat="1" x14ac:dyDescent="0.25">
      <c r="A18" s="11">
        <v>39052</v>
      </c>
      <c r="B18" s="82">
        <f t="shared" si="2"/>
        <v>960.7</v>
      </c>
      <c r="C18" s="88">
        <f t="shared" si="0"/>
        <v>105.6</v>
      </c>
      <c r="D18" s="89">
        <f t="shared" si="1"/>
        <v>96.899999999999991</v>
      </c>
      <c r="E18" s="1">
        <v>14.4</v>
      </c>
      <c r="F18" s="1">
        <v>0.8</v>
      </c>
      <c r="G18" s="1">
        <v>56.4</v>
      </c>
      <c r="H18" s="1">
        <v>19.3</v>
      </c>
      <c r="I18" s="1">
        <v>3.9</v>
      </c>
      <c r="J18" s="1">
        <v>2.1</v>
      </c>
      <c r="K18" s="92">
        <v>8.6999999999999993</v>
      </c>
      <c r="L18" s="93">
        <v>25.291117652000001</v>
      </c>
      <c r="M18" s="93">
        <v>0.30946758800000002</v>
      </c>
      <c r="N18" s="279">
        <v>79936</v>
      </c>
    </row>
    <row r="19" spans="1:14" s="1" customFormat="1" x14ac:dyDescent="0.25">
      <c r="A19" s="11">
        <v>39083</v>
      </c>
      <c r="B19" s="82">
        <f>C19</f>
        <v>70.5</v>
      </c>
      <c r="C19" s="88">
        <f t="shared" si="0"/>
        <v>70.5</v>
      </c>
      <c r="D19" s="89">
        <f t="shared" si="1"/>
        <v>69.3</v>
      </c>
      <c r="E19" s="1">
        <v>13.4</v>
      </c>
      <c r="F19" s="1">
        <v>1</v>
      </c>
      <c r="G19" s="1">
        <v>37.6</v>
      </c>
      <c r="H19" s="1">
        <v>11.1</v>
      </c>
      <c r="I19" s="1">
        <v>3.5</v>
      </c>
      <c r="J19" s="1">
        <v>2.7</v>
      </c>
      <c r="K19" s="92">
        <v>1.2</v>
      </c>
      <c r="L19" s="93">
        <v>26.757415933000001</v>
      </c>
      <c r="M19" s="93">
        <v>0.215055046</v>
      </c>
      <c r="N19" s="279">
        <v>80191</v>
      </c>
    </row>
    <row r="20" spans="1:14" s="1" customFormat="1" x14ac:dyDescent="0.25">
      <c r="A20" s="11">
        <v>39114</v>
      </c>
      <c r="B20" s="82">
        <f>B19+C20</f>
        <v>170.7</v>
      </c>
      <c r="C20" s="88">
        <f t="shared" si="0"/>
        <v>100.2</v>
      </c>
      <c r="D20" s="89">
        <f t="shared" si="1"/>
        <v>100</v>
      </c>
      <c r="E20" s="1">
        <v>36.700000000000003</v>
      </c>
      <c r="F20" s="1">
        <v>0.6</v>
      </c>
      <c r="G20" s="1">
        <v>45.4</v>
      </c>
      <c r="H20" s="1">
        <v>14.2</v>
      </c>
      <c r="I20" s="1">
        <v>3.1</v>
      </c>
      <c r="J20" s="1">
        <v>0</v>
      </c>
      <c r="K20" s="92">
        <v>0.2</v>
      </c>
      <c r="L20" s="93">
        <v>26.885940992999998</v>
      </c>
      <c r="M20" s="93">
        <v>0.40614897599999999</v>
      </c>
      <c r="N20" s="279">
        <v>80397</v>
      </c>
    </row>
    <row r="21" spans="1:14" s="1" customFormat="1" x14ac:dyDescent="0.25">
      <c r="A21" s="11">
        <v>39142</v>
      </c>
      <c r="B21" s="82">
        <f t="shared" ref="B21:B30" si="3">B20+C21</f>
        <v>253.1</v>
      </c>
      <c r="C21" s="88">
        <f t="shared" si="0"/>
        <v>82.4</v>
      </c>
      <c r="D21" s="89">
        <f t="shared" si="1"/>
        <v>81.900000000000006</v>
      </c>
      <c r="E21" s="1">
        <v>11.6</v>
      </c>
      <c r="F21" s="1">
        <v>0.9</v>
      </c>
      <c r="G21" s="1">
        <v>45.9</v>
      </c>
      <c r="H21" s="1">
        <v>16.5</v>
      </c>
      <c r="I21" s="1">
        <v>3.6</v>
      </c>
      <c r="J21" s="1">
        <v>3.4</v>
      </c>
      <c r="K21" s="92">
        <v>0.5</v>
      </c>
      <c r="L21" s="93">
        <v>28.356829000000001</v>
      </c>
      <c r="M21" s="93">
        <v>0.37036243600000002</v>
      </c>
      <c r="N21" s="279">
        <v>80863</v>
      </c>
    </row>
    <row r="22" spans="1:14" s="1" customFormat="1" x14ac:dyDescent="0.25">
      <c r="A22" s="11">
        <v>39173</v>
      </c>
      <c r="B22" s="82">
        <f t="shared" si="3"/>
        <v>354.9</v>
      </c>
      <c r="C22" s="88">
        <f t="shared" si="0"/>
        <v>101.79999999999998</v>
      </c>
      <c r="D22" s="89">
        <f t="shared" si="1"/>
        <v>101.09999999999998</v>
      </c>
      <c r="E22" s="1">
        <v>32.4</v>
      </c>
      <c r="F22" s="1">
        <v>0.9</v>
      </c>
      <c r="G22" s="1">
        <v>47.9</v>
      </c>
      <c r="H22" s="1">
        <v>14</v>
      </c>
      <c r="I22" s="1">
        <v>3.3</v>
      </c>
      <c r="J22" s="1">
        <v>2.6</v>
      </c>
      <c r="K22" s="92">
        <v>0.7</v>
      </c>
      <c r="L22" s="93">
        <v>27.567419918999999</v>
      </c>
      <c r="M22" s="93">
        <v>0.32186350899999999</v>
      </c>
      <c r="N22" s="279">
        <v>80823</v>
      </c>
    </row>
    <row r="23" spans="1:14" s="1" customFormat="1" x14ac:dyDescent="0.25">
      <c r="A23" s="11">
        <v>39203</v>
      </c>
      <c r="B23" s="82">
        <f t="shared" si="3"/>
        <v>433.59999999999997</v>
      </c>
      <c r="C23" s="88">
        <f t="shared" si="0"/>
        <v>78.699999999999989</v>
      </c>
      <c r="D23" s="89">
        <f t="shared" si="1"/>
        <v>76.099999999999994</v>
      </c>
      <c r="E23" s="1">
        <v>11.7</v>
      </c>
      <c r="F23" s="1">
        <v>0.9</v>
      </c>
      <c r="G23" s="1">
        <v>41.5</v>
      </c>
      <c r="H23" s="1">
        <v>13.9</v>
      </c>
      <c r="I23" s="1">
        <v>3.6</v>
      </c>
      <c r="J23" s="1">
        <v>4.5</v>
      </c>
      <c r="K23" s="92">
        <v>2.6</v>
      </c>
      <c r="L23" s="93">
        <v>25.922533999999999</v>
      </c>
      <c r="M23" s="93">
        <v>0.266059975</v>
      </c>
      <c r="N23" s="279">
        <v>80888</v>
      </c>
    </row>
    <row r="24" spans="1:14" s="1" customFormat="1" x14ac:dyDescent="0.25">
      <c r="A24" s="11">
        <v>39234</v>
      </c>
      <c r="B24" s="82">
        <f t="shared" si="3"/>
        <v>541.19999999999993</v>
      </c>
      <c r="C24" s="88">
        <f t="shared" si="0"/>
        <v>107.6</v>
      </c>
      <c r="D24" s="89">
        <f t="shared" si="1"/>
        <v>101.6</v>
      </c>
      <c r="E24" s="1">
        <v>38.6</v>
      </c>
      <c r="F24" s="1">
        <v>0.7</v>
      </c>
      <c r="G24" s="1">
        <v>43.6</v>
      </c>
      <c r="H24" s="1">
        <v>13.8</v>
      </c>
      <c r="I24" s="1">
        <v>3.6</v>
      </c>
      <c r="J24" s="1">
        <v>1.3</v>
      </c>
      <c r="K24" s="92">
        <v>6</v>
      </c>
      <c r="L24" s="93">
        <v>26.758983000000001</v>
      </c>
      <c r="M24" s="93">
        <v>0.37458974</v>
      </c>
      <c r="N24" s="279">
        <v>81308</v>
      </c>
    </row>
    <row r="25" spans="1:14" s="1" customFormat="1" x14ac:dyDescent="0.25">
      <c r="A25" s="11">
        <v>39264</v>
      </c>
      <c r="B25" s="82">
        <f t="shared" si="3"/>
        <v>642.81999999999994</v>
      </c>
      <c r="C25" s="88">
        <f t="shared" si="0"/>
        <v>101.61999999999999</v>
      </c>
      <c r="D25" s="89">
        <f t="shared" si="1"/>
        <v>81.47999999999999</v>
      </c>
      <c r="E25" s="1">
        <v>14.1</v>
      </c>
      <c r="F25" s="1">
        <v>0.8</v>
      </c>
      <c r="G25" s="1">
        <v>46.3</v>
      </c>
      <c r="H25" s="1">
        <v>15.4</v>
      </c>
      <c r="I25" s="1">
        <v>3.64</v>
      </c>
      <c r="J25" s="1">
        <v>1.24</v>
      </c>
      <c r="K25" s="92">
        <v>20.14</v>
      </c>
      <c r="L25" s="93">
        <v>28.242439999999998</v>
      </c>
      <c r="M25" s="93">
        <v>0.34866679900000003</v>
      </c>
      <c r="N25" s="279">
        <v>81250</v>
      </c>
    </row>
    <row r="26" spans="1:14" s="1" customFormat="1" x14ac:dyDescent="0.25">
      <c r="A26" s="11">
        <v>39295</v>
      </c>
      <c r="B26" s="82">
        <f t="shared" si="3"/>
        <v>718.11999999999989</v>
      </c>
      <c r="C26" s="88">
        <f t="shared" si="0"/>
        <v>75.3</v>
      </c>
      <c r="D26" s="89">
        <f t="shared" si="1"/>
        <v>73.2</v>
      </c>
      <c r="E26" s="1">
        <v>10.1</v>
      </c>
      <c r="F26" s="1">
        <v>0.6</v>
      </c>
      <c r="G26" s="1">
        <v>42</v>
      </c>
      <c r="H26" s="1">
        <v>15.1</v>
      </c>
      <c r="I26" s="1">
        <v>3.4</v>
      </c>
      <c r="J26" s="1">
        <v>2</v>
      </c>
      <c r="K26" s="92">
        <v>2.1</v>
      </c>
      <c r="L26" s="93">
        <v>26.671586243</v>
      </c>
      <c r="M26" s="93">
        <v>0.79578886800000004</v>
      </c>
      <c r="N26" s="279">
        <v>81230</v>
      </c>
    </row>
    <row r="27" spans="1:14" s="1" customFormat="1" x14ac:dyDescent="0.25">
      <c r="A27" s="11">
        <v>39326</v>
      </c>
      <c r="B27" s="82">
        <f t="shared" si="3"/>
        <v>787.31999999999994</v>
      </c>
      <c r="C27" s="88">
        <f t="shared" si="0"/>
        <v>69.2</v>
      </c>
      <c r="D27" s="89">
        <f t="shared" si="1"/>
        <v>65.5</v>
      </c>
      <c r="E27" s="1">
        <v>11.7</v>
      </c>
      <c r="F27" s="1">
        <v>0.8</v>
      </c>
      <c r="G27" s="1">
        <v>36.9</v>
      </c>
      <c r="H27" s="1">
        <v>12.1</v>
      </c>
      <c r="I27" s="1">
        <v>2.8</v>
      </c>
      <c r="J27" s="1">
        <v>1.2</v>
      </c>
      <c r="K27" s="92">
        <v>3.7</v>
      </c>
      <c r="L27" s="93">
        <v>26.968988</v>
      </c>
      <c r="M27" s="93">
        <v>0.520943186</v>
      </c>
      <c r="N27" s="279">
        <v>81471</v>
      </c>
    </row>
    <row r="28" spans="1:14" s="1" customFormat="1" x14ac:dyDescent="0.25">
      <c r="A28" s="11">
        <v>39356</v>
      </c>
      <c r="B28" s="82">
        <f t="shared" si="3"/>
        <v>867.81999999999994</v>
      </c>
      <c r="C28" s="88">
        <f t="shared" si="0"/>
        <v>80.5</v>
      </c>
      <c r="D28" s="89">
        <f t="shared" si="1"/>
        <v>80.2</v>
      </c>
      <c r="E28" s="1">
        <v>16</v>
      </c>
      <c r="F28" s="1">
        <v>1</v>
      </c>
      <c r="G28" s="1">
        <v>44.2</v>
      </c>
      <c r="H28" s="1">
        <v>14.7</v>
      </c>
      <c r="I28" s="1">
        <v>3.1</v>
      </c>
      <c r="J28" s="1">
        <v>1.2</v>
      </c>
      <c r="K28" s="92">
        <v>0.3</v>
      </c>
      <c r="L28" s="93">
        <v>28.801850000000002</v>
      </c>
      <c r="M28" s="93">
        <v>0.27311366999999998</v>
      </c>
      <c r="N28" s="279">
        <v>81488</v>
      </c>
    </row>
    <row r="29" spans="1:14" s="1" customFormat="1" x14ac:dyDescent="0.25">
      <c r="A29" s="11">
        <v>39387</v>
      </c>
      <c r="B29" s="82">
        <f t="shared" si="3"/>
        <v>945.61999999999989</v>
      </c>
      <c r="C29" s="88">
        <f t="shared" si="0"/>
        <v>77.8</v>
      </c>
      <c r="D29" s="89">
        <f t="shared" si="1"/>
        <v>76.399999999999991</v>
      </c>
      <c r="E29" s="1">
        <v>12.4</v>
      </c>
      <c r="F29" s="1">
        <v>0.8</v>
      </c>
      <c r="G29" s="1">
        <v>45.2</v>
      </c>
      <c r="H29" s="1">
        <v>14.3</v>
      </c>
      <c r="I29" s="1">
        <v>2.6</v>
      </c>
      <c r="J29" s="1">
        <v>1.1000000000000001</v>
      </c>
      <c r="K29" s="92">
        <v>1.4</v>
      </c>
      <c r="L29" s="93">
        <v>27.581994999999999</v>
      </c>
      <c r="M29" s="93">
        <v>0.37241945700000001</v>
      </c>
      <c r="N29" s="279">
        <v>81881</v>
      </c>
    </row>
    <row r="30" spans="1:14" s="1" customFormat="1" x14ac:dyDescent="0.25">
      <c r="A30" s="11">
        <v>39417</v>
      </c>
      <c r="B30" s="82">
        <f t="shared" si="3"/>
        <v>1102.9199999999998</v>
      </c>
      <c r="C30" s="88">
        <f t="shared" si="0"/>
        <v>157.30000000000001</v>
      </c>
      <c r="D30" s="89">
        <f t="shared" si="1"/>
        <v>139.20000000000002</v>
      </c>
      <c r="E30" s="1">
        <v>14.8</v>
      </c>
      <c r="F30" s="1">
        <v>0.9</v>
      </c>
      <c r="G30" s="1">
        <v>86.7</v>
      </c>
      <c r="H30" s="1">
        <v>31.5</v>
      </c>
      <c r="I30" s="1">
        <v>3.9</v>
      </c>
      <c r="J30" s="1">
        <v>1.4</v>
      </c>
      <c r="K30" s="92">
        <v>18.100000000000001</v>
      </c>
      <c r="L30" s="93">
        <v>27.262944000000001</v>
      </c>
      <c r="M30" s="93">
        <v>0.35732372600000001</v>
      </c>
      <c r="N30" s="279">
        <v>82215</v>
      </c>
    </row>
    <row r="31" spans="1:14" s="1" customFormat="1" x14ac:dyDescent="0.25">
      <c r="A31" s="11">
        <v>39448</v>
      </c>
      <c r="B31" s="82">
        <f>C31</f>
        <v>75.3</v>
      </c>
      <c r="C31" s="88">
        <f t="shared" si="0"/>
        <v>75.3</v>
      </c>
      <c r="D31" s="89">
        <f t="shared" si="1"/>
        <v>74.599999999999994</v>
      </c>
      <c r="E31" s="1">
        <v>14.8</v>
      </c>
      <c r="F31" s="1">
        <v>0.9</v>
      </c>
      <c r="G31" s="1">
        <v>42</v>
      </c>
      <c r="H31" s="1">
        <v>11.3</v>
      </c>
      <c r="I31" s="1">
        <v>3.3</v>
      </c>
      <c r="J31" s="1">
        <v>2.2999999999999998</v>
      </c>
      <c r="K31" s="92">
        <v>0.7</v>
      </c>
      <c r="L31" s="93">
        <v>29.351071000000001</v>
      </c>
      <c r="M31" s="93">
        <v>0.40757831900000002</v>
      </c>
      <c r="N31" s="279">
        <v>82488</v>
      </c>
    </row>
    <row r="32" spans="1:14" s="1" customFormat="1" x14ac:dyDescent="0.25">
      <c r="A32" s="11">
        <v>39479</v>
      </c>
      <c r="B32" s="82">
        <f>B31+C32</f>
        <v>184.39999999999998</v>
      </c>
      <c r="C32" s="88">
        <f t="shared" si="0"/>
        <v>109.1</v>
      </c>
      <c r="D32" s="89">
        <f t="shared" si="1"/>
        <v>105</v>
      </c>
      <c r="E32" s="1">
        <v>41.3</v>
      </c>
      <c r="F32" s="1">
        <v>1</v>
      </c>
      <c r="G32" s="1">
        <v>46</v>
      </c>
      <c r="H32" s="1">
        <v>12</v>
      </c>
      <c r="I32" s="1">
        <v>3.3</v>
      </c>
      <c r="J32" s="1">
        <v>1.4</v>
      </c>
      <c r="K32" s="92">
        <v>4.0999999999999996</v>
      </c>
      <c r="L32" s="93">
        <v>27.757632000000001</v>
      </c>
      <c r="M32" s="93">
        <v>0.583076861</v>
      </c>
      <c r="N32" s="279">
        <v>82796</v>
      </c>
    </row>
    <row r="33" spans="1:14" s="1" customFormat="1" x14ac:dyDescent="0.25">
      <c r="A33" s="11">
        <v>39508</v>
      </c>
      <c r="B33" s="82">
        <f t="shared" ref="B33:B42" si="4">B32+C33</f>
        <v>263</v>
      </c>
      <c r="C33" s="88">
        <f t="shared" si="0"/>
        <v>78.600000000000009</v>
      </c>
      <c r="D33" s="89">
        <f t="shared" si="1"/>
        <v>78.100000000000009</v>
      </c>
      <c r="E33" s="1">
        <v>14.6</v>
      </c>
      <c r="F33" s="1">
        <v>0.7</v>
      </c>
      <c r="G33" s="1">
        <v>44</v>
      </c>
      <c r="H33" s="1">
        <v>12.7</v>
      </c>
      <c r="I33" s="1">
        <v>4.2</v>
      </c>
      <c r="J33" s="1">
        <v>1.9</v>
      </c>
      <c r="K33" s="92">
        <v>0.5</v>
      </c>
      <c r="L33" s="93">
        <v>28.193711</v>
      </c>
      <c r="M33" s="93">
        <v>0.34946219899999997</v>
      </c>
      <c r="N33" s="279">
        <v>82963</v>
      </c>
    </row>
    <row r="34" spans="1:14" s="1" customFormat="1" x14ac:dyDescent="0.25">
      <c r="A34" s="11">
        <v>39539</v>
      </c>
      <c r="B34" s="82">
        <f t="shared" si="4"/>
        <v>374.4</v>
      </c>
      <c r="C34" s="88">
        <f t="shared" si="0"/>
        <v>111.39999999999999</v>
      </c>
      <c r="D34" s="89">
        <f t="shared" si="1"/>
        <v>110.89999999999999</v>
      </c>
      <c r="E34" s="1">
        <v>44</v>
      </c>
      <c r="F34" s="1">
        <v>0.7</v>
      </c>
      <c r="G34" s="1">
        <v>47.8</v>
      </c>
      <c r="H34" s="1">
        <v>12.1</v>
      </c>
      <c r="I34" s="1">
        <v>3</v>
      </c>
      <c r="J34" s="1">
        <v>3.3</v>
      </c>
      <c r="K34" s="92">
        <v>0.5</v>
      </c>
      <c r="L34" s="93">
        <v>28.059536000000001</v>
      </c>
      <c r="M34" s="93">
        <v>0.32813510099999998</v>
      </c>
      <c r="N34" s="279">
        <v>82271</v>
      </c>
    </row>
    <row r="35" spans="1:14" s="1" customFormat="1" x14ac:dyDescent="0.25">
      <c r="A35" s="11">
        <v>39569</v>
      </c>
      <c r="B35" s="82">
        <f t="shared" si="4"/>
        <v>471.09999999999997</v>
      </c>
      <c r="C35" s="88">
        <f t="shared" si="0"/>
        <v>96.699999999999989</v>
      </c>
      <c r="D35" s="89">
        <f t="shared" si="1"/>
        <v>82.499999999999986</v>
      </c>
      <c r="E35" s="1">
        <v>13.7</v>
      </c>
      <c r="F35" s="1">
        <v>0.7</v>
      </c>
      <c r="G35" s="1">
        <v>48.8</v>
      </c>
      <c r="H35" s="1">
        <v>13.2</v>
      </c>
      <c r="I35" s="1">
        <v>3.1</v>
      </c>
      <c r="J35" s="1">
        <v>3</v>
      </c>
      <c r="K35" s="92">
        <v>14.2</v>
      </c>
      <c r="L35" s="93">
        <v>29.481301999999999</v>
      </c>
      <c r="M35" s="93">
        <v>0.331414563</v>
      </c>
      <c r="N35" s="279">
        <v>84050</v>
      </c>
    </row>
    <row r="36" spans="1:14" s="1" customFormat="1" x14ac:dyDescent="0.25">
      <c r="A36" s="11">
        <v>39600</v>
      </c>
      <c r="B36" s="82">
        <f t="shared" si="4"/>
        <v>578.5</v>
      </c>
      <c r="C36" s="88">
        <f t="shared" si="0"/>
        <v>107.4</v>
      </c>
      <c r="D36" s="89">
        <f t="shared" si="1"/>
        <v>105.9</v>
      </c>
      <c r="E36" s="1">
        <v>45.9</v>
      </c>
      <c r="F36" s="1">
        <v>0.7</v>
      </c>
      <c r="G36" s="1">
        <v>42.1</v>
      </c>
      <c r="H36" s="1">
        <v>11</v>
      </c>
      <c r="I36" s="1">
        <v>3.4</v>
      </c>
      <c r="J36" s="1">
        <v>2.8</v>
      </c>
      <c r="K36" s="92">
        <v>1.5</v>
      </c>
      <c r="L36" s="93">
        <v>28.312531</v>
      </c>
      <c r="M36" s="93">
        <v>0.35600150600000002</v>
      </c>
      <c r="N36" s="279">
        <v>84071</v>
      </c>
    </row>
    <row r="37" spans="1:14" s="1" customFormat="1" x14ac:dyDescent="0.25">
      <c r="A37" s="11">
        <v>39630</v>
      </c>
      <c r="B37" s="82">
        <f t="shared" si="4"/>
        <v>653.29999999999995</v>
      </c>
      <c r="C37" s="88">
        <f t="shared" si="0"/>
        <v>74.800000000000011</v>
      </c>
      <c r="D37" s="89">
        <f t="shared" si="1"/>
        <v>74.400000000000006</v>
      </c>
      <c r="E37" s="1">
        <v>16.2</v>
      </c>
      <c r="F37" s="1">
        <v>0.3</v>
      </c>
      <c r="G37" s="1">
        <v>40.299999999999997</v>
      </c>
      <c r="H37" s="1">
        <v>10.7</v>
      </c>
      <c r="I37" s="1">
        <v>3.2</v>
      </c>
      <c r="J37" s="1">
        <v>3.7</v>
      </c>
      <c r="K37" s="92">
        <v>0.4</v>
      </c>
      <c r="L37" s="93">
        <v>30.64987266</v>
      </c>
      <c r="M37" s="93">
        <v>0.41430351700000001</v>
      </c>
      <c r="N37" s="279">
        <v>83911</v>
      </c>
    </row>
    <row r="38" spans="1:14" s="1" customFormat="1" x14ac:dyDescent="0.25">
      <c r="A38" s="11">
        <v>39661</v>
      </c>
      <c r="B38" s="82">
        <f t="shared" si="4"/>
        <v>727.4</v>
      </c>
      <c r="C38" s="88">
        <f t="shared" si="0"/>
        <v>74.100000000000009</v>
      </c>
      <c r="D38" s="89">
        <f t="shared" si="1"/>
        <v>73.2</v>
      </c>
      <c r="E38" s="1">
        <v>13.2</v>
      </c>
      <c r="F38" s="1">
        <v>0.8</v>
      </c>
      <c r="G38" s="1">
        <v>42.3</v>
      </c>
      <c r="H38" s="1">
        <v>12</v>
      </c>
      <c r="I38" s="1">
        <v>2.9</v>
      </c>
      <c r="J38" s="1">
        <v>2</v>
      </c>
      <c r="K38" s="92">
        <v>0.9</v>
      </c>
      <c r="L38" s="93">
        <v>27.028804000000001</v>
      </c>
      <c r="M38" s="93">
        <v>0.28216300999999999</v>
      </c>
      <c r="N38" s="279">
        <v>80565</v>
      </c>
    </row>
    <row r="39" spans="1:14" s="1" customFormat="1" x14ac:dyDescent="0.25">
      <c r="A39" s="11">
        <v>39692</v>
      </c>
      <c r="B39" s="82">
        <f t="shared" si="4"/>
        <v>802</v>
      </c>
      <c r="C39" s="88">
        <f t="shared" si="0"/>
        <v>74.600000000000009</v>
      </c>
      <c r="D39" s="89">
        <f t="shared" si="1"/>
        <v>73.400000000000006</v>
      </c>
      <c r="E39" s="1">
        <v>12</v>
      </c>
      <c r="F39" s="1">
        <v>0.6</v>
      </c>
      <c r="G39" s="1">
        <v>39.4</v>
      </c>
      <c r="H39" s="1">
        <v>14.9</v>
      </c>
      <c r="I39" s="1">
        <v>2.4</v>
      </c>
      <c r="J39" s="1">
        <v>4.0999999999999996</v>
      </c>
      <c r="K39" s="92">
        <v>1.2</v>
      </c>
      <c r="L39" s="93">
        <v>27.980316999999999</v>
      </c>
      <c r="M39" s="93">
        <v>0.33478676000000002</v>
      </c>
      <c r="N39" s="279">
        <v>80825</v>
      </c>
    </row>
    <row r="40" spans="1:14" s="1" customFormat="1" x14ac:dyDescent="0.25">
      <c r="A40" s="11">
        <v>39722</v>
      </c>
      <c r="B40" s="82">
        <f t="shared" si="4"/>
        <v>878.2</v>
      </c>
      <c r="C40" s="88">
        <f t="shared" si="0"/>
        <v>76.199999999999989</v>
      </c>
      <c r="D40" s="89">
        <f t="shared" si="1"/>
        <v>75.899999999999991</v>
      </c>
      <c r="E40" s="1">
        <v>18.100000000000001</v>
      </c>
      <c r="F40" s="1">
        <v>0.9</v>
      </c>
      <c r="G40" s="1">
        <v>38.299999999999997</v>
      </c>
      <c r="H40" s="1">
        <v>12.8</v>
      </c>
      <c r="I40" s="1">
        <v>4.3</v>
      </c>
      <c r="J40" s="1">
        <v>1.5</v>
      </c>
      <c r="K40" s="92">
        <v>0.3</v>
      </c>
      <c r="L40" s="93">
        <v>30.317488999999998</v>
      </c>
      <c r="M40" s="93">
        <v>0.45626161999999998</v>
      </c>
      <c r="N40" s="279">
        <v>80794</v>
      </c>
    </row>
    <row r="41" spans="1:14" s="1" customFormat="1" x14ac:dyDescent="0.25">
      <c r="A41" s="11">
        <v>39753</v>
      </c>
      <c r="B41" s="82">
        <f t="shared" si="4"/>
        <v>965.6</v>
      </c>
      <c r="C41" s="88">
        <f t="shared" si="0"/>
        <v>87.399999999999991</v>
      </c>
      <c r="D41" s="89">
        <f t="shared" si="1"/>
        <v>86.3</v>
      </c>
      <c r="E41" s="1">
        <v>12.9</v>
      </c>
      <c r="F41" s="1">
        <v>1.1000000000000001</v>
      </c>
      <c r="G41" s="1">
        <v>39.299999999999997</v>
      </c>
      <c r="H41" s="1">
        <v>23.4</v>
      </c>
      <c r="I41" s="1">
        <v>6.7</v>
      </c>
      <c r="J41" s="1">
        <v>2.9</v>
      </c>
      <c r="K41" s="92">
        <v>1.1000000000000001</v>
      </c>
      <c r="L41" s="93">
        <v>30.094525000000001</v>
      </c>
      <c r="M41" s="93">
        <v>0.87804362599999997</v>
      </c>
      <c r="N41" s="279">
        <v>80841</v>
      </c>
    </row>
    <row r="42" spans="1:14" s="1" customFormat="1" x14ac:dyDescent="0.25">
      <c r="A42" s="11">
        <v>39783</v>
      </c>
      <c r="B42" s="82">
        <f t="shared" si="4"/>
        <v>1152.3</v>
      </c>
      <c r="C42" s="88">
        <f t="shared" si="0"/>
        <v>186.70000000000002</v>
      </c>
      <c r="D42" s="89">
        <f t="shared" si="1"/>
        <v>147.20000000000002</v>
      </c>
      <c r="E42" s="1">
        <v>16.3</v>
      </c>
      <c r="F42" s="1">
        <v>1.2</v>
      </c>
      <c r="G42" s="1">
        <v>74</v>
      </c>
      <c r="H42" s="1">
        <v>44</v>
      </c>
      <c r="I42" s="1">
        <v>5.4</v>
      </c>
      <c r="J42" s="1">
        <v>6.3</v>
      </c>
      <c r="K42" s="92">
        <v>39.5</v>
      </c>
      <c r="L42" s="93">
        <f>AVERAGE(L31:L41)</f>
        <v>28.838799150909093</v>
      </c>
      <c r="M42" s="93">
        <v>0.41209010699999998</v>
      </c>
      <c r="N42" s="279">
        <v>80766</v>
      </c>
    </row>
    <row r="43" spans="1:14" s="1" customFormat="1" x14ac:dyDescent="0.25">
      <c r="A43" s="11">
        <v>39814</v>
      </c>
      <c r="B43" s="82">
        <f>C43</f>
        <v>74.400000000000006</v>
      </c>
      <c r="C43" s="88">
        <f t="shared" si="0"/>
        <v>74.400000000000006</v>
      </c>
      <c r="D43" s="89">
        <f t="shared" si="1"/>
        <v>73.400000000000006</v>
      </c>
      <c r="E43" s="1">
        <v>20.9</v>
      </c>
      <c r="F43" s="1">
        <v>1.2</v>
      </c>
      <c r="G43" s="1">
        <v>37.200000000000003</v>
      </c>
      <c r="H43" s="1">
        <v>8.5</v>
      </c>
      <c r="I43" s="1">
        <v>3.4</v>
      </c>
      <c r="J43" s="1">
        <v>2.2000000000000002</v>
      </c>
      <c r="K43" s="92">
        <v>1</v>
      </c>
      <c r="L43" s="93">
        <v>30.715225484000001</v>
      </c>
      <c r="M43" s="93">
        <v>0.37523252099999999</v>
      </c>
      <c r="N43" s="279">
        <v>80806</v>
      </c>
    </row>
    <row r="44" spans="1:14" s="1" customFormat="1" x14ac:dyDescent="0.25">
      <c r="A44" s="11">
        <v>39845</v>
      </c>
      <c r="B44" s="82">
        <f>B43+C44</f>
        <v>183.9</v>
      </c>
      <c r="C44" s="88">
        <f t="shared" si="0"/>
        <v>109.5</v>
      </c>
      <c r="D44" s="89">
        <f t="shared" si="1"/>
        <v>108.4</v>
      </c>
      <c r="E44" s="1">
        <v>50.5</v>
      </c>
      <c r="F44" s="1">
        <v>1.6</v>
      </c>
      <c r="G44" s="1">
        <v>40.6</v>
      </c>
      <c r="H44" s="1">
        <v>11.1</v>
      </c>
      <c r="I44" s="1">
        <v>3.4</v>
      </c>
      <c r="J44" s="1">
        <v>1.2</v>
      </c>
      <c r="K44" s="92">
        <v>1.1000000000000001</v>
      </c>
      <c r="L44" s="93">
        <v>27.913057574</v>
      </c>
      <c r="M44" s="93">
        <v>0.34803574100000001</v>
      </c>
      <c r="N44" s="279">
        <v>81295</v>
      </c>
    </row>
    <row r="45" spans="1:14" s="1" customFormat="1" x14ac:dyDescent="0.25">
      <c r="A45" s="11">
        <v>39873</v>
      </c>
      <c r="B45" s="82">
        <f t="shared" ref="B45:B54" si="5">B44+C45</f>
        <v>282.10000000000002</v>
      </c>
      <c r="C45" s="88">
        <f t="shared" si="0"/>
        <v>98.2</v>
      </c>
      <c r="D45" s="89">
        <f t="shared" si="1"/>
        <v>97.9</v>
      </c>
      <c r="E45" s="1">
        <v>15</v>
      </c>
      <c r="F45" s="1">
        <v>0.7</v>
      </c>
      <c r="G45" s="1">
        <v>62.8</v>
      </c>
      <c r="H45" s="1">
        <v>14.4</v>
      </c>
      <c r="I45" s="1">
        <v>3.7</v>
      </c>
      <c r="J45" s="1">
        <v>1.3</v>
      </c>
      <c r="K45" s="92">
        <v>0.3</v>
      </c>
      <c r="L45" s="93">
        <v>28.137379989999999</v>
      </c>
      <c r="M45" s="93">
        <v>0.30505297999999997</v>
      </c>
      <c r="N45" s="279">
        <v>81846</v>
      </c>
    </row>
    <row r="46" spans="1:14" s="1" customFormat="1" x14ac:dyDescent="0.25">
      <c r="A46" s="11">
        <v>39904</v>
      </c>
      <c r="B46" s="82">
        <f t="shared" si="5"/>
        <v>387.8</v>
      </c>
      <c r="C46" s="88">
        <f t="shared" si="0"/>
        <v>105.69999999999999</v>
      </c>
      <c r="D46" s="89">
        <f t="shared" si="1"/>
        <v>105.1</v>
      </c>
      <c r="E46" s="1">
        <v>33.200000000000003</v>
      </c>
      <c r="F46" s="1">
        <v>0.6</v>
      </c>
      <c r="G46" s="1">
        <v>51.2</v>
      </c>
      <c r="H46" s="1">
        <v>13.8</v>
      </c>
      <c r="I46" s="1">
        <v>3.5</v>
      </c>
      <c r="J46" s="1">
        <v>2.8</v>
      </c>
      <c r="K46" s="92">
        <v>0.6</v>
      </c>
      <c r="L46" s="93">
        <v>31.388871063</v>
      </c>
      <c r="M46" s="93">
        <v>0.42526914500000002</v>
      </c>
      <c r="N46" s="279">
        <v>82558</v>
      </c>
    </row>
    <row r="47" spans="1:14" s="1" customFormat="1" x14ac:dyDescent="0.25">
      <c r="A47" s="11">
        <v>39934</v>
      </c>
      <c r="B47" s="82">
        <f t="shared" si="5"/>
        <v>472</v>
      </c>
      <c r="C47" s="88">
        <f t="shared" si="0"/>
        <v>84.200000000000017</v>
      </c>
      <c r="D47" s="89">
        <f t="shared" si="1"/>
        <v>82.700000000000017</v>
      </c>
      <c r="E47" s="1">
        <v>23.2</v>
      </c>
      <c r="F47" s="1">
        <v>0.7</v>
      </c>
      <c r="G47" s="1">
        <v>39.200000000000003</v>
      </c>
      <c r="H47" s="1">
        <v>12.3</v>
      </c>
      <c r="I47" s="1">
        <v>3.4</v>
      </c>
      <c r="J47" s="1">
        <v>3.9</v>
      </c>
      <c r="K47" s="92">
        <v>1.5</v>
      </c>
      <c r="L47" s="93">
        <v>29.586918603000001</v>
      </c>
      <c r="M47" s="93">
        <v>0.75225627799999994</v>
      </c>
      <c r="N47" s="279">
        <v>82739</v>
      </c>
    </row>
    <row r="48" spans="1:14" s="1" customFormat="1" x14ac:dyDescent="0.25">
      <c r="A48" s="11">
        <v>39965</v>
      </c>
      <c r="B48" s="82">
        <f t="shared" si="5"/>
        <v>579.4</v>
      </c>
      <c r="C48" s="88">
        <f t="shared" si="0"/>
        <v>107.4</v>
      </c>
      <c r="D48" s="89">
        <f t="shared" si="1"/>
        <v>105.9</v>
      </c>
      <c r="E48" s="1">
        <v>36.9</v>
      </c>
      <c r="F48" s="1">
        <v>0.7</v>
      </c>
      <c r="G48" s="1">
        <v>48.8</v>
      </c>
      <c r="H48" s="1">
        <v>12.7</v>
      </c>
      <c r="I48" s="1">
        <v>3.8</v>
      </c>
      <c r="J48" s="1">
        <v>3</v>
      </c>
      <c r="K48" s="92">
        <v>1.5</v>
      </c>
      <c r="L48" s="93">
        <v>28.853480523000002</v>
      </c>
      <c r="M48" s="93">
        <v>0.24990474600000001</v>
      </c>
      <c r="N48" s="279">
        <v>83483</v>
      </c>
    </row>
    <row r="49" spans="1:14" s="1" customFormat="1" x14ac:dyDescent="0.25">
      <c r="A49" s="11">
        <v>39995</v>
      </c>
      <c r="B49" s="82">
        <f t="shared" si="5"/>
        <v>676</v>
      </c>
      <c r="C49" s="88">
        <f t="shared" si="0"/>
        <v>96.600000000000009</v>
      </c>
      <c r="D49" s="89">
        <f t="shared" si="1"/>
        <v>88.4</v>
      </c>
      <c r="E49" s="1">
        <v>17.100000000000001</v>
      </c>
      <c r="F49" s="1">
        <v>0.7</v>
      </c>
      <c r="G49" s="1">
        <v>46.9</v>
      </c>
      <c r="H49" s="1">
        <v>16</v>
      </c>
      <c r="I49" s="1">
        <v>4.5</v>
      </c>
      <c r="J49" s="1">
        <v>3.2</v>
      </c>
      <c r="K49" s="92">
        <v>8.1999999999999993</v>
      </c>
      <c r="L49" s="93">
        <v>31.452729881</v>
      </c>
      <c r="M49" s="93">
        <v>0.527654756</v>
      </c>
      <c r="N49" s="279">
        <v>83620</v>
      </c>
    </row>
    <row r="50" spans="1:14" s="1" customFormat="1" x14ac:dyDescent="0.25">
      <c r="A50" s="11">
        <v>40026</v>
      </c>
      <c r="B50" s="82">
        <f t="shared" si="5"/>
        <v>758.6</v>
      </c>
      <c r="C50" s="88">
        <f t="shared" si="0"/>
        <v>82.6</v>
      </c>
      <c r="D50" s="89">
        <f t="shared" si="1"/>
        <v>82.1</v>
      </c>
      <c r="E50" s="1">
        <v>14.799999999999999</v>
      </c>
      <c r="F50" s="1">
        <v>0.7</v>
      </c>
      <c r="G50" s="1">
        <v>44.3</v>
      </c>
      <c r="H50" s="1">
        <v>15.8</v>
      </c>
      <c r="I50" s="1">
        <v>3.6</v>
      </c>
      <c r="J50" s="1">
        <v>2.9</v>
      </c>
      <c r="K50" s="92">
        <v>0.5</v>
      </c>
      <c r="L50" s="93">
        <v>28.688917</v>
      </c>
      <c r="M50" s="93">
        <v>0.438397702</v>
      </c>
      <c r="N50" s="279">
        <v>83633</v>
      </c>
    </row>
    <row r="51" spans="1:14" s="1" customFormat="1" x14ac:dyDescent="0.25">
      <c r="A51" s="11">
        <v>40057</v>
      </c>
      <c r="B51" s="82">
        <f t="shared" si="5"/>
        <v>830.2</v>
      </c>
      <c r="C51" s="88">
        <f t="shared" si="0"/>
        <v>71.600000000000009</v>
      </c>
      <c r="D51" s="89">
        <f t="shared" si="1"/>
        <v>70.900000000000006</v>
      </c>
      <c r="E51" s="1">
        <v>13.6</v>
      </c>
      <c r="F51" s="1">
        <v>0.6</v>
      </c>
      <c r="G51" s="1">
        <v>38.799999999999997</v>
      </c>
      <c r="H51" s="1">
        <v>12.2</v>
      </c>
      <c r="I51" s="1">
        <v>3.5</v>
      </c>
      <c r="J51" s="1">
        <v>2.2000000000000002</v>
      </c>
      <c r="K51" s="92">
        <v>0.7</v>
      </c>
      <c r="L51" s="93">
        <v>30.812470560000001</v>
      </c>
      <c r="M51" s="93">
        <v>0.49056398200000001</v>
      </c>
      <c r="N51" s="279">
        <v>83119</v>
      </c>
    </row>
    <row r="52" spans="1:14" s="1" customFormat="1" x14ac:dyDescent="0.25">
      <c r="A52" s="11">
        <v>40087</v>
      </c>
      <c r="B52" s="82">
        <f t="shared" si="5"/>
        <v>912.1</v>
      </c>
      <c r="C52" s="88">
        <f t="shared" si="0"/>
        <v>81.899999999999991</v>
      </c>
      <c r="D52" s="89">
        <f t="shared" si="1"/>
        <v>81.3</v>
      </c>
      <c r="E52" s="1">
        <v>17.399999999999999</v>
      </c>
      <c r="F52" s="1">
        <v>0.9</v>
      </c>
      <c r="G52" s="1">
        <v>43.9</v>
      </c>
      <c r="H52" s="1">
        <v>12.9</v>
      </c>
      <c r="I52" s="1">
        <v>3.2</v>
      </c>
      <c r="J52" s="1">
        <v>3</v>
      </c>
      <c r="K52" s="92">
        <v>0.6</v>
      </c>
      <c r="L52" s="93">
        <v>34.105390249000003</v>
      </c>
      <c r="M52" s="93">
        <v>0.55255458000000002</v>
      </c>
      <c r="N52" s="279">
        <v>83451</v>
      </c>
    </row>
    <row r="53" spans="1:14" s="1" customFormat="1" x14ac:dyDescent="0.25">
      <c r="A53" s="11">
        <v>40118</v>
      </c>
      <c r="B53" s="82">
        <f t="shared" si="5"/>
        <v>993.2</v>
      </c>
      <c r="C53" s="88">
        <f t="shared" si="0"/>
        <v>81.099999999999994</v>
      </c>
      <c r="D53" s="89">
        <f t="shared" si="1"/>
        <v>79.099999999999994</v>
      </c>
      <c r="E53" s="1">
        <v>16</v>
      </c>
      <c r="F53" s="1">
        <v>0.6</v>
      </c>
      <c r="G53" s="1">
        <v>44.1</v>
      </c>
      <c r="H53" s="1">
        <v>12.1</v>
      </c>
      <c r="I53" s="1">
        <v>3.3</v>
      </c>
      <c r="J53" s="1">
        <v>3</v>
      </c>
      <c r="K53" s="92">
        <v>2</v>
      </c>
      <c r="L53" s="93">
        <v>30.076237141</v>
      </c>
      <c r="M53" s="93">
        <v>0.42317997499999999</v>
      </c>
      <c r="N53" s="279">
        <v>83934</v>
      </c>
    </row>
    <row r="54" spans="1:14" s="1" customFormat="1" x14ac:dyDescent="0.25">
      <c r="A54" s="11">
        <v>40148</v>
      </c>
      <c r="B54" s="82">
        <f t="shared" si="5"/>
        <v>1104.6000000000001</v>
      </c>
      <c r="C54" s="88">
        <f t="shared" si="0"/>
        <v>111.4</v>
      </c>
      <c r="D54" s="89">
        <f t="shared" si="1"/>
        <v>110.2</v>
      </c>
      <c r="E54" s="1">
        <v>19.95</v>
      </c>
      <c r="F54" s="1">
        <v>1</v>
      </c>
      <c r="G54" s="1">
        <v>58.5</v>
      </c>
      <c r="H54" s="1">
        <v>21.95</v>
      </c>
      <c r="I54" s="1">
        <v>5.8</v>
      </c>
      <c r="J54" s="1">
        <v>3</v>
      </c>
      <c r="K54" s="92">
        <v>1.2</v>
      </c>
      <c r="L54" s="93">
        <v>30.411157172999999</v>
      </c>
      <c r="M54" s="93">
        <v>0.60466142099999998</v>
      </c>
      <c r="N54" s="279">
        <v>83934</v>
      </c>
    </row>
    <row r="55" spans="1:14" s="1" customFormat="1" x14ac:dyDescent="0.25">
      <c r="A55" s="11">
        <v>40179</v>
      </c>
      <c r="B55" s="82">
        <f>C55</f>
        <v>85.800000000000011</v>
      </c>
      <c r="C55" s="88">
        <f t="shared" si="0"/>
        <v>85.800000000000011</v>
      </c>
      <c r="D55" s="89">
        <f t="shared" si="1"/>
        <v>82.9</v>
      </c>
      <c r="E55" s="1">
        <v>19.399999999999999</v>
      </c>
      <c r="F55" s="1">
        <v>1.3</v>
      </c>
      <c r="G55" s="1">
        <v>48.5</v>
      </c>
      <c r="H55" s="1">
        <v>9.1999999999999993</v>
      </c>
      <c r="I55" s="1">
        <v>3.6</v>
      </c>
      <c r="J55" s="1">
        <v>0.9</v>
      </c>
      <c r="K55" s="92">
        <v>2.9</v>
      </c>
      <c r="L55" s="93">
        <v>33.515355823</v>
      </c>
      <c r="M55" s="93">
        <v>0.56888165700000004</v>
      </c>
      <c r="N55" s="279">
        <v>84560</v>
      </c>
    </row>
    <row r="56" spans="1:14" s="1" customFormat="1" x14ac:dyDescent="0.25">
      <c r="A56" s="11">
        <v>40210</v>
      </c>
      <c r="B56" s="82">
        <f>B55+C56</f>
        <v>194.8</v>
      </c>
      <c r="C56" s="88">
        <f t="shared" si="0"/>
        <v>109</v>
      </c>
      <c r="D56" s="89">
        <f t="shared" si="1"/>
        <v>107.9</v>
      </c>
      <c r="E56" s="1">
        <v>44.1</v>
      </c>
      <c r="F56" s="1">
        <v>1.2</v>
      </c>
      <c r="G56" s="1">
        <v>46.1</v>
      </c>
      <c r="H56" s="1">
        <v>13.4</v>
      </c>
      <c r="I56" s="1">
        <v>3.1</v>
      </c>
      <c r="J56" s="1">
        <v>0</v>
      </c>
      <c r="K56" s="92">
        <v>1.1000000000000001</v>
      </c>
      <c r="L56" s="93">
        <v>29.837719475</v>
      </c>
      <c r="M56" s="93">
        <v>0.492567425</v>
      </c>
      <c r="N56" s="279">
        <v>82918</v>
      </c>
    </row>
    <row r="57" spans="1:14" s="1" customFormat="1" x14ac:dyDescent="0.25">
      <c r="A57" s="11">
        <v>40238</v>
      </c>
      <c r="B57" s="82">
        <f t="shared" ref="B57:B66" si="6">B56+C57</f>
        <v>286.7</v>
      </c>
      <c r="C57" s="88">
        <f t="shared" si="0"/>
        <v>91.899999999999991</v>
      </c>
      <c r="D57" s="89">
        <f t="shared" si="1"/>
        <v>90.999999999999986</v>
      </c>
      <c r="E57" s="1">
        <v>16.8</v>
      </c>
      <c r="F57" s="1">
        <v>0.9</v>
      </c>
      <c r="G57" s="1">
        <v>52.4</v>
      </c>
      <c r="H57" s="1">
        <v>13.6</v>
      </c>
      <c r="I57" s="1">
        <v>3.6</v>
      </c>
      <c r="J57" s="1">
        <v>3.7</v>
      </c>
      <c r="K57" s="92">
        <v>0.9</v>
      </c>
      <c r="L57" s="93">
        <v>30.647441924999999</v>
      </c>
      <c r="M57" s="93">
        <v>0.44808468800000001</v>
      </c>
      <c r="N57" s="279">
        <v>84151</v>
      </c>
    </row>
    <row r="58" spans="1:14" s="1" customFormat="1" x14ac:dyDescent="0.25">
      <c r="A58" s="11">
        <v>40269</v>
      </c>
      <c r="B58" s="82">
        <f t="shared" si="6"/>
        <v>404.6</v>
      </c>
      <c r="C58" s="88">
        <f t="shared" si="0"/>
        <v>117.9</v>
      </c>
      <c r="D58" s="89">
        <f t="shared" si="1"/>
        <v>116.4</v>
      </c>
      <c r="E58" s="1">
        <v>45.7</v>
      </c>
      <c r="F58" s="1">
        <v>0.9</v>
      </c>
      <c r="G58" s="1">
        <v>50.2</v>
      </c>
      <c r="H58" s="1">
        <v>13</v>
      </c>
      <c r="I58" s="1">
        <v>4.0999999999999996</v>
      </c>
      <c r="J58" s="1">
        <v>2.5</v>
      </c>
      <c r="K58" s="92">
        <v>1.5</v>
      </c>
      <c r="L58" s="93">
        <v>33.336738009000001</v>
      </c>
      <c r="M58" s="93">
        <v>0.54051852499999997</v>
      </c>
      <c r="N58" s="279">
        <v>84143</v>
      </c>
    </row>
    <row r="59" spans="1:14" s="1" customFormat="1" x14ac:dyDescent="0.25">
      <c r="A59" s="11">
        <v>40299</v>
      </c>
      <c r="B59" s="82">
        <f t="shared" si="6"/>
        <v>493.1</v>
      </c>
      <c r="C59" s="88">
        <f t="shared" si="0"/>
        <v>88.499999999999986</v>
      </c>
      <c r="D59" s="89">
        <f t="shared" si="1"/>
        <v>86.799999999999983</v>
      </c>
      <c r="E59" s="1">
        <v>17.2</v>
      </c>
      <c r="F59" s="1">
        <v>1</v>
      </c>
      <c r="G59" s="1">
        <v>50.4</v>
      </c>
      <c r="H59" s="1">
        <v>13.3</v>
      </c>
      <c r="I59" s="1">
        <v>3.3</v>
      </c>
      <c r="J59" s="1">
        <v>1.6</v>
      </c>
      <c r="K59" s="92">
        <v>1.7</v>
      </c>
      <c r="L59" s="93">
        <v>32.058573697999996</v>
      </c>
      <c r="M59" s="93">
        <v>0.51364721099999999</v>
      </c>
      <c r="N59" s="279">
        <v>84991</v>
      </c>
    </row>
    <row r="60" spans="1:14" s="1" customFormat="1" x14ac:dyDescent="0.25">
      <c r="A60" s="11">
        <v>40330</v>
      </c>
      <c r="B60" s="82">
        <f t="shared" si="6"/>
        <v>655.29999999999995</v>
      </c>
      <c r="C60" s="88">
        <f t="shared" si="0"/>
        <v>162.19999999999999</v>
      </c>
      <c r="D60" s="89">
        <f t="shared" si="1"/>
        <v>143</v>
      </c>
      <c r="E60" s="1">
        <v>58.9</v>
      </c>
      <c r="F60" s="1">
        <v>1</v>
      </c>
      <c r="G60" s="1">
        <v>58.3</v>
      </c>
      <c r="H60" s="1">
        <v>17</v>
      </c>
      <c r="I60" s="1">
        <v>4.8</v>
      </c>
      <c r="J60" s="1">
        <v>3</v>
      </c>
      <c r="K60" s="92">
        <v>19.2</v>
      </c>
      <c r="L60" s="93">
        <v>32.119545178000003</v>
      </c>
      <c r="M60" s="93">
        <f>0.390542779</f>
        <v>0.39054277900000001</v>
      </c>
      <c r="N60" s="279">
        <v>84997</v>
      </c>
    </row>
    <row r="61" spans="1:14" s="1" customFormat="1" x14ac:dyDescent="0.25">
      <c r="A61" s="11">
        <v>40360</v>
      </c>
      <c r="B61" s="82">
        <f t="shared" si="6"/>
        <v>756.9</v>
      </c>
      <c r="C61" s="88">
        <f t="shared" si="0"/>
        <v>101.60000000000001</v>
      </c>
      <c r="D61" s="89">
        <f t="shared" si="1"/>
        <v>100.30000000000001</v>
      </c>
      <c r="E61" s="1">
        <v>20.599999999999998</v>
      </c>
      <c r="F61" s="1">
        <v>0.8</v>
      </c>
      <c r="G61" s="1">
        <v>54.4</v>
      </c>
      <c r="H61" s="1">
        <v>17.600000000000001</v>
      </c>
      <c r="I61" s="1">
        <v>3.4</v>
      </c>
      <c r="J61" s="1">
        <v>3.5</v>
      </c>
      <c r="K61" s="92">
        <v>1.3</v>
      </c>
      <c r="L61" s="93">
        <v>33.456777148</v>
      </c>
      <c r="M61" s="93">
        <v>0.54779001100000002</v>
      </c>
      <c r="N61" s="279">
        <v>85080</v>
      </c>
    </row>
    <row r="62" spans="1:14" s="1" customFormat="1" x14ac:dyDescent="0.25">
      <c r="A62" s="11">
        <v>40391</v>
      </c>
      <c r="B62" s="82">
        <f t="shared" si="6"/>
        <v>852.9</v>
      </c>
      <c r="C62" s="88">
        <f t="shared" si="0"/>
        <v>96</v>
      </c>
      <c r="D62" s="89">
        <f t="shared" si="1"/>
        <v>93.6</v>
      </c>
      <c r="E62" s="1">
        <v>15.2</v>
      </c>
      <c r="F62" s="1">
        <v>0.8</v>
      </c>
      <c r="G62" s="1">
        <v>53.2</v>
      </c>
      <c r="H62" s="1">
        <v>16.399999999999999</v>
      </c>
      <c r="I62" s="1">
        <v>5.2</v>
      </c>
      <c r="J62" s="1">
        <v>2.8</v>
      </c>
      <c r="K62" s="92">
        <v>2.4</v>
      </c>
      <c r="L62" s="93">
        <v>32.18932307</v>
      </c>
      <c r="M62" s="93">
        <v>0.51194177500000004</v>
      </c>
      <c r="N62" s="279">
        <v>85022</v>
      </c>
    </row>
    <row r="63" spans="1:14" s="1" customFormat="1" x14ac:dyDescent="0.25">
      <c r="A63" s="11">
        <v>40422</v>
      </c>
      <c r="B63" s="82">
        <f t="shared" si="6"/>
        <v>944.1</v>
      </c>
      <c r="C63" s="88">
        <f t="shared" si="0"/>
        <v>91.2</v>
      </c>
      <c r="D63" s="89">
        <f t="shared" si="1"/>
        <v>89.100000000000009</v>
      </c>
      <c r="E63" s="1">
        <v>16.7</v>
      </c>
      <c r="F63" s="1">
        <v>0.8</v>
      </c>
      <c r="G63" s="1">
        <v>49.4</v>
      </c>
      <c r="H63" s="1">
        <v>15.2</v>
      </c>
      <c r="I63" s="1">
        <v>4.0999999999999996</v>
      </c>
      <c r="J63" s="1">
        <v>2.9</v>
      </c>
      <c r="K63" s="92">
        <v>2.1</v>
      </c>
      <c r="L63" s="93">
        <v>31.874343659000001</v>
      </c>
      <c r="M63" s="93">
        <v>0.52843198899999999</v>
      </c>
      <c r="N63" s="279">
        <v>85048</v>
      </c>
    </row>
    <row r="64" spans="1:14" s="1" customFormat="1" x14ac:dyDescent="0.25">
      <c r="A64" s="11">
        <v>40452</v>
      </c>
      <c r="B64" s="82">
        <f t="shared" si="6"/>
        <v>1041.3</v>
      </c>
      <c r="C64" s="88">
        <f t="shared" si="0"/>
        <v>97.200000000000017</v>
      </c>
      <c r="D64" s="89">
        <f t="shared" si="1"/>
        <v>96.500000000000014</v>
      </c>
      <c r="E64" s="1">
        <v>17.900000000000002</v>
      </c>
      <c r="F64" s="1">
        <v>0.9</v>
      </c>
      <c r="G64" s="1">
        <v>55.2</v>
      </c>
      <c r="H64" s="1">
        <v>15.9</v>
      </c>
      <c r="I64" s="1">
        <v>3.7</v>
      </c>
      <c r="J64" s="1">
        <v>2.9</v>
      </c>
      <c r="K64" s="92">
        <v>0.7</v>
      </c>
      <c r="L64" s="93">
        <v>35.720930871999997</v>
      </c>
      <c r="M64" s="93">
        <v>0.51804791800000005</v>
      </c>
      <c r="N64" s="279">
        <v>85401</v>
      </c>
    </row>
    <row r="65" spans="1:14" s="1" customFormat="1" x14ac:dyDescent="0.25">
      <c r="A65" s="11">
        <v>40483</v>
      </c>
      <c r="B65" s="82">
        <f t="shared" si="6"/>
        <v>1129.8</v>
      </c>
      <c r="C65" s="88">
        <f t="shared" si="0"/>
        <v>88.5</v>
      </c>
      <c r="D65" s="89">
        <f t="shared" si="1"/>
        <v>87.5</v>
      </c>
      <c r="E65" s="1">
        <v>15.299999999999999</v>
      </c>
      <c r="F65" s="1">
        <v>0.9</v>
      </c>
      <c r="G65" s="1">
        <v>48.3</v>
      </c>
      <c r="H65" s="1">
        <v>16.3</v>
      </c>
      <c r="I65" s="1">
        <v>3.8</v>
      </c>
      <c r="J65" s="1">
        <v>2.9</v>
      </c>
      <c r="K65" s="92">
        <v>1</v>
      </c>
      <c r="L65" s="93">
        <v>32.200086861999999</v>
      </c>
      <c r="M65" s="93">
        <v>0.55152027299999995</v>
      </c>
      <c r="N65" s="279">
        <v>85404</v>
      </c>
    </row>
    <row r="66" spans="1:14" s="1" customFormat="1" x14ac:dyDescent="0.25">
      <c r="A66" s="11">
        <v>40513</v>
      </c>
      <c r="B66" s="82">
        <f t="shared" si="6"/>
        <v>1262.5</v>
      </c>
      <c r="C66" s="88">
        <f t="shared" si="0"/>
        <v>132.70000000000002</v>
      </c>
      <c r="D66" s="89">
        <f t="shared" si="1"/>
        <v>124.10000000000002</v>
      </c>
      <c r="E66" s="1">
        <v>32.1</v>
      </c>
      <c r="F66" s="1">
        <v>0.9</v>
      </c>
      <c r="G66" s="1">
        <v>62.4</v>
      </c>
      <c r="H66" s="1">
        <v>18.399999999999999</v>
      </c>
      <c r="I66" s="1">
        <v>7.4</v>
      </c>
      <c r="J66" s="1">
        <v>2.9</v>
      </c>
      <c r="K66" s="92">
        <v>8.6</v>
      </c>
      <c r="L66" s="93">
        <v>32.515757553</v>
      </c>
      <c r="M66" s="93">
        <v>0.54786710999999999</v>
      </c>
      <c r="N66" s="279">
        <v>85618</v>
      </c>
    </row>
    <row r="67" spans="1:14" s="1" customFormat="1" x14ac:dyDescent="0.25">
      <c r="A67" s="11">
        <v>40544</v>
      </c>
      <c r="B67" s="82">
        <f>C67</f>
        <v>87.2</v>
      </c>
      <c r="C67" s="88">
        <f t="shared" si="0"/>
        <v>87.2</v>
      </c>
      <c r="D67" s="89">
        <f t="shared" si="1"/>
        <v>83.9</v>
      </c>
      <c r="E67" s="1">
        <v>17.5</v>
      </c>
      <c r="F67" s="1">
        <v>1.1000000000000001</v>
      </c>
      <c r="G67" s="1">
        <v>46.8</v>
      </c>
      <c r="H67" s="1">
        <v>12.9</v>
      </c>
      <c r="I67" s="1">
        <v>2.1</v>
      </c>
      <c r="J67" s="1">
        <v>3.5</v>
      </c>
      <c r="K67" s="92">
        <v>3.3</v>
      </c>
      <c r="L67" s="93">
        <v>36.069298318000001</v>
      </c>
      <c r="M67" s="93">
        <v>0.61487570000000003</v>
      </c>
      <c r="N67" s="279">
        <v>85522</v>
      </c>
    </row>
    <row r="68" spans="1:14" s="1" customFormat="1" x14ac:dyDescent="0.25">
      <c r="A68" s="11">
        <v>40575</v>
      </c>
      <c r="B68" s="82">
        <f>B67+C68</f>
        <v>198.5</v>
      </c>
      <c r="C68" s="88">
        <f t="shared" si="0"/>
        <v>111.3</v>
      </c>
      <c r="D68" s="89">
        <f t="shared" si="1"/>
        <v>110.5</v>
      </c>
      <c r="E68" s="1">
        <v>41.1</v>
      </c>
      <c r="F68" s="1">
        <v>1.3</v>
      </c>
      <c r="G68" s="1">
        <v>51.1</v>
      </c>
      <c r="H68" s="1">
        <v>13</v>
      </c>
      <c r="I68" s="1">
        <v>4</v>
      </c>
      <c r="J68" s="1">
        <v>0</v>
      </c>
      <c r="K68" s="92">
        <v>0.8</v>
      </c>
      <c r="L68" s="93">
        <v>31.490928486000001</v>
      </c>
      <c r="M68" s="93">
        <v>0.59627356499999995</v>
      </c>
      <c r="N68" s="279">
        <v>85430</v>
      </c>
    </row>
    <row r="69" spans="1:14" s="1" customFormat="1" x14ac:dyDescent="0.25">
      <c r="A69" s="11">
        <v>40603</v>
      </c>
      <c r="B69" s="82">
        <f t="shared" ref="B69:B78" si="7">B68+C69</f>
        <v>288</v>
      </c>
      <c r="C69" s="88">
        <f t="shared" si="0"/>
        <v>89.5</v>
      </c>
      <c r="D69" s="89">
        <f t="shared" si="1"/>
        <v>88.9</v>
      </c>
      <c r="E69" s="1">
        <v>18.2</v>
      </c>
      <c r="F69" s="1">
        <v>1</v>
      </c>
      <c r="G69" s="1">
        <v>49.3</v>
      </c>
      <c r="H69" s="1">
        <v>13</v>
      </c>
      <c r="I69" s="1">
        <v>5.2</v>
      </c>
      <c r="J69" s="1">
        <v>2.2000000000000002</v>
      </c>
      <c r="K69" s="92">
        <v>0.6</v>
      </c>
      <c r="L69" s="93">
        <v>33.047235563000001</v>
      </c>
      <c r="M69" s="93">
        <v>0.54875546100000006</v>
      </c>
      <c r="N69" s="279">
        <v>86017</v>
      </c>
    </row>
    <row r="70" spans="1:14" s="1" customFormat="1" x14ac:dyDescent="0.25">
      <c r="A70" s="11">
        <v>40634</v>
      </c>
      <c r="B70" s="82">
        <f t="shared" si="7"/>
        <v>441.6</v>
      </c>
      <c r="C70" s="88">
        <f t="shared" si="0"/>
        <v>153.6</v>
      </c>
      <c r="D70" s="89">
        <f t="shared" si="1"/>
        <v>151.4</v>
      </c>
      <c r="E70" s="1">
        <v>53</v>
      </c>
      <c r="F70" s="1">
        <v>1</v>
      </c>
      <c r="G70" s="1">
        <v>74</v>
      </c>
      <c r="H70" s="1">
        <v>16.8</v>
      </c>
      <c r="I70" s="1">
        <v>5.4</v>
      </c>
      <c r="J70" s="1">
        <v>1.2</v>
      </c>
      <c r="K70" s="92">
        <v>2.2000000000000002</v>
      </c>
      <c r="L70" s="93">
        <v>36.541845408999997</v>
      </c>
      <c r="M70" s="93">
        <v>0.67174299100000001</v>
      </c>
      <c r="N70" s="279">
        <v>86599</v>
      </c>
    </row>
    <row r="71" spans="1:14" s="1" customFormat="1" x14ac:dyDescent="0.25">
      <c r="A71" s="11">
        <v>40664</v>
      </c>
      <c r="B71" s="82">
        <f t="shared" si="7"/>
        <v>519.1</v>
      </c>
      <c r="C71" s="88">
        <f t="shared" si="0"/>
        <v>77.5</v>
      </c>
      <c r="D71" s="89">
        <f t="shared" si="1"/>
        <v>75.8</v>
      </c>
      <c r="E71" s="1">
        <v>21.3</v>
      </c>
      <c r="F71" s="1">
        <v>1</v>
      </c>
      <c r="G71" s="1">
        <v>40.700000000000003</v>
      </c>
      <c r="H71" s="1">
        <v>8.6</v>
      </c>
      <c r="I71" s="1">
        <v>4.2</v>
      </c>
      <c r="J71" s="1">
        <v>0</v>
      </c>
      <c r="K71" s="92">
        <v>1.7</v>
      </c>
      <c r="L71" s="93">
        <v>33.627190550000002</v>
      </c>
      <c r="M71" s="93">
        <v>3.0419999999999999E-2</v>
      </c>
      <c r="N71" s="279">
        <v>87544</v>
      </c>
    </row>
    <row r="72" spans="1:14" s="1" customFormat="1" x14ac:dyDescent="0.25">
      <c r="A72" s="11">
        <v>40695</v>
      </c>
      <c r="B72" s="82">
        <f t="shared" si="7"/>
        <v>629</v>
      </c>
      <c r="C72" s="88">
        <f t="shared" ref="C72:C135" si="8">SUM(D72,K72)</f>
        <v>109.9</v>
      </c>
      <c r="D72" s="89">
        <f t="shared" ref="D72:D135" si="9">SUM(E72:J72)</f>
        <v>94.5</v>
      </c>
      <c r="E72" s="1">
        <v>47.1</v>
      </c>
      <c r="F72" s="1">
        <v>1</v>
      </c>
      <c r="G72" s="1">
        <v>26</v>
      </c>
      <c r="H72" s="1">
        <v>16.3</v>
      </c>
      <c r="I72" s="1">
        <v>3.7</v>
      </c>
      <c r="J72" s="1">
        <v>0.4</v>
      </c>
      <c r="K72" s="92">
        <v>15.4</v>
      </c>
      <c r="L72" s="93">
        <v>33.340567706999998</v>
      </c>
      <c r="M72" s="93">
        <v>0.56422320299999995</v>
      </c>
      <c r="N72" s="279">
        <v>88141</v>
      </c>
    </row>
    <row r="73" spans="1:14" s="1" customFormat="1" x14ac:dyDescent="0.25">
      <c r="A73" s="11">
        <v>40725</v>
      </c>
      <c r="B73" s="82">
        <f t="shared" si="7"/>
        <v>767.8</v>
      </c>
      <c r="C73" s="88">
        <f t="shared" si="8"/>
        <v>138.80000000000001</v>
      </c>
      <c r="D73" s="89">
        <f t="shared" si="9"/>
        <v>136.30000000000001</v>
      </c>
      <c r="E73" s="1">
        <v>24.4</v>
      </c>
      <c r="F73" s="1">
        <v>1.1000000000000001</v>
      </c>
      <c r="G73" s="1">
        <v>73.7</v>
      </c>
      <c r="H73" s="1">
        <v>30.2</v>
      </c>
      <c r="I73" s="1">
        <v>3.1</v>
      </c>
      <c r="J73" s="1">
        <v>3.8</v>
      </c>
      <c r="K73" s="92">
        <v>2.5</v>
      </c>
      <c r="L73" s="93">
        <v>36.935227466000001</v>
      </c>
      <c r="M73" s="93">
        <v>0.66405186900000002</v>
      </c>
      <c r="N73" s="279">
        <v>89211</v>
      </c>
    </row>
    <row r="74" spans="1:14" s="1" customFormat="1" x14ac:dyDescent="0.25">
      <c r="A74" s="11">
        <v>40756</v>
      </c>
      <c r="B74" s="82">
        <f t="shared" si="7"/>
        <v>842.8</v>
      </c>
      <c r="C74" s="88">
        <f t="shared" si="8"/>
        <v>75</v>
      </c>
      <c r="D74" s="89">
        <f t="shared" si="9"/>
        <v>70.599999999999994</v>
      </c>
      <c r="E74" s="1">
        <v>18.899999999999999</v>
      </c>
      <c r="F74" s="1">
        <v>1</v>
      </c>
      <c r="G74" s="1">
        <v>39.4</v>
      </c>
      <c r="H74" s="1">
        <v>6.7</v>
      </c>
      <c r="I74" s="1">
        <v>4.5999999999999996</v>
      </c>
      <c r="J74" s="1">
        <v>0</v>
      </c>
      <c r="K74" s="92">
        <v>4.4000000000000004</v>
      </c>
      <c r="L74" s="93">
        <v>36.489145084</v>
      </c>
      <c r="M74" s="93">
        <v>0.69281488000000002</v>
      </c>
      <c r="N74" s="279">
        <v>89234</v>
      </c>
    </row>
    <row r="75" spans="1:14" s="1" customFormat="1" x14ac:dyDescent="0.25">
      <c r="A75" s="11">
        <v>40787</v>
      </c>
      <c r="B75" s="82">
        <f t="shared" si="7"/>
        <v>968.5</v>
      </c>
      <c r="C75" s="88">
        <f t="shared" si="8"/>
        <v>125.7</v>
      </c>
      <c r="D75" s="89">
        <f t="shared" si="9"/>
        <v>124.4</v>
      </c>
      <c r="E75" s="1">
        <v>21.1</v>
      </c>
      <c r="F75" s="1">
        <v>1</v>
      </c>
      <c r="G75" s="1">
        <v>60.9</v>
      </c>
      <c r="H75" s="1">
        <v>31.2</v>
      </c>
      <c r="I75" s="1">
        <v>5.4</v>
      </c>
      <c r="J75" s="1">
        <v>4.8</v>
      </c>
      <c r="K75" s="92">
        <v>1.3</v>
      </c>
      <c r="L75" s="93">
        <v>35.572016961999999</v>
      </c>
      <c r="M75" s="93">
        <v>0.70079940600000001</v>
      </c>
      <c r="N75" s="279">
        <v>90090</v>
      </c>
    </row>
    <row r="76" spans="1:14" s="1" customFormat="1" x14ac:dyDescent="0.25">
      <c r="A76" s="11">
        <v>40817</v>
      </c>
      <c r="B76" s="82">
        <f t="shared" si="7"/>
        <v>1073.2</v>
      </c>
      <c r="C76" s="88">
        <f t="shared" si="8"/>
        <v>104.70000000000002</v>
      </c>
      <c r="D76" s="89">
        <f t="shared" si="9"/>
        <v>96.300000000000011</v>
      </c>
      <c r="E76" s="1">
        <v>13.3</v>
      </c>
      <c r="F76" s="1">
        <v>1.1000000000000001</v>
      </c>
      <c r="G76" s="1">
        <v>64.599999999999994</v>
      </c>
      <c r="H76" s="1">
        <v>13.9</v>
      </c>
      <c r="I76" s="1">
        <v>3.4</v>
      </c>
      <c r="J76" s="1">
        <v>0</v>
      </c>
      <c r="K76" s="92">
        <v>8.4</v>
      </c>
      <c r="L76" s="93">
        <v>38.051128810999998</v>
      </c>
      <c r="M76" s="93">
        <v>0.59082299900000002</v>
      </c>
      <c r="N76" s="279">
        <v>90365</v>
      </c>
    </row>
    <row r="77" spans="1:14" s="1" customFormat="1" x14ac:dyDescent="0.25">
      <c r="A77" s="11">
        <v>40848</v>
      </c>
      <c r="B77" s="82">
        <f t="shared" si="7"/>
        <v>1180.8</v>
      </c>
      <c r="C77" s="88">
        <f t="shared" si="8"/>
        <v>107.6</v>
      </c>
      <c r="D77" s="89">
        <f t="shared" si="9"/>
        <v>104</v>
      </c>
      <c r="E77" s="1">
        <v>26.799999999999997</v>
      </c>
      <c r="F77" s="1">
        <v>0.6</v>
      </c>
      <c r="G77" s="1">
        <v>50.1</v>
      </c>
      <c r="H77" s="1">
        <v>20.8</v>
      </c>
      <c r="I77" s="1">
        <v>3.9</v>
      </c>
      <c r="J77" s="1">
        <v>1.8</v>
      </c>
      <c r="K77" s="92">
        <v>3.6</v>
      </c>
      <c r="L77" s="93">
        <f>AVERAGE(L74:L76)</f>
        <v>36.70409695233333</v>
      </c>
      <c r="M77" s="93">
        <f>AVERAGE(M74:M76)</f>
        <v>0.66147909500000002</v>
      </c>
      <c r="N77" s="279">
        <v>90675</v>
      </c>
    </row>
    <row r="78" spans="1:14" s="1" customFormat="1" x14ac:dyDescent="0.25">
      <c r="A78" s="11">
        <v>40878</v>
      </c>
      <c r="B78" s="82">
        <f t="shared" si="7"/>
        <v>1336.3999999999999</v>
      </c>
      <c r="C78" s="88">
        <f t="shared" si="8"/>
        <v>155.6</v>
      </c>
      <c r="D78" s="89">
        <f t="shared" si="9"/>
        <v>150.5</v>
      </c>
      <c r="E78" s="1">
        <v>30.5</v>
      </c>
      <c r="F78" s="1">
        <v>1.2</v>
      </c>
      <c r="G78" s="1">
        <v>81.8</v>
      </c>
      <c r="H78" s="1">
        <v>20.399999999999999</v>
      </c>
      <c r="I78" s="1">
        <v>6.6</v>
      </c>
      <c r="J78" s="1">
        <v>10</v>
      </c>
      <c r="K78" s="92">
        <v>5.0999999999999996</v>
      </c>
      <c r="L78" s="93">
        <f>AVERAGE(L75:L77)</f>
        <v>36.775747575111112</v>
      </c>
      <c r="M78" s="93">
        <f>AVERAGE(M75:M77)</f>
        <v>0.65103383333333331</v>
      </c>
      <c r="N78" s="279">
        <v>91401</v>
      </c>
    </row>
    <row r="79" spans="1:14" s="1" customFormat="1" x14ac:dyDescent="0.25">
      <c r="A79" s="11">
        <v>40909</v>
      </c>
      <c r="B79" s="82">
        <f>C79</f>
        <v>93.9</v>
      </c>
      <c r="C79" s="88">
        <f t="shared" si="8"/>
        <v>93.9</v>
      </c>
      <c r="D79" s="89">
        <f t="shared" si="9"/>
        <v>92.4</v>
      </c>
      <c r="E79" s="1">
        <v>25</v>
      </c>
      <c r="F79" s="1">
        <v>1.6</v>
      </c>
      <c r="G79" s="1">
        <v>48.9</v>
      </c>
      <c r="H79" s="1">
        <v>13.5</v>
      </c>
      <c r="I79" s="1">
        <v>3.4</v>
      </c>
      <c r="J79" s="1">
        <v>0</v>
      </c>
      <c r="K79" s="92">
        <v>1.5</v>
      </c>
      <c r="L79" s="93">
        <v>38.825541854999997</v>
      </c>
      <c r="M79" s="93">
        <v>0.71461289900000002</v>
      </c>
      <c r="N79" s="279">
        <v>90934</v>
      </c>
    </row>
    <row r="80" spans="1:14" s="1" customFormat="1" x14ac:dyDescent="0.25">
      <c r="A80" s="11">
        <v>40940</v>
      </c>
      <c r="B80" s="82">
        <f>B79+C80</f>
        <v>214</v>
      </c>
      <c r="C80" s="88">
        <f t="shared" si="8"/>
        <v>120.1</v>
      </c>
      <c r="D80" s="89">
        <f t="shared" si="9"/>
        <v>118.8</v>
      </c>
      <c r="E80" s="1">
        <v>49.2</v>
      </c>
      <c r="F80" s="1">
        <v>1.4</v>
      </c>
      <c r="G80" s="1">
        <v>46.6</v>
      </c>
      <c r="H80" s="1">
        <v>14.4</v>
      </c>
      <c r="I80" s="1">
        <v>5.6</v>
      </c>
      <c r="J80" s="1">
        <v>1.6</v>
      </c>
      <c r="K80" s="92">
        <v>1.3</v>
      </c>
      <c r="L80" s="93">
        <v>35.736149408999999</v>
      </c>
      <c r="M80" s="93">
        <v>1.434E-2</v>
      </c>
      <c r="N80" s="279">
        <v>92098</v>
      </c>
    </row>
    <row r="81" spans="1:14" s="1" customFormat="1" x14ac:dyDescent="0.25">
      <c r="A81" s="11">
        <v>40969</v>
      </c>
      <c r="B81" s="82">
        <f t="shared" ref="B81:B90" si="10">B80+C81</f>
        <v>316.2</v>
      </c>
      <c r="C81" s="88">
        <f t="shared" si="8"/>
        <v>102.2</v>
      </c>
      <c r="D81" s="89">
        <f t="shared" si="9"/>
        <v>100.60000000000001</v>
      </c>
      <c r="E81" s="1">
        <v>21</v>
      </c>
      <c r="F81" s="1">
        <v>1.2</v>
      </c>
      <c r="G81" s="1">
        <v>53.7</v>
      </c>
      <c r="H81" s="1">
        <v>16</v>
      </c>
      <c r="I81" s="1">
        <v>5.3</v>
      </c>
      <c r="J81" s="1">
        <v>3.4</v>
      </c>
      <c r="K81" s="92">
        <v>1.6</v>
      </c>
      <c r="L81" s="93">
        <v>37.05893477</v>
      </c>
      <c r="M81" s="93">
        <v>0.78186059600000002</v>
      </c>
      <c r="N81" s="279">
        <v>92627</v>
      </c>
    </row>
    <row r="82" spans="1:14" s="1" customFormat="1" x14ac:dyDescent="0.25">
      <c r="A82" s="11">
        <v>41000</v>
      </c>
      <c r="B82" s="82">
        <f t="shared" si="10"/>
        <v>434</v>
      </c>
      <c r="C82" s="88">
        <f t="shared" si="8"/>
        <v>117.8</v>
      </c>
      <c r="D82" s="89">
        <f t="shared" si="9"/>
        <v>114</v>
      </c>
      <c r="E82" s="1">
        <v>48.300000000000004</v>
      </c>
      <c r="F82" s="1">
        <v>1.3</v>
      </c>
      <c r="G82" s="1">
        <v>49.4</v>
      </c>
      <c r="H82" s="1">
        <v>10</v>
      </c>
      <c r="I82" s="1">
        <v>5</v>
      </c>
      <c r="J82" s="1">
        <v>0</v>
      </c>
      <c r="K82" s="92">
        <v>3.8</v>
      </c>
      <c r="L82" s="93">
        <v>39.232586865000002</v>
      </c>
      <c r="M82" s="93">
        <v>0.528811798</v>
      </c>
      <c r="N82" s="279">
        <v>92230</v>
      </c>
    </row>
    <row r="83" spans="1:14" s="1" customFormat="1" x14ac:dyDescent="0.25">
      <c r="A83" s="11">
        <v>41030</v>
      </c>
      <c r="B83" s="82">
        <f t="shared" si="10"/>
        <v>564.4</v>
      </c>
      <c r="C83" s="88">
        <f t="shared" si="8"/>
        <v>130.4</v>
      </c>
      <c r="D83" s="89">
        <f t="shared" si="9"/>
        <v>104.2</v>
      </c>
      <c r="E83" s="1">
        <v>30.4</v>
      </c>
      <c r="F83" s="1">
        <v>1.1000000000000001</v>
      </c>
      <c r="G83" s="1">
        <v>52.6</v>
      </c>
      <c r="H83" s="1">
        <v>15</v>
      </c>
      <c r="I83" s="1">
        <v>2.9</v>
      </c>
      <c r="J83" s="1">
        <v>2.2000000000000002</v>
      </c>
      <c r="K83" s="92">
        <v>26.2</v>
      </c>
      <c r="L83" s="93">
        <v>37.587378657999999</v>
      </c>
      <c r="M83" s="93">
        <v>0.76559431099999997</v>
      </c>
      <c r="N83" s="279">
        <v>93521</v>
      </c>
    </row>
    <row r="84" spans="1:14" s="1" customFormat="1" x14ac:dyDescent="0.25">
      <c r="A84" s="11">
        <v>41061</v>
      </c>
      <c r="B84" s="82">
        <f t="shared" si="10"/>
        <v>732.4</v>
      </c>
      <c r="C84" s="88">
        <f t="shared" si="8"/>
        <v>168</v>
      </c>
      <c r="D84" s="89">
        <f t="shared" si="9"/>
        <v>153.5</v>
      </c>
      <c r="E84" s="1">
        <v>61.4</v>
      </c>
      <c r="F84" s="1">
        <v>1.4</v>
      </c>
      <c r="G84" s="1">
        <v>63.2</v>
      </c>
      <c r="H84" s="1">
        <v>19</v>
      </c>
      <c r="I84" s="1">
        <v>4.8</v>
      </c>
      <c r="J84" s="1">
        <v>3.7</v>
      </c>
      <c r="K84" s="92">
        <v>14.5</v>
      </c>
      <c r="L84" s="93">
        <v>37.095796286999999</v>
      </c>
      <c r="M84" s="93">
        <v>0.97142913200000003</v>
      </c>
      <c r="N84" s="279">
        <v>94472</v>
      </c>
    </row>
    <row r="85" spans="1:14" s="1" customFormat="1" x14ac:dyDescent="0.25">
      <c r="A85" s="11">
        <v>41091</v>
      </c>
      <c r="B85" s="82">
        <f t="shared" si="10"/>
        <v>860.46</v>
      </c>
      <c r="C85" s="88">
        <f t="shared" si="8"/>
        <v>128.06</v>
      </c>
      <c r="D85" s="89">
        <f t="shared" si="9"/>
        <v>116.55999999999999</v>
      </c>
      <c r="E85" s="1">
        <v>24.860000000000003</v>
      </c>
      <c r="F85" s="1">
        <v>1.2</v>
      </c>
      <c r="G85" s="1">
        <v>65.099999999999994</v>
      </c>
      <c r="H85" s="1">
        <v>19.600000000000001</v>
      </c>
      <c r="I85" s="1">
        <v>4.0999999999999996</v>
      </c>
      <c r="J85" s="1">
        <v>1.7</v>
      </c>
      <c r="K85" s="92">
        <v>11.5</v>
      </c>
      <c r="L85" s="93">
        <v>39.653821559999997</v>
      </c>
      <c r="M85" s="93">
        <v>0.71029125199999998</v>
      </c>
      <c r="N85" s="279">
        <v>94882</v>
      </c>
    </row>
    <row r="86" spans="1:14" s="1" customFormat="1" x14ac:dyDescent="0.25">
      <c r="A86" s="11">
        <v>41122</v>
      </c>
      <c r="B86" s="82">
        <f t="shared" si="10"/>
        <v>970.12</v>
      </c>
      <c r="C86" s="88">
        <f t="shared" si="8"/>
        <v>109.66</v>
      </c>
      <c r="D86" s="89">
        <f t="shared" si="9"/>
        <v>104.96</v>
      </c>
      <c r="E86" s="1">
        <v>20.46</v>
      </c>
      <c r="F86" s="1">
        <v>1.2</v>
      </c>
      <c r="G86" s="1">
        <v>56</v>
      </c>
      <c r="H86" s="1">
        <v>22.6</v>
      </c>
      <c r="I86" s="1">
        <v>3.9</v>
      </c>
      <c r="J86" s="1">
        <v>0.8</v>
      </c>
      <c r="K86" s="92">
        <v>4.7</v>
      </c>
      <c r="L86" s="93">
        <v>36.321306081000003</v>
      </c>
      <c r="M86" s="93">
        <v>0.72989756400000005</v>
      </c>
      <c r="N86" s="279">
        <v>94908</v>
      </c>
    </row>
    <row r="87" spans="1:14" s="1" customFormat="1" x14ac:dyDescent="0.25">
      <c r="A87" s="11">
        <v>41153</v>
      </c>
      <c r="B87" s="82">
        <f t="shared" si="10"/>
        <v>1062.82</v>
      </c>
      <c r="C87" s="88">
        <f t="shared" si="8"/>
        <v>92.7</v>
      </c>
      <c r="D87" s="89">
        <f t="shared" si="9"/>
        <v>91.8</v>
      </c>
      <c r="E87" s="1">
        <v>21.3</v>
      </c>
      <c r="F87" s="1">
        <v>1.2</v>
      </c>
      <c r="G87" s="1">
        <v>51.1</v>
      </c>
      <c r="H87" s="1">
        <v>14.7</v>
      </c>
      <c r="I87" s="1">
        <v>3.5</v>
      </c>
      <c r="J87" s="1">
        <v>0</v>
      </c>
      <c r="K87" s="92">
        <v>0.9</v>
      </c>
      <c r="L87" s="93">
        <v>39.436426449000002</v>
      </c>
      <c r="M87" s="93">
        <v>0.734811942</v>
      </c>
      <c r="N87" s="279">
        <v>95271</v>
      </c>
    </row>
    <row r="88" spans="1:14" s="1" customFormat="1" x14ac:dyDescent="0.25">
      <c r="A88" s="11">
        <v>41183</v>
      </c>
      <c r="B88" s="82">
        <f t="shared" si="10"/>
        <v>1162.1199999999999</v>
      </c>
      <c r="C88" s="88">
        <f t="shared" si="8"/>
        <v>99.3</v>
      </c>
      <c r="D88" s="89">
        <f t="shared" si="9"/>
        <v>97.899999999999991</v>
      </c>
      <c r="E88" s="1">
        <v>21.6</v>
      </c>
      <c r="F88" s="1">
        <v>1.2</v>
      </c>
      <c r="G88" s="1">
        <v>53.5</v>
      </c>
      <c r="H88" s="1">
        <v>17.899999999999999</v>
      </c>
      <c r="I88" s="1">
        <v>3.5</v>
      </c>
      <c r="J88" s="1">
        <v>0.2</v>
      </c>
      <c r="K88" s="92">
        <v>1.4</v>
      </c>
      <c r="L88" s="93">
        <v>41.057726782000003</v>
      </c>
      <c r="M88" s="93">
        <v>0.67672527000000005</v>
      </c>
      <c r="N88" s="279">
        <v>95570</v>
      </c>
    </row>
    <row r="89" spans="1:14" s="1" customFormat="1" x14ac:dyDescent="0.25">
      <c r="A89" s="11">
        <v>41214</v>
      </c>
      <c r="B89" s="82">
        <f t="shared" si="10"/>
        <v>1275.9199999999998</v>
      </c>
      <c r="C89" s="88">
        <f t="shared" si="8"/>
        <v>113.80000000000001</v>
      </c>
      <c r="D89" s="89">
        <f t="shared" si="9"/>
        <v>111.80000000000001</v>
      </c>
      <c r="E89" s="1">
        <v>23.099999999999998</v>
      </c>
      <c r="F89" s="1">
        <v>1.3</v>
      </c>
      <c r="G89" s="1">
        <v>65.400000000000006</v>
      </c>
      <c r="H89" s="1">
        <v>16.899999999999999</v>
      </c>
      <c r="I89" s="1">
        <v>3.6</v>
      </c>
      <c r="J89" s="1">
        <v>1.5</v>
      </c>
      <c r="K89" s="92">
        <v>2</v>
      </c>
      <c r="L89" s="93">
        <v>38.248858730000002</v>
      </c>
      <c r="M89" s="93">
        <v>0.58135722199999995</v>
      </c>
      <c r="N89" s="279">
        <v>95685</v>
      </c>
    </row>
    <row r="90" spans="1:14" s="1" customFormat="1" x14ac:dyDescent="0.25">
      <c r="A90" s="11">
        <v>41244</v>
      </c>
      <c r="B90" s="82">
        <f t="shared" si="10"/>
        <v>1397.0199999999998</v>
      </c>
      <c r="C90" s="88">
        <f t="shared" si="8"/>
        <v>121.10000000000001</v>
      </c>
      <c r="D90" s="89">
        <f t="shared" si="9"/>
        <v>120.4</v>
      </c>
      <c r="E90" s="1">
        <v>33.5</v>
      </c>
      <c r="F90" s="1">
        <v>1.3</v>
      </c>
      <c r="G90" s="1">
        <v>64.7</v>
      </c>
      <c r="H90" s="1">
        <v>14.9</v>
      </c>
      <c r="I90" s="1">
        <v>3.5</v>
      </c>
      <c r="J90" s="1">
        <v>2.5</v>
      </c>
      <c r="K90" s="92">
        <v>0.7</v>
      </c>
      <c r="L90" s="93">
        <v>37.564913758000003</v>
      </c>
      <c r="M90" s="93">
        <v>0.74490570700000003</v>
      </c>
      <c r="N90" s="279">
        <v>95779</v>
      </c>
    </row>
    <row r="91" spans="1:14" s="1" customFormat="1" x14ac:dyDescent="0.25">
      <c r="A91" s="11">
        <v>41275</v>
      </c>
      <c r="B91" s="82">
        <f>C91</f>
        <v>101.8</v>
      </c>
      <c r="C91" s="88">
        <f t="shared" si="8"/>
        <v>101.8</v>
      </c>
      <c r="D91" s="89">
        <f t="shared" si="9"/>
        <v>100.8</v>
      </c>
      <c r="E91" s="1">
        <v>26.2</v>
      </c>
      <c r="F91" s="1">
        <v>1.6</v>
      </c>
      <c r="G91" s="1">
        <v>53.5</v>
      </c>
      <c r="H91" s="1">
        <v>15.8</v>
      </c>
      <c r="I91" s="1">
        <v>3</v>
      </c>
      <c r="J91" s="1">
        <v>0.7</v>
      </c>
      <c r="K91" s="92">
        <v>1</v>
      </c>
      <c r="L91" s="93">
        <v>37.997817275000003</v>
      </c>
      <c r="M91" s="93">
        <v>0.78151388499999996</v>
      </c>
      <c r="N91" s="279">
        <v>94655</v>
      </c>
    </row>
    <row r="92" spans="1:14" s="1" customFormat="1" x14ac:dyDescent="0.25">
      <c r="A92" s="11">
        <v>41306</v>
      </c>
      <c r="B92" s="82">
        <f>B91+C92</f>
        <v>216.4</v>
      </c>
      <c r="C92" s="88">
        <f t="shared" si="8"/>
        <v>114.60000000000001</v>
      </c>
      <c r="D92" s="89">
        <f t="shared" si="9"/>
        <v>113.9</v>
      </c>
      <c r="E92" s="1">
        <v>46.5</v>
      </c>
      <c r="F92" s="1">
        <v>1.5</v>
      </c>
      <c r="G92" s="1">
        <v>47.4</v>
      </c>
      <c r="H92" s="1">
        <v>15</v>
      </c>
      <c r="I92" s="1">
        <v>3.5</v>
      </c>
      <c r="J92" s="1">
        <v>0</v>
      </c>
      <c r="K92" s="92">
        <v>0.7</v>
      </c>
      <c r="L92" s="93">
        <v>38.197621595000001</v>
      </c>
      <c r="M92" s="93">
        <v>0.83738357500000005</v>
      </c>
      <c r="N92" s="279">
        <v>95082</v>
      </c>
    </row>
    <row r="93" spans="1:14" s="1" customFormat="1" x14ac:dyDescent="0.25">
      <c r="A93" s="11">
        <v>41334</v>
      </c>
      <c r="B93" s="82">
        <f t="shared" ref="B93:B102" si="11">B92+C93</f>
        <v>314.89999999999998</v>
      </c>
      <c r="C93" s="88">
        <f t="shared" si="8"/>
        <v>98.5</v>
      </c>
      <c r="D93" s="89">
        <f t="shared" si="9"/>
        <v>95.8</v>
      </c>
      <c r="E93" s="1">
        <v>23</v>
      </c>
      <c r="F93" s="1">
        <v>1.5</v>
      </c>
      <c r="G93" s="1">
        <v>49.5</v>
      </c>
      <c r="H93" s="1">
        <v>17.3</v>
      </c>
      <c r="I93" s="1">
        <v>3.7</v>
      </c>
      <c r="J93" s="1">
        <v>0.8</v>
      </c>
      <c r="K93" s="92">
        <v>2.7</v>
      </c>
      <c r="L93" s="93">
        <v>36.820421361999998</v>
      </c>
      <c r="M93" s="93">
        <v>0.71924781900000001</v>
      </c>
      <c r="N93" s="279">
        <v>95381</v>
      </c>
    </row>
    <row r="94" spans="1:14" s="1" customFormat="1" x14ac:dyDescent="0.25">
      <c r="A94" s="11">
        <v>41365</v>
      </c>
      <c r="B94" s="82">
        <f t="shared" si="11"/>
        <v>415.74</v>
      </c>
      <c r="C94" s="88">
        <f t="shared" si="8"/>
        <v>100.84000000000002</v>
      </c>
      <c r="D94" s="89">
        <f t="shared" si="9"/>
        <v>99.840000000000018</v>
      </c>
      <c r="E94" s="1">
        <v>24.740000000000002</v>
      </c>
      <c r="F94" s="1">
        <v>1.4</v>
      </c>
      <c r="G94" s="1">
        <v>50.6</v>
      </c>
      <c r="H94" s="1">
        <v>17.3</v>
      </c>
      <c r="I94" s="1">
        <v>3.4</v>
      </c>
      <c r="J94" s="1">
        <v>2.4</v>
      </c>
      <c r="K94" s="92">
        <v>1</v>
      </c>
      <c r="L94" s="93">
        <v>39.347495840999997</v>
      </c>
      <c r="M94" s="93">
        <v>0.69205514599999995</v>
      </c>
      <c r="N94" s="279">
        <v>95458</v>
      </c>
    </row>
    <row r="95" spans="1:14" s="1" customFormat="1" x14ac:dyDescent="0.25">
      <c r="A95" s="11">
        <v>41395</v>
      </c>
      <c r="B95" s="82">
        <f t="shared" si="11"/>
        <v>549.44000000000005</v>
      </c>
      <c r="C95" s="88">
        <f t="shared" si="8"/>
        <v>133.70000000000002</v>
      </c>
      <c r="D95" s="89">
        <f t="shared" si="9"/>
        <v>132.30000000000001</v>
      </c>
      <c r="E95" s="1">
        <v>47.4</v>
      </c>
      <c r="F95" s="1">
        <v>1.2</v>
      </c>
      <c r="G95" s="1">
        <v>57.1</v>
      </c>
      <c r="H95" s="1">
        <v>20.399999999999999</v>
      </c>
      <c r="I95" s="1">
        <v>4.8</v>
      </c>
      <c r="J95" s="1">
        <v>1.4</v>
      </c>
      <c r="K95" s="92">
        <v>1.4</v>
      </c>
      <c r="L95" s="93">
        <v>38.506751649999998</v>
      </c>
      <c r="M95" s="93">
        <v>0.75653255699999999</v>
      </c>
      <c r="N95" s="279">
        <v>95946</v>
      </c>
    </row>
    <row r="96" spans="1:14" s="1" customFormat="1" x14ac:dyDescent="0.25">
      <c r="A96" s="11">
        <v>41426</v>
      </c>
      <c r="B96" s="82">
        <f t="shared" si="11"/>
        <v>711.6400000000001</v>
      </c>
      <c r="C96" s="88">
        <f t="shared" si="8"/>
        <v>162.19999999999999</v>
      </c>
      <c r="D96" s="89">
        <f t="shared" si="9"/>
        <v>154.5</v>
      </c>
      <c r="E96" s="1">
        <v>69.8</v>
      </c>
      <c r="F96" s="1">
        <v>1.4</v>
      </c>
      <c r="G96" s="1">
        <v>60.1</v>
      </c>
      <c r="H96" s="1">
        <v>16.399999999999999</v>
      </c>
      <c r="I96" s="1">
        <v>6.2</v>
      </c>
      <c r="J96" s="1">
        <v>0.6</v>
      </c>
      <c r="K96" s="92">
        <v>7.7</v>
      </c>
      <c r="L96" s="93">
        <v>37.362041013000002</v>
      </c>
      <c r="M96" s="93">
        <v>0.64696379100000001</v>
      </c>
      <c r="N96" s="279">
        <v>95949</v>
      </c>
    </row>
    <row r="97" spans="1:14" s="1" customFormat="1" x14ac:dyDescent="0.25">
      <c r="A97" s="11">
        <v>41456</v>
      </c>
      <c r="B97" s="82">
        <f t="shared" si="11"/>
        <v>844.44</v>
      </c>
      <c r="C97" s="88">
        <f t="shared" si="8"/>
        <v>132.80000000000001</v>
      </c>
      <c r="D97" s="89">
        <f t="shared" si="9"/>
        <v>104.5</v>
      </c>
      <c r="E97" s="1">
        <v>21.3</v>
      </c>
      <c r="F97" s="1">
        <v>1.4</v>
      </c>
      <c r="G97" s="1">
        <v>59.8</v>
      </c>
      <c r="H97" s="1">
        <v>18.100000000000001</v>
      </c>
      <c r="I97" s="1">
        <v>3.5</v>
      </c>
      <c r="J97" s="1">
        <v>0.4</v>
      </c>
      <c r="K97" s="92">
        <v>28.3</v>
      </c>
      <c r="L97" s="93">
        <v>40.436619385</v>
      </c>
      <c r="M97" s="93">
        <v>0.90239993100000004</v>
      </c>
      <c r="N97" s="279">
        <v>96603</v>
      </c>
    </row>
    <row r="98" spans="1:14" s="1" customFormat="1" x14ac:dyDescent="0.25">
      <c r="A98" s="11">
        <v>41487</v>
      </c>
      <c r="B98" s="82">
        <f t="shared" si="11"/>
        <v>942.24</v>
      </c>
      <c r="C98" s="88">
        <f t="shared" si="8"/>
        <v>97.8</v>
      </c>
      <c r="D98" s="89">
        <f t="shared" si="9"/>
        <v>96.2</v>
      </c>
      <c r="E98" s="1">
        <v>19.400000000000002</v>
      </c>
      <c r="F98" s="1">
        <v>1.4</v>
      </c>
      <c r="G98" s="1">
        <v>55.8</v>
      </c>
      <c r="H98" s="1">
        <v>14.5</v>
      </c>
      <c r="I98" s="1">
        <v>4.2</v>
      </c>
      <c r="J98" s="1">
        <v>0.9</v>
      </c>
      <c r="K98" s="92">
        <v>1.6</v>
      </c>
      <c r="L98" s="93">
        <v>38.128046122999997</v>
      </c>
      <c r="M98" s="93">
        <v>0.94208117000000002</v>
      </c>
      <c r="N98" s="279">
        <v>97247</v>
      </c>
    </row>
    <row r="99" spans="1:14" s="1" customFormat="1" x14ac:dyDescent="0.25">
      <c r="A99" s="11">
        <v>41518</v>
      </c>
      <c r="B99" s="82">
        <f t="shared" si="11"/>
        <v>1055.6400000000001</v>
      </c>
      <c r="C99" s="88">
        <f t="shared" si="8"/>
        <v>113.4</v>
      </c>
      <c r="D99" s="89">
        <f t="shared" si="9"/>
        <v>99.4</v>
      </c>
      <c r="E99" s="1">
        <v>18.5</v>
      </c>
      <c r="F99" s="1">
        <v>1.3</v>
      </c>
      <c r="G99" s="1">
        <v>51.8</v>
      </c>
      <c r="H99" s="1">
        <v>19.899999999999999</v>
      </c>
      <c r="I99" s="1">
        <v>4</v>
      </c>
      <c r="J99" s="1">
        <v>3.9</v>
      </c>
      <c r="K99" s="92">
        <v>14</v>
      </c>
      <c r="L99" s="93">
        <v>38.960305032000001</v>
      </c>
      <c r="M99" s="93">
        <v>0.52691116000000005</v>
      </c>
      <c r="N99" s="279">
        <v>98181</v>
      </c>
    </row>
    <row r="100" spans="1:14" s="1" customFormat="1" x14ac:dyDescent="0.25">
      <c r="A100" s="11">
        <v>41548</v>
      </c>
      <c r="B100" s="82">
        <f t="shared" si="11"/>
        <v>1149.74</v>
      </c>
      <c r="C100" s="88">
        <f t="shared" si="8"/>
        <v>94.1</v>
      </c>
      <c r="D100" s="89">
        <f t="shared" si="9"/>
        <v>93</v>
      </c>
      <c r="E100" s="1">
        <v>16.899999999999999</v>
      </c>
      <c r="F100" s="1">
        <v>1.3</v>
      </c>
      <c r="G100" s="1">
        <v>50.2</v>
      </c>
      <c r="H100" s="1">
        <v>17.100000000000001</v>
      </c>
      <c r="I100" s="1">
        <v>3.5</v>
      </c>
      <c r="J100" s="1">
        <v>4</v>
      </c>
      <c r="K100" s="92">
        <v>1.1000000000000001</v>
      </c>
      <c r="L100" s="93">
        <v>40.790904750999999</v>
      </c>
      <c r="M100" s="93">
        <v>0.903507328</v>
      </c>
      <c r="N100" s="279">
        <v>98167</v>
      </c>
    </row>
    <row r="101" spans="1:14" s="1" customFormat="1" x14ac:dyDescent="0.25">
      <c r="A101" s="11">
        <v>41579</v>
      </c>
      <c r="B101" s="82">
        <f t="shared" si="11"/>
        <v>1252.6400000000001</v>
      </c>
      <c r="C101" s="88">
        <f t="shared" si="8"/>
        <v>102.89999999999999</v>
      </c>
      <c r="D101" s="89">
        <f t="shared" si="9"/>
        <v>101.49999999999999</v>
      </c>
      <c r="E101" s="1">
        <v>17.900000000000002</v>
      </c>
      <c r="F101" s="1">
        <v>1.2</v>
      </c>
      <c r="G101" s="1">
        <v>54.5</v>
      </c>
      <c r="H101" s="1">
        <v>18.600000000000001</v>
      </c>
      <c r="I101" s="1">
        <v>4.5</v>
      </c>
      <c r="J101" s="1">
        <v>4.8</v>
      </c>
      <c r="K101" s="92">
        <v>1.4</v>
      </c>
      <c r="L101" s="93">
        <v>37.257689450000001</v>
      </c>
      <c r="M101" s="93">
        <v>0.82870400700000002</v>
      </c>
      <c r="N101" s="279">
        <v>98972</v>
      </c>
    </row>
    <row r="102" spans="1:14" s="1" customFormat="1" x14ac:dyDescent="0.25">
      <c r="A102" s="11">
        <v>41609</v>
      </c>
      <c r="B102" s="82">
        <f t="shared" si="11"/>
        <v>1409.14</v>
      </c>
      <c r="C102" s="88">
        <f t="shared" si="8"/>
        <v>156.5</v>
      </c>
      <c r="D102" s="89">
        <f t="shared" si="9"/>
        <v>152.19999999999999</v>
      </c>
      <c r="E102" s="1">
        <v>41.2</v>
      </c>
      <c r="F102" s="1">
        <v>1.4</v>
      </c>
      <c r="G102" s="1">
        <v>72.599999999999994</v>
      </c>
      <c r="H102" s="1">
        <v>27.6</v>
      </c>
      <c r="I102" s="1">
        <v>6.5</v>
      </c>
      <c r="J102" s="1">
        <v>2.9</v>
      </c>
      <c r="K102" s="92">
        <v>4.3</v>
      </c>
      <c r="L102" s="93">
        <v>37.262140023999997</v>
      </c>
      <c r="M102" s="93">
        <v>0.84493764199999999</v>
      </c>
      <c r="N102" s="279">
        <v>100797</v>
      </c>
    </row>
    <row r="103" spans="1:14" s="1" customFormat="1" x14ac:dyDescent="0.25">
      <c r="A103" s="11">
        <v>41640</v>
      </c>
      <c r="B103" s="82">
        <f>C103</f>
        <v>88.221115736999991</v>
      </c>
      <c r="C103" s="88">
        <f t="shared" si="8"/>
        <v>88.221115736999991</v>
      </c>
      <c r="D103" s="197">
        <f t="shared" si="9"/>
        <v>86.721115736999991</v>
      </c>
      <c r="E103" s="1">
        <v>30.699999999999996</v>
      </c>
      <c r="F103" s="1">
        <v>1.6</v>
      </c>
      <c r="G103" s="316">
        <v>42.749457521000004</v>
      </c>
      <c r="H103" s="1">
        <v>7.38</v>
      </c>
      <c r="I103" s="282">
        <v>4.2916582160000001</v>
      </c>
      <c r="J103" s="1">
        <v>0</v>
      </c>
      <c r="K103" s="92">
        <v>1.5</v>
      </c>
      <c r="L103" s="93">
        <v>39.899423640000002</v>
      </c>
      <c r="M103" s="93">
        <v>1.0722326799999999</v>
      </c>
      <c r="N103" s="279">
        <v>100540</v>
      </c>
    </row>
    <row r="104" spans="1:14" s="1" customFormat="1" x14ac:dyDescent="0.25">
      <c r="A104" s="11">
        <v>41671</v>
      </c>
      <c r="B104" s="82">
        <f>B103+C104</f>
        <v>212.29361007099999</v>
      </c>
      <c r="C104" s="88">
        <f t="shared" si="8"/>
        <v>124.07249433400001</v>
      </c>
      <c r="D104" s="197">
        <f t="shared" si="9"/>
        <v>122.37249433400001</v>
      </c>
      <c r="E104" s="1">
        <v>42</v>
      </c>
      <c r="F104" s="1">
        <v>1.6</v>
      </c>
      <c r="G104" s="316">
        <v>55.091111366000007</v>
      </c>
      <c r="H104" s="1">
        <v>16.7</v>
      </c>
      <c r="I104" s="282">
        <v>4.5813829679999998</v>
      </c>
      <c r="J104" s="1">
        <v>2.4</v>
      </c>
      <c r="K104" s="92">
        <v>1.7</v>
      </c>
      <c r="L104" s="93">
        <v>37.633686167</v>
      </c>
      <c r="M104" s="93">
        <v>0.56545499099999996</v>
      </c>
      <c r="N104" s="279">
        <v>101052</v>
      </c>
    </row>
    <row r="105" spans="1:14" s="1" customFormat="1" x14ac:dyDescent="0.25">
      <c r="A105" s="11">
        <v>41699</v>
      </c>
      <c r="B105" s="82">
        <f t="shared" ref="B105:B114" si="12">B104+C105</f>
        <v>317.65141405899999</v>
      </c>
      <c r="C105" s="88">
        <f t="shared" si="8"/>
        <v>105.357803988</v>
      </c>
      <c r="D105" s="197">
        <f t="shared" si="9"/>
        <v>104.357803988</v>
      </c>
      <c r="E105" s="1">
        <v>30.5</v>
      </c>
      <c r="F105" s="1">
        <v>1.5</v>
      </c>
      <c r="G105" s="316">
        <v>51.455752177000001</v>
      </c>
      <c r="H105" s="1">
        <v>16.670000000000002</v>
      </c>
      <c r="I105" s="282">
        <v>4.2320518109999998</v>
      </c>
      <c r="J105" s="1">
        <v>0</v>
      </c>
      <c r="K105" s="92">
        <v>1</v>
      </c>
      <c r="L105" s="93">
        <v>38.417814444000001</v>
      </c>
      <c r="M105" s="93">
        <v>1.2341512539999999</v>
      </c>
      <c r="N105" s="279">
        <v>102315</v>
      </c>
    </row>
    <row r="106" spans="1:14" s="1" customFormat="1" x14ac:dyDescent="0.25">
      <c r="A106" s="11">
        <v>41730</v>
      </c>
      <c r="B106" s="82">
        <f t="shared" si="12"/>
        <v>446.59094381299997</v>
      </c>
      <c r="C106" s="88">
        <f t="shared" si="8"/>
        <v>128.93952975399998</v>
      </c>
      <c r="D106" s="197">
        <f t="shared" si="9"/>
        <v>127.43952975399999</v>
      </c>
      <c r="E106" s="1">
        <v>26.2</v>
      </c>
      <c r="F106" s="1">
        <v>1.5</v>
      </c>
      <c r="G106" s="316">
        <v>66.794148285999995</v>
      </c>
      <c r="H106" s="1">
        <v>19.080000000000002</v>
      </c>
      <c r="I106" s="282">
        <v>5.1653814679999996</v>
      </c>
      <c r="J106" s="1">
        <v>8.6999999999999993</v>
      </c>
      <c r="K106" s="92">
        <v>1.5</v>
      </c>
      <c r="L106" s="93">
        <v>40.574363251000001</v>
      </c>
      <c r="M106" s="93">
        <v>0.577271851</v>
      </c>
      <c r="N106" s="279">
        <v>103633</v>
      </c>
    </row>
    <row r="107" spans="1:14" s="1" customFormat="1" x14ac:dyDescent="0.25">
      <c r="A107" s="11">
        <v>41760</v>
      </c>
      <c r="B107" s="82">
        <f t="shared" si="12"/>
        <v>610.25282368599994</v>
      </c>
      <c r="C107" s="88">
        <f t="shared" si="8"/>
        <v>163.661879873</v>
      </c>
      <c r="D107" s="197">
        <f t="shared" si="9"/>
        <v>147.661879873</v>
      </c>
      <c r="E107" s="1">
        <v>54.6</v>
      </c>
      <c r="F107" s="1">
        <v>1.4</v>
      </c>
      <c r="G107" s="316">
        <v>56.359527073000002</v>
      </c>
      <c r="H107" s="1">
        <v>17.88</v>
      </c>
      <c r="I107" s="282">
        <v>3.5223528000000002</v>
      </c>
      <c r="J107" s="1">
        <v>13.9</v>
      </c>
      <c r="K107" s="92">
        <v>16</v>
      </c>
      <c r="L107" s="93">
        <v>38.583067118000002</v>
      </c>
      <c r="M107" s="93">
        <v>1.2293412720000001</v>
      </c>
      <c r="N107" s="279">
        <v>103488</v>
      </c>
    </row>
    <row r="108" spans="1:14" s="1" customFormat="1" x14ac:dyDescent="0.25">
      <c r="A108" s="11">
        <v>41791</v>
      </c>
      <c r="B108" s="82">
        <f t="shared" si="12"/>
        <v>768.69380569299994</v>
      </c>
      <c r="C108" s="88">
        <f t="shared" si="8"/>
        <v>158.440982007</v>
      </c>
      <c r="D108" s="197">
        <f t="shared" si="9"/>
        <v>156.940982007</v>
      </c>
      <c r="E108" s="1">
        <v>70.2</v>
      </c>
      <c r="F108" s="1">
        <v>1.6</v>
      </c>
      <c r="G108" s="316">
        <v>58.125696604000005</v>
      </c>
      <c r="H108" s="1">
        <v>17.809999999999999</v>
      </c>
      <c r="I108" s="282">
        <v>5.3052854030000001</v>
      </c>
      <c r="J108" s="1">
        <v>3.9</v>
      </c>
      <c r="K108" s="92">
        <v>1.5</v>
      </c>
      <c r="L108" s="93">
        <v>38.920156861000002</v>
      </c>
      <c r="M108" s="93">
        <v>1.1226850509999999</v>
      </c>
      <c r="N108" s="279">
        <v>98808</v>
      </c>
    </row>
    <row r="109" spans="1:14" s="1" customFormat="1" x14ac:dyDescent="0.25">
      <c r="A109" s="11">
        <v>41821</v>
      </c>
      <c r="B109" s="82">
        <f t="shared" si="12"/>
        <v>922.04459714999996</v>
      </c>
      <c r="C109" s="88">
        <f t="shared" si="8"/>
        <v>153.35079145700001</v>
      </c>
      <c r="D109" s="197">
        <f t="shared" si="9"/>
        <v>127.55079145700002</v>
      </c>
      <c r="E109" s="1">
        <v>24.3</v>
      </c>
      <c r="F109" s="1">
        <v>1.32</v>
      </c>
      <c r="G109" s="316">
        <v>73.918077009000001</v>
      </c>
      <c r="H109" s="1">
        <v>22.09</v>
      </c>
      <c r="I109" s="282">
        <v>3.7227144480000005</v>
      </c>
      <c r="J109" s="1">
        <v>2.2000000000000002</v>
      </c>
      <c r="K109" s="92">
        <v>25.800000000000004</v>
      </c>
      <c r="L109" s="93">
        <v>40.527117947999997</v>
      </c>
      <c r="M109" s="93">
        <v>0.58640205199999995</v>
      </c>
      <c r="N109" s="279">
        <v>99521</v>
      </c>
    </row>
    <row r="110" spans="1:14" s="1" customFormat="1" x14ac:dyDescent="0.25">
      <c r="A110" s="11">
        <v>41852</v>
      </c>
      <c r="B110" s="82">
        <f t="shared" si="12"/>
        <v>1029.787539612</v>
      </c>
      <c r="C110" s="88">
        <f t="shared" si="8"/>
        <v>107.74294246200002</v>
      </c>
      <c r="D110" s="197">
        <f t="shared" si="9"/>
        <v>107.04294246200001</v>
      </c>
      <c r="E110" s="1">
        <v>24.3</v>
      </c>
      <c r="F110" s="1">
        <v>1.5</v>
      </c>
      <c r="G110" s="316">
        <v>55.057442561000002</v>
      </c>
      <c r="H110" s="1">
        <v>16.93</v>
      </c>
      <c r="I110" s="282">
        <v>5.5554999010000001</v>
      </c>
      <c r="J110" s="1">
        <v>3.7</v>
      </c>
      <c r="K110" s="92">
        <v>0.7</v>
      </c>
      <c r="L110" s="93">
        <v>40.831345282999997</v>
      </c>
      <c r="M110" s="93">
        <v>1.657179599</v>
      </c>
      <c r="N110" s="279">
        <v>99547</v>
      </c>
    </row>
    <row r="111" spans="1:14" s="1" customFormat="1" x14ac:dyDescent="0.25">
      <c r="A111" s="11">
        <v>41883</v>
      </c>
      <c r="B111" s="82">
        <f t="shared" si="12"/>
        <v>1145.802139934</v>
      </c>
      <c r="C111" s="88">
        <f t="shared" si="8"/>
        <v>116.01460032200001</v>
      </c>
      <c r="D111" s="197">
        <f t="shared" si="9"/>
        <v>104.41460032200001</v>
      </c>
      <c r="E111" s="1">
        <v>20.400000000000002</v>
      </c>
      <c r="F111" s="1">
        <v>1.4</v>
      </c>
      <c r="G111" s="316">
        <v>55.874253525000007</v>
      </c>
      <c r="H111" s="1">
        <v>21</v>
      </c>
      <c r="I111" s="282">
        <v>4.4403467970000001</v>
      </c>
      <c r="J111" s="1">
        <v>1.3</v>
      </c>
      <c r="K111" s="92">
        <v>11.6</v>
      </c>
      <c r="L111" s="93">
        <v>42.283871875999999</v>
      </c>
      <c r="M111" s="93">
        <v>0.71476196999999997</v>
      </c>
      <c r="N111" s="279">
        <v>101622</v>
      </c>
    </row>
    <row r="112" spans="1:14" s="1" customFormat="1" x14ac:dyDescent="0.25">
      <c r="A112" s="11">
        <v>41913</v>
      </c>
      <c r="B112" s="82">
        <f t="shared" si="12"/>
        <v>1275.9121399340002</v>
      </c>
      <c r="C112" s="88">
        <f t="shared" si="8"/>
        <v>130.11000000000001</v>
      </c>
      <c r="D112" s="89">
        <f t="shared" si="9"/>
        <v>122.31</v>
      </c>
      <c r="E112" s="1">
        <v>20.799999999999997</v>
      </c>
      <c r="F112" s="1">
        <v>1.6</v>
      </c>
      <c r="G112" s="1">
        <v>61.180000000000007</v>
      </c>
      <c r="H112" s="1">
        <v>21.729999999999997</v>
      </c>
      <c r="I112" s="1">
        <v>4.2</v>
      </c>
      <c r="J112" s="1">
        <v>12.8</v>
      </c>
      <c r="K112" s="92">
        <v>7.8000000000000007</v>
      </c>
      <c r="L112" s="93">
        <v>39.552359396</v>
      </c>
      <c r="M112" s="93">
        <v>1.1531977870000001</v>
      </c>
      <c r="N112" s="279">
        <v>101949</v>
      </c>
    </row>
    <row r="113" spans="1:14" s="1" customFormat="1" x14ac:dyDescent="0.25">
      <c r="A113" s="11">
        <v>41944</v>
      </c>
      <c r="B113" s="82">
        <f t="shared" si="12"/>
        <v>1385.532139934</v>
      </c>
      <c r="C113" s="88">
        <f t="shared" si="8"/>
        <v>109.62</v>
      </c>
      <c r="D113" s="89">
        <f t="shared" si="9"/>
        <v>108.52000000000001</v>
      </c>
      <c r="E113" s="1">
        <v>21.8</v>
      </c>
      <c r="F113" s="1">
        <v>0.4</v>
      </c>
      <c r="G113" s="1">
        <v>60.750000000000007</v>
      </c>
      <c r="H113" s="1">
        <v>18.669999999999998</v>
      </c>
      <c r="I113" s="1">
        <v>4.5</v>
      </c>
      <c r="J113" s="1">
        <v>2.4</v>
      </c>
      <c r="K113" s="92">
        <v>1.1000000000000001</v>
      </c>
      <c r="L113" s="93">
        <v>41.739884228999998</v>
      </c>
      <c r="M113" s="93">
        <v>1.135108172</v>
      </c>
      <c r="N113" s="279">
        <v>102987</v>
      </c>
    </row>
    <row r="114" spans="1:14" s="1" customFormat="1" x14ac:dyDescent="0.25">
      <c r="A114" s="11">
        <v>41974</v>
      </c>
      <c r="B114" s="82">
        <f t="shared" si="12"/>
        <v>1577.2321399340001</v>
      </c>
      <c r="C114" s="88">
        <f t="shared" si="8"/>
        <v>191.7</v>
      </c>
      <c r="D114" s="89">
        <f t="shared" si="9"/>
        <v>171.4</v>
      </c>
      <c r="E114" s="1">
        <v>35.4</v>
      </c>
      <c r="F114" s="1">
        <v>1.5</v>
      </c>
      <c r="G114" s="1">
        <v>91.1</v>
      </c>
      <c r="H114" s="1">
        <v>25.2</v>
      </c>
      <c r="I114" s="1">
        <v>6.9</v>
      </c>
      <c r="J114" s="1">
        <v>11.3</v>
      </c>
      <c r="K114" s="92">
        <v>20.299999999999997</v>
      </c>
      <c r="L114" s="93">
        <f>L113*L102/L101</f>
        <v>41.74487021836903</v>
      </c>
      <c r="M114" s="93">
        <f>M113*M102/M101</f>
        <v>1.1573440144649987</v>
      </c>
      <c r="N114" s="279">
        <v>103360</v>
      </c>
    </row>
    <row r="115" spans="1:14" s="1" customFormat="1" x14ac:dyDescent="0.25">
      <c r="A115" s="11">
        <v>42005</v>
      </c>
      <c r="B115" s="82">
        <f>C115</f>
        <v>108.6</v>
      </c>
      <c r="C115" s="88">
        <f t="shared" si="8"/>
        <v>108.6</v>
      </c>
      <c r="D115" s="89">
        <f t="shared" si="9"/>
        <v>99</v>
      </c>
      <c r="E115" s="1">
        <v>33.299999999999997</v>
      </c>
      <c r="F115" s="1">
        <v>1.7</v>
      </c>
      <c r="G115" s="1">
        <v>44.2</v>
      </c>
      <c r="H115" s="1">
        <v>11.6</v>
      </c>
      <c r="I115" s="1">
        <v>5.9</v>
      </c>
      <c r="J115" s="1">
        <v>2.2999999999999998</v>
      </c>
      <c r="K115" s="92">
        <v>9.6</v>
      </c>
      <c r="L115" s="93">
        <v>48.652616987999998</v>
      </c>
      <c r="M115" s="93">
        <v>2.2372884900000001</v>
      </c>
      <c r="N115" s="279">
        <v>103162</v>
      </c>
    </row>
    <row r="116" spans="1:14" s="1" customFormat="1" x14ac:dyDescent="0.25">
      <c r="A116" s="11">
        <v>42036</v>
      </c>
      <c r="B116" s="82">
        <f>B115+C116</f>
        <v>248.29999999999998</v>
      </c>
      <c r="C116" s="88">
        <f t="shared" si="8"/>
        <v>139.69999999999999</v>
      </c>
      <c r="D116" s="89">
        <f t="shared" si="9"/>
        <v>137.19999999999999</v>
      </c>
      <c r="E116" s="1">
        <v>65.5</v>
      </c>
      <c r="F116" s="1">
        <v>1.7</v>
      </c>
      <c r="G116" s="1">
        <v>46.9</v>
      </c>
      <c r="H116" s="1">
        <v>12.7</v>
      </c>
      <c r="I116" s="1">
        <v>5.4</v>
      </c>
      <c r="J116" s="1">
        <v>5</v>
      </c>
      <c r="K116" s="92">
        <v>2.5</v>
      </c>
      <c r="L116" s="93">
        <v>42.045438052999998</v>
      </c>
      <c r="M116" s="93">
        <v>1.1106003497000001</v>
      </c>
      <c r="N116" s="279">
        <v>103711</v>
      </c>
    </row>
    <row r="117" spans="1:14" s="1" customFormat="1" x14ac:dyDescent="0.25">
      <c r="A117" s="11">
        <v>42064</v>
      </c>
      <c r="B117" s="82">
        <f t="shared" ref="B117:B126" si="13">B116+C117</f>
        <v>367.7</v>
      </c>
      <c r="C117" s="88">
        <f t="shared" si="8"/>
        <v>119.4</v>
      </c>
      <c r="D117" s="89">
        <f t="shared" si="9"/>
        <v>117</v>
      </c>
      <c r="E117" s="1">
        <v>27.599999999999998</v>
      </c>
      <c r="F117" s="1">
        <v>1.6</v>
      </c>
      <c r="G117" s="1">
        <v>59.1</v>
      </c>
      <c r="H117" s="1">
        <v>21.2</v>
      </c>
      <c r="I117" s="1">
        <v>4.4000000000000004</v>
      </c>
      <c r="J117" s="1">
        <v>3.1</v>
      </c>
      <c r="K117" s="92">
        <v>2.4</v>
      </c>
      <c r="L117" s="93">
        <v>43.549544032999997</v>
      </c>
      <c r="M117" s="93">
        <v>0.87700112600000002</v>
      </c>
      <c r="N117" s="279">
        <v>104260</v>
      </c>
    </row>
    <row r="118" spans="1:14" s="1" customFormat="1" x14ac:dyDescent="0.25">
      <c r="A118" s="11">
        <v>42095</v>
      </c>
      <c r="B118" s="82">
        <f t="shared" si="13"/>
        <v>505.8</v>
      </c>
      <c r="C118" s="88">
        <f t="shared" si="8"/>
        <v>138.10000000000002</v>
      </c>
      <c r="D118" s="89">
        <f t="shared" si="9"/>
        <v>129.20000000000002</v>
      </c>
      <c r="E118" s="1">
        <v>30.9</v>
      </c>
      <c r="F118" s="1">
        <v>1.5</v>
      </c>
      <c r="G118" s="1">
        <v>63</v>
      </c>
      <c r="H118" s="1">
        <v>18.899999999999999</v>
      </c>
      <c r="I118" s="1">
        <v>5</v>
      </c>
      <c r="J118" s="1">
        <v>9.9</v>
      </c>
      <c r="K118" s="92">
        <v>8.9</v>
      </c>
      <c r="L118" s="93">
        <v>44.382760591999997</v>
      </c>
      <c r="M118" s="93">
        <v>1.5314206969999999</v>
      </c>
      <c r="N118" s="279">
        <v>105269</v>
      </c>
    </row>
    <row r="119" spans="1:14" s="1" customFormat="1" x14ac:dyDescent="0.25">
      <c r="A119" s="11">
        <v>42125</v>
      </c>
      <c r="B119" s="82">
        <f t="shared" si="13"/>
        <v>649.20000000000005</v>
      </c>
      <c r="C119" s="88">
        <f t="shared" si="8"/>
        <v>143.39999999999998</v>
      </c>
      <c r="D119" s="89">
        <f t="shared" si="9"/>
        <v>141.29999999999998</v>
      </c>
      <c r="E119" s="1">
        <v>57.4</v>
      </c>
      <c r="F119" s="1">
        <v>1.4</v>
      </c>
      <c r="G119" s="1">
        <v>59.6</v>
      </c>
      <c r="H119" s="1">
        <v>14.1</v>
      </c>
      <c r="I119" s="1">
        <v>4.0999999999999996</v>
      </c>
      <c r="J119" s="1">
        <v>4.7</v>
      </c>
      <c r="K119" s="92">
        <v>2.1</v>
      </c>
      <c r="L119" s="93">
        <v>42.770490062</v>
      </c>
      <c r="M119" s="93">
        <v>2.40715499</v>
      </c>
      <c r="N119" s="279">
        <v>106038</v>
      </c>
    </row>
    <row r="120" spans="1:14" s="1" customFormat="1" x14ac:dyDescent="0.25">
      <c r="A120" s="11">
        <v>42156</v>
      </c>
      <c r="B120" s="82">
        <f t="shared" si="13"/>
        <v>874.80000000000007</v>
      </c>
      <c r="C120" s="88">
        <f t="shared" si="8"/>
        <v>225.60000000000002</v>
      </c>
      <c r="D120" s="89">
        <f t="shared" si="9"/>
        <v>176.4</v>
      </c>
      <c r="E120" s="1">
        <v>73.3</v>
      </c>
      <c r="F120" s="1">
        <v>1.5</v>
      </c>
      <c r="G120" s="1">
        <v>66.7</v>
      </c>
      <c r="H120" s="1">
        <v>18.899999999999999</v>
      </c>
      <c r="I120" s="1">
        <v>10.3</v>
      </c>
      <c r="J120" s="1">
        <v>5.7</v>
      </c>
      <c r="K120" s="92">
        <v>49.2</v>
      </c>
      <c r="L120" s="93">
        <v>47.548310276000002</v>
      </c>
      <c r="M120" s="93">
        <v>2.4868328430000002</v>
      </c>
      <c r="N120" s="279">
        <v>106520</v>
      </c>
    </row>
    <row r="121" spans="1:14" s="1" customFormat="1" x14ac:dyDescent="0.25">
      <c r="A121" s="11">
        <v>42186</v>
      </c>
      <c r="B121" s="82">
        <f t="shared" si="13"/>
        <v>1003.5</v>
      </c>
      <c r="C121" s="88">
        <f t="shared" si="8"/>
        <v>128.69999999999999</v>
      </c>
      <c r="D121" s="89">
        <f t="shared" si="9"/>
        <v>127.6</v>
      </c>
      <c r="E121" s="1">
        <v>31</v>
      </c>
      <c r="F121" s="1">
        <v>1.5</v>
      </c>
      <c r="G121" s="1">
        <v>64.599999999999994</v>
      </c>
      <c r="H121" s="1">
        <v>20.100000000000001</v>
      </c>
      <c r="I121" s="1">
        <v>4.5</v>
      </c>
      <c r="J121" s="1">
        <v>5.9</v>
      </c>
      <c r="K121" s="92">
        <v>1.1000000000000001</v>
      </c>
      <c r="L121" s="93">
        <v>43.820709979</v>
      </c>
      <c r="M121" s="93">
        <v>0.67627172899999999</v>
      </c>
      <c r="N121" s="279">
        <v>107269</v>
      </c>
    </row>
    <row r="122" spans="1:14" s="1" customFormat="1" x14ac:dyDescent="0.25">
      <c r="A122" s="11">
        <v>42217</v>
      </c>
      <c r="B122" s="82">
        <f t="shared" si="13"/>
        <v>1118</v>
      </c>
      <c r="C122" s="88">
        <f t="shared" si="8"/>
        <v>114.5</v>
      </c>
      <c r="D122" s="89">
        <f t="shared" si="9"/>
        <v>113.6</v>
      </c>
      <c r="E122" s="1">
        <v>22.6</v>
      </c>
      <c r="F122" s="1">
        <v>1.4</v>
      </c>
      <c r="G122" s="1">
        <v>64.3</v>
      </c>
      <c r="H122" s="1">
        <v>17.3</v>
      </c>
      <c r="I122" s="1">
        <v>4</v>
      </c>
      <c r="J122" s="1">
        <v>4</v>
      </c>
      <c r="K122" s="92">
        <v>0.9</v>
      </c>
      <c r="L122" s="93">
        <v>42.860393731000002</v>
      </c>
      <c r="M122" s="93">
        <v>0.66856056200000002</v>
      </c>
      <c r="N122" s="279">
        <v>107483</v>
      </c>
    </row>
    <row r="123" spans="1:14" s="1" customFormat="1" x14ac:dyDescent="0.25">
      <c r="A123" s="11">
        <v>42248</v>
      </c>
      <c r="B123" s="82">
        <f t="shared" si="13"/>
        <v>1233.2</v>
      </c>
      <c r="C123" s="88">
        <f t="shared" si="8"/>
        <v>115.19999999999999</v>
      </c>
      <c r="D123" s="89">
        <f t="shared" si="9"/>
        <v>114.29999999999998</v>
      </c>
      <c r="E123" s="1">
        <v>20</v>
      </c>
      <c r="F123" s="1">
        <v>1.4</v>
      </c>
      <c r="G123" s="1">
        <v>62.8</v>
      </c>
      <c r="H123" s="1">
        <v>23</v>
      </c>
      <c r="I123" s="1">
        <v>4.3</v>
      </c>
      <c r="J123" s="1">
        <v>2.8</v>
      </c>
      <c r="K123" s="92">
        <v>0.9</v>
      </c>
      <c r="L123" s="93">
        <v>42.171044254999998</v>
      </c>
      <c r="M123" s="93">
        <v>1.5360107000000001</v>
      </c>
      <c r="N123" s="279">
        <v>108028</v>
      </c>
    </row>
    <row r="124" spans="1:14" s="1" customFormat="1" x14ac:dyDescent="0.25">
      <c r="A124" s="11">
        <v>42278</v>
      </c>
      <c r="B124" s="82">
        <f t="shared" si="13"/>
        <v>1354.1000000000001</v>
      </c>
      <c r="C124" s="88">
        <f t="shared" si="8"/>
        <v>120.89999999999999</v>
      </c>
      <c r="D124" s="89">
        <f t="shared" si="9"/>
        <v>119.3</v>
      </c>
      <c r="E124" s="1">
        <v>19.900000000000002</v>
      </c>
      <c r="F124" s="1">
        <v>1.4</v>
      </c>
      <c r="G124" s="1">
        <v>65.3</v>
      </c>
      <c r="H124" s="1">
        <v>18.2</v>
      </c>
      <c r="I124" s="1">
        <v>4.5999999999999996</v>
      </c>
      <c r="J124" s="1">
        <v>9.9</v>
      </c>
      <c r="K124" s="92">
        <v>1.6</v>
      </c>
      <c r="L124" s="93">
        <v>43.696378316000001</v>
      </c>
      <c r="M124" s="93">
        <v>0.40771073000000002</v>
      </c>
      <c r="N124" s="279">
        <v>107390</v>
      </c>
    </row>
    <row r="125" spans="1:14" s="1" customFormat="1" x14ac:dyDescent="0.25">
      <c r="A125" s="11">
        <v>42309</v>
      </c>
      <c r="B125" s="82">
        <f t="shared" si="13"/>
        <v>1485.2</v>
      </c>
      <c r="C125" s="88">
        <f t="shared" si="8"/>
        <v>131.1</v>
      </c>
      <c r="D125" s="89">
        <f t="shared" si="9"/>
        <v>130.1</v>
      </c>
      <c r="E125" s="1">
        <v>27.1</v>
      </c>
      <c r="F125" s="1">
        <v>1.4</v>
      </c>
      <c r="G125" s="1">
        <v>71.25</v>
      </c>
      <c r="H125" s="1">
        <v>18.8</v>
      </c>
      <c r="I125" s="1">
        <v>5.7</v>
      </c>
      <c r="J125" s="1">
        <v>5.85</v>
      </c>
      <c r="K125" s="92">
        <v>1</v>
      </c>
      <c r="L125" s="93">
        <v>40.537145541000001</v>
      </c>
      <c r="M125" s="93">
        <v>6.3990000000000005E-2</v>
      </c>
      <c r="N125" s="279">
        <v>107853</v>
      </c>
    </row>
    <row r="126" spans="1:14" s="1" customFormat="1" x14ac:dyDescent="0.25">
      <c r="A126" s="11">
        <v>42339</v>
      </c>
      <c r="B126" s="82">
        <f t="shared" si="13"/>
        <v>1701.1</v>
      </c>
      <c r="C126" s="88">
        <f t="shared" si="8"/>
        <v>215.89999999999998</v>
      </c>
      <c r="D126" s="89">
        <f t="shared" si="9"/>
        <v>194.2</v>
      </c>
      <c r="E126" s="1">
        <v>30.3</v>
      </c>
      <c r="F126" s="1">
        <v>1.7</v>
      </c>
      <c r="G126" s="1">
        <v>111.6</v>
      </c>
      <c r="H126" s="1">
        <v>30.9</v>
      </c>
      <c r="I126" s="1">
        <v>8.6999999999999993</v>
      </c>
      <c r="J126" s="1">
        <v>11</v>
      </c>
      <c r="K126" s="92">
        <v>21.7</v>
      </c>
      <c r="L126" s="93">
        <v>42.160194029000003</v>
      </c>
      <c r="M126" s="93">
        <v>0</v>
      </c>
      <c r="N126" s="279">
        <v>107914</v>
      </c>
    </row>
    <row r="127" spans="1:14" s="1" customFormat="1" x14ac:dyDescent="0.25">
      <c r="A127" s="11">
        <v>42370</v>
      </c>
      <c r="B127" s="82">
        <f>C127</f>
        <v>109.10000000000001</v>
      </c>
      <c r="C127" s="88">
        <f t="shared" si="8"/>
        <v>109.10000000000001</v>
      </c>
      <c r="D127" s="89">
        <f t="shared" si="9"/>
        <v>107.2</v>
      </c>
      <c r="E127" s="1">
        <v>37.799999999999997</v>
      </c>
      <c r="F127" s="1">
        <v>1.7</v>
      </c>
      <c r="G127" s="1">
        <v>44.5</v>
      </c>
      <c r="H127" s="1">
        <v>7.7</v>
      </c>
      <c r="I127" s="1">
        <v>3.8</v>
      </c>
      <c r="J127" s="1">
        <v>11.7</v>
      </c>
      <c r="K127" s="92">
        <v>1.9</v>
      </c>
      <c r="L127" s="93">
        <v>45.333288107000001</v>
      </c>
      <c r="M127" s="93">
        <v>3.2446842419999999</v>
      </c>
      <c r="N127" s="279">
        <v>108441</v>
      </c>
    </row>
    <row r="128" spans="1:14" s="1" customFormat="1" x14ac:dyDescent="0.25">
      <c r="A128" s="11">
        <v>42401</v>
      </c>
      <c r="B128" s="82">
        <f>B127+C128</f>
        <v>275.60000000000002</v>
      </c>
      <c r="C128" s="88">
        <f t="shared" si="8"/>
        <v>166.50000000000003</v>
      </c>
      <c r="D128" s="89">
        <f t="shared" si="9"/>
        <v>165.40000000000003</v>
      </c>
      <c r="E128" s="1">
        <v>73.900000000000006</v>
      </c>
      <c r="F128" s="1">
        <v>1.6</v>
      </c>
      <c r="G128" s="1">
        <v>56.3</v>
      </c>
      <c r="H128" s="1">
        <v>15.4</v>
      </c>
      <c r="I128" s="1">
        <v>5.9</v>
      </c>
      <c r="J128" s="1">
        <v>12.3</v>
      </c>
      <c r="K128" s="92">
        <v>1.1000000000000001</v>
      </c>
      <c r="L128" s="93">
        <v>43.965463995</v>
      </c>
      <c r="M128" s="93">
        <v>1.3989352909999999</v>
      </c>
      <c r="N128" s="279">
        <v>109617</v>
      </c>
    </row>
    <row r="129" spans="1:14" s="1" customFormat="1" x14ac:dyDescent="0.25">
      <c r="A129" s="11">
        <v>42430</v>
      </c>
      <c r="B129" s="82">
        <f t="shared" ref="B129:B138" si="14">B128+C129</f>
        <v>401.1</v>
      </c>
      <c r="C129" s="88">
        <f t="shared" si="8"/>
        <v>125.5</v>
      </c>
      <c r="D129" s="89">
        <f t="shared" si="9"/>
        <v>124.5</v>
      </c>
      <c r="E129" s="1">
        <v>27.6</v>
      </c>
      <c r="F129" s="1">
        <v>1.4</v>
      </c>
      <c r="G129" s="1">
        <v>59</v>
      </c>
      <c r="H129" s="1">
        <v>16.8</v>
      </c>
      <c r="I129" s="1">
        <v>5.4</v>
      </c>
      <c r="J129" s="1">
        <v>14.3</v>
      </c>
      <c r="K129" s="92">
        <v>1</v>
      </c>
      <c r="L129" s="93">
        <v>45.978754162999998</v>
      </c>
      <c r="M129" s="93">
        <v>2.0309918169999999</v>
      </c>
      <c r="N129" s="279">
        <v>110910</v>
      </c>
    </row>
    <row r="130" spans="1:14" s="1" customFormat="1" x14ac:dyDescent="0.25">
      <c r="A130" s="11">
        <v>42461</v>
      </c>
      <c r="B130" s="82">
        <f t="shared" si="14"/>
        <v>543.6</v>
      </c>
      <c r="C130" s="88">
        <f t="shared" si="8"/>
        <v>142.5</v>
      </c>
      <c r="D130" s="89">
        <f t="shared" si="9"/>
        <v>132.6</v>
      </c>
      <c r="E130" s="1">
        <v>36.9</v>
      </c>
      <c r="F130" s="1">
        <v>1.5</v>
      </c>
      <c r="G130" s="1">
        <v>63.2</v>
      </c>
      <c r="H130" s="1">
        <v>14.9</v>
      </c>
      <c r="I130" s="1">
        <v>4.3</v>
      </c>
      <c r="J130" s="1">
        <v>11.8</v>
      </c>
      <c r="K130" s="92">
        <v>9.9</v>
      </c>
      <c r="L130" s="93">
        <v>44.563551191000002</v>
      </c>
      <c r="M130" s="93">
        <v>0.85534654899999996</v>
      </c>
      <c r="N130" s="279">
        <v>111856</v>
      </c>
    </row>
    <row r="131" spans="1:14" s="1" customFormat="1" x14ac:dyDescent="0.25">
      <c r="A131" s="11">
        <v>42491</v>
      </c>
      <c r="B131" s="82">
        <f t="shared" si="14"/>
        <v>729.8</v>
      </c>
      <c r="C131" s="88">
        <f t="shared" si="8"/>
        <v>186.19999999999996</v>
      </c>
      <c r="D131" s="89">
        <f t="shared" si="9"/>
        <v>170.29999999999995</v>
      </c>
      <c r="E131" s="1">
        <v>64.3</v>
      </c>
      <c r="F131" s="1">
        <v>1.3</v>
      </c>
      <c r="G131" s="1">
        <v>68.8</v>
      </c>
      <c r="H131" s="1">
        <v>17.7</v>
      </c>
      <c r="I131" s="1">
        <v>4.7</v>
      </c>
      <c r="J131" s="1">
        <v>13.5</v>
      </c>
      <c r="K131" s="92">
        <v>15.9</v>
      </c>
      <c r="L131" s="93">
        <v>46.424743339000003</v>
      </c>
      <c r="M131" s="93">
        <v>0.77550356399999998</v>
      </c>
      <c r="N131" s="279">
        <v>113302</v>
      </c>
    </row>
    <row r="132" spans="1:14" s="1" customFormat="1" x14ac:dyDescent="0.25">
      <c r="A132" s="11">
        <v>42522</v>
      </c>
      <c r="B132" s="82">
        <f t="shared" si="14"/>
        <v>959.59999999999991</v>
      </c>
      <c r="C132" s="88">
        <f t="shared" si="8"/>
        <v>229.79999999999998</v>
      </c>
      <c r="D132" s="89">
        <f t="shared" si="9"/>
        <v>201.49999999999997</v>
      </c>
      <c r="E132" s="1">
        <v>93.8</v>
      </c>
      <c r="F132" s="1">
        <v>1.3</v>
      </c>
      <c r="G132" s="1">
        <v>74</v>
      </c>
      <c r="H132" s="1">
        <v>19.600000000000001</v>
      </c>
      <c r="I132" s="1">
        <v>5.7</v>
      </c>
      <c r="J132" s="1">
        <v>7.1</v>
      </c>
      <c r="K132" s="92">
        <v>28.3</v>
      </c>
      <c r="L132" s="93">
        <v>49.170214669000003</v>
      </c>
      <c r="M132" s="93">
        <v>0.79121701099999997</v>
      </c>
      <c r="N132" s="279">
        <v>115004</v>
      </c>
    </row>
    <row r="133" spans="1:14" s="1" customFormat="1" x14ac:dyDescent="0.25">
      <c r="A133" s="11">
        <v>42552</v>
      </c>
      <c r="B133" s="82">
        <f t="shared" si="14"/>
        <v>1106.8</v>
      </c>
      <c r="C133" s="88">
        <f t="shared" si="8"/>
        <v>147.19999999999999</v>
      </c>
      <c r="D133" s="89">
        <f t="shared" si="9"/>
        <v>142.39999999999998</v>
      </c>
      <c r="E133" s="1">
        <v>35.6</v>
      </c>
      <c r="F133" s="1">
        <v>1.8</v>
      </c>
      <c r="G133" s="1">
        <v>75.3</v>
      </c>
      <c r="H133" s="1">
        <v>20.5</v>
      </c>
      <c r="I133" s="1">
        <v>4.5</v>
      </c>
      <c r="J133" s="1">
        <v>4.7</v>
      </c>
      <c r="K133" s="92">
        <v>4.8</v>
      </c>
      <c r="L133" s="93">
        <v>47.845474324000001</v>
      </c>
      <c r="M133" s="93">
        <v>0.83473065499999999</v>
      </c>
      <c r="N133" s="279">
        <v>115554</v>
      </c>
    </row>
    <row r="134" spans="1:14" s="1" customFormat="1" x14ac:dyDescent="0.25">
      <c r="A134" s="11">
        <v>42583</v>
      </c>
      <c r="B134" s="82">
        <f t="shared" si="14"/>
        <v>1239.7</v>
      </c>
      <c r="C134" s="88">
        <f t="shared" si="8"/>
        <v>132.9</v>
      </c>
      <c r="D134" s="89">
        <f t="shared" si="9"/>
        <v>131.9</v>
      </c>
      <c r="E134" s="1">
        <v>26.3</v>
      </c>
      <c r="F134" s="1">
        <v>1.3</v>
      </c>
      <c r="G134" s="1">
        <v>70.7</v>
      </c>
      <c r="H134" s="1">
        <v>21.6</v>
      </c>
      <c r="I134" s="1">
        <v>4.5999999999999996</v>
      </c>
      <c r="J134" s="1">
        <v>7.4</v>
      </c>
      <c r="K134" s="92">
        <v>1</v>
      </c>
      <c r="L134" s="93">
        <v>46.450115666999999</v>
      </c>
      <c r="M134" s="93">
        <v>0.86591393699999997</v>
      </c>
      <c r="N134" s="279">
        <v>115734</v>
      </c>
    </row>
    <row r="135" spans="1:14" s="1" customFormat="1" x14ac:dyDescent="0.25">
      <c r="A135" s="11">
        <v>42614</v>
      </c>
      <c r="B135" s="82">
        <f t="shared" si="14"/>
        <v>1368.2</v>
      </c>
      <c r="C135" s="88">
        <f t="shared" si="8"/>
        <v>128.5</v>
      </c>
      <c r="D135" s="89">
        <f t="shared" si="9"/>
        <v>127.10000000000001</v>
      </c>
      <c r="E135" s="1">
        <v>23.2</v>
      </c>
      <c r="F135" s="1">
        <v>1.3</v>
      </c>
      <c r="G135" s="1">
        <v>66.900000000000006</v>
      </c>
      <c r="H135" s="1">
        <v>23.3</v>
      </c>
      <c r="I135" s="1">
        <v>5.5</v>
      </c>
      <c r="J135" s="1">
        <v>6.9</v>
      </c>
      <c r="K135" s="92">
        <v>1.4</v>
      </c>
      <c r="L135" s="93">
        <v>46.965922397999996</v>
      </c>
      <c r="M135" s="93">
        <v>0.81852613699999999</v>
      </c>
      <c r="N135" s="279">
        <v>116661</v>
      </c>
    </row>
    <row r="136" spans="1:14" s="1" customFormat="1" x14ac:dyDescent="0.25">
      <c r="A136" s="11">
        <v>42644</v>
      </c>
      <c r="B136" s="82">
        <f t="shared" si="14"/>
        <v>1506.1000000000001</v>
      </c>
      <c r="C136" s="88">
        <f t="shared" ref="C136:C158" si="15">SUM(D136,K136)</f>
        <v>137.90000000000003</v>
      </c>
      <c r="D136" s="89">
        <f t="shared" ref="D136:D162" si="16">SUM(E136:J136)</f>
        <v>135.10000000000002</v>
      </c>
      <c r="E136" s="1">
        <v>26.8</v>
      </c>
      <c r="F136" s="1">
        <v>1.3</v>
      </c>
      <c r="G136" s="1">
        <v>74.8</v>
      </c>
      <c r="H136" s="1">
        <v>23.2</v>
      </c>
      <c r="I136" s="1">
        <v>5.7</v>
      </c>
      <c r="J136" s="1">
        <v>3.3</v>
      </c>
      <c r="K136" s="92">
        <v>2.8</v>
      </c>
      <c r="L136" s="93">
        <v>47.755250955999998</v>
      </c>
      <c r="M136" s="93">
        <v>0.72276342000000005</v>
      </c>
      <c r="N136" s="279">
        <v>117467</v>
      </c>
    </row>
    <row r="137" spans="1:14" s="1" customFormat="1" x14ac:dyDescent="0.25">
      <c r="A137" s="11">
        <v>42675</v>
      </c>
      <c r="B137" s="82">
        <f t="shared" si="14"/>
        <v>1653.7</v>
      </c>
      <c r="C137" s="88">
        <f t="shared" si="15"/>
        <v>147.6</v>
      </c>
      <c r="D137" s="89">
        <f t="shared" si="16"/>
        <v>136.1</v>
      </c>
      <c r="E137" s="1">
        <v>25.2</v>
      </c>
      <c r="F137" s="1">
        <v>1.3</v>
      </c>
      <c r="G137" s="1">
        <v>73.3</v>
      </c>
      <c r="H137" s="1">
        <v>24.4</v>
      </c>
      <c r="I137" s="1">
        <v>7.4</v>
      </c>
      <c r="J137" s="1">
        <v>4.5</v>
      </c>
      <c r="K137" s="92">
        <v>11.5</v>
      </c>
      <c r="L137" s="93">
        <v>47.635713813000002</v>
      </c>
      <c r="M137" s="93">
        <v>0.798839941</v>
      </c>
      <c r="N137" s="279">
        <v>119029</v>
      </c>
    </row>
    <row r="138" spans="1:14" s="1" customFormat="1" x14ac:dyDescent="0.25">
      <c r="A138" s="11">
        <v>42705</v>
      </c>
      <c r="B138" s="82">
        <f t="shared" si="14"/>
        <v>1894.73</v>
      </c>
      <c r="C138" s="88">
        <f t="shared" si="15"/>
        <v>241.03</v>
      </c>
      <c r="D138" s="89">
        <f t="shared" si="16"/>
        <v>217.13</v>
      </c>
      <c r="E138" s="1">
        <v>45.2</v>
      </c>
      <c r="F138" s="1">
        <v>1.5</v>
      </c>
      <c r="G138" s="1">
        <v>120.93</v>
      </c>
      <c r="H138" s="1">
        <v>29.5</v>
      </c>
      <c r="I138" s="1">
        <v>12.9</v>
      </c>
      <c r="J138" s="1">
        <v>7.1</v>
      </c>
      <c r="K138" s="92">
        <v>23.9</v>
      </c>
      <c r="L138" s="93">
        <v>48.568107312999999</v>
      </c>
      <c r="M138" s="93">
        <v>3.5710999999999998E-3</v>
      </c>
      <c r="N138" s="279">
        <v>119952</v>
      </c>
    </row>
    <row r="139" spans="1:14" s="1" customFormat="1" x14ac:dyDescent="0.25">
      <c r="A139" s="11">
        <v>42736</v>
      </c>
      <c r="B139" s="82">
        <f>C139</f>
        <v>107.55000000000001</v>
      </c>
      <c r="C139" s="88">
        <f t="shared" si="15"/>
        <v>107.55000000000001</v>
      </c>
      <c r="D139" s="89">
        <f t="shared" si="16"/>
        <v>105.15</v>
      </c>
      <c r="E139" s="1">
        <v>38.849999999999994</v>
      </c>
      <c r="F139" s="1">
        <v>1.7</v>
      </c>
      <c r="G139" s="1">
        <v>51</v>
      </c>
      <c r="H139" s="1">
        <v>7.9</v>
      </c>
      <c r="I139" s="1">
        <v>4.3</v>
      </c>
      <c r="J139" s="1">
        <v>1.4</v>
      </c>
      <c r="K139" s="92">
        <v>2.4</v>
      </c>
      <c r="L139" s="93">
        <v>48.686999999999998</v>
      </c>
      <c r="M139" s="93">
        <v>1.8</v>
      </c>
      <c r="N139" s="279">
        <v>121051</v>
      </c>
    </row>
    <row r="140" spans="1:14" s="1" customFormat="1" x14ac:dyDescent="0.25">
      <c r="A140" s="11">
        <v>42767</v>
      </c>
      <c r="B140" s="82">
        <f>B139+C140</f>
        <v>276.45000000000005</v>
      </c>
      <c r="C140" s="88">
        <f t="shared" si="15"/>
        <v>168.9</v>
      </c>
      <c r="D140" s="89">
        <f t="shared" si="16"/>
        <v>167.4</v>
      </c>
      <c r="E140" s="1">
        <v>80.8</v>
      </c>
      <c r="F140" s="1">
        <v>1.7</v>
      </c>
      <c r="G140" s="1">
        <v>61</v>
      </c>
      <c r="H140" s="1">
        <v>17.399999999999999</v>
      </c>
      <c r="I140" s="1">
        <v>5.0999999999999996</v>
      </c>
      <c r="J140" s="1">
        <v>1.4</v>
      </c>
      <c r="K140" s="92">
        <v>1.5</v>
      </c>
      <c r="L140" s="93">
        <v>50.66200000000002</v>
      </c>
      <c r="M140" s="93">
        <v>0.88900000000000001</v>
      </c>
      <c r="N140" s="279">
        <v>121857</v>
      </c>
    </row>
    <row r="141" spans="1:14" s="1" customFormat="1" x14ac:dyDescent="0.25">
      <c r="A141" s="11">
        <v>42795</v>
      </c>
      <c r="B141" s="82">
        <f t="shared" ref="B141:B150" si="17">B140+C141</f>
        <v>409.25</v>
      </c>
      <c r="C141" s="88">
        <f t="shared" si="15"/>
        <v>132.79999999999998</v>
      </c>
      <c r="D141" s="89">
        <f t="shared" si="16"/>
        <v>126.6</v>
      </c>
      <c r="E141" s="1">
        <v>27.2</v>
      </c>
      <c r="F141" s="1">
        <v>1.1000000000000001</v>
      </c>
      <c r="G141" s="1">
        <v>70.3</v>
      </c>
      <c r="H141" s="1">
        <v>20</v>
      </c>
      <c r="I141" s="1">
        <v>5.2</v>
      </c>
      <c r="J141" s="1">
        <v>2.8</v>
      </c>
      <c r="K141" s="92">
        <v>6.2</v>
      </c>
      <c r="L141" s="93">
        <v>49.467000000000006</v>
      </c>
      <c r="M141" s="93">
        <v>0.84399999999999997</v>
      </c>
      <c r="N141" s="279">
        <v>122741</v>
      </c>
    </row>
    <row r="142" spans="1:14" s="1" customFormat="1" x14ac:dyDescent="0.25">
      <c r="A142" s="11">
        <v>42826</v>
      </c>
      <c r="B142" s="82">
        <f t="shared" si="17"/>
        <v>569.04999999999995</v>
      </c>
      <c r="C142" s="88">
        <f t="shared" si="15"/>
        <v>159.80000000000001</v>
      </c>
      <c r="D142" s="89">
        <f t="shared" si="16"/>
        <v>146.10000000000002</v>
      </c>
      <c r="E142" s="1">
        <v>41.9</v>
      </c>
      <c r="F142" s="1">
        <v>1.1000000000000001</v>
      </c>
      <c r="G142" s="1">
        <v>77.400000000000006</v>
      </c>
      <c r="H142" s="1">
        <v>19.3</v>
      </c>
      <c r="I142" s="1">
        <v>4.8</v>
      </c>
      <c r="J142" s="1">
        <v>1.6</v>
      </c>
      <c r="K142" s="92">
        <v>13.7</v>
      </c>
      <c r="L142" s="93">
        <v>49.780999999999992</v>
      </c>
      <c r="M142" s="93">
        <v>1.101</v>
      </c>
      <c r="N142" s="279">
        <v>123421</v>
      </c>
    </row>
    <row r="143" spans="1:14" s="1" customFormat="1" x14ac:dyDescent="0.25">
      <c r="A143" s="11">
        <v>42856</v>
      </c>
      <c r="B143" s="82">
        <f t="shared" si="17"/>
        <v>781.19999999999993</v>
      </c>
      <c r="C143" s="88">
        <f t="shared" si="15"/>
        <v>212.15</v>
      </c>
      <c r="D143" s="89">
        <f t="shared" si="16"/>
        <v>172.4</v>
      </c>
      <c r="E143" s="1">
        <v>65.099999999999994</v>
      </c>
      <c r="F143" s="1">
        <v>1</v>
      </c>
      <c r="G143" s="1">
        <v>74.2</v>
      </c>
      <c r="H143" s="1">
        <v>22.7</v>
      </c>
      <c r="I143" s="1">
        <v>5.9</v>
      </c>
      <c r="J143" s="1">
        <v>3.5</v>
      </c>
      <c r="K143" s="92">
        <v>39.75</v>
      </c>
      <c r="L143" s="93">
        <v>49.831999999999994</v>
      </c>
      <c r="M143" s="93">
        <v>0.99</v>
      </c>
      <c r="N143" s="279">
        <v>124122</v>
      </c>
    </row>
    <row r="144" spans="1:14" s="1" customFormat="1" x14ac:dyDescent="0.25">
      <c r="A144" s="11">
        <v>42887</v>
      </c>
      <c r="B144" s="82">
        <f t="shared" si="17"/>
        <v>1003.4419999999999</v>
      </c>
      <c r="C144" s="88">
        <f t="shared" si="15"/>
        <v>222.24199999999999</v>
      </c>
      <c r="D144" s="89">
        <f t="shared" si="16"/>
        <v>217.102</v>
      </c>
      <c r="E144" s="1">
        <v>94.149999999999991</v>
      </c>
      <c r="F144" s="1">
        <v>1.1519999999999999</v>
      </c>
      <c r="G144" s="1">
        <v>90</v>
      </c>
      <c r="H144" s="1">
        <v>23.9</v>
      </c>
      <c r="I144" s="1">
        <v>5.9</v>
      </c>
      <c r="J144" s="1">
        <v>2</v>
      </c>
      <c r="K144" s="92">
        <v>5.14</v>
      </c>
      <c r="L144" s="93">
        <v>51.631</v>
      </c>
      <c r="M144" s="93">
        <v>1.101</v>
      </c>
      <c r="N144" s="279">
        <v>124707</v>
      </c>
    </row>
    <row r="145" spans="1:14" s="1" customFormat="1" x14ac:dyDescent="0.25">
      <c r="A145" s="11">
        <v>42917</v>
      </c>
      <c r="B145" s="82">
        <f t="shared" si="17"/>
        <v>1156.0419999999999</v>
      </c>
      <c r="C145" s="88">
        <f t="shared" si="15"/>
        <v>152.60000000000002</v>
      </c>
      <c r="D145" s="89">
        <f t="shared" si="16"/>
        <v>149.60000000000002</v>
      </c>
      <c r="E145" s="1">
        <v>39.299999999999997</v>
      </c>
      <c r="F145" s="1">
        <v>1.1000000000000001</v>
      </c>
      <c r="G145" s="1">
        <v>77.2</v>
      </c>
      <c r="H145" s="1">
        <v>23.9</v>
      </c>
      <c r="I145" s="1">
        <v>7.3</v>
      </c>
      <c r="J145" s="1">
        <v>0.8</v>
      </c>
      <c r="K145" s="92">
        <v>3</v>
      </c>
      <c r="L145" s="93">
        <v>50.295999999999999</v>
      </c>
      <c r="M145" s="93">
        <v>1.23</v>
      </c>
      <c r="N145" s="279">
        <v>125595</v>
      </c>
    </row>
    <row r="146" spans="1:14" s="1" customFormat="1" x14ac:dyDescent="0.25">
      <c r="A146" s="11">
        <v>42948</v>
      </c>
      <c r="B146" s="82">
        <f t="shared" si="17"/>
        <v>1299.672</v>
      </c>
      <c r="C146" s="88">
        <f t="shared" si="15"/>
        <v>143.63</v>
      </c>
      <c r="D146" s="89">
        <f t="shared" si="16"/>
        <v>139.93</v>
      </c>
      <c r="E146" s="1">
        <v>31.300000000000004</v>
      </c>
      <c r="F146" s="1">
        <v>0.9</v>
      </c>
      <c r="G146" s="1">
        <v>74.3</v>
      </c>
      <c r="H146" s="1">
        <v>25.8</v>
      </c>
      <c r="I146" s="1">
        <v>6.1</v>
      </c>
      <c r="J146" s="1">
        <v>1.53</v>
      </c>
      <c r="K146" s="92">
        <v>3.7</v>
      </c>
      <c r="L146" s="93">
        <v>52.198</v>
      </c>
      <c r="M146" s="93">
        <v>0.998</v>
      </c>
      <c r="N146" s="279">
        <v>125870</v>
      </c>
    </row>
    <row r="147" spans="1:14" s="1" customFormat="1" x14ac:dyDescent="0.25">
      <c r="A147" s="11">
        <v>42979</v>
      </c>
      <c r="B147" s="82">
        <f t="shared" si="17"/>
        <v>1442.7719999999999</v>
      </c>
      <c r="C147" s="88">
        <f t="shared" si="15"/>
        <v>143.10000000000002</v>
      </c>
      <c r="D147" s="89">
        <f t="shared" si="16"/>
        <v>138.30000000000001</v>
      </c>
      <c r="E147" s="1">
        <v>27.2</v>
      </c>
      <c r="F147" s="1">
        <v>1</v>
      </c>
      <c r="G147" s="1">
        <v>80.599999999999994</v>
      </c>
      <c r="H147" s="1">
        <v>22.5</v>
      </c>
      <c r="I147" s="1">
        <v>4.7</v>
      </c>
      <c r="J147" s="1">
        <v>2.2999999999999998</v>
      </c>
      <c r="K147" s="92">
        <v>4.8</v>
      </c>
      <c r="L147" s="93">
        <v>52.621000000000002</v>
      </c>
      <c r="M147" s="93">
        <v>0.90100000000000002</v>
      </c>
      <c r="N147" s="279">
        <v>126864</v>
      </c>
    </row>
    <row r="148" spans="1:14" s="1" customFormat="1" x14ac:dyDescent="0.25">
      <c r="A148" s="11">
        <v>43009</v>
      </c>
      <c r="B148" s="82">
        <f t="shared" si="17"/>
        <v>1570.5719999999999</v>
      </c>
      <c r="C148" s="88">
        <f t="shared" si="15"/>
        <v>127.8</v>
      </c>
      <c r="D148" s="89">
        <f t="shared" si="16"/>
        <v>124.7</v>
      </c>
      <c r="E148" s="1">
        <v>25.400000000000002</v>
      </c>
      <c r="F148" s="1">
        <v>0.9</v>
      </c>
      <c r="G148" s="1">
        <v>71.400000000000006</v>
      </c>
      <c r="H148" s="1">
        <v>20.5</v>
      </c>
      <c r="I148" s="1">
        <v>4.9000000000000004</v>
      </c>
      <c r="J148" s="1">
        <v>1.6</v>
      </c>
      <c r="K148" s="92">
        <v>3.1</v>
      </c>
      <c r="L148" s="93">
        <v>51.274999999999999</v>
      </c>
      <c r="M148" s="93">
        <v>0</v>
      </c>
      <c r="N148" s="279">
        <v>127601</v>
      </c>
    </row>
    <row r="149" spans="1:14" s="1" customFormat="1" x14ac:dyDescent="0.25">
      <c r="A149" s="11">
        <v>43040</v>
      </c>
      <c r="B149" s="82">
        <f t="shared" si="17"/>
        <v>1709.5219999999999</v>
      </c>
      <c r="C149" s="88">
        <f t="shared" si="15"/>
        <v>138.94999999999999</v>
      </c>
      <c r="D149" s="89">
        <f t="shared" si="16"/>
        <v>133.1</v>
      </c>
      <c r="E149" s="1">
        <v>28.6</v>
      </c>
      <c r="F149" s="1">
        <v>1</v>
      </c>
      <c r="G149" s="1">
        <v>72.2</v>
      </c>
      <c r="H149" s="1">
        <v>24.6</v>
      </c>
      <c r="I149" s="1">
        <v>5.2</v>
      </c>
      <c r="J149" s="1">
        <v>1.5</v>
      </c>
      <c r="K149" s="92">
        <v>5.85</v>
      </c>
      <c r="L149" s="93">
        <v>47.991</v>
      </c>
      <c r="M149" s="93">
        <v>6.8000000000000005E-2</v>
      </c>
      <c r="N149" s="279">
        <v>128099</v>
      </c>
    </row>
    <row r="150" spans="1:14" s="1" customFormat="1" x14ac:dyDescent="0.25">
      <c r="A150" s="11">
        <v>43070</v>
      </c>
      <c r="B150" s="82">
        <f t="shared" si="17"/>
        <v>2081.6819999999998</v>
      </c>
      <c r="C150" s="88">
        <f t="shared" si="15"/>
        <v>372.16</v>
      </c>
      <c r="D150" s="89">
        <f t="shared" si="16"/>
        <v>224.63000000000002</v>
      </c>
      <c r="E150" s="1">
        <v>45</v>
      </c>
      <c r="F150" s="1">
        <v>1.2</v>
      </c>
      <c r="G150" s="1">
        <v>129.33000000000001</v>
      </c>
      <c r="H150" s="1">
        <v>35.1</v>
      </c>
      <c r="I150" s="1">
        <v>8.1</v>
      </c>
      <c r="J150" s="1">
        <v>5.9</v>
      </c>
      <c r="K150" s="92">
        <v>147.53</v>
      </c>
      <c r="L150" s="93">
        <v>45.076999999999998</v>
      </c>
      <c r="M150" s="93">
        <v>0.68</v>
      </c>
      <c r="N150" s="279">
        <v>128584</v>
      </c>
    </row>
    <row r="151" spans="1:14" s="1" customFormat="1" x14ac:dyDescent="0.25">
      <c r="A151" s="11">
        <v>43101</v>
      </c>
      <c r="B151" s="82">
        <f>C151</f>
        <v>111.50000000000003</v>
      </c>
      <c r="C151" s="88">
        <f t="shared" si="15"/>
        <v>111.50000000000003</v>
      </c>
      <c r="D151" s="89">
        <f t="shared" si="16"/>
        <v>109.60000000000002</v>
      </c>
      <c r="E151" s="1">
        <v>39.5</v>
      </c>
      <c r="F151" s="1">
        <v>0.6</v>
      </c>
      <c r="G151" s="1">
        <v>51.2</v>
      </c>
      <c r="H151" s="1">
        <v>11.9</v>
      </c>
      <c r="I151" s="1">
        <v>5.2</v>
      </c>
      <c r="J151" s="1">
        <v>1.2</v>
      </c>
      <c r="K151" s="92">
        <v>1.9</v>
      </c>
      <c r="L151" s="93">
        <v>54.854929999999996</v>
      </c>
      <c r="M151" s="93">
        <v>2.3690000000000002</v>
      </c>
      <c r="N151" s="279">
        <v>130900</v>
      </c>
    </row>
    <row r="152" spans="1:14" s="1" customFormat="1" x14ac:dyDescent="0.25">
      <c r="A152" s="11">
        <v>43132</v>
      </c>
      <c r="B152" s="82">
        <f>B151+C152</f>
        <v>294</v>
      </c>
      <c r="C152" s="88">
        <f t="shared" si="15"/>
        <v>182.5</v>
      </c>
      <c r="D152" s="89">
        <f t="shared" si="16"/>
        <v>181.5</v>
      </c>
      <c r="E152" s="1">
        <v>84.8</v>
      </c>
      <c r="F152" s="1">
        <v>0.7</v>
      </c>
      <c r="G152" s="1">
        <v>65.199999999999989</v>
      </c>
      <c r="H152" s="1">
        <v>21.7</v>
      </c>
      <c r="I152" s="1">
        <v>7.8</v>
      </c>
      <c r="J152" s="1">
        <v>1.3</v>
      </c>
      <c r="K152" s="92">
        <v>1</v>
      </c>
      <c r="L152" s="93">
        <v>58.570810000000002</v>
      </c>
      <c r="M152" s="93">
        <v>0.82050000000000001</v>
      </c>
      <c r="N152" s="279">
        <v>131278</v>
      </c>
    </row>
    <row r="153" spans="1:14" s="1" customFormat="1" x14ac:dyDescent="0.25">
      <c r="A153" s="11">
        <v>43160</v>
      </c>
      <c r="B153" s="82">
        <f t="shared" ref="B153:B162" si="18">B152+C153</f>
        <v>461.84</v>
      </c>
      <c r="C153" s="88">
        <f t="shared" si="15"/>
        <v>167.83999999999997</v>
      </c>
      <c r="D153" s="89">
        <f t="shared" si="16"/>
        <v>149.53999999999996</v>
      </c>
      <c r="E153" s="1">
        <v>34.799999999999997</v>
      </c>
      <c r="F153" s="1">
        <v>0.6</v>
      </c>
      <c r="G153" s="1">
        <v>81.8</v>
      </c>
      <c r="H153" s="1">
        <v>24.89</v>
      </c>
      <c r="I153" s="1">
        <v>6.25</v>
      </c>
      <c r="J153" s="1">
        <v>1.2</v>
      </c>
      <c r="K153" s="92">
        <v>18.3</v>
      </c>
      <c r="L153" s="93">
        <v>52.780250000000002</v>
      </c>
      <c r="M153" s="93">
        <v>0.57999999999999996</v>
      </c>
      <c r="N153" s="279">
        <v>131758</v>
      </c>
    </row>
    <row r="154" spans="1:14" s="1" customFormat="1" x14ac:dyDescent="0.25">
      <c r="A154" s="11">
        <v>43191</v>
      </c>
      <c r="B154" s="82">
        <f t="shared" si="18"/>
        <v>610.04</v>
      </c>
      <c r="C154" s="88">
        <f t="shared" si="15"/>
        <v>148.20000000000002</v>
      </c>
      <c r="D154" s="89">
        <f t="shared" si="16"/>
        <v>144.80000000000001</v>
      </c>
      <c r="E154" s="1">
        <v>41.6</v>
      </c>
      <c r="F154" s="1">
        <v>0.6</v>
      </c>
      <c r="G154" s="1">
        <v>75.699999999999989</v>
      </c>
      <c r="H154" s="1">
        <v>20.100000000000001</v>
      </c>
      <c r="I154" s="1">
        <v>5</v>
      </c>
      <c r="J154" s="1">
        <v>1.8</v>
      </c>
      <c r="K154" s="92">
        <v>3.4</v>
      </c>
      <c r="L154" s="93">
        <v>54.509489999999992</v>
      </c>
      <c r="M154" s="93">
        <v>0.88300000000000001</v>
      </c>
      <c r="N154" s="279">
        <v>132377</v>
      </c>
    </row>
    <row r="155" spans="1:14" s="1" customFormat="1" x14ac:dyDescent="0.25">
      <c r="A155" s="11">
        <v>43221</v>
      </c>
      <c r="B155" s="82">
        <f t="shared" si="18"/>
        <v>793.94</v>
      </c>
      <c r="C155" s="88">
        <f t="shared" si="15"/>
        <v>183.90000000000003</v>
      </c>
      <c r="D155" s="89">
        <f t="shared" si="16"/>
        <v>181.00000000000003</v>
      </c>
      <c r="E155" s="1">
        <v>67.600000000000009</v>
      </c>
      <c r="F155" s="1">
        <v>0.3</v>
      </c>
      <c r="G155" s="1">
        <v>79.900000000000006</v>
      </c>
      <c r="H155" s="1">
        <v>25.4</v>
      </c>
      <c r="I155" s="1">
        <v>7</v>
      </c>
      <c r="J155" s="1">
        <v>0.8</v>
      </c>
      <c r="K155" s="92">
        <v>2.9</v>
      </c>
      <c r="L155" s="93">
        <v>57.476900000000001</v>
      </c>
      <c r="M155" s="93">
        <v>0.89829999999999999</v>
      </c>
      <c r="N155" s="279">
        <v>132904</v>
      </c>
    </row>
    <row r="156" spans="1:14" s="1" customFormat="1" x14ac:dyDescent="0.25">
      <c r="A156" s="11">
        <v>43252</v>
      </c>
      <c r="B156" s="82">
        <f t="shared" si="18"/>
        <v>1065.3400000000001</v>
      </c>
      <c r="C156" s="88">
        <f t="shared" si="15"/>
        <v>271.39999999999998</v>
      </c>
      <c r="D156" s="89">
        <f t="shared" si="16"/>
        <v>234.5</v>
      </c>
      <c r="E156" s="1">
        <v>100.3</v>
      </c>
      <c r="F156" s="1">
        <v>0.3</v>
      </c>
      <c r="G156" s="1">
        <v>96.2</v>
      </c>
      <c r="H156" s="1">
        <v>28.5</v>
      </c>
      <c r="I156" s="1">
        <v>7</v>
      </c>
      <c r="J156" s="1">
        <v>2.2000000000000002</v>
      </c>
      <c r="K156" s="92">
        <v>36.9</v>
      </c>
      <c r="L156" s="93">
        <v>55.502399999999994</v>
      </c>
      <c r="M156" s="93">
        <v>0.57799999999999996</v>
      </c>
      <c r="N156" s="279">
        <v>134668</v>
      </c>
    </row>
    <row r="157" spans="1:14" s="1" customFormat="1" x14ac:dyDescent="0.25">
      <c r="A157" s="11">
        <v>43282</v>
      </c>
      <c r="B157" s="82">
        <f t="shared" si="18"/>
        <v>1197.0400000000002</v>
      </c>
      <c r="C157" s="88">
        <f t="shared" si="15"/>
        <v>131.70000000000002</v>
      </c>
      <c r="D157" s="89">
        <f t="shared" si="16"/>
        <v>125.10000000000002</v>
      </c>
      <c r="E157" s="1">
        <v>36.9</v>
      </c>
      <c r="F157" s="1">
        <v>0.7</v>
      </c>
      <c r="G157" s="1">
        <v>61.3</v>
      </c>
      <c r="H157" s="1">
        <v>19.899999999999999</v>
      </c>
      <c r="I157" s="1">
        <v>5.4</v>
      </c>
      <c r="J157" s="1">
        <v>0.9</v>
      </c>
      <c r="K157" s="92">
        <v>6.6</v>
      </c>
      <c r="L157" s="93">
        <v>61.339480000000002</v>
      </c>
      <c r="M157" s="93">
        <v>0.93920000000000003</v>
      </c>
      <c r="N157" s="279">
        <v>135165</v>
      </c>
    </row>
    <row r="158" spans="1:14" s="1" customFormat="1" x14ac:dyDescent="0.25">
      <c r="A158" s="11">
        <v>43313</v>
      </c>
      <c r="B158" s="82">
        <f t="shared" si="18"/>
        <v>1331.8400000000001</v>
      </c>
      <c r="C158" s="88">
        <f t="shared" si="15"/>
        <v>134.80000000000001</v>
      </c>
      <c r="D158" s="89">
        <f t="shared" si="16"/>
        <v>129</v>
      </c>
      <c r="E158" s="1">
        <v>29.9</v>
      </c>
      <c r="F158" s="1">
        <v>0.8</v>
      </c>
      <c r="G158" s="1">
        <v>69.2</v>
      </c>
      <c r="H158" s="1">
        <v>20.7</v>
      </c>
      <c r="I158" s="1">
        <v>6</v>
      </c>
      <c r="J158" s="1">
        <v>2.4</v>
      </c>
      <c r="K158" s="92">
        <v>5.8</v>
      </c>
      <c r="L158" s="93">
        <v>57.213937999999999</v>
      </c>
      <c r="M158" s="93">
        <v>0.69006800000000001</v>
      </c>
      <c r="N158" s="279">
        <v>135255</v>
      </c>
    </row>
    <row r="159" spans="1:14" s="1" customFormat="1" x14ac:dyDescent="0.25">
      <c r="A159" s="11">
        <v>43344</v>
      </c>
      <c r="B159" s="82">
        <f t="shared" si="18"/>
        <v>1468.2400000000002</v>
      </c>
      <c r="C159" s="88">
        <f t="shared" ref="C159:C165" si="19">SUM(D159,K159)</f>
        <v>136.4</v>
      </c>
      <c r="D159" s="89">
        <f t="shared" si="16"/>
        <v>130.80000000000001</v>
      </c>
      <c r="E159" s="1">
        <v>29.099999999999998</v>
      </c>
      <c r="F159" s="1">
        <v>0.6</v>
      </c>
      <c r="G159" s="1">
        <v>72.8</v>
      </c>
      <c r="H159" s="1">
        <v>21.7</v>
      </c>
      <c r="I159" s="1">
        <v>5.3</v>
      </c>
      <c r="J159" s="1">
        <v>1.3</v>
      </c>
      <c r="K159" s="92">
        <v>5.6</v>
      </c>
      <c r="L159" s="93">
        <v>58.568019999999997</v>
      </c>
      <c r="M159" s="93">
        <v>0.63470000000000004</v>
      </c>
      <c r="N159" s="279">
        <v>136055</v>
      </c>
    </row>
    <row r="160" spans="1:14" s="1" customFormat="1" x14ac:dyDescent="0.25">
      <c r="A160" s="11">
        <v>43374</v>
      </c>
      <c r="B160" s="82">
        <f t="shared" si="18"/>
        <v>1620.9400000000003</v>
      </c>
      <c r="C160" s="88">
        <f t="shared" si="19"/>
        <v>152.70000000000002</v>
      </c>
      <c r="D160" s="89">
        <f t="shared" si="16"/>
        <v>148.4</v>
      </c>
      <c r="E160" s="1">
        <v>30.2</v>
      </c>
      <c r="F160" s="1">
        <v>0.6</v>
      </c>
      <c r="G160" s="1">
        <v>86.3</v>
      </c>
      <c r="H160" s="1">
        <v>25.3</v>
      </c>
      <c r="I160" s="1">
        <v>5.6</v>
      </c>
      <c r="J160" s="1">
        <v>0.4</v>
      </c>
      <c r="K160" s="92">
        <v>4.3</v>
      </c>
      <c r="L160" s="284">
        <v>58.232000000000006</v>
      </c>
      <c r="M160" s="284">
        <v>1.06</v>
      </c>
      <c r="N160" s="279">
        <v>137153</v>
      </c>
    </row>
    <row r="161" spans="1:15" s="1" customFormat="1" x14ac:dyDescent="0.25">
      <c r="A161" s="11">
        <v>43405</v>
      </c>
      <c r="B161" s="82">
        <f t="shared" si="18"/>
        <v>1782.0400000000002</v>
      </c>
      <c r="C161" s="88">
        <f t="shared" si="19"/>
        <v>161.1</v>
      </c>
      <c r="D161" s="89">
        <f t="shared" si="16"/>
        <v>146.4</v>
      </c>
      <c r="E161" s="1">
        <v>27.5</v>
      </c>
      <c r="F161" s="1">
        <v>0.5</v>
      </c>
      <c r="G161" s="1">
        <v>84.7</v>
      </c>
      <c r="H161" s="1">
        <v>24.5</v>
      </c>
      <c r="I161" s="1">
        <v>6.8</v>
      </c>
      <c r="J161" s="1">
        <v>2.4</v>
      </c>
      <c r="K161" s="92">
        <v>14.7</v>
      </c>
      <c r="L161" s="284">
        <v>51.048499999999997</v>
      </c>
      <c r="M161" s="284">
        <v>0.37059999999999998</v>
      </c>
      <c r="N161" s="279">
        <v>139409</v>
      </c>
    </row>
    <row r="162" spans="1:15" s="1" customFormat="1" x14ac:dyDescent="0.25">
      <c r="A162" s="11">
        <v>43435</v>
      </c>
      <c r="B162" s="82">
        <f t="shared" si="18"/>
        <v>2129.6200000000003</v>
      </c>
      <c r="C162" s="88">
        <f t="shared" si="19"/>
        <v>347.58000000000004</v>
      </c>
      <c r="D162" s="89">
        <f t="shared" si="16"/>
        <v>294.73</v>
      </c>
      <c r="E162" s="1">
        <v>80.83</v>
      </c>
      <c r="F162" s="1">
        <v>0.7</v>
      </c>
      <c r="G162" s="1">
        <v>159.6</v>
      </c>
      <c r="H162" s="1">
        <v>44.3</v>
      </c>
      <c r="I162" s="1">
        <v>7.8</v>
      </c>
      <c r="J162" s="1">
        <v>1.5</v>
      </c>
      <c r="K162" s="92">
        <v>52.85</v>
      </c>
      <c r="L162" s="284">
        <v>61.042000000000009</v>
      </c>
      <c r="M162" s="284">
        <v>0</v>
      </c>
      <c r="N162" s="279">
        <v>140208</v>
      </c>
    </row>
    <row r="163" spans="1:15" s="1" customFormat="1" x14ac:dyDescent="0.25">
      <c r="A163" s="11">
        <v>43466</v>
      </c>
      <c r="B163" s="82">
        <f>C163</f>
        <v>133.30999999999997</v>
      </c>
      <c r="C163" s="88">
        <f t="shared" si="19"/>
        <v>133.30999999999997</v>
      </c>
      <c r="D163" s="197">
        <f t="shared" ref="D163:D195" si="20">SUM(E163:J163)</f>
        <v>131.95999999999998</v>
      </c>
      <c r="E163" s="1">
        <v>35.4</v>
      </c>
      <c r="F163" s="1">
        <v>0.6</v>
      </c>
      <c r="G163" s="282">
        <v>72.37</v>
      </c>
      <c r="H163" s="282">
        <v>15.55</v>
      </c>
      <c r="I163" s="1">
        <v>5.4</v>
      </c>
      <c r="J163" s="1">
        <v>2.64</v>
      </c>
      <c r="K163" s="92">
        <v>1.35</v>
      </c>
      <c r="L163" s="283">
        <v>57.976999999999997</v>
      </c>
      <c r="M163" s="284"/>
      <c r="N163" s="279">
        <v>140547</v>
      </c>
    </row>
    <row r="164" spans="1:15" s="1" customFormat="1" x14ac:dyDescent="0.25">
      <c r="A164" s="11">
        <v>43497</v>
      </c>
      <c r="B164" s="82">
        <f t="shared" ref="B164:B172" si="21">B163+C164</f>
        <v>336.72</v>
      </c>
      <c r="C164" s="88">
        <f t="shared" si="19"/>
        <v>203.41000000000005</v>
      </c>
      <c r="D164" s="197">
        <f t="shared" si="20"/>
        <v>202.08000000000004</v>
      </c>
      <c r="E164" s="1">
        <v>91.7</v>
      </c>
      <c r="F164" s="1">
        <v>0.7</v>
      </c>
      <c r="G164" s="282">
        <v>79.510000000000005</v>
      </c>
      <c r="H164" s="282">
        <v>23.03</v>
      </c>
      <c r="I164" s="1">
        <v>6.3</v>
      </c>
      <c r="J164" s="1">
        <v>0.84</v>
      </c>
      <c r="K164" s="92">
        <v>1.33</v>
      </c>
      <c r="L164" s="283">
        <v>63.292999999999999</v>
      </c>
      <c r="M164" s="284">
        <v>1.554</v>
      </c>
      <c r="N164" s="279">
        <v>141119</v>
      </c>
    </row>
    <row r="165" spans="1:15" s="1" customFormat="1" x14ac:dyDescent="0.25">
      <c r="A165" s="11">
        <v>43525</v>
      </c>
      <c r="B165" s="82">
        <f t="shared" si="21"/>
        <v>511.49</v>
      </c>
      <c r="C165" s="88">
        <f t="shared" si="19"/>
        <v>174.76999999999998</v>
      </c>
      <c r="D165" s="197">
        <f t="shared" si="20"/>
        <v>156.66999999999999</v>
      </c>
      <c r="E165" s="1">
        <v>40.799999999999997</v>
      </c>
      <c r="F165" s="1">
        <v>0.8</v>
      </c>
      <c r="G165" s="282">
        <v>82.140000000000015</v>
      </c>
      <c r="H165" s="282">
        <v>25.33</v>
      </c>
      <c r="I165" s="1">
        <v>6.4</v>
      </c>
      <c r="J165" s="1">
        <v>1.2</v>
      </c>
      <c r="K165" s="92">
        <v>18.099999999999998</v>
      </c>
      <c r="L165" s="283">
        <v>63.29</v>
      </c>
      <c r="M165" s="284">
        <v>0.57599999999999996</v>
      </c>
      <c r="N165" s="279">
        <v>141512</v>
      </c>
    </row>
    <row r="166" spans="1:15" customFormat="1" x14ac:dyDescent="0.25">
      <c r="A166" s="11">
        <v>43556</v>
      </c>
      <c r="B166" s="82">
        <f t="shared" si="21"/>
        <v>680.74</v>
      </c>
      <c r="C166" s="88">
        <f t="shared" ref="C166:C172" si="22">SUM(D166,K166)</f>
        <v>169.25</v>
      </c>
      <c r="D166" s="197">
        <f t="shared" si="20"/>
        <v>168.15</v>
      </c>
      <c r="E166" s="1">
        <v>45.3</v>
      </c>
      <c r="F166" s="1">
        <v>0.6</v>
      </c>
      <c r="G166" s="282">
        <v>91.570000000000007</v>
      </c>
      <c r="H166" s="282">
        <v>23.28</v>
      </c>
      <c r="I166" s="1">
        <v>5.9</v>
      </c>
      <c r="J166" s="1">
        <v>1.5</v>
      </c>
      <c r="K166" s="92">
        <v>1.1000000000000001</v>
      </c>
      <c r="L166" s="283">
        <v>62.947000000000003</v>
      </c>
      <c r="M166" s="284">
        <v>1.181</v>
      </c>
      <c r="N166" s="279">
        <v>142232</v>
      </c>
    </row>
    <row r="167" spans="1:15" customFormat="1" x14ac:dyDescent="0.25">
      <c r="A167" s="11">
        <v>43586</v>
      </c>
      <c r="B167" s="82">
        <f t="shared" si="21"/>
        <v>921.75</v>
      </c>
      <c r="C167" s="88">
        <f t="shared" si="22"/>
        <v>241.01000000000005</v>
      </c>
      <c r="D167" s="197">
        <f t="shared" si="20"/>
        <v>206.31000000000003</v>
      </c>
      <c r="E167" s="1">
        <v>76.44</v>
      </c>
      <c r="F167" s="1">
        <v>0.6</v>
      </c>
      <c r="G167" s="282">
        <v>96.71</v>
      </c>
      <c r="H167" s="282">
        <v>25.36</v>
      </c>
      <c r="I167" s="1">
        <v>6.4</v>
      </c>
      <c r="J167" s="1">
        <v>0.8</v>
      </c>
      <c r="K167" s="92">
        <v>34.700000000000003</v>
      </c>
      <c r="L167" s="283">
        <v>61.628000000000007</v>
      </c>
      <c r="M167" s="284">
        <v>0.69299999999999995</v>
      </c>
      <c r="N167" s="279">
        <v>144082</v>
      </c>
    </row>
    <row r="168" spans="1:15" customFormat="1" x14ac:dyDescent="0.25">
      <c r="A168" s="11">
        <v>43617</v>
      </c>
      <c r="B168" s="82">
        <f t="shared" si="21"/>
        <v>1191.49</v>
      </c>
      <c r="C168" s="88">
        <f t="shared" si="22"/>
        <v>269.74</v>
      </c>
      <c r="D168" s="197">
        <f t="shared" si="20"/>
        <v>254.54</v>
      </c>
      <c r="E168" s="1">
        <v>117.87</v>
      </c>
      <c r="F168" s="1">
        <v>0.6</v>
      </c>
      <c r="G168" s="282">
        <v>100.38999999999999</v>
      </c>
      <c r="H168" s="282">
        <v>28.18</v>
      </c>
      <c r="I168" s="1">
        <v>6.5</v>
      </c>
      <c r="J168" s="1">
        <v>1</v>
      </c>
      <c r="K168" s="92">
        <v>15.2</v>
      </c>
      <c r="L168" s="283">
        <v>61.844999999999999</v>
      </c>
      <c r="M168" s="284">
        <v>0.84899999999999998</v>
      </c>
      <c r="N168" s="279">
        <v>144207</v>
      </c>
    </row>
    <row r="169" spans="1:15" customFormat="1" x14ac:dyDescent="0.25">
      <c r="A169" s="11">
        <v>43647</v>
      </c>
      <c r="B169" s="82">
        <f t="shared" si="21"/>
        <v>1408.53</v>
      </c>
      <c r="C169" s="88">
        <f t="shared" si="22"/>
        <v>217.03999999999996</v>
      </c>
      <c r="D169" s="197">
        <f t="shared" si="20"/>
        <v>204.53999999999996</v>
      </c>
      <c r="E169" s="1">
        <v>53.800000000000004</v>
      </c>
      <c r="F169" s="1">
        <v>0.6</v>
      </c>
      <c r="G169" s="282">
        <v>113.21999999999997</v>
      </c>
      <c r="H169" s="282">
        <v>29.12</v>
      </c>
      <c r="I169" s="1">
        <v>5.6</v>
      </c>
      <c r="J169" s="1">
        <v>2.2000000000000002</v>
      </c>
      <c r="K169" s="92">
        <v>12.5</v>
      </c>
      <c r="L169" s="283">
        <v>61.612000000000002</v>
      </c>
      <c r="M169" s="284">
        <v>6.4000000000000001E-2</v>
      </c>
      <c r="N169" s="279">
        <v>144376</v>
      </c>
    </row>
    <row r="170" spans="1:15" customFormat="1" x14ac:dyDescent="0.25">
      <c r="A170" s="11">
        <v>43678</v>
      </c>
      <c r="B170" s="82">
        <f t="shared" si="21"/>
        <v>1611.33</v>
      </c>
      <c r="C170" s="88">
        <f t="shared" si="22"/>
        <v>202.80000000000004</v>
      </c>
      <c r="D170" s="197">
        <f t="shared" si="20"/>
        <v>188.50000000000003</v>
      </c>
      <c r="E170" s="1">
        <v>38.5</v>
      </c>
      <c r="F170" s="1">
        <v>0.6</v>
      </c>
      <c r="G170" s="282">
        <v>112.3</v>
      </c>
      <c r="H170" s="282">
        <v>28.9</v>
      </c>
      <c r="I170" s="1">
        <v>5.8</v>
      </c>
      <c r="J170" s="1">
        <v>2.4</v>
      </c>
      <c r="K170" s="92">
        <v>14.3</v>
      </c>
      <c r="L170" s="283">
        <v>62.878799999999998</v>
      </c>
      <c r="M170" s="284">
        <v>1.837</v>
      </c>
      <c r="N170" s="279">
        <v>144405</v>
      </c>
    </row>
    <row r="171" spans="1:15" customFormat="1" x14ac:dyDescent="0.25">
      <c r="A171" s="11">
        <v>43709</v>
      </c>
      <c r="B171" s="82">
        <f t="shared" si="21"/>
        <v>1810.4299999999998</v>
      </c>
      <c r="C171" s="88">
        <f t="shared" si="22"/>
        <v>199.1</v>
      </c>
      <c r="D171" s="197">
        <f t="shared" si="20"/>
        <v>185</v>
      </c>
      <c r="E171" s="1">
        <v>49.4</v>
      </c>
      <c r="F171" s="1">
        <v>0.6</v>
      </c>
      <c r="G171" s="1">
        <v>102.99999999999999</v>
      </c>
      <c r="H171" s="1">
        <v>24.5</v>
      </c>
      <c r="I171" s="1">
        <v>6.6</v>
      </c>
      <c r="J171" s="1">
        <v>0.9</v>
      </c>
      <c r="K171" s="92">
        <v>14.1</v>
      </c>
      <c r="L171" s="283">
        <v>61.113500000000002</v>
      </c>
      <c r="M171" s="284"/>
      <c r="N171" s="279">
        <v>144587</v>
      </c>
    </row>
    <row r="172" spans="1:15" customFormat="1" x14ac:dyDescent="0.25">
      <c r="A172" s="11">
        <v>43739</v>
      </c>
      <c r="B172" s="82">
        <f t="shared" si="21"/>
        <v>2020.8299999999997</v>
      </c>
      <c r="C172" s="88">
        <f t="shared" si="22"/>
        <v>210.39999999999995</v>
      </c>
      <c r="D172" s="197">
        <f t="shared" si="20"/>
        <v>206.69999999999996</v>
      </c>
      <c r="E172" s="1">
        <v>44.199999999999996</v>
      </c>
      <c r="F172" s="1">
        <v>0.6</v>
      </c>
      <c r="G172" s="1">
        <v>120.1</v>
      </c>
      <c r="H172" s="1">
        <v>34</v>
      </c>
      <c r="I172" s="1">
        <v>5.0999999999999996</v>
      </c>
      <c r="J172" s="1">
        <v>2.7</v>
      </c>
      <c r="K172" s="92">
        <v>3.7</v>
      </c>
      <c r="L172" s="283">
        <v>63.810255999999988</v>
      </c>
      <c r="M172" s="284">
        <v>1.119</v>
      </c>
      <c r="N172" s="279">
        <v>144346</v>
      </c>
    </row>
    <row r="173" spans="1:15" customFormat="1" x14ac:dyDescent="0.25">
      <c r="A173" s="11">
        <v>43770</v>
      </c>
      <c r="B173" s="82">
        <f>B172+C173</f>
        <v>2243.14</v>
      </c>
      <c r="C173" s="88">
        <f t="shared" ref="C173:C195" si="23">SUM(D173,K173)</f>
        <v>222.31</v>
      </c>
      <c r="D173" s="197">
        <f t="shared" si="20"/>
        <v>217.7</v>
      </c>
      <c r="E173" s="1">
        <v>48.3</v>
      </c>
      <c r="F173" s="1">
        <v>0.6</v>
      </c>
      <c r="G173" s="1">
        <v>126.2</v>
      </c>
      <c r="H173" s="1">
        <v>33</v>
      </c>
      <c r="I173" s="1">
        <v>7.7</v>
      </c>
      <c r="J173" s="1">
        <v>1.9</v>
      </c>
      <c r="K173" s="92">
        <v>4.6100000000000003</v>
      </c>
      <c r="L173" s="283">
        <v>62.527692066999997</v>
      </c>
      <c r="M173" s="284">
        <v>1.1546608620000001</v>
      </c>
      <c r="N173" s="279">
        <v>144835</v>
      </c>
    </row>
    <row r="174" spans="1:15" customFormat="1" x14ac:dyDescent="0.25">
      <c r="A174" s="11">
        <v>43800</v>
      </c>
      <c r="B174" s="82">
        <f>B173+C174</f>
        <v>2564.44</v>
      </c>
      <c r="C174" s="88">
        <f t="shared" si="23"/>
        <v>321.3</v>
      </c>
      <c r="D174" s="197">
        <f t="shared" si="20"/>
        <v>271.7</v>
      </c>
      <c r="E174" s="1">
        <v>67.900000000000006</v>
      </c>
      <c r="F174" s="1">
        <v>0.8</v>
      </c>
      <c r="G174" s="1">
        <v>150.69999999999999</v>
      </c>
      <c r="H174" s="1">
        <v>34.5</v>
      </c>
      <c r="I174" s="1">
        <v>13.1</v>
      </c>
      <c r="J174" s="1">
        <v>4.7</v>
      </c>
      <c r="K174" s="92">
        <v>49.6</v>
      </c>
      <c r="L174" s="283">
        <v>61.695421956000004</v>
      </c>
      <c r="M174" s="284"/>
      <c r="N174" s="279">
        <v>145294</v>
      </c>
    </row>
    <row r="175" spans="1:15" customFormat="1" x14ac:dyDescent="0.25">
      <c r="A175" s="11">
        <v>43831</v>
      </c>
      <c r="B175" s="82">
        <f>C175</f>
        <v>109.69999999999999</v>
      </c>
      <c r="C175" s="88">
        <f t="shared" si="23"/>
        <v>109.69999999999999</v>
      </c>
      <c r="D175" s="197">
        <f t="shared" si="20"/>
        <v>100.39999999999999</v>
      </c>
      <c r="E175" s="1">
        <v>22.599999999999998</v>
      </c>
      <c r="F175" s="1">
        <v>0.8</v>
      </c>
      <c r="G175" s="1">
        <v>56.099999999999994</v>
      </c>
      <c r="H175" s="1">
        <v>15</v>
      </c>
      <c r="I175" s="1">
        <v>5.0999999999999996</v>
      </c>
      <c r="J175" s="1">
        <v>0.8</v>
      </c>
      <c r="K175" s="92">
        <v>9.3000000000000007</v>
      </c>
      <c r="L175" s="283">
        <v>68.966945240000001</v>
      </c>
      <c r="M175" s="284">
        <v>3.0235109050000002</v>
      </c>
      <c r="N175" s="279">
        <v>145652</v>
      </c>
      <c r="O175" s="287"/>
    </row>
    <row r="176" spans="1:15" customFormat="1" x14ac:dyDescent="0.25">
      <c r="A176" s="11">
        <v>43862</v>
      </c>
      <c r="B176" s="82">
        <f t="shared" ref="B176:B186" si="24">B175+C176</f>
        <v>334.70000000000005</v>
      </c>
      <c r="C176" s="88">
        <f t="shared" si="23"/>
        <v>225.00000000000003</v>
      </c>
      <c r="D176" s="197">
        <f t="shared" si="20"/>
        <v>220.70000000000002</v>
      </c>
      <c r="E176" s="1">
        <v>104.7</v>
      </c>
      <c r="F176" s="1">
        <v>0.8</v>
      </c>
      <c r="G176" s="1">
        <v>87.6</v>
      </c>
      <c r="H176" s="1">
        <v>19.399999999999999</v>
      </c>
      <c r="I176" s="1">
        <v>6.3</v>
      </c>
      <c r="J176" s="1">
        <v>1.9</v>
      </c>
      <c r="K176" s="92">
        <v>4.3</v>
      </c>
      <c r="L176" s="283">
        <v>70.051106570000002</v>
      </c>
      <c r="M176" s="284">
        <v>4.1472784110000003</v>
      </c>
      <c r="N176" s="279">
        <v>146923</v>
      </c>
    </row>
    <row r="177" spans="1:14" customFormat="1" x14ac:dyDescent="0.25">
      <c r="A177" s="11">
        <v>43891</v>
      </c>
      <c r="B177" s="82">
        <f t="shared" si="24"/>
        <v>511.5</v>
      </c>
      <c r="C177" s="88">
        <f t="shared" si="23"/>
        <v>176.79999999999998</v>
      </c>
      <c r="D177" s="197">
        <f t="shared" si="20"/>
        <v>173.2</v>
      </c>
      <c r="E177" s="1">
        <v>49.800000000000004</v>
      </c>
      <c r="F177" s="1">
        <v>0.8</v>
      </c>
      <c r="G177" s="1">
        <v>92.1</v>
      </c>
      <c r="H177" s="1">
        <v>20.6</v>
      </c>
      <c r="I177" s="1">
        <v>5.9</v>
      </c>
      <c r="J177" s="1">
        <v>4</v>
      </c>
      <c r="K177" s="92">
        <v>3.6</v>
      </c>
      <c r="L177" s="283">
        <v>68.390989062000003</v>
      </c>
      <c r="M177" s="284">
        <v>1.74351195</v>
      </c>
      <c r="N177" s="279">
        <v>148925</v>
      </c>
    </row>
    <row r="178" spans="1:14" customFormat="1" x14ac:dyDescent="0.25">
      <c r="A178" s="11">
        <v>43922</v>
      </c>
      <c r="B178" s="82">
        <f t="shared" si="24"/>
        <v>728.29</v>
      </c>
      <c r="C178" s="88">
        <f t="shared" si="23"/>
        <v>216.79000000000002</v>
      </c>
      <c r="D178" s="197">
        <f t="shared" si="20"/>
        <v>184.39000000000001</v>
      </c>
      <c r="E178" s="1">
        <v>63</v>
      </c>
      <c r="F178" s="1">
        <v>0.52</v>
      </c>
      <c r="G178" s="1">
        <v>93.67</v>
      </c>
      <c r="H178" s="1">
        <v>20.399999999999999</v>
      </c>
      <c r="I178" s="1">
        <v>4.5</v>
      </c>
      <c r="J178" s="1">
        <v>2.2999999999999998</v>
      </c>
      <c r="K178" s="92">
        <v>32.4</v>
      </c>
      <c r="L178" s="283">
        <v>66.833676686999993</v>
      </c>
      <c r="M178" s="284">
        <v>0.59088395000000005</v>
      </c>
      <c r="N178" s="279">
        <v>149265</v>
      </c>
    </row>
    <row r="179" spans="1:14" customFormat="1" x14ac:dyDescent="0.25">
      <c r="A179" s="11">
        <v>43952</v>
      </c>
      <c r="B179" s="82">
        <f t="shared" si="24"/>
        <v>920.241670967</v>
      </c>
      <c r="C179" s="88">
        <f t="shared" si="23"/>
        <v>191.95167096700001</v>
      </c>
      <c r="D179" s="197">
        <f t="shared" si="20"/>
        <v>183.39000000000001</v>
      </c>
      <c r="E179" s="1">
        <v>52</v>
      </c>
      <c r="F179" s="1">
        <v>0.6</v>
      </c>
      <c r="G179" s="1">
        <v>100.89999999999999</v>
      </c>
      <c r="H179" s="1">
        <v>22</v>
      </c>
      <c r="I179" s="1">
        <v>4.4000000000000004</v>
      </c>
      <c r="J179" s="1">
        <v>3.49</v>
      </c>
      <c r="K179" s="288">
        <v>8.5616709670000013</v>
      </c>
      <c r="L179" s="283">
        <v>67.312152499000007</v>
      </c>
      <c r="M179" s="284">
        <v>0.30654255499999999</v>
      </c>
      <c r="N179" s="279">
        <v>150548</v>
      </c>
    </row>
    <row r="180" spans="1:14" customFormat="1" x14ac:dyDescent="0.25">
      <c r="A180" s="11">
        <v>43983</v>
      </c>
      <c r="B180" s="82">
        <f t="shared" si="24"/>
        <v>1225.7100575946001</v>
      </c>
      <c r="C180" s="88">
        <f t="shared" si="23"/>
        <v>305.46838662760001</v>
      </c>
      <c r="D180" s="197">
        <f t="shared" si="20"/>
        <v>278.79807051760002</v>
      </c>
      <c r="E180" s="282">
        <v>122.891513047</v>
      </c>
      <c r="F180" s="282">
        <v>0.60368430559999997</v>
      </c>
      <c r="G180" s="282">
        <v>112.78981625099999</v>
      </c>
      <c r="H180" s="282">
        <v>29.16</v>
      </c>
      <c r="I180" s="282">
        <v>5.7405040989999998</v>
      </c>
      <c r="J180" s="282">
        <v>7.6125528149999999</v>
      </c>
      <c r="K180" s="288">
        <v>26.670316109999998</v>
      </c>
      <c r="L180" s="283">
        <v>68.100509931000005</v>
      </c>
      <c r="M180" s="284">
        <v>0.43712605799999998</v>
      </c>
      <c r="N180" s="279">
        <v>150688</v>
      </c>
    </row>
    <row r="181" spans="1:14" customFormat="1" x14ac:dyDescent="0.25">
      <c r="A181" s="11">
        <v>44013</v>
      </c>
      <c r="B181" s="82">
        <f t="shared" si="24"/>
        <v>1392.8691535366002</v>
      </c>
      <c r="C181" s="88">
        <f t="shared" si="23"/>
        <v>167.15909594200002</v>
      </c>
      <c r="D181" s="197">
        <f t="shared" si="20"/>
        <v>164.00469687400002</v>
      </c>
      <c r="E181" s="282">
        <v>38.218794269</v>
      </c>
      <c r="F181" s="282">
        <v>0.57904052500000003</v>
      </c>
      <c r="G181" s="282">
        <v>94.603357723000002</v>
      </c>
      <c r="H181" s="282">
        <v>20.779999999999998</v>
      </c>
      <c r="I181" s="282">
        <v>5.7000115170000001</v>
      </c>
      <c r="J181" s="282">
        <v>4.1234928399999999</v>
      </c>
      <c r="K181" s="288">
        <v>3.154399068</v>
      </c>
      <c r="L181" s="283">
        <v>69.081407083000002</v>
      </c>
      <c r="M181" s="284">
        <v>0.893553665</v>
      </c>
      <c r="N181" s="279">
        <v>151326</v>
      </c>
    </row>
    <row r="182" spans="1:14" customFormat="1" x14ac:dyDescent="0.25">
      <c r="A182" s="11">
        <v>44044</v>
      </c>
      <c r="B182" s="82">
        <f t="shared" si="24"/>
        <v>1566.7907553136001</v>
      </c>
      <c r="C182" s="88">
        <f t="shared" si="23"/>
        <v>173.92160177700001</v>
      </c>
      <c r="D182" s="197">
        <f t="shared" si="20"/>
        <v>166.772414086</v>
      </c>
      <c r="E182" s="282">
        <v>42.762188605999995</v>
      </c>
      <c r="F182" s="282">
        <v>0.27439303700000001</v>
      </c>
      <c r="G182" s="282">
        <v>92.87922569700001</v>
      </c>
      <c r="H182" s="282">
        <v>22.319999999999997</v>
      </c>
      <c r="I182" s="282">
        <v>5.0706244500000004</v>
      </c>
      <c r="J182" s="282">
        <v>3.465982296</v>
      </c>
      <c r="K182" s="288">
        <v>7.1491876909999998</v>
      </c>
      <c r="L182" s="283">
        <v>68.665817738000001</v>
      </c>
      <c r="M182" s="284">
        <v>0.80948334600000005</v>
      </c>
      <c r="N182" s="279">
        <v>151410</v>
      </c>
    </row>
    <row r="183" spans="1:14" customFormat="1" x14ac:dyDescent="0.25">
      <c r="A183" s="11">
        <v>44075</v>
      </c>
      <c r="B183" s="82">
        <f t="shared" si="24"/>
        <v>1738.8120577786001</v>
      </c>
      <c r="C183" s="88">
        <f t="shared" si="23"/>
        <v>172.02130246499999</v>
      </c>
      <c r="D183" s="197">
        <f t="shared" si="20"/>
        <v>166.05616910499998</v>
      </c>
      <c r="E183" s="282">
        <v>42.956467694999994</v>
      </c>
      <c r="F183" s="282">
        <v>0.63170005299999998</v>
      </c>
      <c r="G183" s="282">
        <v>83.192383337999985</v>
      </c>
      <c r="H183" s="282">
        <v>24.939999999999998</v>
      </c>
      <c r="I183" s="282">
        <v>7.6780573319999998</v>
      </c>
      <c r="J183" s="282">
        <v>6.6575606870000001</v>
      </c>
      <c r="K183" s="288">
        <v>5.9651333600000003</v>
      </c>
      <c r="L183" s="283">
        <v>72.240234465</v>
      </c>
      <c r="M183" s="284">
        <v>0.83422964600000005</v>
      </c>
      <c r="N183" s="279">
        <v>152060</v>
      </c>
    </row>
    <row r="184" spans="1:14" customFormat="1" x14ac:dyDescent="0.25">
      <c r="A184" s="11">
        <v>44105</v>
      </c>
      <c r="B184" s="82">
        <f t="shared" si="24"/>
        <v>1923.1155371306002</v>
      </c>
      <c r="C184" s="88">
        <f t="shared" si="23"/>
        <v>184.30347935200001</v>
      </c>
      <c r="D184" s="197">
        <f t="shared" si="20"/>
        <v>177.05</v>
      </c>
      <c r="E184" s="282">
        <v>34.32</v>
      </c>
      <c r="F184" s="282">
        <v>0.63</v>
      </c>
      <c r="G184" s="282">
        <v>95.5</v>
      </c>
      <c r="H184" s="282">
        <v>26.900000000000002</v>
      </c>
      <c r="I184" s="282">
        <v>5.3</v>
      </c>
      <c r="J184" s="282">
        <v>14.4</v>
      </c>
      <c r="K184" s="288">
        <v>7.2534793519999994</v>
      </c>
      <c r="L184" s="283">
        <v>66.531203129999994</v>
      </c>
      <c r="M184" s="284">
        <v>0.44658215899999998</v>
      </c>
      <c r="N184" s="279">
        <v>151679</v>
      </c>
    </row>
    <row r="185" spans="1:14" customFormat="1" x14ac:dyDescent="0.25">
      <c r="A185" s="11">
        <v>44136</v>
      </c>
      <c r="B185" s="82">
        <f t="shared" si="24"/>
        <v>2123.9343492306002</v>
      </c>
      <c r="C185" s="88">
        <f t="shared" si="23"/>
        <v>200.8188121</v>
      </c>
      <c r="D185" s="197">
        <f t="shared" si="20"/>
        <v>191.29796740800001</v>
      </c>
      <c r="E185" s="282">
        <v>40.889374936000003</v>
      </c>
      <c r="F185" s="282">
        <v>0.62073787300000005</v>
      </c>
      <c r="G185" s="282">
        <v>99.629499571000025</v>
      </c>
      <c r="H185" s="282">
        <v>28.5</v>
      </c>
      <c r="I185" s="282">
        <v>7.8253373680000005</v>
      </c>
      <c r="J185" s="282">
        <v>13.833017659999999</v>
      </c>
      <c r="K185" s="288">
        <v>9.5208446920000007</v>
      </c>
      <c r="L185" s="283">
        <v>67.735755898999997</v>
      </c>
      <c r="M185" s="284">
        <v>0.88624002099999999</v>
      </c>
      <c r="N185" s="279">
        <v>152397</v>
      </c>
    </row>
    <row r="186" spans="1:14" customFormat="1" x14ac:dyDescent="0.25">
      <c r="A186" s="11">
        <v>44166</v>
      </c>
      <c r="B186" s="82">
        <f t="shared" si="24"/>
        <v>2500.1066848666001</v>
      </c>
      <c r="C186" s="88">
        <f t="shared" si="23"/>
        <v>376.17233563600001</v>
      </c>
      <c r="D186" s="197">
        <f t="shared" si="20"/>
        <v>362.60103919400001</v>
      </c>
      <c r="E186" s="282">
        <v>102.2</v>
      </c>
      <c r="F186" s="282">
        <v>0.9</v>
      </c>
      <c r="G186" s="282">
        <v>176.79657886700002</v>
      </c>
      <c r="H186" s="282">
        <v>52.03</v>
      </c>
      <c r="I186" s="282">
        <v>11.5</v>
      </c>
      <c r="J186" s="282">
        <v>19.174460326999998</v>
      </c>
      <c r="K186" s="288">
        <v>13.571296442000001</v>
      </c>
      <c r="L186" s="283">
        <v>69.278625914000003</v>
      </c>
      <c r="M186" s="284">
        <v>1.1923434340000001</v>
      </c>
      <c r="N186" s="279">
        <v>153067</v>
      </c>
    </row>
    <row r="187" spans="1:14" customFormat="1" x14ac:dyDescent="0.25">
      <c r="A187" s="11">
        <v>44197</v>
      </c>
      <c r="B187" s="82">
        <f>C187</f>
        <v>115.88984392575001</v>
      </c>
      <c r="C187" s="88">
        <f t="shared" si="23"/>
        <v>115.88984392575001</v>
      </c>
      <c r="D187" s="197">
        <f t="shared" si="20"/>
        <v>105.47549331475001</v>
      </c>
      <c r="E187" s="282">
        <v>22.374170353</v>
      </c>
      <c r="F187" s="282">
        <v>2.7573629089999998</v>
      </c>
      <c r="G187" s="282">
        <v>54.886362900750001</v>
      </c>
      <c r="H187" s="282">
        <v>14.620000000000001</v>
      </c>
      <c r="I187" s="282">
        <v>5.5272886620000001</v>
      </c>
      <c r="J187" s="282">
        <v>5.3103084899999997</v>
      </c>
      <c r="K187" s="288">
        <v>10.414350611</v>
      </c>
      <c r="L187" s="283">
        <v>69.411528128</v>
      </c>
      <c r="M187" s="284">
        <v>1.056151828</v>
      </c>
      <c r="N187" s="279">
        <v>153610</v>
      </c>
    </row>
    <row r="188" spans="1:14" customFormat="1" x14ac:dyDescent="0.25">
      <c r="A188" s="11">
        <v>44228</v>
      </c>
      <c r="B188" s="82">
        <f t="shared" ref="B188:B195" si="25">B187+C188</f>
        <v>321.36411290160004</v>
      </c>
      <c r="C188" s="88">
        <f t="shared" si="23"/>
        <v>205.47426897585004</v>
      </c>
      <c r="D188" s="197">
        <f t="shared" si="20"/>
        <v>203.19449213085005</v>
      </c>
      <c r="E188" s="282">
        <v>93.735676913000006</v>
      </c>
      <c r="F188" s="282">
        <v>2.61595376</v>
      </c>
      <c r="G188" s="282">
        <v>65.870363431850009</v>
      </c>
      <c r="H188" s="282">
        <v>21.36</v>
      </c>
      <c r="I188" s="282">
        <v>7.8124980260000001</v>
      </c>
      <c r="J188" s="282">
        <v>11.8</v>
      </c>
      <c r="K188" s="288">
        <v>2.2797768449999998</v>
      </c>
      <c r="L188" s="283">
        <v>69.934519092000002</v>
      </c>
      <c r="M188" s="284">
        <v>1.02987999</v>
      </c>
      <c r="N188" s="279">
        <v>154018</v>
      </c>
    </row>
    <row r="189" spans="1:14" customFormat="1" x14ac:dyDescent="0.25">
      <c r="A189" s="11">
        <v>44256</v>
      </c>
      <c r="B189" s="82">
        <f t="shared" si="25"/>
        <v>484.72230796700001</v>
      </c>
      <c r="C189" s="88">
        <f t="shared" si="23"/>
        <v>163.3581950654</v>
      </c>
      <c r="D189" s="197">
        <f t="shared" si="20"/>
        <v>161.7712936424</v>
      </c>
      <c r="E189" s="282">
        <v>42.888518802</v>
      </c>
      <c r="F189" s="282">
        <v>2.9076442999999998</v>
      </c>
      <c r="G189" s="282">
        <v>76.456590539400011</v>
      </c>
      <c r="H189" s="282">
        <v>17</v>
      </c>
      <c r="I189" s="282">
        <v>5.8790620730000001</v>
      </c>
      <c r="J189" s="282">
        <v>16.639477928000002</v>
      </c>
      <c r="K189" s="288">
        <v>1.586901423</v>
      </c>
      <c r="L189" s="283">
        <v>71.925335564999997</v>
      </c>
      <c r="M189" s="284">
        <v>1.7493989480000001</v>
      </c>
      <c r="N189" s="279">
        <v>153830</v>
      </c>
    </row>
    <row r="190" spans="1:14" customFormat="1" x14ac:dyDescent="0.25">
      <c r="A190" s="11">
        <v>44287</v>
      </c>
      <c r="B190" s="82">
        <f t="shared" si="25"/>
        <v>721.08574156899999</v>
      </c>
      <c r="C190" s="88">
        <f t="shared" si="23"/>
        <v>236.36343360200001</v>
      </c>
      <c r="D190" s="197">
        <f t="shared" si="20"/>
        <v>211.375486787</v>
      </c>
      <c r="E190" s="282">
        <v>68.347335869999995</v>
      </c>
      <c r="F190" s="282">
        <v>2.490110547</v>
      </c>
      <c r="G190" s="282">
        <v>99.678040369999991</v>
      </c>
      <c r="H190" s="282">
        <v>23.86</v>
      </c>
      <c r="I190" s="282">
        <v>8</v>
      </c>
      <c r="J190" s="282">
        <v>9</v>
      </c>
      <c r="K190" s="288">
        <v>24.987946815000004</v>
      </c>
      <c r="L190" s="283">
        <v>73.03777642</v>
      </c>
      <c r="M190" s="284">
        <v>0.97929047499999999</v>
      </c>
      <c r="N190" s="279">
        <v>155062</v>
      </c>
    </row>
    <row r="191" spans="1:14" customFormat="1" x14ac:dyDescent="0.25">
      <c r="A191" s="11">
        <v>44317</v>
      </c>
      <c r="B191" s="82">
        <f t="shared" si="25"/>
        <v>962.77123874485005</v>
      </c>
      <c r="C191" s="88">
        <f t="shared" si="23"/>
        <v>241.68549717585</v>
      </c>
      <c r="D191" s="197">
        <f t="shared" si="20"/>
        <v>216.58203442285</v>
      </c>
      <c r="E191" s="282">
        <v>68.040996289999995</v>
      </c>
      <c r="F191" s="282">
        <v>2.5665548779999998</v>
      </c>
      <c r="G191" s="282">
        <v>99.043768617850006</v>
      </c>
      <c r="H191" s="282">
        <v>26.88</v>
      </c>
      <c r="I191" s="282">
        <v>12.529305323999999</v>
      </c>
      <c r="J191" s="282">
        <v>7.5214093130000004</v>
      </c>
      <c r="K191" s="288">
        <v>25.103462752999999</v>
      </c>
      <c r="L191" s="283">
        <v>75.304594643000001</v>
      </c>
      <c r="M191" s="284">
        <v>2.008</v>
      </c>
      <c r="N191" s="279">
        <v>155353</v>
      </c>
    </row>
    <row r="192" spans="1:14" customFormat="1" x14ac:dyDescent="0.25">
      <c r="A192" s="11">
        <v>44348</v>
      </c>
      <c r="B192" s="82">
        <f t="shared" si="25"/>
        <v>1238.47177585294</v>
      </c>
      <c r="C192" s="88">
        <f t="shared" si="23"/>
        <v>275.70053710809003</v>
      </c>
      <c r="D192" s="197">
        <f t="shared" si="20"/>
        <v>253.43480049409001</v>
      </c>
      <c r="E192" s="282">
        <v>108.33520220129</v>
      </c>
      <c r="F192" s="282">
        <v>2.6591386455000001</v>
      </c>
      <c r="G192" s="282">
        <v>100.66293612630001</v>
      </c>
      <c r="H192" s="282">
        <v>27.9</v>
      </c>
      <c r="I192" s="282">
        <v>8.6586683739999994</v>
      </c>
      <c r="J192" s="282">
        <v>5.2188551470000002</v>
      </c>
      <c r="K192" s="288">
        <v>22.265736614000001</v>
      </c>
      <c r="L192" s="283">
        <v>77.589401582999997</v>
      </c>
      <c r="M192" s="284">
        <v>1.0217232110000001</v>
      </c>
      <c r="N192" s="279">
        <v>157325</v>
      </c>
    </row>
    <row r="193" spans="1:14" customFormat="1" x14ac:dyDescent="0.25">
      <c r="A193" s="11">
        <v>44378</v>
      </c>
      <c r="B193" s="82">
        <f t="shared" si="25"/>
        <v>1445.5260468725401</v>
      </c>
      <c r="C193" s="88">
        <f t="shared" si="23"/>
        <v>207.05427101959998</v>
      </c>
      <c r="D193" s="197">
        <f t="shared" si="20"/>
        <v>202.62045081359997</v>
      </c>
      <c r="E193" s="282">
        <v>48.613231634999998</v>
      </c>
      <c r="F193" s="282">
        <v>2.3947181976</v>
      </c>
      <c r="G193" s="282">
        <v>108.981933599</v>
      </c>
      <c r="H193" s="282">
        <v>28.47</v>
      </c>
      <c r="I193" s="282">
        <v>7.2468424749999993</v>
      </c>
      <c r="J193" s="282">
        <v>6.9137249069999998</v>
      </c>
      <c r="K193" s="288">
        <v>4.433820206</v>
      </c>
      <c r="L193" s="283">
        <v>78.4619679515</v>
      </c>
      <c r="M193" s="284">
        <v>0.96634282699999996</v>
      </c>
      <c r="N193" s="279">
        <v>157600</v>
      </c>
    </row>
    <row r="194" spans="1:14" customFormat="1" x14ac:dyDescent="0.25">
      <c r="A194" s="11">
        <v>44409</v>
      </c>
      <c r="B194" s="82">
        <f t="shared" si="25"/>
        <v>1653.75310086079</v>
      </c>
      <c r="C194" s="88">
        <f t="shared" si="23"/>
        <v>208.22705398825002</v>
      </c>
      <c r="D194" s="197">
        <f t="shared" si="20"/>
        <v>198.38448781525003</v>
      </c>
      <c r="E194" s="282">
        <v>44.564552372999998</v>
      </c>
      <c r="F194" s="282">
        <v>2.6582414879999998</v>
      </c>
      <c r="G194" s="282">
        <v>106.91946047025</v>
      </c>
      <c r="H194" s="282">
        <v>30</v>
      </c>
      <c r="I194" s="282">
        <v>8.2159168579999999</v>
      </c>
      <c r="J194" s="282">
        <v>6.0263166259999998</v>
      </c>
      <c r="K194" s="288">
        <v>9.842566172999998</v>
      </c>
      <c r="L194" s="283">
        <v>76.882522911500004</v>
      </c>
      <c r="M194" s="284">
        <v>1.731792462</v>
      </c>
      <c r="N194" s="279">
        <v>158222</v>
      </c>
    </row>
    <row r="195" spans="1:14" customFormat="1" x14ac:dyDescent="0.25">
      <c r="A195" s="11">
        <v>44440</v>
      </c>
      <c r="B195" s="82">
        <f t="shared" si="25"/>
        <v>1930.4900455628399</v>
      </c>
      <c r="C195" s="88">
        <f t="shared" si="23"/>
        <v>276.73694470204993</v>
      </c>
      <c r="D195" s="197">
        <f t="shared" si="20"/>
        <v>273.88112121704995</v>
      </c>
      <c r="E195" s="282">
        <v>81.025175651499993</v>
      </c>
      <c r="F195" s="282">
        <v>3.3374417200000002</v>
      </c>
      <c r="G195" s="282">
        <v>142.94710649655002</v>
      </c>
      <c r="H195" s="282">
        <v>33.53</v>
      </c>
      <c r="I195" s="282">
        <v>8.999805404</v>
      </c>
      <c r="J195" s="282">
        <v>4.0415919450000004</v>
      </c>
      <c r="K195" s="288">
        <v>2.8558234850000002</v>
      </c>
      <c r="L195" s="283">
        <v>78.386335290999995</v>
      </c>
      <c r="M195" s="284">
        <v>0.98299999999999998</v>
      </c>
      <c r="N195" s="279">
        <v>158311</v>
      </c>
    </row>
    <row r="196" spans="1:14" customFormat="1" x14ac:dyDescent="0.25">
      <c r="A196" s="11">
        <v>44470</v>
      </c>
      <c r="B196" s="82">
        <f>B195+C196</f>
        <v>2143.9065214468401</v>
      </c>
      <c r="C196" s="88">
        <f t="shared" ref="C196:C201" si="26">SUM(D196,K196)</f>
        <v>213.41647588399996</v>
      </c>
      <c r="D196" s="197">
        <f t="shared" ref="D196:D201" si="27">SUM(E196:J196)</f>
        <v>200.18083648199996</v>
      </c>
      <c r="E196" s="282">
        <v>43.774732947000004</v>
      </c>
      <c r="F196" s="282">
        <v>2.7098879230000001</v>
      </c>
      <c r="G196" s="282">
        <v>111.59435160899997</v>
      </c>
      <c r="H196" s="282">
        <v>32.24</v>
      </c>
      <c r="I196" s="282">
        <v>7.4066821330000003</v>
      </c>
      <c r="J196" s="282">
        <v>2.4551818700000001</v>
      </c>
      <c r="K196" s="288">
        <v>13.235639402</v>
      </c>
      <c r="L196" s="283">
        <v>77.710304989500003</v>
      </c>
      <c r="M196" s="284">
        <v>1.556969746</v>
      </c>
      <c r="N196" s="279">
        <v>159256</v>
      </c>
    </row>
    <row r="197" spans="1:14" customFormat="1" x14ac:dyDescent="0.25">
      <c r="A197" s="11">
        <v>44501</v>
      </c>
      <c r="B197" s="82">
        <f>B196+C197</f>
        <v>2353.8308378042902</v>
      </c>
      <c r="C197" s="88">
        <f t="shared" si="26"/>
        <v>209.92431635744995</v>
      </c>
      <c r="D197" s="197">
        <f t="shared" si="27"/>
        <v>203.81154518744995</v>
      </c>
      <c r="E197" s="282">
        <v>42.653602530149996</v>
      </c>
      <c r="F197" s="282">
        <v>2.524877021</v>
      </c>
      <c r="G197" s="282">
        <v>113.70713728029997</v>
      </c>
      <c r="H197" s="282">
        <v>32.89</v>
      </c>
      <c r="I197" s="282">
        <v>9.432643294</v>
      </c>
      <c r="J197" s="282">
        <v>2.6032850619999999</v>
      </c>
      <c r="K197" s="288">
        <v>6.1127711700000003</v>
      </c>
      <c r="L197" s="283">
        <v>75.908397808999993</v>
      </c>
      <c r="M197" s="284">
        <v>0.70993543800000003</v>
      </c>
      <c r="N197" s="279">
        <v>159551</v>
      </c>
    </row>
    <row r="198" spans="1:14" customFormat="1" x14ac:dyDescent="0.25">
      <c r="A198" s="11">
        <v>44531</v>
      </c>
      <c r="B198" s="82">
        <f>B197+C198</f>
        <v>2838.8668687593904</v>
      </c>
      <c r="C198" s="88">
        <f t="shared" si="26"/>
        <v>485.03603095509999</v>
      </c>
      <c r="D198" s="197">
        <f t="shared" si="27"/>
        <v>354.60603095509998</v>
      </c>
      <c r="E198" s="282">
        <v>105.26402028599999</v>
      </c>
      <c r="F198" s="282">
        <v>3.4</v>
      </c>
      <c r="G198" s="282">
        <v>192.74201066909998</v>
      </c>
      <c r="H198" s="282">
        <v>36</v>
      </c>
      <c r="I198" s="282">
        <v>14.7</v>
      </c>
      <c r="J198" s="282">
        <v>2.5</v>
      </c>
      <c r="K198" s="288">
        <v>130.43</v>
      </c>
      <c r="L198" s="283">
        <v>72.843493714999994</v>
      </c>
      <c r="M198" s="284">
        <v>0</v>
      </c>
      <c r="N198" s="279">
        <v>159906</v>
      </c>
    </row>
    <row r="199" spans="1:14" customFormat="1" x14ac:dyDescent="0.25">
      <c r="A199" s="11">
        <v>44562</v>
      </c>
      <c r="B199" s="82">
        <f>C199</f>
        <v>196.65040144300002</v>
      </c>
      <c r="C199" s="88">
        <f t="shared" si="26"/>
        <v>196.65040144300002</v>
      </c>
      <c r="D199" s="197">
        <f t="shared" si="27"/>
        <v>185.32819274800002</v>
      </c>
      <c r="E199" s="282">
        <v>57.199898089000001</v>
      </c>
      <c r="F199" s="282">
        <v>3.2536618100000001</v>
      </c>
      <c r="G199" s="282">
        <v>97.984632849000008</v>
      </c>
      <c r="H199" s="282">
        <v>19.590000000000003</v>
      </c>
      <c r="I199" s="282">
        <v>5.5</v>
      </c>
      <c r="J199" s="282">
        <v>1.8</v>
      </c>
      <c r="K199" s="288">
        <v>11.322208695</v>
      </c>
      <c r="L199" s="283">
        <v>76.452285474000007</v>
      </c>
      <c r="M199" s="284">
        <v>1.708389623</v>
      </c>
      <c r="N199" s="279">
        <v>160369</v>
      </c>
    </row>
    <row r="200" spans="1:14" customFormat="1" x14ac:dyDescent="0.25">
      <c r="A200" s="11">
        <v>44593</v>
      </c>
      <c r="B200" s="82">
        <f t="shared" ref="B200:B204" si="28">B199+C200</f>
        <v>462.20461587107337</v>
      </c>
      <c r="C200" s="88">
        <f t="shared" si="26"/>
        <v>265.55421442807335</v>
      </c>
      <c r="D200" s="197">
        <f t="shared" si="27"/>
        <v>253.01992034024002</v>
      </c>
      <c r="E200" s="282">
        <v>110.09434176154002</v>
      </c>
      <c r="F200" s="282">
        <v>3.2673807996999997</v>
      </c>
      <c r="G200" s="282">
        <v>103.00291042500001</v>
      </c>
      <c r="H200" s="282">
        <v>27.36</v>
      </c>
      <c r="I200" s="282">
        <v>7.2739558459999998</v>
      </c>
      <c r="J200" s="282">
        <v>2.0213315079999998</v>
      </c>
      <c r="K200" s="288">
        <v>12.534294087833333</v>
      </c>
      <c r="L200" s="283">
        <v>76.674172158000005</v>
      </c>
      <c r="M200" s="284">
        <v>0.89854838400000003</v>
      </c>
      <c r="N200" s="279">
        <v>160883</v>
      </c>
    </row>
    <row r="201" spans="1:14" customFormat="1" x14ac:dyDescent="0.25">
      <c r="A201" s="11">
        <v>44621</v>
      </c>
      <c r="B201" s="82">
        <f t="shared" si="28"/>
        <v>693.06911403294339</v>
      </c>
      <c r="C201" s="88">
        <f t="shared" si="26"/>
        <v>230.86449816186999</v>
      </c>
      <c r="D201" s="197">
        <f t="shared" si="27"/>
        <v>209.94061763886998</v>
      </c>
      <c r="E201" s="282">
        <v>55.477497040369997</v>
      </c>
      <c r="F201" s="282">
        <v>3.6042185985000001</v>
      </c>
      <c r="G201" s="282">
        <v>112.345987257</v>
      </c>
      <c r="H201" s="282">
        <v>27.759999999999998</v>
      </c>
      <c r="I201" s="282">
        <v>7.3065335040000008</v>
      </c>
      <c r="J201" s="282">
        <v>3.4463812389999999</v>
      </c>
      <c r="K201" s="288">
        <v>20.923880522999998</v>
      </c>
      <c r="L201" s="283">
        <v>77.660765327999997</v>
      </c>
      <c r="M201" s="284">
        <v>1.16816783</v>
      </c>
      <c r="N201" s="279">
        <v>162457</v>
      </c>
    </row>
    <row r="202" spans="1:14" customFormat="1" x14ac:dyDescent="0.25">
      <c r="A202" s="11">
        <v>44652</v>
      </c>
      <c r="B202" s="82">
        <f t="shared" si="28"/>
        <v>945.09728843694529</v>
      </c>
      <c r="C202" s="88">
        <f t="shared" ref="C202:C207" si="29">SUM(D202,K202)</f>
        <v>252.02817440400185</v>
      </c>
      <c r="D202" s="197">
        <f t="shared" ref="D202:D207" si="30">SUM(E202:J202)</f>
        <v>248.40690813200186</v>
      </c>
      <c r="E202" s="282">
        <v>91.681943161001897</v>
      </c>
      <c r="F202" s="282">
        <v>2.933773714</v>
      </c>
      <c r="G202" s="282">
        <v>113.39940949999998</v>
      </c>
      <c r="H202" s="282">
        <v>28.049999999999997</v>
      </c>
      <c r="I202" s="282">
        <v>8.5255986789999998</v>
      </c>
      <c r="J202" s="282">
        <v>3.8161830779999999</v>
      </c>
      <c r="K202" s="288">
        <v>3.6212662719999997</v>
      </c>
      <c r="L202" s="283">
        <v>77.642685568999994</v>
      </c>
      <c r="M202" s="284">
        <v>0.92863860399999998</v>
      </c>
      <c r="N202" s="279">
        <v>162088</v>
      </c>
    </row>
    <row r="203" spans="1:14" customFormat="1" x14ac:dyDescent="0.25">
      <c r="A203" s="11">
        <v>44682</v>
      </c>
      <c r="B203" s="82">
        <f t="shared" si="28"/>
        <v>1239.1607714284453</v>
      </c>
      <c r="C203" s="88">
        <f t="shared" si="29"/>
        <v>294.0634829915</v>
      </c>
      <c r="D203" s="197">
        <f t="shared" si="30"/>
        <v>285.78089907150002</v>
      </c>
      <c r="E203" s="282">
        <v>76.668124638500004</v>
      </c>
      <c r="F203" s="282">
        <v>2.9452742070000002</v>
      </c>
      <c r="G203" s="282">
        <v>115.12302754199999</v>
      </c>
      <c r="H203" s="282">
        <v>31.97</v>
      </c>
      <c r="I203" s="282">
        <v>7.0902742859999996</v>
      </c>
      <c r="J203" s="282">
        <v>51.984198397999997</v>
      </c>
      <c r="K203" s="288">
        <v>8.2825839200000004</v>
      </c>
      <c r="L203" s="283">
        <v>106.24019771499999</v>
      </c>
      <c r="M203" s="284">
        <v>1.3695353729999999</v>
      </c>
      <c r="N203" s="279">
        <v>162505</v>
      </c>
    </row>
    <row r="204" spans="1:14" customFormat="1" x14ac:dyDescent="0.25">
      <c r="A204" s="11">
        <v>44713</v>
      </c>
      <c r="B204" s="82">
        <f t="shared" si="28"/>
        <v>1557.5631381394453</v>
      </c>
      <c r="C204" s="88">
        <f t="shared" si="29"/>
        <v>318.40236671100001</v>
      </c>
      <c r="D204" s="197">
        <f t="shared" si="30"/>
        <v>314.06073604100004</v>
      </c>
      <c r="E204" s="282">
        <v>144.19488070499</v>
      </c>
      <c r="F204" s="282">
        <v>3.04145967501</v>
      </c>
      <c r="G204" s="282">
        <v>121.774395661</v>
      </c>
      <c r="H204" s="282">
        <v>32.35</v>
      </c>
      <c r="I204" s="282">
        <v>8.1</v>
      </c>
      <c r="J204" s="282">
        <v>4.5999999999999996</v>
      </c>
      <c r="K204" s="288">
        <v>4.3416306699999998</v>
      </c>
      <c r="L204" s="283">
        <v>97.320175567000007</v>
      </c>
      <c r="M204" s="284">
        <v>1.5562474319999999</v>
      </c>
      <c r="N204" s="279">
        <v>163335</v>
      </c>
    </row>
    <row r="205" spans="1:14" customFormat="1" x14ac:dyDescent="0.25">
      <c r="A205" s="11">
        <v>44743</v>
      </c>
      <c r="B205" s="82">
        <f t="shared" ref="B205:B210" si="31">B204+C205</f>
        <v>1823.3055381394454</v>
      </c>
      <c r="C205" s="88">
        <f t="shared" si="29"/>
        <v>265.74240000000003</v>
      </c>
      <c r="D205" s="197">
        <f t="shared" si="30"/>
        <v>259.40840000000003</v>
      </c>
      <c r="E205" s="282">
        <v>87.15</v>
      </c>
      <c r="F205" s="282">
        <v>2.78</v>
      </c>
      <c r="G205" s="282">
        <v>125.7</v>
      </c>
      <c r="H205" s="282">
        <v>32.966000000000001</v>
      </c>
      <c r="I205" s="282">
        <v>7.3563999999999998</v>
      </c>
      <c r="J205" s="282">
        <v>3.456</v>
      </c>
      <c r="K205" s="288">
        <v>6.3339999999999996</v>
      </c>
      <c r="L205" s="283">
        <v>101.81116091600001</v>
      </c>
      <c r="M205" s="284">
        <v>1.703591689</v>
      </c>
      <c r="N205" s="279">
        <v>164426</v>
      </c>
    </row>
    <row r="206" spans="1:14" customFormat="1" x14ac:dyDescent="0.25">
      <c r="A206" s="11">
        <v>44774</v>
      </c>
      <c r="B206" s="82">
        <f t="shared" si="31"/>
        <v>2068.2579256744152</v>
      </c>
      <c r="C206" s="88">
        <f t="shared" si="29"/>
        <v>244.95238753497</v>
      </c>
      <c r="D206" s="197">
        <f t="shared" si="30"/>
        <v>237.61916816396999</v>
      </c>
      <c r="E206" s="282">
        <v>64.819137899370006</v>
      </c>
      <c r="F206" s="282">
        <v>3.2858334285999997</v>
      </c>
      <c r="G206" s="282">
        <v>126.38519683600001</v>
      </c>
      <c r="H206" s="282">
        <v>32.1</v>
      </c>
      <c r="I206" s="282">
        <v>6.9770000000000003</v>
      </c>
      <c r="J206" s="282">
        <v>4.0519999999999996</v>
      </c>
      <c r="K206" s="288">
        <v>7.3332193709999993</v>
      </c>
      <c r="L206" s="283">
        <v>100.85822668599999</v>
      </c>
      <c r="M206" s="284">
        <v>1.4576380170000001</v>
      </c>
      <c r="N206" s="279">
        <v>164294</v>
      </c>
    </row>
    <row r="207" spans="1:14" customFormat="1" x14ac:dyDescent="0.25">
      <c r="A207" s="11">
        <v>44805</v>
      </c>
      <c r="B207" s="82">
        <f t="shared" si="31"/>
        <v>2378.654540912275</v>
      </c>
      <c r="C207" s="88">
        <f t="shared" si="29"/>
        <v>310.39661523785998</v>
      </c>
      <c r="D207" s="197">
        <f t="shared" si="30"/>
        <v>260.00741006685996</v>
      </c>
      <c r="E207" s="282">
        <v>94.214938507859998</v>
      </c>
      <c r="F207" s="282">
        <v>3.2856564850000001</v>
      </c>
      <c r="G207" s="282">
        <v>116.385850554</v>
      </c>
      <c r="H207" s="282">
        <v>33.99</v>
      </c>
      <c r="I207" s="282">
        <v>7.6309645199999991</v>
      </c>
      <c r="J207" s="282">
        <v>4.5</v>
      </c>
      <c r="K207" s="288">
        <v>50.389205171</v>
      </c>
      <c r="L207" s="283">
        <v>101.735677811</v>
      </c>
      <c r="M207" s="284">
        <v>0.77323003400000001</v>
      </c>
      <c r="N207" s="279">
        <v>164604</v>
      </c>
    </row>
    <row r="208" spans="1:14" customFormat="1" x14ac:dyDescent="0.25">
      <c r="A208" s="11">
        <v>44835</v>
      </c>
      <c r="B208" s="82">
        <f t="shared" si="31"/>
        <v>2639.673303573275</v>
      </c>
      <c r="C208" s="88">
        <f t="shared" ref="C208" si="32">SUM(D208,K208)</f>
        <v>261.01876266099998</v>
      </c>
      <c r="D208" s="197">
        <f t="shared" ref="D208" si="33">SUM(E208:J208)</f>
        <v>247.71048414999998</v>
      </c>
      <c r="E208" s="282">
        <v>55.128112557000001</v>
      </c>
      <c r="F208" s="282">
        <v>2.9523867450000001</v>
      </c>
      <c r="G208" s="282">
        <v>138.82671181399999</v>
      </c>
      <c r="H208" s="282">
        <v>41.09</v>
      </c>
      <c r="I208" s="282">
        <v>8.4926777100000006</v>
      </c>
      <c r="J208" s="282">
        <v>1.220595324</v>
      </c>
      <c r="K208" s="288">
        <v>13.308278510999999</v>
      </c>
      <c r="L208" s="283">
        <v>100.68888474400001</v>
      </c>
      <c r="M208" s="284">
        <v>0.17154144499999999</v>
      </c>
      <c r="N208" s="279">
        <v>164387</v>
      </c>
    </row>
    <row r="209" spans="1:14" customFormat="1" x14ac:dyDescent="0.25">
      <c r="A209" s="11">
        <v>44866</v>
      </c>
      <c r="B209" s="82">
        <f t="shared" si="31"/>
        <v>2884.1680713401752</v>
      </c>
      <c r="C209" s="88">
        <f t="shared" ref="C209:C214" si="34">SUM(D209,K209)</f>
        <v>244.49476776690005</v>
      </c>
      <c r="D209" s="197">
        <f t="shared" ref="D209:D215" si="35">SUM(E209:J209)</f>
        <v>242.69476776690004</v>
      </c>
      <c r="E209" s="282">
        <v>56.360919582900003</v>
      </c>
      <c r="F209" s="282">
        <v>3.1192937949999999</v>
      </c>
      <c r="G209" s="282">
        <v>133.04435216300001</v>
      </c>
      <c r="H209" s="282">
        <v>35.97</v>
      </c>
      <c r="I209" s="282">
        <v>8.6802434959999992</v>
      </c>
      <c r="J209" s="282">
        <v>5.5199587299999999</v>
      </c>
      <c r="K209" s="288">
        <v>1.8</v>
      </c>
      <c r="L209" s="283">
        <v>101.681272705</v>
      </c>
      <c r="M209" s="284">
        <v>1.129149575</v>
      </c>
      <c r="N209" s="279">
        <v>164883</v>
      </c>
    </row>
    <row r="210" spans="1:14" customFormat="1" x14ac:dyDescent="0.25">
      <c r="A210" s="11">
        <v>44896</v>
      </c>
      <c r="B210" s="82">
        <f t="shared" si="31"/>
        <v>3190.0490551081753</v>
      </c>
      <c r="C210" s="88">
        <f t="shared" si="34"/>
        <v>305.88098376800008</v>
      </c>
      <c r="D210" s="197">
        <f t="shared" si="35"/>
        <v>293.08098376800007</v>
      </c>
      <c r="E210" s="282">
        <v>88.9</v>
      </c>
      <c r="F210" s="282">
        <v>3.280983768</v>
      </c>
      <c r="G210" s="282">
        <v>144.9</v>
      </c>
      <c r="H210" s="282">
        <v>43.1</v>
      </c>
      <c r="I210" s="282">
        <v>10.8</v>
      </c>
      <c r="J210" s="282">
        <v>2.1</v>
      </c>
      <c r="K210" s="288">
        <v>12.8</v>
      </c>
      <c r="L210" s="283">
        <v>99.189650779000004</v>
      </c>
      <c r="M210" s="284">
        <v>0.95212888399999995</v>
      </c>
      <c r="N210" s="279">
        <v>165036</v>
      </c>
    </row>
    <row r="211" spans="1:14" customFormat="1" x14ac:dyDescent="0.25">
      <c r="A211" s="11">
        <v>44927</v>
      </c>
      <c r="B211" s="82">
        <f>C211</f>
        <v>199.94449443449335</v>
      </c>
      <c r="C211" s="88">
        <f t="shared" si="34"/>
        <v>199.94449443449335</v>
      </c>
      <c r="D211" s="197">
        <f t="shared" si="35"/>
        <v>184.40099263666002</v>
      </c>
      <c r="E211" s="282">
        <v>64.692789205660006</v>
      </c>
      <c r="F211" s="282">
        <v>3.280983768</v>
      </c>
      <c r="G211" s="282">
        <v>89.046767720298533</v>
      </c>
      <c r="H211" s="282">
        <v>16.979748115701476</v>
      </c>
      <c r="I211" s="282">
        <v>7.8048284629999998</v>
      </c>
      <c r="J211" s="282">
        <v>2.5958753639999999</v>
      </c>
      <c r="K211" s="288">
        <v>15.543501797833333</v>
      </c>
      <c r="L211" s="283">
        <v>106.67144943</v>
      </c>
      <c r="M211" s="284">
        <v>0.89361146599999997</v>
      </c>
      <c r="N211" s="279">
        <v>167979</v>
      </c>
    </row>
    <row r="212" spans="1:14" customFormat="1" x14ac:dyDescent="0.25">
      <c r="A212" s="11">
        <v>44958</v>
      </c>
      <c r="B212" s="82">
        <f>B211+C212</f>
        <v>486.52125223822736</v>
      </c>
      <c r="C212" s="88">
        <f t="shared" si="34"/>
        <v>286.57675780373404</v>
      </c>
      <c r="D212" s="197">
        <f t="shared" si="35"/>
        <v>275.88109176173401</v>
      </c>
      <c r="E212" s="282">
        <v>124.235055777</v>
      </c>
      <c r="F212" s="282">
        <v>3.4943752680000002</v>
      </c>
      <c r="G212" s="282">
        <v>99.858661813609999</v>
      </c>
      <c r="H212" s="282">
        <v>32.906837611123997</v>
      </c>
      <c r="I212" s="282">
        <v>8.9885038129999995</v>
      </c>
      <c r="J212" s="282">
        <v>6.3976574790000003</v>
      </c>
      <c r="K212" s="288">
        <v>10.695666041999999</v>
      </c>
      <c r="L212" s="283">
        <v>105.487343727</v>
      </c>
      <c r="M212" s="284">
        <v>1.601553521</v>
      </c>
      <c r="N212" s="279">
        <v>168912</v>
      </c>
    </row>
    <row r="213" spans="1:14" customFormat="1" x14ac:dyDescent="0.25">
      <c r="A213" s="11">
        <v>44986</v>
      </c>
      <c r="B213" s="82">
        <f t="shared" ref="B213" si="36">B212+C213</f>
        <v>758.24615327547735</v>
      </c>
      <c r="C213" s="88">
        <f t="shared" si="34"/>
        <v>271.72490103724994</v>
      </c>
      <c r="D213" s="197">
        <f t="shared" si="35"/>
        <v>250.47038562224995</v>
      </c>
      <c r="E213" s="282">
        <v>69.265830875249989</v>
      </c>
      <c r="F213" s="282">
        <v>4.0221909580000004</v>
      </c>
      <c r="G213" s="282">
        <v>132.95177849299998</v>
      </c>
      <c r="H213" s="282">
        <v>33.280592038999998</v>
      </c>
      <c r="I213" s="282">
        <v>8.0492960680000003</v>
      </c>
      <c r="J213" s="282">
        <v>2.9006971890000002</v>
      </c>
      <c r="K213" s="288">
        <v>21.254515415000004</v>
      </c>
      <c r="L213" s="283">
        <v>106.130248329</v>
      </c>
      <c r="M213" s="284">
        <v>2.1941058880000002</v>
      </c>
      <c r="N213" s="279">
        <v>169612</v>
      </c>
    </row>
    <row r="214" spans="1:14" customFormat="1" x14ac:dyDescent="0.25">
      <c r="A214" s="11">
        <v>45017</v>
      </c>
      <c r="B214" s="82">
        <f t="shared" ref="B214:B215" si="37">B213+C214</f>
        <v>1087.4876814834774</v>
      </c>
      <c r="C214" s="88">
        <f t="shared" si="34"/>
        <v>329.24152820799998</v>
      </c>
      <c r="D214" s="197">
        <f t="shared" si="35"/>
        <v>289.55187532999997</v>
      </c>
      <c r="E214" s="282">
        <v>111.35782102799999</v>
      </c>
      <c r="F214" s="282">
        <v>3.0214286709999998</v>
      </c>
      <c r="G214" s="282">
        <v>135.09358810400002</v>
      </c>
      <c r="H214" s="282">
        <v>29.840488790999999</v>
      </c>
      <c r="I214" s="282">
        <v>6.6047664609999996</v>
      </c>
      <c r="J214" s="282">
        <v>3.6337822750000002</v>
      </c>
      <c r="K214" s="288">
        <v>39.689652877999997</v>
      </c>
      <c r="L214" s="283">
        <v>105.895084086</v>
      </c>
      <c r="M214" s="284">
        <v>1.7816661410000001</v>
      </c>
      <c r="N214" s="279">
        <v>170013</v>
      </c>
    </row>
    <row r="215" spans="1:14" customFormat="1" x14ac:dyDescent="0.25">
      <c r="A215" s="11">
        <v>45047</v>
      </c>
      <c r="B215" s="82">
        <f t="shared" si="37"/>
        <v>1399.9706053522941</v>
      </c>
      <c r="C215" s="88">
        <f t="shared" ref="C215:C219" si="38">SUM(D215,K215)</f>
        <v>312.48292386881667</v>
      </c>
      <c r="D215" s="197">
        <f t="shared" si="35"/>
        <v>308.56109284299998</v>
      </c>
      <c r="E215" s="282">
        <v>109.535478109</v>
      </c>
      <c r="F215" s="282">
        <v>3.8012995919999999</v>
      </c>
      <c r="G215" s="282">
        <v>150.40913710199999</v>
      </c>
      <c r="H215" s="282">
        <v>30.395439987</v>
      </c>
      <c r="I215" s="282">
        <v>10.008508182</v>
      </c>
      <c r="J215" s="282">
        <v>4.4112298709999997</v>
      </c>
      <c r="K215" s="288">
        <v>3.9218310258166666</v>
      </c>
      <c r="L215" s="283">
        <v>106.16600688</v>
      </c>
      <c r="M215" s="284">
        <v>0.99801640999999996</v>
      </c>
      <c r="N215" s="279">
        <v>170784</v>
      </c>
    </row>
    <row r="216" spans="1:14" customFormat="1" x14ac:dyDescent="0.25">
      <c r="A216" s="11">
        <v>45078</v>
      </c>
      <c r="B216" s="82">
        <f t="shared" ref="B216" si="39">B215+C216</f>
        <v>1759.3065333552941</v>
      </c>
      <c r="C216" s="88">
        <f t="shared" si="38"/>
        <v>359.33592800299994</v>
      </c>
      <c r="D216" s="197">
        <f t="shared" ref="D216" si="40">SUM(E216:J216)</f>
        <v>347.52989613999995</v>
      </c>
      <c r="E216" s="282">
        <v>182.58888929399998</v>
      </c>
      <c r="F216" s="282">
        <v>3.600265904</v>
      </c>
      <c r="G216" s="282">
        <v>122.52301362499999</v>
      </c>
      <c r="H216" s="282">
        <v>25.851036333</v>
      </c>
      <c r="I216" s="282">
        <v>8.8663781250000007</v>
      </c>
      <c r="J216" s="282">
        <v>4.1003128589999998</v>
      </c>
      <c r="K216" s="288">
        <v>11.806031862999999</v>
      </c>
      <c r="L216" s="283">
        <v>106.98893988099999</v>
      </c>
      <c r="M216" s="284">
        <v>1.5480399439999999</v>
      </c>
      <c r="N216" s="279">
        <v>171634</v>
      </c>
    </row>
    <row r="217" spans="1:14" customFormat="1" x14ac:dyDescent="0.25">
      <c r="A217" s="11">
        <v>45108</v>
      </c>
      <c r="B217" s="82">
        <f t="shared" ref="B217" si="41">B216+C217</f>
        <v>2038.6994817942941</v>
      </c>
      <c r="C217" s="88">
        <f t="shared" si="38"/>
        <v>279.39294843900001</v>
      </c>
      <c r="D217" s="197">
        <f t="shared" ref="D217" si="42">SUM(E217:J217)</f>
        <v>274.342014269</v>
      </c>
      <c r="E217" s="282">
        <v>78.321203245999996</v>
      </c>
      <c r="F217" s="282">
        <v>3.3079109249999998</v>
      </c>
      <c r="G217" s="282">
        <v>149.31403011199998</v>
      </c>
      <c r="H217" s="282">
        <v>29.644637286999998</v>
      </c>
      <c r="I217" s="282">
        <v>7.7113813049999997</v>
      </c>
      <c r="J217" s="282">
        <v>6.0428513940000004</v>
      </c>
      <c r="K217" s="288">
        <v>5.0509341700000006</v>
      </c>
      <c r="L217" s="283">
        <v>107.016356235</v>
      </c>
      <c r="M217" s="284">
        <v>0.79400000000000004</v>
      </c>
      <c r="N217" s="279">
        <v>172174</v>
      </c>
    </row>
    <row r="218" spans="1:14" customFormat="1" x14ac:dyDescent="0.25">
      <c r="A218" s="11">
        <v>45139</v>
      </c>
      <c r="B218" s="82">
        <f t="shared" ref="B218" si="43">B217+C218</f>
        <v>2333.0147280992942</v>
      </c>
      <c r="C218" s="88">
        <f t="shared" si="38"/>
        <v>294.31524630499996</v>
      </c>
      <c r="D218" s="197">
        <f t="shared" ref="D218" si="44">SUM(E218:J218)</f>
        <v>262.63156656999996</v>
      </c>
      <c r="E218" s="282">
        <v>63.200817218999994</v>
      </c>
      <c r="F218" s="282">
        <v>3.3046987200000002</v>
      </c>
      <c r="G218" s="282">
        <v>146.32652746399998</v>
      </c>
      <c r="H218" s="282">
        <v>34.007181219000003</v>
      </c>
      <c r="I218" s="282">
        <v>9.6617361650000007</v>
      </c>
      <c r="J218" s="282">
        <v>6.130605783</v>
      </c>
      <c r="K218" s="288">
        <v>31.683679735000002</v>
      </c>
      <c r="L218" s="283">
        <v>106.260679635</v>
      </c>
      <c r="M218" s="284">
        <v>0.76221010700000003</v>
      </c>
      <c r="N218" s="279">
        <v>172126</v>
      </c>
    </row>
    <row r="219" spans="1:14" customFormat="1" x14ac:dyDescent="0.25">
      <c r="A219" s="11">
        <v>45170</v>
      </c>
      <c r="B219" s="82">
        <f t="shared" ref="B219" si="45">B218+C219</f>
        <v>2586.0832812124941</v>
      </c>
      <c r="C219" s="88">
        <f t="shared" si="38"/>
        <v>253.06855311320004</v>
      </c>
      <c r="D219" s="197">
        <f t="shared" ref="D219" si="46">SUM(E219:J219)</f>
        <v>247.16855311320003</v>
      </c>
      <c r="E219" s="282">
        <v>68.640845480199985</v>
      </c>
      <c r="F219" s="282">
        <v>3.4</v>
      </c>
      <c r="G219" s="282">
        <v>133.77978077800003</v>
      </c>
      <c r="H219" s="282">
        <v>26.2</v>
      </c>
      <c r="I219" s="282">
        <v>10.659867404</v>
      </c>
      <c r="J219" s="282">
        <v>4.4880594509999998</v>
      </c>
      <c r="K219" s="288">
        <v>5.9</v>
      </c>
      <c r="L219" s="283">
        <v>108.592863381</v>
      </c>
      <c r="M219" s="284">
        <v>0.59167731300000004</v>
      </c>
      <c r="N219" s="279">
        <v>174952</v>
      </c>
    </row>
    <row r="220" spans="1:14" customFormat="1" x14ac:dyDescent="0.25">
      <c r="A220" s="11">
        <v>45200</v>
      </c>
      <c r="B220" s="82">
        <f>B219+C220</f>
        <v>2836.1743761254938</v>
      </c>
      <c r="C220" s="88">
        <f t="shared" ref="C220:C225" si="47">SUM(D220,K220)</f>
        <v>250.09109491300001</v>
      </c>
      <c r="D220" s="197">
        <f>SUM(E220:J220)</f>
        <v>242.821922027</v>
      </c>
      <c r="E220" s="282">
        <v>67.984129425999996</v>
      </c>
      <c r="F220" s="282">
        <v>3</v>
      </c>
      <c r="G220" s="282">
        <v>124.039137201</v>
      </c>
      <c r="H220" s="282">
        <v>31.569316862000001</v>
      </c>
      <c r="I220" s="282">
        <v>11.470596926999999</v>
      </c>
      <c r="J220" s="282">
        <v>4.7587416109999996</v>
      </c>
      <c r="K220" s="288">
        <v>7.2691728860000007</v>
      </c>
      <c r="L220" s="283">
        <v>107.575171352</v>
      </c>
      <c r="M220" s="284">
        <v>0.78877365099999996</v>
      </c>
      <c r="N220" s="279">
        <v>175335</v>
      </c>
    </row>
    <row r="221" spans="1:14" customFormat="1" x14ac:dyDescent="0.25">
      <c r="A221" s="11">
        <v>45231</v>
      </c>
      <c r="B221" s="82">
        <f>B220+C221</f>
        <v>3096.513375162544</v>
      </c>
      <c r="C221" s="88">
        <f t="shared" si="47"/>
        <v>260.33899903705003</v>
      </c>
      <c r="D221" s="197">
        <f>SUM(E221:J221)</f>
        <v>222.13899903705004</v>
      </c>
      <c r="E221" s="282">
        <v>57.950641935050008</v>
      </c>
      <c r="F221" s="282">
        <v>3.1</v>
      </c>
      <c r="G221" s="282">
        <v>121.06132472400002</v>
      </c>
      <c r="H221" s="282">
        <v>28.4</v>
      </c>
      <c r="I221" s="282">
        <v>9.9458064569999998</v>
      </c>
      <c r="J221" s="282">
        <v>1.681225921</v>
      </c>
      <c r="K221" s="288">
        <v>38.200000000000003</v>
      </c>
      <c r="L221" s="283">
        <v>106.685436792</v>
      </c>
      <c r="M221" s="284">
        <v>0</v>
      </c>
      <c r="N221" s="279">
        <v>175602</v>
      </c>
    </row>
    <row r="222" spans="1:14" customFormat="1" x14ac:dyDescent="0.25">
      <c r="A222" s="11">
        <v>45261</v>
      </c>
      <c r="B222" s="82">
        <f>B221+C222</f>
        <v>3719.2018495673437</v>
      </c>
      <c r="C222" s="88">
        <f t="shared" si="47"/>
        <v>622.68847440479988</v>
      </c>
      <c r="D222" s="197">
        <f>SUM(E222:J222)</f>
        <v>606.41177376279984</v>
      </c>
      <c r="E222" s="282">
        <v>161.69855304980001</v>
      </c>
      <c r="F222" s="282">
        <v>4.904355496</v>
      </c>
      <c r="G222" s="282">
        <v>353.01034525099999</v>
      </c>
      <c r="H222" s="282">
        <v>69.720471863</v>
      </c>
      <c r="I222" s="282">
        <v>11.683330720000001</v>
      </c>
      <c r="J222" s="282">
        <v>5.3947173829999997</v>
      </c>
      <c r="K222" s="288">
        <v>16.276700642000002</v>
      </c>
      <c r="L222" s="283">
        <v>98.676338298999994</v>
      </c>
      <c r="M222" s="284">
        <v>0</v>
      </c>
      <c r="N222" s="279">
        <v>176620</v>
      </c>
    </row>
    <row r="223" spans="1:14" customFormat="1" x14ac:dyDescent="0.25">
      <c r="A223" s="11">
        <v>45292</v>
      </c>
      <c r="B223" s="82">
        <f>C223</f>
        <v>192.98993596799997</v>
      </c>
      <c r="C223" s="88">
        <f t="shared" si="47"/>
        <v>192.98993596799997</v>
      </c>
      <c r="D223" s="197">
        <f t="shared" ref="D223" si="48">SUM(E223:J223)</f>
        <v>190.96376826199997</v>
      </c>
      <c r="E223" s="282">
        <v>54.799589685000001</v>
      </c>
      <c r="F223" s="282">
        <v>3.9397053199999998</v>
      </c>
      <c r="G223" s="282">
        <v>99.111642941999989</v>
      </c>
      <c r="H223" s="282">
        <v>19.439685288</v>
      </c>
      <c r="I223" s="282">
        <v>7.086842399</v>
      </c>
      <c r="J223" s="282">
        <v>6.5863026280000003</v>
      </c>
      <c r="K223" s="288">
        <v>2.0261677059999998</v>
      </c>
      <c r="L223" s="283">
        <v>131.54988792366666</v>
      </c>
      <c r="M223" s="284">
        <v>4.4994682050000003</v>
      </c>
      <c r="N223" s="279">
        <v>178332</v>
      </c>
    </row>
    <row r="224" spans="1:14" customFormat="1" x14ac:dyDescent="0.25">
      <c r="A224" s="11">
        <v>45323</v>
      </c>
      <c r="B224" s="82">
        <f t="shared" ref="B224:B229" si="49">B223+C224</f>
        <v>515.777375205</v>
      </c>
      <c r="C224" s="88">
        <f t="shared" si="47"/>
        <v>322.787439237</v>
      </c>
      <c r="D224" s="197">
        <f t="shared" ref="D224:D229" si="50">SUM(E224:J224)</f>
        <v>301.04627925599999</v>
      </c>
      <c r="E224" s="282">
        <v>140.589344154</v>
      </c>
      <c r="F224" s="282">
        <v>3.5539607489999998</v>
      </c>
      <c r="G224" s="282">
        <v>112.53665658899999</v>
      </c>
      <c r="H224" s="282">
        <v>31.039809234000003</v>
      </c>
      <c r="I224" s="282">
        <v>8.2705466570000006</v>
      </c>
      <c r="J224" s="282">
        <v>5.0559618730000002</v>
      </c>
      <c r="K224" s="288">
        <v>21.741159981000003</v>
      </c>
      <c r="L224" s="283">
        <v>113.58925316766667</v>
      </c>
      <c r="M224" s="284">
        <v>0.99929725300000005</v>
      </c>
      <c r="N224" s="279">
        <v>180276</v>
      </c>
    </row>
    <row r="225" spans="1:14" customFormat="1" x14ac:dyDescent="0.25">
      <c r="A225" s="11">
        <v>45352</v>
      </c>
      <c r="B225" s="82">
        <f t="shared" si="49"/>
        <v>777.66567626245001</v>
      </c>
      <c r="C225" s="88">
        <f t="shared" si="47"/>
        <v>261.88830105744995</v>
      </c>
      <c r="D225" s="197">
        <f t="shared" si="50"/>
        <v>247.30631468944998</v>
      </c>
      <c r="E225" s="282">
        <v>67.659475381450008</v>
      </c>
      <c r="F225" s="282">
        <v>3.3644609029999999</v>
      </c>
      <c r="G225" s="282">
        <v>130.10437511799998</v>
      </c>
      <c r="H225" s="282">
        <v>31.532488425</v>
      </c>
      <c r="I225" s="282">
        <v>9.8893574080000004</v>
      </c>
      <c r="J225" s="282">
        <v>4.7561574540000002</v>
      </c>
      <c r="K225" s="288">
        <v>14.581986367999999</v>
      </c>
      <c r="L225" s="283">
        <v>117.05089799766667</v>
      </c>
      <c r="M225" s="284">
        <v>1.0999231920000001</v>
      </c>
      <c r="N225" s="279">
        <v>181222</v>
      </c>
    </row>
    <row r="226" spans="1:14" customFormat="1" x14ac:dyDescent="0.25">
      <c r="A226" s="11">
        <v>45383</v>
      </c>
      <c r="B226" s="82">
        <f t="shared" si="49"/>
        <v>1129.4968275639717</v>
      </c>
      <c r="C226" s="88">
        <f t="shared" ref="C226" si="51">SUM(D226,K226)</f>
        <v>351.8311513015218</v>
      </c>
      <c r="D226" s="197">
        <f t="shared" si="50"/>
        <v>315.12626076352183</v>
      </c>
      <c r="E226" s="282">
        <v>138.70082669752188</v>
      </c>
      <c r="F226" s="282">
        <v>3.516330564</v>
      </c>
      <c r="G226" s="282">
        <v>129.06540779000002</v>
      </c>
      <c r="H226" s="282">
        <v>32.734797443999994</v>
      </c>
      <c r="I226" s="282">
        <v>8.5075185299999987</v>
      </c>
      <c r="J226" s="282">
        <v>2.6013797379999999</v>
      </c>
      <c r="K226" s="288">
        <v>36.704890538000001</v>
      </c>
      <c r="L226" s="283">
        <v>114.89580087566667</v>
      </c>
      <c r="M226" s="284">
        <v>1.099664143</v>
      </c>
      <c r="N226" s="279">
        <v>181301</v>
      </c>
    </row>
    <row r="227" spans="1:14" customFormat="1" x14ac:dyDescent="0.25">
      <c r="A227" s="11">
        <v>45413</v>
      </c>
      <c r="B227" s="82">
        <f t="shared" si="49"/>
        <v>1451.7958027768934</v>
      </c>
      <c r="C227" s="88">
        <f t="shared" ref="C227" si="52">SUM(D227,K227)</f>
        <v>322.29897521292179</v>
      </c>
      <c r="D227" s="197">
        <f t="shared" si="50"/>
        <v>317.55511264892181</v>
      </c>
      <c r="E227" s="282">
        <v>108.32127938292187</v>
      </c>
      <c r="F227" s="282">
        <v>3.6568013160000001</v>
      </c>
      <c r="G227" s="282">
        <v>157.04916301999998</v>
      </c>
      <c r="H227" s="282">
        <v>36.134646762000003</v>
      </c>
      <c r="I227" s="282">
        <v>7.5181935119999999</v>
      </c>
      <c r="J227" s="282">
        <v>4.8750286559999996</v>
      </c>
      <c r="K227" s="288">
        <v>4.7438625640000005</v>
      </c>
      <c r="L227" s="283">
        <v>115.98199651866668</v>
      </c>
      <c r="M227" s="284">
        <v>1.499971575</v>
      </c>
      <c r="N227" s="279">
        <v>181900</v>
      </c>
    </row>
    <row r="228" spans="1:14" customFormat="1" x14ac:dyDescent="0.25">
      <c r="A228" s="11">
        <v>45444</v>
      </c>
      <c r="B228" s="82">
        <f t="shared" si="49"/>
        <v>1854.9159596936934</v>
      </c>
      <c r="C228" s="88">
        <f t="shared" ref="C228" si="53">SUM(D228,K228)</f>
        <v>403.1201569168</v>
      </c>
      <c r="D228" s="197">
        <f t="shared" si="50"/>
        <v>399.12985778780001</v>
      </c>
      <c r="E228" s="282">
        <v>225.66434595479996</v>
      </c>
      <c r="F228" s="282">
        <v>4.2351266079999998</v>
      </c>
      <c r="G228" s="282">
        <v>130.67001135900003</v>
      </c>
      <c r="H228" s="282">
        <v>26.088202769999999</v>
      </c>
      <c r="I228" s="282">
        <v>9.9829191799999997</v>
      </c>
      <c r="J228" s="282">
        <v>2.4892519160000002</v>
      </c>
      <c r="K228" s="288">
        <v>3.9902991290000003</v>
      </c>
      <c r="L228" s="283">
        <v>116.82458765466667</v>
      </c>
      <c r="M228" s="284">
        <v>1.499599361</v>
      </c>
      <c r="N228" s="279">
        <v>182449</v>
      </c>
    </row>
    <row r="229" spans="1:14" customFormat="1" x14ac:dyDescent="0.25">
      <c r="A229" s="11">
        <v>45474</v>
      </c>
      <c r="B229" s="82">
        <f t="shared" si="49"/>
        <v>2212.9452396054935</v>
      </c>
      <c r="C229" s="88">
        <f t="shared" ref="C229" si="54">SUM(D229,K229)</f>
        <v>358.02927991179996</v>
      </c>
      <c r="D229" s="197">
        <f t="shared" si="50"/>
        <v>348.99047482579994</v>
      </c>
      <c r="E229" s="282">
        <v>101.9018900758</v>
      </c>
      <c r="F229" s="282">
        <v>3.6838207110000001</v>
      </c>
      <c r="G229" s="282">
        <v>167.72468603199999</v>
      </c>
      <c r="H229" s="282">
        <v>37.733347580999997</v>
      </c>
      <c r="I229" s="282">
        <v>6.4687615779999996</v>
      </c>
      <c r="J229" s="282">
        <v>31.477968848</v>
      </c>
      <c r="K229" s="288">
        <v>9.0388050860000018</v>
      </c>
      <c r="L229" s="283">
        <v>116.70981774266667</v>
      </c>
      <c r="M229" s="284">
        <v>1.5996842419999999</v>
      </c>
      <c r="N229" s="279">
        <v>182449</v>
      </c>
    </row>
    <row r="230" spans="1:14" customFormat="1" x14ac:dyDescent="0.25">
      <c r="A230" s="11">
        <v>45505</v>
      </c>
      <c r="B230" s="82">
        <f t="shared" ref="B230" si="55">B229+C230</f>
        <v>2482.1615224998936</v>
      </c>
      <c r="C230" s="88">
        <f>SUM(D230,K230)</f>
        <v>269.21628289439997</v>
      </c>
      <c r="D230" s="197">
        <f t="shared" ref="D230" si="56">SUM(E230:J230)</f>
        <v>258.73513745439999</v>
      </c>
      <c r="E230" s="282">
        <v>68.749161481399994</v>
      </c>
      <c r="F230" s="282">
        <v>3.5366138999999999</v>
      </c>
      <c r="G230" s="282">
        <v>135.01288359999998</v>
      </c>
      <c r="H230" s="282">
        <v>33.261691098</v>
      </c>
      <c r="I230" s="282">
        <v>10.777191097999999</v>
      </c>
      <c r="J230" s="282">
        <v>7.3975962769999999</v>
      </c>
      <c r="K230" s="288">
        <v>10.481145440000001</v>
      </c>
      <c r="L230" s="283">
        <v>117.46722042766667</v>
      </c>
      <c r="M230" s="284">
        <v>1.7013111780000001</v>
      </c>
      <c r="N230" s="279">
        <v>182573</v>
      </c>
    </row>
    <row r="231" spans="1:14" customFormat="1" x14ac:dyDescent="0.25">
      <c r="A231" s="11">
        <v>45536</v>
      </c>
      <c r="B231" s="82">
        <f t="shared" ref="B231" si="57">B230+C231</f>
        <v>2796.5343804334607</v>
      </c>
      <c r="C231" s="88">
        <f>SUM(D231,K231)</f>
        <v>314.37285793356688</v>
      </c>
      <c r="D231" s="197">
        <f t="shared" ref="D231" si="58">SUM(E231:J231)</f>
        <v>266.50700285944515</v>
      </c>
      <c r="E231" s="282">
        <v>72.771673372400002</v>
      </c>
      <c r="F231" s="282">
        <v>3.8180877340000001</v>
      </c>
      <c r="G231" s="282">
        <v>141.86972467004512</v>
      </c>
      <c r="H231" s="282">
        <v>32.946609639999998</v>
      </c>
      <c r="I231" s="282">
        <v>7.7659112629999996</v>
      </c>
      <c r="J231" s="282">
        <v>7.3349961800000001</v>
      </c>
      <c r="K231" s="288">
        <v>47.86585507412174</v>
      </c>
      <c r="L231" s="283">
        <v>118.98585592366668</v>
      </c>
      <c r="M231" s="284">
        <v>1.9541798210000001</v>
      </c>
      <c r="N231" s="279">
        <v>182554</v>
      </c>
    </row>
    <row r="232" spans="1:14" customFormat="1" x14ac:dyDescent="0.25">
      <c r="A232" s="11">
        <v>45566</v>
      </c>
      <c r="B232" s="82">
        <f t="shared" ref="B232" si="59">B231+C232</f>
        <v>3061.3512860602605</v>
      </c>
      <c r="C232" s="88">
        <f>SUM(D232,K232)</f>
        <v>264.81690562680001</v>
      </c>
      <c r="D232" s="197">
        <f t="shared" ref="D232" si="60">SUM(E232:J232)</f>
        <v>262.49271196479998</v>
      </c>
      <c r="E232" s="282">
        <v>69.5030791768</v>
      </c>
      <c r="F232" s="282">
        <v>3.3681802049999998</v>
      </c>
      <c r="G232" s="282">
        <v>142.21913345199999</v>
      </c>
      <c r="H232" s="282">
        <v>32.915646324000001</v>
      </c>
      <c r="I232" s="282">
        <v>6.4805704149999999</v>
      </c>
      <c r="J232" s="282">
        <v>8.0061023920000007</v>
      </c>
      <c r="K232" s="288">
        <v>2.3241936619999999</v>
      </c>
      <c r="L232" s="283">
        <v>118.56617203666667</v>
      </c>
      <c r="M232" s="284">
        <v>2</v>
      </c>
      <c r="N232" s="279">
        <v>182661</v>
      </c>
    </row>
    <row r="233" spans="1:14" customFormat="1" x14ac:dyDescent="0.25">
      <c r="A233" s="11">
        <v>45597</v>
      </c>
      <c r="B233" s="82">
        <f t="shared" ref="B233" si="61">B232+C233</f>
        <v>3359.0193572608414</v>
      </c>
      <c r="C233" s="88">
        <f>SUM(D233,K233)</f>
        <v>297.6680712005811</v>
      </c>
      <c r="D233" s="197">
        <f t="shared" ref="D233" si="62">SUM(E233:J233)</f>
        <v>286.57924848458111</v>
      </c>
      <c r="E233" s="282">
        <v>77.233496206850006</v>
      </c>
      <c r="F233" s="282">
        <v>4.0957276570000003</v>
      </c>
      <c r="G233" s="282">
        <v>147.35229680173114</v>
      </c>
      <c r="H233" s="282">
        <v>35.920587363999999</v>
      </c>
      <c r="I233" s="282">
        <v>10.889094346</v>
      </c>
      <c r="J233" s="282">
        <v>11.088046109</v>
      </c>
      <c r="K233" s="288">
        <v>11.088822715999999</v>
      </c>
      <c r="L233" s="283">
        <v>120.16528329866667</v>
      </c>
      <c r="M233" s="284">
        <v>2.4996638510000002</v>
      </c>
      <c r="N233" s="279">
        <v>182559</v>
      </c>
    </row>
    <row r="234" spans="1:14" customFormat="1" x14ac:dyDescent="0.25">
      <c r="A234" s="11">
        <v>45627</v>
      </c>
      <c r="B234" s="82">
        <f t="shared" ref="B234" si="63">B233+C234</f>
        <v>3744.1337046526414</v>
      </c>
      <c r="C234" s="88">
        <f>SUM(D234,K234)</f>
        <v>385.11434739179998</v>
      </c>
      <c r="D234" s="197">
        <f t="shared" ref="D234" si="64">SUM(E234:J234)</f>
        <v>365.36253616379997</v>
      </c>
      <c r="E234" s="282">
        <v>114.9927801308</v>
      </c>
      <c r="F234" s="282">
        <v>4.3466142960000003</v>
      </c>
      <c r="G234" s="282">
        <v>173.79526209899998</v>
      </c>
      <c r="H234" s="282">
        <v>41.639871001000003</v>
      </c>
      <c r="I234" s="282">
        <v>19.035577855</v>
      </c>
      <c r="J234" s="282">
        <v>11.552430782</v>
      </c>
      <c r="K234" s="288">
        <v>19.751811228000001</v>
      </c>
      <c r="L234" s="283">
        <v>129.22051337566668</v>
      </c>
      <c r="M234" s="284">
        <v>9.4706394090000003</v>
      </c>
      <c r="N234" s="279">
        <v>183086</v>
      </c>
    </row>
    <row r="235" spans="1:14" customFormat="1" x14ac:dyDescent="0.25">
      <c r="A235" s="11">
        <v>45658</v>
      </c>
      <c r="B235" s="82">
        <f>C235</f>
        <v>304.16192205485004</v>
      </c>
      <c r="C235" s="88">
        <v>304.16192205485004</v>
      </c>
      <c r="D235" s="197">
        <v>298.51700974900001</v>
      </c>
      <c r="E235" s="282">
        <v>93.172553277999995</v>
      </c>
      <c r="F235" s="282">
        <v>4.5769313790000004</v>
      </c>
      <c r="G235" s="282">
        <v>152.470807565</v>
      </c>
      <c r="H235" s="282">
        <v>34.634570330999999</v>
      </c>
      <c r="I235" s="282">
        <v>6.5748570770000008</v>
      </c>
      <c r="J235" s="282">
        <v>7.0872901190000004</v>
      </c>
      <c r="K235" s="288">
        <v>5.6449123058499993</v>
      </c>
      <c r="L235" s="283">
        <v>117.73005105199999</v>
      </c>
      <c r="M235" s="284">
        <v>0.99992077300000004</v>
      </c>
      <c r="N235" s="279">
        <v>184003</v>
      </c>
    </row>
    <row r="236" spans="1:14" customFormat="1" x14ac:dyDescent="0.25">
      <c r="A236" s="11">
        <v>45689</v>
      </c>
      <c r="B236" s="82">
        <f>B235+C236</f>
        <v>682.7655324177349</v>
      </c>
      <c r="C236" s="88">
        <v>378.60361036288492</v>
      </c>
      <c r="D236" s="197">
        <v>356.73864631899994</v>
      </c>
      <c r="E236" s="282">
        <v>181.62984113799999</v>
      </c>
      <c r="F236" s="282">
        <v>5.4928431700000004</v>
      </c>
      <c r="G236" s="282">
        <v>130.55961821</v>
      </c>
      <c r="H236" s="282">
        <v>30.818258894</v>
      </c>
      <c r="I236" s="282">
        <v>8.2176364970000009</v>
      </c>
      <c r="J236" s="282">
        <v>2.044841E-2</v>
      </c>
      <c r="K236" s="288">
        <v>21.864964043885003</v>
      </c>
      <c r="L236" s="283">
        <v>117.80101998000001</v>
      </c>
      <c r="M236" s="284">
        <v>1.4992115640000001</v>
      </c>
      <c r="N236" s="279">
        <v>185083</v>
      </c>
    </row>
    <row r="237" spans="1:14" customFormat="1" x14ac:dyDescent="0.25">
      <c r="A237" s="11">
        <v>45717</v>
      </c>
      <c r="B237" s="82">
        <f t="shared" ref="B237:B241" si="65">B236+C237</f>
        <v>1023.0625596846749</v>
      </c>
      <c r="C237" s="88">
        <v>340.29702726694001</v>
      </c>
      <c r="D237" s="197">
        <v>314.16519965629999</v>
      </c>
      <c r="E237" s="282">
        <v>103.77706595980003</v>
      </c>
      <c r="F237" s="282">
        <v>4.7882938125000001</v>
      </c>
      <c r="G237" s="282">
        <v>152.936135119</v>
      </c>
      <c r="H237" s="282">
        <v>30.985299316000003</v>
      </c>
      <c r="I237" s="282">
        <v>7.0241531320000004</v>
      </c>
      <c r="J237" s="282">
        <v>14.654252316999999</v>
      </c>
      <c r="K237" s="288">
        <v>26.131827610640002</v>
      </c>
      <c r="L237" s="283">
        <v>121.537260589</v>
      </c>
      <c r="M237" s="284">
        <v>1.4226861609999999</v>
      </c>
      <c r="N237" s="279">
        <v>185610</v>
      </c>
    </row>
    <row r="238" spans="1:14" customFormat="1" x14ac:dyDescent="0.25">
      <c r="A238" s="11">
        <v>45748</v>
      </c>
      <c r="B238" s="82">
        <f t="shared" si="65"/>
        <v>1362.6239301206369</v>
      </c>
      <c r="C238" s="88">
        <v>339.56137043596198</v>
      </c>
      <c r="D238" s="197">
        <v>305.40021377812195</v>
      </c>
      <c r="E238" s="282">
        <v>104.57751675712188</v>
      </c>
      <c r="F238" s="282">
        <v>4.0382182230000003</v>
      </c>
      <c r="G238" s="282">
        <v>149.32747491200001</v>
      </c>
      <c r="H238" s="282">
        <v>33.487051139000002</v>
      </c>
      <c r="I238" s="282">
        <v>7.0375953970000005</v>
      </c>
      <c r="J238" s="282">
        <v>6.9323573500000002</v>
      </c>
      <c r="K238" s="288">
        <v>34.161156657840003</v>
      </c>
      <c r="L238" s="283">
        <v>119.460139998</v>
      </c>
      <c r="M238" s="284">
        <v>1.499901857</v>
      </c>
      <c r="N238" s="279">
        <v>185947</v>
      </c>
    </row>
    <row r="239" spans="1:14" customFormat="1" x14ac:dyDescent="0.25">
      <c r="A239" s="11">
        <v>45778</v>
      </c>
      <c r="B239" s="82">
        <f t="shared" si="65"/>
        <v>1743.2692707227689</v>
      </c>
      <c r="C239" s="88">
        <v>380.64534060213191</v>
      </c>
      <c r="D239" s="197">
        <v>369.62829386552193</v>
      </c>
      <c r="E239" s="282">
        <v>159.70016289852191</v>
      </c>
      <c r="F239" s="282">
        <v>4.2147257519999997</v>
      </c>
      <c r="G239" s="282">
        <v>153.38275465300001</v>
      </c>
      <c r="H239" s="282">
        <v>35.757170801000001</v>
      </c>
      <c r="I239" s="282">
        <v>6.3659482609999998</v>
      </c>
      <c r="J239" s="282">
        <v>10.2075315</v>
      </c>
      <c r="K239" s="288">
        <v>11.01704673661</v>
      </c>
      <c r="L239" s="283">
        <v>120.041527282</v>
      </c>
      <c r="M239" s="284">
        <v>1.4742442280000001</v>
      </c>
      <c r="N239" s="279">
        <v>186704</v>
      </c>
    </row>
    <row r="240" spans="1:14" customFormat="1" x14ac:dyDescent="0.25">
      <c r="A240" s="11">
        <v>45809</v>
      </c>
      <c r="B240" s="82">
        <f t="shared" si="65"/>
        <v>2198.0164942781289</v>
      </c>
      <c r="C240" s="88">
        <v>454.74722355535999</v>
      </c>
      <c r="D240" s="197">
        <v>446.14962651100001</v>
      </c>
      <c r="E240" s="282">
        <v>243.61911889999999</v>
      </c>
      <c r="F240" s="282">
        <v>4.3</v>
      </c>
      <c r="G240" s="282">
        <v>137.67910727500001</v>
      </c>
      <c r="H240" s="282">
        <v>32.351400335999998</v>
      </c>
      <c r="I240" s="282">
        <v>8.9</v>
      </c>
      <c r="J240" s="282">
        <v>19.3</v>
      </c>
      <c r="K240" s="288">
        <v>8.5975970443599987</v>
      </c>
      <c r="L240" s="283">
        <v>120.92919528900001</v>
      </c>
      <c r="M240" s="284">
        <v>1.499950345</v>
      </c>
      <c r="N240" s="279">
        <v>187936</v>
      </c>
    </row>
    <row r="241" spans="1:16" customFormat="1" x14ac:dyDescent="0.25">
      <c r="A241" s="11">
        <v>45839</v>
      </c>
      <c r="B241" s="82">
        <f t="shared" si="65"/>
        <v>2568.3018697080188</v>
      </c>
      <c r="C241" s="88">
        <v>370.28537542989</v>
      </c>
      <c r="D241" s="197">
        <v>346.64988518000001</v>
      </c>
      <c r="E241" s="282">
        <v>105.158661104</v>
      </c>
      <c r="F241" s="282">
        <v>4.9000000000000004</v>
      </c>
      <c r="G241" s="282">
        <v>177.840787573</v>
      </c>
      <c r="H241" s="282">
        <v>38.450436502999999</v>
      </c>
      <c r="I241" s="282">
        <v>9.6999999999999993</v>
      </c>
      <c r="J241" s="282">
        <v>10.6</v>
      </c>
      <c r="K241" s="288">
        <v>23.635490249890001</v>
      </c>
      <c r="L241" s="283">
        <v>121.000620891</v>
      </c>
      <c r="M241" s="284">
        <v>1.691098113</v>
      </c>
      <c r="N241" s="279">
        <v>188221</v>
      </c>
    </row>
    <row r="242" spans="1:16" customFormat="1" x14ac:dyDescent="0.25">
      <c r="A242" s="11">
        <v>45870</v>
      </c>
      <c r="B242" s="82">
        <f t="shared" ref="B242" si="66">B241+C242</f>
        <v>2870.6703642424886</v>
      </c>
      <c r="C242" s="88">
        <v>302.36849453446996</v>
      </c>
      <c r="D242" s="197">
        <v>275.51967966399997</v>
      </c>
      <c r="E242" s="282">
        <v>68.00827412999999</v>
      </c>
      <c r="F242" s="282">
        <v>3.7</v>
      </c>
      <c r="G242" s="282">
        <v>154.03292147499999</v>
      </c>
      <c r="H242" s="282">
        <v>32.878484059000002</v>
      </c>
      <c r="I242" s="282">
        <v>7.9</v>
      </c>
      <c r="J242" s="282">
        <v>9</v>
      </c>
      <c r="K242" s="288">
        <v>27.048814870469997</v>
      </c>
      <c r="L242" s="283">
        <v>122.395903464</v>
      </c>
      <c r="M242" s="284">
        <v>2.2261957209999998</v>
      </c>
      <c r="N242" s="279">
        <v>189043</v>
      </c>
    </row>
    <row r="243" spans="1:16" customFormat="1" x14ac:dyDescent="0.25">
      <c r="A243" s="11">
        <v>45901</v>
      </c>
      <c r="B243" s="82">
        <f>B242+C243</f>
        <v>3189.7044036273037</v>
      </c>
      <c r="C243" s="88">
        <v>319.03403938481495</v>
      </c>
      <c r="D243" s="197">
        <v>276.35003176799995</v>
      </c>
      <c r="E243" s="282">
        <v>71.319322287999995</v>
      </c>
      <c r="F243" s="282">
        <v>5.2526693910000004</v>
      </c>
      <c r="G243" s="282">
        <v>147.73980848778413</v>
      </c>
      <c r="H243" s="282">
        <v>35.814913028215827</v>
      </c>
      <c r="I243" s="282">
        <v>8.3648307499999994</v>
      </c>
      <c r="J243" s="282">
        <v>7.8584878229999999</v>
      </c>
      <c r="K243" s="288">
        <v>42.684007616814995</v>
      </c>
      <c r="L243" s="283">
        <v>122.893451591</v>
      </c>
      <c r="M243" s="284">
        <v>1.7056264379999999</v>
      </c>
      <c r="N243" s="279">
        <v>189347</v>
      </c>
    </row>
    <row r="244" spans="1:16" customFormat="1" x14ac:dyDescent="0.25">
      <c r="A244" s="11">
        <v>45931</v>
      </c>
      <c r="B244" s="82">
        <f>B243+C244</f>
        <v>3533.5869040333137</v>
      </c>
      <c r="C244" s="88">
        <v>343.88250040601002</v>
      </c>
      <c r="D244" s="197">
        <v>304.354882567</v>
      </c>
      <c r="E244" s="282">
        <v>71.165247231999984</v>
      </c>
      <c r="F244" s="282">
        <v>4.4374397349999999</v>
      </c>
      <c r="G244" s="282">
        <v>171.160852573</v>
      </c>
      <c r="H244" s="282">
        <v>38.802514103</v>
      </c>
      <c r="I244" s="282">
        <v>11.570411748</v>
      </c>
      <c r="J244" s="282">
        <v>7.218417176</v>
      </c>
      <c r="K244" s="288">
        <v>39.527617839009999</v>
      </c>
      <c r="L244" s="283">
        <v>123.28201792900001</v>
      </c>
      <c r="M244" s="284">
        <v>1.8607440230000001</v>
      </c>
      <c r="N244" s="279">
        <v>189635</v>
      </c>
    </row>
    <row r="245" spans="1:16" customFormat="1" x14ac:dyDescent="0.25">
      <c r="A245" s="11">
        <v>45962</v>
      </c>
      <c r="B245" s="82">
        <f>B244+C245</f>
        <v>3867.0694910626189</v>
      </c>
      <c r="C245" s="88">
        <v>333.48258702930502</v>
      </c>
      <c r="D245" s="197">
        <v>296.13608017700005</v>
      </c>
      <c r="E245" s="282">
        <v>64.622683056</v>
      </c>
      <c r="F245" s="282">
        <v>4.3962086420000004</v>
      </c>
      <c r="G245" s="282">
        <v>171.22078977000001</v>
      </c>
      <c r="H245" s="282">
        <v>38.554708262000005</v>
      </c>
      <c r="I245" s="282">
        <v>9.3074818959999988</v>
      </c>
      <c r="J245" s="282">
        <v>8.0342085510000008</v>
      </c>
      <c r="K245" s="288">
        <v>37.346506852304998</v>
      </c>
      <c r="L245" s="283">
        <v>123.042573531</v>
      </c>
      <c r="M245" s="284">
        <v>1.755721259</v>
      </c>
      <c r="N245" s="279">
        <v>189635</v>
      </c>
    </row>
    <row r="246" spans="1:16" customFormat="1" x14ac:dyDescent="0.25">
      <c r="A246" s="11">
        <v>45992</v>
      </c>
      <c r="B246" s="82">
        <f>B245+C246</f>
        <v>4390.1120892718936</v>
      </c>
      <c r="C246" s="88">
        <v>523.04259820927496</v>
      </c>
      <c r="D246" s="197">
        <v>484.67954282999995</v>
      </c>
      <c r="E246" s="282">
        <v>132.05672266500002</v>
      </c>
      <c r="F246" s="282">
        <v>9.6450390559999999</v>
      </c>
      <c r="G246" s="282">
        <v>263.20309915799993</v>
      </c>
      <c r="H246" s="282">
        <v>52.163619363000002</v>
      </c>
      <c r="I246" s="282">
        <v>17.477815724000003</v>
      </c>
      <c r="J246" s="282">
        <v>10.133246864</v>
      </c>
      <c r="K246" s="288">
        <v>38.363055379274996</v>
      </c>
      <c r="L246" s="283">
        <v>124.47859987</v>
      </c>
      <c r="M246" s="284">
        <v>2</v>
      </c>
      <c r="N246" s="279">
        <v>190875</v>
      </c>
      <c r="P246" s="287"/>
    </row>
    <row r="247" spans="1:16" customFormat="1" x14ac:dyDescent="0.25">
      <c r="A247" s="11">
        <v>46023</v>
      </c>
      <c r="B247" s="82">
        <f>C247</f>
        <v>339.34355435953205</v>
      </c>
      <c r="C247" s="88">
        <v>339.34355435953205</v>
      </c>
      <c r="D247" s="197">
        <v>332.18300821000003</v>
      </c>
      <c r="E247" s="282">
        <v>95.289600434999997</v>
      </c>
      <c r="F247" s="282">
        <v>4.7614589299999999</v>
      </c>
      <c r="G247" s="282">
        <v>162.82724888257513</v>
      </c>
      <c r="H247" s="282">
        <v>29.077788834884899</v>
      </c>
      <c r="I247" s="282">
        <v>11.959015591</v>
      </c>
      <c r="J247" s="282">
        <v>7.7548972010000004</v>
      </c>
      <c r="K247" s="288">
        <v>7.1605461495320002</v>
      </c>
      <c r="L247" s="283">
        <v>125.184708888</v>
      </c>
      <c r="M247" s="284">
        <v>1.9573749840000001</v>
      </c>
      <c r="N247" s="279">
        <v>191817</v>
      </c>
      <c r="P247" s="287"/>
    </row>
    <row r="248" spans="1:16" customFormat="1" x14ac:dyDescent="0.25">
      <c r="A248" t="s">
        <v>466</v>
      </c>
      <c r="N248" s="195"/>
    </row>
    <row r="249" spans="1:16" customFormat="1" x14ac:dyDescent="0.25">
      <c r="N249" s="195"/>
    </row>
    <row r="250" spans="1:16" customFormat="1" x14ac:dyDescent="0.25"/>
    <row r="251" spans="1:16" customFormat="1" x14ac:dyDescent="0.25"/>
    <row r="252" spans="1:16" customFormat="1" x14ac:dyDescent="0.25">
      <c r="B252" s="319"/>
    </row>
    <row r="253" spans="1:16" customFormat="1" x14ac:dyDescent="0.25"/>
    <row r="254" spans="1:16" customFormat="1" x14ac:dyDescent="0.25"/>
    <row r="255" spans="1:16" customFormat="1" x14ac:dyDescent="0.25"/>
    <row r="256" spans="1:1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</sheetData>
  <mergeCells count="2">
    <mergeCell ref="A1:J1"/>
    <mergeCell ref="L3:N4"/>
  </mergeCells>
  <pageMargins left="0.7" right="0.7" top="0.75" bottom="0.75" header="0.3" footer="0.3"/>
  <ignoredErrors>
    <ignoredError sqref="B17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5"/>
  <sheetViews>
    <sheetView workbookViewId="0">
      <pane xSplit="1" ySplit="6" topLeftCell="B70" activePane="bottomRight" state="frozen"/>
      <selection pane="topRight" activeCell="B1" sqref="B1"/>
      <selection pane="bottomLeft" activeCell="A7" sqref="A7"/>
      <selection pane="bottomRight" activeCell="J94" sqref="J94"/>
    </sheetView>
  </sheetViews>
  <sheetFormatPr defaultColWidth="11.42578125" defaultRowHeight="15" x14ac:dyDescent="0.25"/>
  <cols>
    <col min="4" max="4" width="22.5703125" bestFit="1" customWidth="1"/>
  </cols>
  <sheetData>
    <row r="1" spans="1:10" ht="23.25" x14ac:dyDescent="0.35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</row>
    <row r="4" spans="1:10" x14ac:dyDescent="0.25">
      <c r="B4" s="70" t="s">
        <v>397</v>
      </c>
      <c r="C4" s="20"/>
      <c r="D4" s="20"/>
      <c r="F4" s="380" t="s">
        <v>398</v>
      </c>
      <c r="G4" s="380"/>
      <c r="H4" s="380"/>
      <c r="I4" s="380"/>
      <c r="J4" s="380"/>
    </row>
    <row r="5" spans="1:10" x14ac:dyDescent="0.25">
      <c r="B5" s="20"/>
      <c r="C5" s="72" t="s">
        <v>151</v>
      </c>
      <c r="D5" s="72" t="s">
        <v>415</v>
      </c>
    </row>
    <row r="6" spans="1:10" s="208" customFormat="1" ht="28.5" x14ac:dyDescent="0.25">
      <c r="B6" s="229" t="s">
        <v>141</v>
      </c>
      <c r="C6" s="230" t="s">
        <v>141</v>
      </c>
      <c r="D6" s="230" t="s">
        <v>141</v>
      </c>
    </row>
    <row r="7" spans="1:10" x14ac:dyDescent="0.25">
      <c r="A7" s="94">
        <v>38353</v>
      </c>
      <c r="B7" s="20">
        <f>C7+D7</f>
        <v>14.9</v>
      </c>
      <c r="C7">
        <v>9.8000000000000007</v>
      </c>
      <c r="D7">
        <v>5.0999999999999996</v>
      </c>
    </row>
    <row r="8" spans="1:10" x14ac:dyDescent="0.25">
      <c r="A8" s="94">
        <v>38443</v>
      </c>
      <c r="B8" s="20">
        <f t="shared" ref="B8:B71" si="0">C8+D8</f>
        <v>41.8</v>
      </c>
      <c r="C8">
        <v>30.2</v>
      </c>
      <c r="D8">
        <v>11.6</v>
      </c>
    </row>
    <row r="9" spans="1:10" x14ac:dyDescent="0.25">
      <c r="A9" s="94">
        <v>38534</v>
      </c>
      <c r="B9" s="20">
        <f t="shared" si="0"/>
        <v>70.5</v>
      </c>
      <c r="C9">
        <v>43.5</v>
      </c>
      <c r="D9">
        <v>27</v>
      </c>
    </row>
    <row r="10" spans="1:10" x14ac:dyDescent="0.25">
      <c r="A10" s="94">
        <v>38626</v>
      </c>
      <c r="B10" s="20">
        <f t="shared" si="0"/>
        <v>100.69999999999999</v>
      </c>
      <c r="C10">
        <v>64.599999999999994</v>
      </c>
      <c r="D10">
        <v>36.1</v>
      </c>
    </row>
    <row r="11" spans="1:10" x14ac:dyDescent="0.25">
      <c r="A11" s="94">
        <v>38718</v>
      </c>
      <c r="B11" s="20">
        <f t="shared" si="0"/>
        <v>19.600000000000001</v>
      </c>
      <c r="C11">
        <v>11.3</v>
      </c>
      <c r="D11">
        <v>8.3000000000000007</v>
      </c>
    </row>
    <row r="12" spans="1:10" x14ac:dyDescent="0.25">
      <c r="A12" s="94">
        <v>38808</v>
      </c>
      <c r="B12" s="20">
        <f t="shared" si="0"/>
        <v>57</v>
      </c>
      <c r="C12">
        <v>34.9</v>
      </c>
      <c r="D12">
        <v>22.1</v>
      </c>
    </row>
    <row r="13" spans="1:10" x14ac:dyDescent="0.25">
      <c r="A13" s="94">
        <v>38899</v>
      </c>
      <c r="B13" s="20">
        <f t="shared" si="0"/>
        <v>74.099999999999994</v>
      </c>
      <c r="C13">
        <v>46.8</v>
      </c>
      <c r="D13">
        <v>27.3</v>
      </c>
    </row>
    <row r="14" spans="1:10" x14ac:dyDescent="0.25">
      <c r="A14" s="94">
        <v>38991</v>
      </c>
      <c r="B14" s="20">
        <f t="shared" si="0"/>
        <v>98.7</v>
      </c>
      <c r="C14">
        <v>63.1</v>
      </c>
      <c r="D14">
        <v>35.6</v>
      </c>
    </row>
    <row r="15" spans="1:10" x14ac:dyDescent="0.25">
      <c r="A15" s="94">
        <v>39083</v>
      </c>
      <c r="B15" s="20">
        <f t="shared" si="0"/>
        <v>18.3</v>
      </c>
      <c r="C15">
        <v>10.9</v>
      </c>
      <c r="D15">
        <v>7.4</v>
      </c>
    </row>
    <row r="16" spans="1:10" x14ac:dyDescent="0.25">
      <c r="A16" s="94">
        <v>39173</v>
      </c>
      <c r="B16" s="20">
        <f t="shared" si="0"/>
        <v>41.8</v>
      </c>
      <c r="C16">
        <v>25.9</v>
      </c>
      <c r="D16">
        <v>15.9</v>
      </c>
    </row>
    <row r="17" spans="1:4" x14ac:dyDescent="0.25">
      <c r="A17" s="94">
        <v>39264</v>
      </c>
      <c r="B17" s="20">
        <f t="shared" si="0"/>
        <v>47.599999999999994</v>
      </c>
      <c r="C17">
        <v>30.7</v>
      </c>
      <c r="D17">
        <v>16.899999999999999</v>
      </c>
    </row>
    <row r="18" spans="1:4" x14ac:dyDescent="0.25">
      <c r="A18" s="94">
        <v>39356</v>
      </c>
      <c r="B18" s="20">
        <f t="shared" si="0"/>
        <v>69.400000000000006</v>
      </c>
      <c r="C18">
        <v>39.700000000000003</v>
      </c>
      <c r="D18">
        <v>29.7</v>
      </c>
    </row>
    <row r="19" spans="1:4" x14ac:dyDescent="0.25">
      <c r="A19" s="94">
        <v>39448</v>
      </c>
      <c r="B19" s="20">
        <f t="shared" si="0"/>
        <v>15.9</v>
      </c>
      <c r="C19">
        <v>8.9</v>
      </c>
      <c r="D19">
        <v>7</v>
      </c>
    </row>
    <row r="20" spans="1:4" x14ac:dyDescent="0.25">
      <c r="A20" s="94">
        <v>39539</v>
      </c>
      <c r="B20" s="20">
        <f t="shared" si="0"/>
        <v>34.299999999999997</v>
      </c>
      <c r="C20">
        <v>21.2</v>
      </c>
      <c r="D20">
        <v>13.1</v>
      </c>
    </row>
    <row r="21" spans="1:4" x14ac:dyDescent="0.25">
      <c r="A21" s="94">
        <v>39630</v>
      </c>
      <c r="B21" s="20">
        <f t="shared" si="0"/>
        <v>44.7</v>
      </c>
      <c r="C21">
        <v>27.7</v>
      </c>
      <c r="D21">
        <v>17</v>
      </c>
    </row>
    <row r="22" spans="1:4" x14ac:dyDescent="0.25">
      <c r="A22" s="94">
        <v>39722</v>
      </c>
      <c r="B22" s="20">
        <f t="shared" si="0"/>
        <v>67.599999999999994</v>
      </c>
      <c r="C22">
        <v>44.1</v>
      </c>
      <c r="D22">
        <v>23.5</v>
      </c>
    </row>
    <row r="23" spans="1:4" x14ac:dyDescent="0.25">
      <c r="A23" s="94">
        <v>39814</v>
      </c>
      <c r="B23" s="20">
        <f t="shared" si="0"/>
        <v>14.5</v>
      </c>
      <c r="C23">
        <v>9</v>
      </c>
      <c r="D23">
        <v>5.5</v>
      </c>
    </row>
    <row r="24" spans="1:4" x14ac:dyDescent="0.25">
      <c r="A24" s="94">
        <v>39904</v>
      </c>
      <c r="B24" s="20">
        <f t="shared" si="0"/>
        <v>39.700000000000003</v>
      </c>
      <c r="C24">
        <v>27.4</v>
      </c>
      <c r="D24">
        <v>12.3</v>
      </c>
    </row>
    <row r="25" spans="1:4" x14ac:dyDescent="0.25">
      <c r="A25" s="94">
        <v>39995</v>
      </c>
      <c r="B25" s="20">
        <f t="shared" si="0"/>
        <v>46</v>
      </c>
      <c r="C25">
        <v>29.2</v>
      </c>
      <c r="D25">
        <v>16.8</v>
      </c>
    </row>
    <row r="26" spans="1:4" x14ac:dyDescent="0.25">
      <c r="A26" s="94">
        <v>40087</v>
      </c>
      <c r="B26" s="20">
        <f t="shared" si="0"/>
        <v>64.800000000000011</v>
      </c>
      <c r="C26">
        <v>41.7</v>
      </c>
      <c r="D26">
        <v>23.1</v>
      </c>
    </row>
    <row r="27" spans="1:4" x14ac:dyDescent="0.25">
      <c r="A27" s="94">
        <v>40179</v>
      </c>
      <c r="B27" s="20">
        <f t="shared" si="0"/>
        <v>15.6</v>
      </c>
      <c r="C27">
        <v>9.1</v>
      </c>
      <c r="D27">
        <v>6.5</v>
      </c>
    </row>
    <row r="28" spans="1:4" x14ac:dyDescent="0.25">
      <c r="A28" s="94">
        <v>40269</v>
      </c>
      <c r="B28" s="20">
        <f t="shared" si="0"/>
        <v>41</v>
      </c>
      <c r="C28">
        <v>22.9</v>
      </c>
      <c r="D28">
        <v>18.100000000000001</v>
      </c>
    </row>
    <row r="29" spans="1:4" x14ac:dyDescent="0.25">
      <c r="A29" s="94">
        <v>40360</v>
      </c>
      <c r="B29" s="20">
        <f t="shared" si="0"/>
        <v>54</v>
      </c>
      <c r="C29">
        <v>29</v>
      </c>
      <c r="D29">
        <v>25</v>
      </c>
    </row>
    <row r="30" spans="1:4" x14ac:dyDescent="0.25">
      <c r="A30" s="94">
        <v>40452</v>
      </c>
      <c r="B30" s="20">
        <f t="shared" si="0"/>
        <v>87.9</v>
      </c>
      <c r="C30">
        <v>53</v>
      </c>
      <c r="D30">
        <v>34.9</v>
      </c>
    </row>
    <row r="31" spans="1:4" x14ac:dyDescent="0.25">
      <c r="A31" s="94">
        <v>40544</v>
      </c>
      <c r="B31" s="20">
        <f t="shared" si="0"/>
        <v>20</v>
      </c>
      <c r="C31">
        <v>11</v>
      </c>
      <c r="D31">
        <v>9</v>
      </c>
    </row>
    <row r="32" spans="1:4" x14ac:dyDescent="0.25">
      <c r="A32" s="94">
        <v>40634</v>
      </c>
      <c r="B32" s="20">
        <f t="shared" si="0"/>
        <v>58</v>
      </c>
      <c r="C32">
        <v>22.3</v>
      </c>
      <c r="D32">
        <v>35.700000000000003</v>
      </c>
    </row>
    <row r="33" spans="1:4" x14ac:dyDescent="0.25">
      <c r="A33" s="94">
        <v>40725</v>
      </c>
      <c r="B33" s="20">
        <f t="shared" si="0"/>
        <v>98</v>
      </c>
      <c r="C33">
        <v>52.4</v>
      </c>
      <c r="D33">
        <v>45.6</v>
      </c>
    </row>
    <row r="34" spans="1:4" x14ac:dyDescent="0.25">
      <c r="A34" s="94">
        <v>40817</v>
      </c>
      <c r="B34" s="20">
        <f t="shared" si="0"/>
        <v>149.80000000000001</v>
      </c>
      <c r="C34">
        <v>85.9</v>
      </c>
      <c r="D34">
        <v>63.9</v>
      </c>
    </row>
    <row r="35" spans="1:4" x14ac:dyDescent="0.25">
      <c r="A35" s="94">
        <v>40909</v>
      </c>
      <c r="B35" s="20">
        <f t="shared" si="0"/>
        <v>22.6</v>
      </c>
      <c r="C35">
        <v>16.600000000000001</v>
      </c>
      <c r="D35">
        <v>6</v>
      </c>
    </row>
    <row r="36" spans="1:4" x14ac:dyDescent="0.25">
      <c r="A36" s="94">
        <v>41000</v>
      </c>
      <c r="B36" s="20">
        <f t="shared" si="0"/>
        <v>48.900000000000006</v>
      </c>
      <c r="C36">
        <v>25.6</v>
      </c>
      <c r="D36">
        <v>23.3</v>
      </c>
    </row>
    <row r="37" spans="1:4" x14ac:dyDescent="0.25">
      <c r="A37" s="94">
        <v>41091</v>
      </c>
      <c r="B37" s="20">
        <f t="shared" si="0"/>
        <v>84.8</v>
      </c>
      <c r="C37">
        <v>53.3</v>
      </c>
      <c r="D37">
        <v>31.5</v>
      </c>
    </row>
    <row r="38" spans="1:4" x14ac:dyDescent="0.25">
      <c r="A38" s="94">
        <v>41183</v>
      </c>
      <c r="B38" s="20">
        <f t="shared" si="0"/>
        <v>136</v>
      </c>
      <c r="C38">
        <v>84</v>
      </c>
      <c r="D38">
        <v>52</v>
      </c>
    </row>
    <row r="39" spans="1:4" x14ac:dyDescent="0.25">
      <c r="A39" s="94">
        <v>41275</v>
      </c>
      <c r="B39" s="20">
        <f t="shared" si="0"/>
        <v>28.9</v>
      </c>
      <c r="C39">
        <v>13</v>
      </c>
      <c r="D39">
        <v>15.9</v>
      </c>
    </row>
    <row r="40" spans="1:4" x14ac:dyDescent="0.25">
      <c r="A40" s="94">
        <v>41365</v>
      </c>
      <c r="B40" s="20">
        <f t="shared" si="0"/>
        <v>63.400000000000006</v>
      </c>
      <c r="C40">
        <v>37.700000000000003</v>
      </c>
      <c r="D40">
        <v>25.7</v>
      </c>
    </row>
    <row r="41" spans="1:4" x14ac:dyDescent="0.25">
      <c r="A41" s="94">
        <v>41456</v>
      </c>
      <c r="B41" s="20">
        <f t="shared" si="0"/>
        <v>73.2</v>
      </c>
      <c r="C41">
        <v>44</v>
      </c>
      <c r="D41">
        <v>29.2</v>
      </c>
    </row>
    <row r="42" spans="1:4" x14ac:dyDescent="0.25">
      <c r="A42" s="94">
        <v>41548</v>
      </c>
      <c r="B42" s="20">
        <f t="shared" si="0"/>
        <v>135.4</v>
      </c>
      <c r="C42">
        <v>80</v>
      </c>
      <c r="D42">
        <v>55.4</v>
      </c>
    </row>
    <row r="43" spans="1:4" x14ac:dyDescent="0.25">
      <c r="A43" s="94">
        <v>41640</v>
      </c>
      <c r="B43" s="20">
        <f t="shared" si="0"/>
        <v>23.1</v>
      </c>
      <c r="C43">
        <v>15.5</v>
      </c>
      <c r="D43">
        <v>7.6</v>
      </c>
    </row>
    <row r="44" spans="1:4" x14ac:dyDescent="0.25">
      <c r="A44" s="94">
        <v>41730</v>
      </c>
      <c r="B44" s="20">
        <f t="shared" si="0"/>
        <v>70.900000000000006</v>
      </c>
      <c r="C44">
        <v>39.200000000000003</v>
      </c>
      <c r="D44">
        <v>31.7</v>
      </c>
    </row>
    <row r="45" spans="1:4" x14ac:dyDescent="0.25">
      <c r="A45" s="94">
        <v>41821</v>
      </c>
      <c r="B45" s="20">
        <f t="shared" si="0"/>
        <v>88.3</v>
      </c>
      <c r="C45">
        <v>49.4</v>
      </c>
      <c r="D45">
        <v>38.9</v>
      </c>
    </row>
    <row r="46" spans="1:4" x14ac:dyDescent="0.25">
      <c r="A46" s="94">
        <v>41913</v>
      </c>
      <c r="B46" s="20">
        <f t="shared" si="0"/>
        <v>127.9</v>
      </c>
      <c r="C46">
        <v>65.2</v>
      </c>
      <c r="D46">
        <v>62.7</v>
      </c>
    </row>
    <row r="47" spans="1:4" x14ac:dyDescent="0.25">
      <c r="A47" s="94">
        <v>42005</v>
      </c>
      <c r="B47" s="20">
        <f t="shared" si="0"/>
        <v>51.7</v>
      </c>
      <c r="C47">
        <v>31.4</v>
      </c>
      <c r="D47">
        <v>20.3</v>
      </c>
    </row>
    <row r="48" spans="1:4" x14ac:dyDescent="0.25">
      <c r="A48" s="94">
        <v>42095</v>
      </c>
      <c r="B48" s="20">
        <f t="shared" si="0"/>
        <v>105.37</v>
      </c>
      <c r="C48">
        <v>49.93</v>
      </c>
      <c r="D48">
        <v>55.44</v>
      </c>
    </row>
    <row r="49" spans="1:7" x14ac:dyDescent="0.25">
      <c r="A49" s="94">
        <v>42186</v>
      </c>
      <c r="B49" s="20">
        <f t="shared" si="0"/>
        <v>142.5</v>
      </c>
      <c r="C49">
        <v>58.6</v>
      </c>
      <c r="D49">
        <v>83.9</v>
      </c>
    </row>
    <row r="50" spans="1:7" x14ac:dyDescent="0.25">
      <c r="A50" s="94">
        <v>42278</v>
      </c>
      <c r="B50" s="20">
        <f t="shared" si="0"/>
        <v>187.8</v>
      </c>
      <c r="C50">
        <v>61.7</v>
      </c>
      <c r="D50">
        <v>126.1</v>
      </c>
    </row>
    <row r="51" spans="1:7" x14ac:dyDescent="0.25">
      <c r="A51" s="94">
        <v>42370</v>
      </c>
      <c r="B51" s="20">
        <f t="shared" si="0"/>
        <v>49.019999999999996</v>
      </c>
      <c r="C51">
        <v>18</v>
      </c>
      <c r="D51">
        <v>31.02</v>
      </c>
    </row>
    <row r="52" spans="1:7" x14ac:dyDescent="0.25">
      <c r="A52" s="94">
        <v>42461</v>
      </c>
      <c r="B52" s="20">
        <f t="shared" si="0"/>
        <v>95.94</v>
      </c>
      <c r="C52">
        <v>30.54</v>
      </c>
      <c r="D52">
        <v>65.400000000000006</v>
      </c>
    </row>
    <row r="53" spans="1:7" x14ac:dyDescent="0.25">
      <c r="A53" s="94">
        <v>42552</v>
      </c>
      <c r="B53" s="20">
        <f t="shared" si="0"/>
        <v>150.5</v>
      </c>
      <c r="C53">
        <v>51</v>
      </c>
      <c r="D53">
        <v>99.5</v>
      </c>
    </row>
    <row r="54" spans="1:7" x14ac:dyDescent="0.25">
      <c r="A54" s="94">
        <v>42644</v>
      </c>
      <c r="B54" s="20">
        <f t="shared" si="0"/>
        <v>207.7</v>
      </c>
      <c r="C54">
        <v>67.83</v>
      </c>
      <c r="D54">
        <v>139.87</v>
      </c>
    </row>
    <row r="55" spans="1:7" x14ac:dyDescent="0.25">
      <c r="A55" s="94">
        <v>42736</v>
      </c>
      <c r="B55" s="20">
        <f t="shared" si="0"/>
        <v>55.98</v>
      </c>
      <c r="C55" s="75">
        <v>21.25</v>
      </c>
      <c r="D55" s="75">
        <v>34.729999999999997</v>
      </c>
      <c r="F55" s="75"/>
      <c r="G55" s="75"/>
    </row>
    <row r="56" spans="1:7" x14ac:dyDescent="0.25">
      <c r="A56" s="94">
        <v>42826</v>
      </c>
      <c r="B56" s="20">
        <f t="shared" si="0"/>
        <v>133.24</v>
      </c>
      <c r="C56" s="75">
        <v>54.35</v>
      </c>
      <c r="D56" s="75">
        <v>78.89</v>
      </c>
      <c r="F56" s="75"/>
      <c r="G56" s="75"/>
    </row>
    <row r="57" spans="1:7" x14ac:dyDescent="0.25">
      <c r="A57" s="94">
        <v>42917</v>
      </c>
      <c r="B57" s="20">
        <f t="shared" si="0"/>
        <v>192.63</v>
      </c>
      <c r="C57" s="75">
        <v>73.739999999999995</v>
      </c>
      <c r="D57" s="75">
        <v>118.89</v>
      </c>
      <c r="F57" s="75"/>
      <c r="G57" s="75"/>
    </row>
    <row r="58" spans="1:7" x14ac:dyDescent="0.25">
      <c r="A58" s="94">
        <v>43009</v>
      </c>
      <c r="B58" s="20">
        <f t="shared" si="0"/>
        <v>270.48</v>
      </c>
      <c r="C58" s="75">
        <v>92.19</v>
      </c>
      <c r="D58" s="75">
        <v>178.29</v>
      </c>
      <c r="F58" s="75"/>
      <c r="G58" s="75"/>
    </row>
    <row r="59" spans="1:7" x14ac:dyDescent="0.25">
      <c r="A59" s="94">
        <v>43101</v>
      </c>
      <c r="B59" s="20">
        <f t="shared" si="0"/>
        <v>79.7</v>
      </c>
      <c r="C59" s="75">
        <v>29.5</v>
      </c>
      <c r="D59" s="75">
        <v>50.2</v>
      </c>
      <c r="F59" s="75"/>
      <c r="G59" s="75"/>
    </row>
    <row r="60" spans="1:7" x14ac:dyDescent="0.25">
      <c r="A60" s="94">
        <v>43191</v>
      </c>
      <c r="B60" s="20">
        <f t="shared" si="0"/>
        <v>146.69999999999999</v>
      </c>
      <c r="C60" s="75">
        <v>46.2</v>
      </c>
      <c r="D60" s="75">
        <v>100.5</v>
      </c>
      <c r="F60" s="75"/>
      <c r="G60" s="75"/>
    </row>
    <row r="61" spans="1:7" x14ac:dyDescent="0.25">
      <c r="A61" s="94">
        <v>43282</v>
      </c>
      <c r="B61" s="20">
        <f t="shared" si="0"/>
        <v>252.29000000000002</v>
      </c>
      <c r="C61" s="75">
        <v>101.79</v>
      </c>
      <c r="D61" s="75">
        <v>150.5</v>
      </c>
      <c r="F61" s="75"/>
      <c r="G61" s="75"/>
    </row>
    <row r="62" spans="1:7" x14ac:dyDescent="0.25">
      <c r="A62" s="94">
        <v>43374</v>
      </c>
      <c r="B62" s="20">
        <f t="shared" si="0"/>
        <v>331.29</v>
      </c>
      <c r="C62" s="75">
        <v>120.95</v>
      </c>
      <c r="D62" s="75">
        <v>210.34</v>
      </c>
      <c r="F62" s="75"/>
      <c r="G62" s="75"/>
    </row>
    <row r="63" spans="1:7" x14ac:dyDescent="0.25">
      <c r="A63" s="94">
        <v>43466</v>
      </c>
      <c r="B63" s="20">
        <f t="shared" si="0"/>
        <v>133</v>
      </c>
      <c r="C63" s="75">
        <v>50.5</v>
      </c>
      <c r="D63" s="75">
        <v>82.5</v>
      </c>
      <c r="F63" s="75"/>
      <c r="G63" s="75"/>
    </row>
    <row r="64" spans="1:7" x14ac:dyDescent="0.25">
      <c r="A64" s="94">
        <v>43556</v>
      </c>
      <c r="B64" s="20">
        <f t="shared" si="0"/>
        <v>101.3</v>
      </c>
      <c r="C64">
        <v>58.3</v>
      </c>
      <c r="D64">
        <v>43</v>
      </c>
    </row>
    <row r="65" spans="1:4" x14ac:dyDescent="0.25">
      <c r="A65" s="94">
        <v>43647</v>
      </c>
      <c r="B65" s="20">
        <f t="shared" si="0"/>
        <v>147.30000000000001</v>
      </c>
      <c r="C65">
        <v>93.4</v>
      </c>
      <c r="D65">
        <v>53.9</v>
      </c>
    </row>
    <row r="66" spans="1:4" x14ac:dyDescent="0.25">
      <c r="A66" s="94">
        <v>43739</v>
      </c>
      <c r="B66" s="20">
        <f t="shared" si="0"/>
        <v>255.70000000000002</v>
      </c>
      <c r="C66">
        <v>220.8</v>
      </c>
      <c r="D66">
        <v>34.9</v>
      </c>
    </row>
    <row r="67" spans="1:4" x14ac:dyDescent="0.25">
      <c r="A67" s="94">
        <v>43831</v>
      </c>
      <c r="B67" s="289">
        <f t="shared" si="0"/>
        <v>145.52000000000001</v>
      </c>
      <c r="C67" s="75">
        <v>45.79</v>
      </c>
      <c r="D67" s="75">
        <v>99.73</v>
      </c>
    </row>
    <row r="68" spans="1:4" x14ac:dyDescent="0.25">
      <c r="A68" s="94">
        <v>43922</v>
      </c>
      <c r="B68" s="289">
        <f t="shared" si="0"/>
        <v>393.18821573680799</v>
      </c>
      <c r="C68" s="75">
        <v>251.088215736808</v>
      </c>
      <c r="D68">
        <v>142.1</v>
      </c>
    </row>
    <row r="69" spans="1:4" x14ac:dyDescent="0.25">
      <c r="A69" s="94">
        <v>44013</v>
      </c>
      <c r="B69" s="289">
        <f>C69+D69</f>
        <v>537.4</v>
      </c>
      <c r="C69" s="75">
        <v>299.8</v>
      </c>
      <c r="D69">
        <v>237.6</v>
      </c>
    </row>
    <row r="70" spans="1:4" x14ac:dyDescent="0.25">
      <c r="A70" s="94">
        <v>44105</v>
      </c>
      <c r="B70" s="289">
        <f t="shared" si="0"/>
        <v>582.86258275247189</v>
      </c>
      <c r="C70" s="75">
        <v>331.03471273680799</v>
      </c>
      <c r="D70" s="75">
        <v>251.82787001566388</v>
      </c>
    </row>
    <row r="71" spans="1:4" x14ac:dyDescent="0.25">
      <c r="A71" s="94">
        <v>44197</v>
      </c>
      <c r="B71" s="289">
        <f t="shared" si="0"/>
        <v>145.69069265535677</v>
      </c>
      <c r="C71" s="75">
        <v>52.5</v>
      </c>
      <c r="D71" s="75">
        <v>93.19069265535677</v>
      </c>
    </row>
    <row r="72" spans="1:4" x14ac:dyDescent="0.25">
      <c r="A72" s="94">
        <v>44287</v>
      </c>
      <c r="B72" s="289">
        <f t="shared" ref="B72:B76" si="1">C72+D72</f>
        <v>318.7836275384127</v>
      </c>
      <c r="C72" s="75">
        <v>173.4</v>
      </c>
      <c r="D72" s="75">
        <v>145.3836275384127</v>
      </c>
    </row>
    <row r="73" spans="1:4" x14ac:dyDescent="0.25">
      <c r="A73" s="94">
        <v>44378</v>
      </c>
      <c r="B73" s="289">
        <f t="shared" si="1"/>
        <v>421.19862451012841</v>
      </c>
      <c r="C73" s="75">
        <v>232.8</v>
      </c>
      <c r="D73" s="75">
        <v>188.3986245101284</v>
      </c>
    </row>
    <row r="74" spans="1:4" x14ac:dyDescent="0.25">
      <c r="A74" s="94">
        <v>44470</v>
      </c>
      <c r="B74" s="289">
        <f t="shared" si="1"/>
        <v>535.13673006806289</v>
      </c>
      <c r="C74" s="75">
        <v>281</v>
      </c>
      <c r="D74" s="75">
        <v>254.13673006806289</v>
      </c>
    </row>
    <row r="75" spans="1:4" x14ac:dyDescent="0.25">
      <c r="A75" s="94">
        <v>44562</v>
      </c>
      <c r="B75" s="289">
        <f>C75+D75</f>
        <v>192.88</v>
      </c>
      <c r="C75" s="75">
        <v>89.89</v>
      </c>
      <c r="D75" s="75">
        <v>102.99</v>
      </c>
    </row>
    <row r="76" spans="1:4" x14ac:dyDescent="0.25">
      <c r="A76" s="94">
        <v>44652</v>
      </c>
      <c r="B76" s="289">
        <f t="shared" si="1"/>
        <v>408.27458083727277</v>
      </c>
      <c r="C76" s="75">
        <v>226.93523474913101</v>
      </c>
      <c r="D76" s="75">
        <v>181.33934608814172</v>
      </c>
    </row>
    <row r="77" spans="1:4" x14ac:dyDescent="0.25">
      <c r="A77" s="94">
        <v>44743</v>
      </c>
      <c r="B77" s="289">
        <f t="shared" ref="B77:B81" si="2">C77+D77</f>
        <v>575.46529769224981</v>
      </c>
      <c r="C77" s="75">
        <v>317.69617874913098</v>
      </c>
      <c r="D77" s="75">
        <v>257.76911894311877</v>
      </c>
    </row>
    <row r="78" spans="1:4" x14ac:dyDescent="0.25">
      <c r="A78" s="94">
        <v>44835</v>
      </c>
      <c r="B78" s="289">
        <f t="shared" si="2"/>
        <v>838.6556581429802</v>
      </c>
      <c r="C78" s="75">
        <v>515.84267874913098</v>
      </c>
      <c r="D78" s="75">
        <v>322.81297939384916</v>
      </c>
    </row>
    <row r="79" spans="1:4" x14ac:dyDescent="0.25">
      <c r="A79" s="94">
        <v>44927</v>
      </c>
      <c r="B79" s="289">
        <f t="shared" si="2"/>
        <v>231.56515474107121</v>
      </c>
      <c r="C79" s="75">
        <v>103.446252488504</v>
      </c>
      <c r="D79" s="75">
        <v>128.11890225256721</v>
      </c>
    </row>
    <row r="80" spans="1:4" x14ac:dyDescent="0.25">
      <c r="A80" s="94">
        <v>45017</v>
      </c>
      <c r="B80" s="289">
        <f t="shared" si="2"/>
        <v>498.48457934195301</v>
      </c>
      <c r="C80" s="75">
        <v>256.49024848850399</v>
      </c>
      <c r="D80" s="75">
        <v>241.99433085344899</v>
      </c>
    </row>
    <row r="81" spans="1:4" x14ac:dyDescent="0.25">
      <c r="A81" s="94">
        <v>45108</v>
      </c>
      <c r="B81" s="289">
        <f t="shared" si="2"/>
        <v>873.02224343015143</v>
      </c>
      <c r="C81" s="75">
        <v>519.68623248850395</v>
      </c>
      <c r="D81" s="75">
        <v>353.33601094164749</v>
      </c>
    </row>
    <row r="82" spans="1:4" x14ac:dyDescent="0.25">
      <c r="A82" s="94">
        <v>45200</v>
      </c>
      <c r="B82" s="289">
        <f>C82+D82</f>
        <v>1173.02649782754</v>
      </c>
      <c r="C82" s="75">
        <v>683.13430057866697</v>
      </c>
      <c r="D82" s="75">
        <v>489.89219724887312</v>
      </c>
    </row>
    <row r="83" spans="1:4" x14ac:dyDescent="0.25">
      <c r="A83" s="94">
        <v>45292</v>
      </c>
      <c r="B83" s="289">
        <f>C83+D83</f>
        <v>268.68584353279277</v>
      </c>
      <c r="C83" s="75">
        <v>113.333719272336</v>
      </c>
      <c r="D83" s="75">
        <v>155.35212426045678</v>
      </c>
    </row>
    <row r="84" spans="1:4" x14ac:dyDescent="0.25">
      <c r="A84" s="94">
        <v>45383</v>
      </c>
      <c r="B84" s="289">
        <f>C84+D84</f>
        <v>613.94182162925676</v>
      </c>
      <c r="C84" s="75">
        <v>270.69637277233602</v>
      </c>
      <c r="D84" s="75">
        <v>343.24544885692075</v>
      </c>
    </row>
    <row r="85" spans="1:4" x14ac:dyDescent="0.25">
      <c r="A85" s="94">
        <v>45474</v>
      </c>
      <c r="B85" s="289">
        <f>C85+D85</f>
        <v>963.83635821310952</v>
      </c>
      <c r="C85" s="75">
        <v>492.89741977233598</v>
      </c>
      <c r="D85" s="75">
        <v>470.93893844077354</v>
      </c>
    </row>
  </sheetData>
  <mergeCells count="2">
    <mergeCell ref="A1:J1"/>
    <mergeCell ref="F4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8" sqref="H28"/>
    </sheetView>
  </sheetViews>
  <sheetFormatPr defaultColWidth="11.42578125" defaultRowHeight="15" x14ac:dyDescent="0.25"/>
  <cols>
    <col min="1" max="1" width="27.140625" bestFit="1" customWidth="1"/>
    <col min="2" max="2" width="27.85546875" bestFit="1" customWidth="1"/>
    <col min="3" max="3" width="15.85546875" bestFit="1" customWidth="1"/>
    <col min="4" max="4" width="72.5703125" bestFit="1" customWidth="1"/>
  </cols>
  <sheetData>
    <row r="1" spans="1:8" ht="23.25" x14ac:dyDescent="0.35">
      <c r="A1" s="382" t="s">
        <v>0</v>
      </c>
      <c r="B1" s="382"/>
      <c r="C1" s="382"/>
      <c r="D1" s="382"/>
      <c r="E1" s="382"/>
      <c r="F1" s="382"/>
      <c r="G1" s="382"/>
      <c r="H1" s="382"/>
    </row>
    <row r="2" spans="1:8" x14ac:dyDescent="0.25">
      <c r="A2" t="s">
        <v>313</v>
      </c>
    </row>
    <row r="3" spans="1:8" x14ac:dyDescent="0.25">
      <c r="A3" s="71" t="s">
        <v>330</v>
      </c>
      <c r="D3" s="71" t="s">
        <v>331</v>
      </c>
    </row>
    <row r="4" spans="1:8" x14ac:dyDescent="0.25">
      <c r="A4" s="174" t="s">
        <v>314</v>
      </c>
      <c r="B4" s="174"/>
      <c r="C4" s="174"/>
      <c r="D4" s="174" t="s">
        <v>332</v>
      </c>
      <c r="E4" s="174"/>
    </row>
    <row r="5" spans="1:8" x14ac:dyDescent="0.25">
      <c r="A5" s="175" t="s">
        <v>412</v>
      </c>
      <c r="B5" s="174"/>
      <c r="C5" s="174"/>
      <c r="D5" s="174"/>
      <c r="E5" s="174"/>
    </row>
    <row r="6" spans="1:8" x14ac:dyDescent="0.25">
      <c r="B6" s="292" t="s">
        <v>25</v>
      </c>
      <c r="D6" t="s">
        <v>333</v>
      </c>
    </row>
    <row r="7" spans="1:8" x14ac:dyDescent="0.25">
      <c r="A7" s="5"/>
      <c r="B7" t="s">
        <v>411</v>
      </c>
      <c r="D7" t="s">
        <v>334</v>
      </c>
    </row>
    <row r="8" spans="1:8" x14ac:dyDescent="0.25">
      <c r="A8" s="175" t="s">
        <v>315</v>
      </c>
      <c r="B8" s="173"/>
      <c r="C8" s="173"/>
      <c r="D8" s="173"/>
      <c r="E8" s="173"/>
    </row>
    <row r="9" spans="1:8" x14ac:dyDescent="0.25">
      <c r="A9" s="5"/>
      <c r="B9" t="s">
        <v>429</v>
      </c>
      <c r="D9" t="s">
        <v>430</v>
      </c>
    </row>
    <row r="10" spans="1:8" x14ac:dyDescent="0.25">
      <c r="A10" s="5"/>
      <c r="B10" t="s">
        <v>322</v>
      </c>
      <c r="D10" t="s">
        <v>335</v>
      </c>
    </row>
    <row r="11" spans="1:8" x14ac:dyDescent="0.25">
      <c r="A11" s="5"/>
      <c r="B11" t="s">
        <v>323</v>
      </c>
      <c r="D11" t="s">
        <v>336</v>
      </c>
    </row>
    <row r="12" spans="1:8" x14ac:dyDescent="0.25">
      <c r="A12" s="5"/>
      <c r="B12" t="s">
        <v>324</v>
      </c>
      <c r="D12" t="s">
        <v>423</v>
      </c>
    </row>
    <row r="13" spans="1:8" x14ac:dyDescent="0.25">
      <c r="A13" s="5"/>
      <c r="B13" t="s">
        <v>39</v>
      </c>
      <c r="D13" t="s">
        <v>337</v>
      </c>
    </row>
    <row r="14" spans="1:8" x14ac:dyDescent="0.25">
      <c r="A14" s="5"/>
      <c r="B14" t="s">
        <v>325</v>
      </c>
      <c r="D14" t="s">
        <v>416</v>
      </c>
    </row>
    <row r="15" spans="1:8" x14ac:dyDescent="0.25">
      <c r="A15" s="5"/>
      <c r="B15" t="s">
        <v>326</v>
      </c>
      <c r="D15" t="s">
        <v>465</v>
      </c>
    </row>
    <row r="16" spans="1:8" x14ac:dyDescent="0.25">
      <c r="A16" s="5"/>
      <c r="B16" t="s">
        <v>327</v>
      </c>
      <c r="D16" t="s">
        <v>338</v>
      </c>
    </row>
    <row r="17" spans="1:5" x14ac:dyDescent="0.25">
      <c r="A17" s="5"/>
      <c r="B17" t="s">
        <v>328</v>
      </c>
      <c r="D17" t="s">
        <v>339</v>
      </c>
    </row>
    <row r="18" spans="1:5" x14ac:dyDescent="0.25">
      <c r="B18" t="s">
        <v>329</v>
      </c>
      <c r="D18" t="s">
        <v>309</v>
      </c>
    </row>
    <row r="19" spans="1:5" x14ac:dyDescent="0.25">
      <c r="A19" s="174" t="s">
        <v>316</v>
      </c>
      <c r="B19" s="173"/>
      <c r="C19" s="173"/>
      <c r="D19" s="173" t="s">
        <v>340</v>
      </c>
      <c r="E19" s="173"/>
    </row>
    <row r="21" spans="1:5" x14ac:dyDescent="0.25">
      <c r="A21" s="174" t="s">
        <v>108</v>
      </c>
      <c r="B21" s="174"/>
      <c r="C21" s="174"/>
      <c r="D21" s="174"/>
      <c r="E21" s="174"/>
    </row>
    <row r="22" spans="1:5" x14ac:dyDescent="0.25">
      <c r="B22" t="s">
        <v>89</v>
      </c>
      <c r="D22" t="s">
        <v>341</v>
      </c>
    </row>
    <row r="23" spans="1:5" x14ac:dyDescent="0.25">
      <c r="B23" t="s">
        <v>90</v>
      </c>
      <c r="D23" t="s">
        <v>341</v>
      </c>
    </row>
    <row r="24" spans="1:5" x14ac:dyDescent="0.25">
      <c r="B24" t="s">
        <v>342</v>
      </c>
      <c r="D24" t="s">
        <v>343</v>
      </c>
    </row>
    <row r="25" spans="1:5" x14ac:dyDescent="0.25">
      <c r="B25" t="s">
        <v>104</v>
      </c>
      <c r="D25" t="s">
        <v>399</v>
      </c>
    </row>
    <row r="26" spans="1:5" x14ac:dyDescent="0.25">
      <c r="A26" s="173" t="s">
        <v>317</v>
      </c>
      <c r="B26" s="173"/>
      <c r="C26" s="173"/>
      <c r="D26" s="173" t="s">
        <v>340</v>
      </c>
      <c r="E26" s="173"/>
    </row>
    <row r="27" spans="1:5" x14ac:dyDescent="0.25">
      <c r="A27" s="173" t="s">
        <v>318</v>
      </c>
      <c r="B27" s="173"/>
      <c r="C27" s="173"/>
      <c r="D27" s="173" t="s">
        <v>340</v>
      </c>
      <c r="E27" s="173"/>
    </row>
    <row r="28" spans="1:5" x14ac:dyDescent="0.25">
      <c r="A28" s="173" t="s">
        <v>319</v>
      </c>
      <c r="B28" s="173"/>
      <c r="C28" s="173"/>
      <c r="D28" s="173" t="s">
        <v>344</v>
      </c>
      <c r="E28" s="173"/>
    </row>
    <row r="29" spans="1:5" x14ac:dyDescent="0.25">
      <c r="A29" s="173" t="s">
        <v>320</v>
      </c>
      <c r="B29" s="173"/>
      <c r="C29" s="173"/>
      <c r="D29" s="173" t="s">
        <v>419</v>
      </c>
      <c r="E29" s="173"/>
    </row>
    <row r="30" spans="1:5" x14ac:dyDescent="0.25">
      <c r="A30" s="173" t="s">
        <v>383</v>
      </c>
      <c r="B30" s="173"/>
      <c r="C30" s="173"/>
      <c r="D30" s="173" t="s">
        <v>345</v>
      </c>
      <c r="E30" s="173"/>
    </row>
    <row r="31" spans="1:5" x14ac:dyDescent="0.25">
      <c r="A31" s="173" t="s">
        <v>321</v>
      </c>
      <c r="B31" s="173"/>
      <c r="C31" s="173"/>
      <c r="D31" s="173" t="s">
        <v>346</v>
      </c>
      <c r="E31" s="17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CADRAN</vt:lpstr>
      <vt:lpstr>graphes</vt:lpstr>
      <vt:lpstr>Environnement International</vt:lpstr>
      <vt:lpstr>Primaire</vt:lpstr>
      <vt:lpstr>Secteur Secondaire</vt:lpstr>
      <vt:lpstr>Indice Secondaire</vt:lpstr>
      <vt:lpstr>Transport</vt:lpstr>
      <vt:lpstr>ICAS et ICAC</vt:lpstr>
      <vt:lpstr>Prix Intérieurs</vt:lpstr>
      <vt:lpstr>Commerce Extérieur</vt:lpstr>
      <vt:lpstr>Finances Publiques </vt:lpstr>
      <vt:lpstr>Dette Publique Extérieure</vt:lpstr>
      <vt:lpstr>Sources</vt:lpstr>
      <vt:lpstr>rq</vt:lpstr>
      <vt:lpstr>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LENOVO</cp:lastModifiedBy>
  <cp:lastPrinted>2022-01-05T15:24:33Z</cp:lastPrinted>
  <dcterms:created xsi:type="dcterms:W3CDTF">2019-03-19T09:52:59Z</dcterms:created>
  <dcterms:modified xsi:type="dcterms:W3CDTF">2026-04-27T10:20:05Z</dcterms:modified>
</cp:coreProperties>
</file>