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firstSheet="4" activeTab="15"/>
  </bookViews>
  <sheets>
    <sheet name="Weapon Data v1" sheetId="2" state="hidden" r:id="rId1"/>
    <sheet name="Weapon Data V2" sheetId="12" state="hidden" r:id="rId2"/>
    <sheet name="Weapon Data V3" sheetId="15" r:id="rId3"/>
    <sheet name="Weapon Data V4" sheetId="20" r:id="rId4"/>
    <sheet name="Weather" sheetId="4" r:id="rId5"/>
    <sheet name="Classes" sheetId="6" r:id="rId6"/>
    <sheet name="Traits" sheetId="19" r:id="rId7"/>
    <sheet name="Regions" sheetId="7" r:id="rId8"/>
    <sheet name="Environments" sheetId="9" r:id="rId9"/>
    <sheet name="Gear" sheetId="13" r:id="rId10"/>
    <sheet name="Skills" sheetId="14" r:id="rId11"/>
    <sheet name="Enemy Types" sheetId="16" r:id="rId12"/>
    <sheet name="Region DescriptionGenerator" sheetId="17" r:id="rId13"/>
    <sheet name="Inscriptions" sheetId="22" r:id="rId14"/>
    <sheet name="Recipes" sheetId="24" r:id="rId15"/>
    <sheet name="Sheet1" sheetId="18" r:id="rId16"/>
    <sheet name="Sheet2" sheetId="21" r:id="rId17"/>
  </sheets>
  <calcPr calcId="144525"/>
</workbook>
</file>

<file path=xl/sharedStrings.xml><?xml version="1.0" encoding="utf-8"?>
<sst xmlns="http://schemas.openxmlformats.org/spreadsheetml/2006/main" count="859">
  <si>
    <t>Type</t>
  </si>
  <si>
    <t>Manual</t>
  </si>
  <si>
    <t>Base Stats</t>
  </si>
  <si>
    <t>Damage</t>
  </si>
  <si>
    <t>Accuracy</t>
  </si>
  <si>
    <t>Fire Rate</t>
  </si>
  <si>
    <t>Handling</t>
  </si>
  <si>
    <t>Reload Speed</t>
  </si>
  <si>
    <t>Capacity</t>
  </si>
  <si>
    <t>Critical Chance</t>
  </si>
  <si>
    <t>Pellets</t>
  </si>
  <si>
    <t>Shot Damage</t>
  </si>
  <si>
    <t>Mag Time</t>
  </si>
  <si>
    <t>Mag Dam</t>
  </si>
  <si>
    <t>DPS</t>
  </si>
  <si>
    <t>Target DPS</t>
  </si>
  <si>
    <t>DPS No Reload</t>
  </si>
  <si>
    <t>Min</t>
  </si>
  <si>
    <t>Max</t>
  </si>
  <si>
    <t>Ave</t>
  </si>
  <si>
    <t>Pistol</t>
  </si>
  <si>
    <t>No Change</t>
  </si>
  <si>
    <t>Consistant dps, medium shot damage, quick reload</t>
  </si>
  <si>
    <t>Slinger</t>
  </si>
  <si>
    <t>Shortshooter</t>
  </si>
  <si>
    <t>Handsnapper</t>
  </si>
  <si>
    <t>Saltscraper</t>
  </si>
  <si>
    <t>Deathgrip</t>
  </si>
  <si>
    <t>Rifle</t>
  </si>
  <si>
    <t>Variable dps, high shot damage, long reload</t>
  </si>
  <si>
    <t>Groundrider</t>
  </si>
  <si>
    <t>Longstrider</t>
  </si>
  <si>
    <t>Deepdriver</t>
  </si>
  <si>
    <t>Shoulderbreaker</t>
  </si>
  <si>
    <t>Voidwalker</t>
  </si>
  <si>
    <t>Shotgun</t>
  </si>
  <si>
    <t>Variable dps, low shot damage, medium reload</t>
  </si>
  <si>
    <t>Leadspreader</t>
  </si>
  <si>
    <t>Steelsweeper</t>
  </si>
  <si>
    <t>Bonebreaker</t>
  </si>
  <si>
    <t>Skullcrusher</t>
  </si>
  <si>
    <t>Hellsmasher</t>
  </si>
  <si>
    <t>SMG</t>
  </si>
  <si>
    <t>Consistant dps, low shot damage, quick reload</t>
  </si>
  <si>
    <t>Rattler</t>
  </si>
  <si>
    <t>Gripshaker</t>
  </si>
  <si>
    <t>Fulminator</t>
  </si>
  <si>
    <t>Skyscatterer</t>
  </si>
  <si>
    <t>Beastbreaker</t>
  </si>
  <si>
    <t>LMG</t>
  </si>
  <si>
    <t>Consistant dps, high shot damage, long reload</t>
  </si>
  <si>
    <t>Spitter</t>
  </si>
  <si>
    <t>Spewer</t>
  </si>
  <si>
    <t>Gouger</t>
  </si>
  <si>
    <t>Annihilator</t>
  </si>
  <si>
    <t>Godgrinder</t>
  </si>
  <si>
    <t>Explosive</t>
  </si>
  <si>
    <t>Splitter</t>
  </si>
  <si>
    <t>Breacher</t>
  </si>
  <si>
    <t>Rupturer</t>
  </si>
  <si>
    <t>Divider</t>
  </si>
  <si>
    <t>Heavencracker</t>
  </si>
  <si>
    <t>Power Comparison</t>
  </si>
  <si>
    <t>Rusty</t>
  </si>
  <si>
    <t>Tarnished</t>
  </si>
  <si>
    <t>Shiny</t>
  </si>
  <si>
    <t>Gleaming</t>
  </si>
  <si>
    <t>Radiant</t>
  </si>
  <si>
    <t>Durability</t>
  </si>
  <si>
    <t>DPS Raw</t>
  </si>
  <si>
    <t>DPS Final</t>
  </si>
  <si>
    <t>Target</t>
  </si>
  <si>
    <t>x Coeff</t>
  </si>
  <si>
    <t>Intercept</t>
  </si>
  <si>
    <t>Actual</t>
  </si>
  <si>
    <t>Subtype</t>
  </si>
  <si>
    <t>Modifier</t>
  </si>
  <si>
    <t>Pellet Damage</t>
  </si>
  <si>
    <t>Magazine Time</t>
  </si>
  <si>
    <t>Magazine Time w/Reload</t>
  </si>
  <si>
    <t>Magazine Damage</t>
  </si>
  <si>
    <t>Mag Damage + Accuracy</t>
  </si>
  <si>
    <t>DPS Difference (%)</t>
  </si>
  <si>
    <t>All</t>
  </si>
  <si>
    <t>Murdering</t>
  </si>
  <si>
    <t>Bottomless</t>
  </si>
  <si>
    <t>Vigilant</t>
  </si>
  <si>
    <t>Piercing</t>
  </si>
  <si>
    <t>Hasty</t>
  </si>
  <si>
    <t>Swift</t>
  </si>
  <si>
    <t>Light</t>
  </si>
  <si>
    <t>Twofold</t>
  </si>
  <si>
    <t>Unrelenting</t>
  </si>
  <si>
    <t>Oppressive</t>
  </si>
  <si>
    <t>Absolute</t>
  </si>
  <si>
    <t>Terrifying</t>
  </si>
  <si>
    <t>Splintered</t>
  </si>
  <si>
    <t>Magazine Cost</t>
  </si>
  <si>
    <t>Pierce Chance</t>
  </si>
  <si>
    <t>Bleed Chance</t>
  </si>
  <si>
    <t>Burn Chance</t>
  </si>
  <si>
    <t>Sickness Chance</t>
  </si>
  <si>
    <t>Infectious</t>
  </si>
  <si>
    <t>Pestilent</t>
  </si>
  <si>
    <t>Smouldering</t>
  </si>
  <si>
    <t>Infernal</t>
  </si>
  <si>
    <t>Sharp</t>
  </si>
  <si>
    <t>Razored</t>
  </si>
  <si>
    <t>Incising</t>
  </si>
  <si>
    <t>Stabbing</t>
  </si>
  <si>
    <t>Reload</t>
  </si>
  <si>
    <t>Mag Cost</t>
  </si>
  <si>
    <t>Automatic</t>
  </si>
  <si>
    <t>Shot Dam</t>
  </si>
  <si>
    <t>Mag Time + reload</t>
  </si>
  <si>
    <t>shotgun:</t>
  </si>
  <si>
    <t>2 shot capacity, 2 shots per click</t>
  </si>
  <si>
    <t>6 shot capacity, fully automatic</t>
  </si>
  <si>
    <t>10 shot capacity, non-automatic</t>
  </si>
  <si>
    <t>sniper:</t>
  </si>
  <si>
    <t>automatic</t>
  </si>
  <si>
    <t>charged shot</t>
  </si>
  <si>
    <t>normal</t>
  </si>
  <si>
    <t>smg:</t>
  </si>
  <si>
    <t>increase accuracy during continuous fire</t>
  </si>
  <si>
    <t>burst fire</t>
  </si>
  <si>
    <t>pistol:</t>
  </si>
  <si>
    <t>revolver, manual, 6 shots</t>
  </si>
  <si>
    <t>double fire, 12 shots</t>
  </si>
  <si>
    <t>normal, 10 shots</t>
  </si>
  <si>
    <t>lmg:</t>
  </si>
  <si>
    <t>unpredictable fire rate</t>
  </si>
  <si>
    <t>increases range during continuous fire</t>
  </si>
  <si>
    <t>Name</t>
  </si>
  <si>
    <t>Difficulty</t>
  </si>
  <si>
    <t>Temperature</t>
  </si>
  <si>
    <t>Visibility</t>
  </si>
  <si>
    <t>Water</t>
  </si>
  <si>
    <t>Food</t>
  </si>
  <si>
    <t>Duration</t>
  </si>
  <si>
    <t>Particles</t>
  </si>
  <si>
    <t>Rain</t>
  </si>
  <si>
    <t>Fog</t>
  </si>
  <si>
    <t>Dust</t>
  </si>
  <si>
    <t>Hail</t>
  </si>
  <si>
    <t>Sun</t>
  </si>
  <si>
    <t>Drizzle</t>
  </si>
  <si>
    <t>Phenomena</t>
  </si>
  <si>
    <t>Downpour</t>
  </si>
  <si>
    <t>Haze</t>
  </si>
  <si>
    <t>Mist</t>
  </si>
  <si>
    <t>Clear</t>
  </si>
  <si>
    <t>Cloudy</t>
  </si>
  <si>
    <t>Overcast</t>
  </si>
  <si>
    <t>Dust Storm</t>
  </si>
  <si>
    <t>Event</t>
  </si>
  <si>
    <t>Lightning</t>
  </si>
  <si>
    <t>Heat Wave</t>
  </si>
  <si>
    <t>Fire storm</t>
  </si>
  <si>
    <t>Ice storm</t>
  </si>
  <si>
    <t>Hurricane</t>
  </si>
  <si>
    <t>Freq</t>
  </si>
  <si>
    <t>%</t>
  </si>
  <si>
    <t>Freq2</t>
  </si>
  <si>
    <t>Attribute Modifiers</t>
  </si>
  <si>
    <t>Attribute Sum</t>
  </si>
  <si>
    <t>Max Health</t>
  </si>
  <si>
    <t>Cooldown Modifier</t>
  </si>
  <si>
    <t>Damage Modifier</t>
  </si>
  <si>
    <t>Adrenaline Recovery</t>
  </si>
  <si>
    <t>Speed</t>
  </si>
  <si>
    <t>Story</t>
  </si>
  <si>
    <t>Unique Skill</t>
  </si>
  <si>
    <t>Endurance</t>
  </si>
  <si>
    <t>Strength</t>
  </si>
  <si>
    <t>Willpower</t>
  </si>
  <si>
    <t>Perception</t>
  </si>
  <si>
    <t>The Villain</t>
  </si>
  <si>
    <t>Compassion</t>
  </si>
  <si>
    <t>healer</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</si>
  <si>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 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 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 ‘You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</si>
  <si>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The Deserter</t>
  </si>
  <si>
    <t>Suffering</t>
  </si>
  <si>
    <t>conditioner</t>
  </si>
  <si>
    <t>The Beast</t>
  </si>
  <si>
    <t>Rage</t>
  </si>
  <si>
    <t>tank</t>
  </si>
  <si>
    <t>Eternally I rage on, through red dust and dark fire. Enemies I have none, yet mercilessly I cut down those before me. You however, you I will spare. There is a dark shadow I see on your soul, a side you cannot see, that blinds you in your most passionate moments. A beast that howls and screams, taunting you to let it free. It is in all of us, a monster lurking beneath your civil self. Only I have controlled it. You see it is not a demon that takes over us, it is not some foreign horror that overpowers, or a contagion that clouds your thoughts. The beast is a reflection of you, it is the inversion of your conscious mind. It does the bidding of your true emotions, if you’ll let it. There is no greater power in this world than the unchained beast. The weight that burdens others in these pallid years is a pedestal that raises me up above others. Come! Revel in your freedom, shirk the shackles of civilisation and sate your need for blood. Do not care for the other, do not pity them for they would do the same to you. You will free them of their duties on this earth. Perhaps they will go to the halls of their heroes, or perhaps only blackness awaits. It is not for us to know, but we will find out. Go, allow the wolf within you to burst forth, break the weak, conquer the strong, and if you should fall you shall know that it was in glorious rage that your fire was snuffed, do not allow it instead to whimper and fail in the darkening of the night.</t>
  </si>
  <si>
    <t>More meat found on animals</t>
  </si>
  <si>
    <t>The Watcher</t>
  </si>
  <si>
    <t>Empathy</t>
  </si>
  <si>
    <t>storyteller</t>
  </si>
  <si>
    <t>The Survivor</t>
  </si>
  <si>
    <t>Curiosity</t>
  </si>
  <si>
    <t>explorer</t>
  </si>
  <si>
    <t>Free water collector</t>
  </si>
  <si>
    <t>The Protector</t>
  </si>
  <si>
    <t>Hatred</t>
  </si>
  <si>
    <t>dps</t>
  </si>
  <si>
    <t>I used to have a family like you. I remember them well, my wife, Mary, and my daughter, Anna. We lived in a safe place, one of the last safe places in the world. We had fields of crops, running water, and miles of woodland. We did our best to get along, some of us had been born there, others were wanderers we took in from the wastes. There were those of us, myself included, who felt that letting outsiders in was dangerous. There were terrible stories that made their way to us. Stories of barbarism, murder, men killing each other over water. We worried that our haven would be found. With every parched raider passing, every bleached wastelander that stumbled by, my fear grew. Sometimes I would lay awake nights on end, starting at every crack, rustle, and hoot. You could see division growing among us, some wouldn’t look at me- they knew my mind, and in the eyes of the others I could see my own thoughts reflected back at me. One day a mad man found his way to us, at first he seemed like another sorry soul, but as soon as night fell he took one of our women. He was silent, we only found her body in the morning. The moment her blank stare found mine I knew what had to be done. I scoured the village for him, the man beast who took us for fools, and when I found him I crushed his bones beneath my feet. As the echoes of his screams died out I realised what had been done. We were split, forever divided. My friends drove the other outsiders into the forest, never to be seen again. Many of us fought one another, others fled. I searched for my family, to protect them, to say sorry. But I knew they had left, whether because of me or to escape the insanity I provoked I will never know. Since then I have been searching for them. I know it is futile. Too many years have passed, years that have turned that safe haven into sand and shelter to ruins. Still I am driven on, by my love and by my hate. I know I will find them, in this life, or in the next.</t>
  </si>
  <si>
    <t>Free shelter</t>
  </si>
  <si>
    <t>The Hunter</t>
  </si>
  <si>
    <t>Despair</t>
  </si>
  <si>
    <t>finder</t>
  </si>
  <si>
    <t>Free trap</t>
  </si>
  <si>
    <t>The Ghost</t>
  </si>
  <si>
    <t>Complacency</t>
  </si>
  <si>
    <t>The Wanderer</t>
  </si>
  <si>
    <t>Things weren’t always this way. I recall I time before the winds were dry and laden with ash, a time when we would welcome the sight of another, rather then recoil at the fear of danger. Sometimes it’s hard to say if it was all a dream, a misrememberance of my childhood. I prefer to think we are in a dream now, because even then we would one day wake up, even if now we have to live in this nightmare. I don’t know if I had a family, I must have done, though they are long dead by now I assume. Wandering is all I know, going from place to place, there is so much that has been left undone in this world. I find newspapers, books, diaries, strange devices that sputter with light and sound but go dark before long, never to wake. Happily I find myself without sadness in these dying days. I have no remorse or incomplete doings, none to to weep for, and nothing to rejoice. My only lament is my lack of feeling, though I’m sure you envy my stagnant mind. What little memories I have are no more real to me than scribblings in a book. There are those who call my a ghost, because that is who I am, a ghost in this purgatory, drifting lifelessly through an equally lifeless plane. I will follow you though, though like a leaf on a breeze I do not know why. I assure you I do not fear death, for I cannot truly call my existence life.</t>
  </si>
  <si>
    <t>Never gets lost</t>
  </si>
  <si>
    <t>Bonus</t>
  </si>
  <si>
    <t>Requirement</t>
  </si>
  <si>
    <t>Pathetic</t>
  </si>
  <si>
    <t>-2 strength</t>
  </si>
  <si>
    <t>Carry 5kg or less for 400 hours</t>
  </si>
  <si>
    <t>Feeble</t>
  </si>
  <si>
    <t>-1 strength</t>
  </si>
  <si>
    <t>Carry 5kg or less for 200 hours</t>
  </si>
  <si>
    <t>Powerful</t>
  </si>
  <si>
    <t>+1 strength</t>
  </si>
  <si>
    <t>Carry 15kg or more for 100 hours</t>
  </si>
  <si>
    <t>Monolithic</t>
  </si>
  <si>
    <t>+2 strength</t>
  </si>
  <si>
    <t>Carry 15kg or more for 200 hours</t>
  </si>
  <si>
    <t>Godlike</t>
  </si>
  <si>
    <t>+3 strength</t>
  </si>
  <si>
    <t>Carry 15kg or more for 400 hours</t>
  </si>
  <si>
    <t>Sloth</t>
  </si>
  <si>
    <t>-2 endurance</t>
  </si>
  <si>
    <t>Idle for 300 hours</t>
  </si>
  <si>
    <t>Lazy</t>
  </si>
  <si>
    <t>-1 endurance</t>
  </si>
  <si>
    <t>Idle for 100 hours</t>
  </si>
  <si>
    <t>Nomadic</t>
  </si>
  <si>
    <t>+1 endurance</t>
  </si>
  <si>
    <t>Travel for 100 hours</t>
  </si>
  <si>
    <t>Enduring</t>
  </si>
  <si>
    <t>+2 endurance</t>
  </si>
  <si>
    <t>Travel for 200 hours</t>
  </si>
  <si>
    <t>Tireless</t>
  </si>
  <si>
    <t>+3 endurance</t>
  </si>
  <si>
    <t>Travel for 400 hours</t>
  </si>
  <si>
    <t>Oblivious</t>
  </si>
  <si>
    <t>-2 perception</t>
  </si>
  <si>
    <t>Get lost 100 times</t>
  </si>
  <si>
    <t>Distracted</t>
  </si>
  <si>
    <t>-1 perception</t>
  </si>
  <si>
    <t>Get lost 50 times</t>
  </si>
  <si>
    <t>Keen</t>
  </si>
  <si>
    <t>+1 perception</t>
  </si>
  <si>
    <t>Explore 20 regions</t>
  </si>
  <si>
    <t>Perceptive</t>
  </si>
  <si>
    <t>+2 perception</t>
  </si>
  <si>
    <t>Explore 50 regions</t>
  </si>
  <si>
    <t>+3 perception</t>
  </si>
  <si>
    <t>Explore 100 regions</t>
  </si>
  <si>
    <t>Fearful</t>
  </si>
  <si>
    <t>-2 willpower</t>
  </si>
  <si>
    <t>Have 10 mental breaks</t>
  </si>
  <si>
    <t>Weak-willed</t>
  </si>
  <si>
    <t>-1 willpower</t>
  </si>
  <si>
    <t>Have 5 mental breaks</t>
  </si>
  <si>
    <t>Hardy</t>
  </si>
  <si>
    <t>+1 willpower</t>
  </si>
  <si>
    <t>Recover 50 points of willpower</t>
  </si>
  <si>
    <t>Resolute</t>
  </si>
  <si>
    <t>+2 willpower</t>
  </si>
  <si>
    <t>Recover 100 points of willpower</t>
  </si>
  <si>
    <t>Fearless</t>
  </si>
  <si>
    <t>+3 willpower</t>
  </si>
  <si>
    <t>Recover 200 points of willpower</t>
  </si>
  <si>
    <t>Tinkerer</t>
  </si>
  <si>
    <t>50% chance no durability loss on weapons</t>
  </si>
  <si>
    <t>Improve a weapon 50 times</t>
  </si>
  <si>
    <t>Machinist</t>
  </si>
  <si>
    <t>No durability loss on weapons</t>
  </si>
  <si>
    <t>Improve a weapon 100 times</t>
  </si>
  <si>
    <t>Inept</t>
  </si>
  <si>
    <t>Double durability loss on weapons</t>
  </si>
  <si>
    <t>Break 5 weapons</t>
  </si>
  <si>
    <t>Thick-skinned</t>
  </si>
  <si>
    <t>+25% health in combat</t>
  </si>
  <si>
    <t>Take 1000 damage</t>
  </si>
  <si>
    <t>Iron-hide</t>
  </si>
  <si>
    <t>+50% health in combat</t>
  </si>
  <si>
    <t>Take 10000 damage</t>
  </si>
  <si>
    <t>Angry</t>
  </si>
  <si>
    <t>+50% rage duration</t>
  </si>
  <si>
    <t>Spend 120 seconds enraged</t>
  </si>
  <si>
    <t>Furious</t>
  </si>
  <si>
    <t>+100% rage duration</t>
  </si>
  <si>
    <t>Spend 240 seconds enraged</t>
  </si>
  <si>
    <t>Uncaring</t>
  </si>
  <si>
    <t>0 willpower from combat</t>
  </si>
  <si>
    <t>Kill 100 humans</t>
  </si>
  <si>
    <t>Pyschopathic</t>
  </si>
  <si>
    <t>+1 willpower from combat</t>
  </si>
  <si>
    <t>Kill 250 humans</t>
  </si>
  <si>
    <t>Pugilist</t>
  </si>
  <si>
    <t>+50% melee damage</t>
  </si>
  <si>
    <t>Win 50 melee encounters</t>
  </si>
  <si>
    <t>Shaky</t>
  </si>
  <si>
    <t>-50% melee damage</t>
  </si>
  <si>
    <t>Lose 50 melee encounters</t>
  </si>
  <si>
    <t>Steadfast</t>
  </si>
  <si>
    <t>-50% knockdown recovery</t>
  </si>
  <si>
    <t>Dodge 200 knockdowns</t>
  </si>
  <si>
    <t>Yielding</t>
  </si>
  <si>
    <t>+50% knockdown recovery</t>
  </si>
  <si>
    <t>Get knocked down 200 times</t>
  </si>
  <si>
    <t>Pacifist</t>
  </si>
  <si>
    <t>-20% damage</t>
  </si>
  <si>
    <t>Flee 20 times</t>
  </si>
  <si>
    <t>Gentle</t>
  </si>
  <si>
    <t>-10% damage</t>
  </si>
  <si>
    <t>Flee 10 times</t>
  </si>
  <si>
    <t>Murderous</t>
  </si>
  <si>
    <t>+10% damage</t>
  </si>
  <si>
    <t>Deal 100000 damage</t>
  </si>
  <si>
    <t>Slaughterer</t>
  </si>
  <si>
    <t>+20% damage</t>
  </si>
  <si>
    <t>Deal 500000 damage</t>
  </si>
  <si>
    <t>Obtuse</t>
  </si>
  <si>
    <t>+50% skill recharge</t>
  </si>
  <si>
    <t>Don't use skills in 20 battles</t>
  </si>
  <si>
    <t>Ignorant</t>
  </si>
  <si>
    <t>+25% skill recharge</t>
  </si>
  <si>
    <t>Don't use skills in 10 battles</t>
  </si>
  <si>
    <t>Adept</t>
  </si>
  <si>
    <t>-25% skill recharge</t>
  </si>
  <si>
    <t>Use 500 skills</t>
  </si>
  <si>
    <t>Sorcerer</t>
  </si>
  <si>
    <t>-50% skill recharge</t>
  </si>
  <si>
    <t>Use 1000 skills</t>
  </si>
  <si>
    <t>Scavenger</t>
  </si>
  <si>
    <t>+10% scrap found</t>
  </si>
  <si>
    <t>Find 1000 units of scrap</t>
  </si>
  <si>
    <t>Gatherer</t>
  </si>
  <si>
    <t>+10% food found</t>
  </si>
  <si>
    <t>Find 2000 units of food</t>
  </si>
  <si>
    <t>Diviner</t>
  </si>
  <si>
    <t>+10% water found</t>
  </si>
  <si>
    <t>Find 2000 units of water</t>
  </si>
  <si>
    <t>Tender</t>
  </si>
  <si>
    <t>+50% fire duration</t>
  </si>
  <si>
    <t>Light fire 100 times</t>
  </si>
  <si>
    <t>Weapon Skill 1</t>
  </si>
  <si>
    <t>Kill 50 enemies with weapon</t>
  </si>
  <si>
    <t>Weapon Skill 2</t>
  </si>
  <si>
    <t>Kill 150 enemies with weapon</t>
  </si>
  <si>
    <t>Character Skill 1</t>
  </si>
  <si>
    <t>Survive 10 combat encounters</t>
  </si>
  <si>
    <t>Character Skill 2</t>
  </si>
  <si>
    <t>Survive 25 combat encounters</t>
  </si>
  <si>
    <t>Danger</t>
  </si>
  <si>
    <t>Resource</t>
  </si>
  <si>
    <t>Temple</t>
  </si>
  <si>
    <t>Shelter</t>
  </si>
  <si>
    <t>Prefix</t>
  </si>
  <si>
    <t>Suffix</t>
  </si>
  <si>
    <t>Burden</t>
  </si>
  <si>
    <t>Pursuit</t>
  </si>
  <si>
    <t>Sustenance</t>
  </si>
  <si>
    <t>God</t>
  </si>
  <si>
    <t>Flow</t>
  </si>
  <si>
    <t>Prosperity</t>
  </si>
  <si>
    <t>Grace</t>
  </si>
  <si>
    <t>Savage</t>
  </si>
  <si>
    <t>Cessation</t>
  </si>
  <si>
    <t>Chaser</t>
  </si>
  <si>
    <t>Promise</t>
  </si>
  <si>
    <t>Angel</t>
  </si>
  <si>
    <t>Fountain</t>
  </si>
  <si>
    <t>Victory</t>
  </si>
  <si>
    <t>Heartache</t>
  </si>
  <si>
    <t>Execrator</t>
  </si>
  <si>
    <t>Blight</t>
  </si>
  <si>
    <t>Stalker</t>
  </si>
  <si>
    <t>Fruit</t>
  </si>
  <si>
    <t>Seraph</t>
  </si>
  <si>
    <t>Drink</t>
  </si>
  <si>
    <t>Triumph</t>
  </si>
  <si>
    <t>Waste</t>
  </si>
  <si>
    <t>Mortal</t>
  </si>
  <si>
    <t>Agony</t>
  </si>
  <si>
    <t>Huntress</t>
  </si>
  <si>
    <t>Bounty</t>
  </si>
  <si>
    <t>Paragon</t>
  </si>
  <si>
    <t>Beck</t>
  </si>
  <si>
    <t>Virtue</t>
  </si>
  <si>
    <t>Cripple</t>
  </si>
  <si>
    <t>Anguish</t>
  </si>
  <si>
    <t>Hunter</t>
  </si>
  <si>
    <t>Bloom</t>
  </si>
  <si>
    <t>Zealot</t>
  </si>
  <si>
    <t>Creek</t>
  </si>
  <si>
    <t>Devotion</t>
  </si>
  <si>
    <t>Appeal</t>
  </si>
  <si>
    <t>Civilisation</t>
  </si>
  <si>
    <t>Bane</t>
  </si>
  <si>
    <t>Pursuer</t>
  </si>
  <si>
    <t>Adherant</t>
  </si>
  <si>
    <t>Hope</t>
  </si>
  <si>
    <t>Exaltation</t>
  </si>
  <si>
    <t>Torment</t>
  </si>
  <si>
    <t>Abode</t>
  </si>
  <si>
    <t>Trapper</t>
  </si>
  <si>
    <t>Blessing</t>
  </si>
  <si>
    <t>Saviour</t>
  </si>
  <si>
    <t>Ache</t>
  </si>
  <si>
    <t>Piety</t>
  </si>
  <si>
    <t>Anger</t>
  </si>
  <si>
    <t>Terminus</t>
  </si>
  <si>
    <t>Tracker</t>
  </si>
  <si>
    <t>Range</t>
  </si>
  <si>
    <t>Deliverer</t>
  </si>
  <si>
    <t>Balm</t>
  </si>
  <si>
    <t>Love</t>
  </si>
  <si>
    <t>Sorrow</t>
  </si>
  <si>
    <t>Dusk</t>
  </si>
  <si>
    <t>Prowler</t>
  </si>
  <si>
    <t>Wild</t>
  </si>
  <si>
    <t>Faith</t>
  </si>
  <si>
    <t>Beauty</t>
  </si>
  <si>
    <t>Sleep</t>
  </si>
  <si>
    <t>Abhorrent</t>
  </si>
  <si>
    <t>Pit</t>
  </si>
  <si>
    <t>Predator</t>
  </si>
  <si>
    <t>Dell</t>
  </si>
  <si>
    <t>Heaven</t>
  </si>
  <si>
    <t>Escape</t>
  </si>
  <si>
    <t>Slumber</t>
  </si>
  <si>
    <t>Betrayer</t>
  </si>
  <si>
    <t>Root</t>
  </si>
  <si>
    <t>Dale</t>
  </si>
  <si>
    <t>Guardian</t>
  </si>
  <si>
    <t>Rapture</t>
  </si>
  <si>
    <t>Solace</t>
  </si>
  <si>
    <t>Maverick</t>
  </si>
  <si>
    <t>Curse</t>
  </si>
  <si>
    <t>Drifter</t>
  </si>
  <si>
    <t>Vale</t>
  </si>
  <si>
    <t>Elation</t>
  </si>
  <si>
    <t>Sunset</t>
  </si>
  <si>
    <t>Failure</t>
  </si>
  <si>
    <t>Woe</t>
  </si>
  <si>
    <t>Vagrant</t>
  </si>
  <si>
    <t>Hoard</t>
  </si>
  <si>
    <t>Dream</t>
  </si>
  <si>
    <t>Rest</t>
  </si>
  <si>
    <t>Deceiver</t>
  </si>
  <si>
    <t>Grief</t>
  </si>
  <si>
    <t>Remission</t>
  </si>
  <si>
    <t>Torpor</t>
  </si>
  <si>
    <t>Downfall</t>
  </si>
  <si>
    <t>Affliction</t>
  </si>
  <si>
    <t>Restitution</t>
  </si>
  <si>
    <t>Repose</t>
  </si>
  <si>
    <t>Hell</t>
  </si>
  <si>
    <t>Damnation</t>
  </si>
  <si>
    <t>Relief</t>
  </si>
  <si>
    <t>Resolution</t>
  </si>
  <si>
    <t>Vandal</t>
  </si>
  <si>
    <t>Succour</t>
  </si>
  <si>
    <t>Juggernaut</t>
  </si>
  <si>
    <t>Comfort</t>
  </si>
  <si>
    <t>Leviathan</t>
  </si>
  <si>
    <t>Carcass</t>
  </si>
  <si>
    <t>Remains</t>
  </si>
  <si>
    <t>Success</t>
  </si>
  <si>
    <t>Behemoth</t>
  </si>
  <si>
    <t>Ruin</t>
  </si>
  <si>
    <t>Temptation</t>
  </si>
  <si>
    <t>Glutton</t>
  </si>
  <si>
    <t>Loss</t>
  </si>
  <si>
    <t>Jewel</t>
  </si>
  <si>
    <t>Hellion</t>
  </si>
  <si>
    <t>Decay</t>
  </si>
  <si>
    <t>Advantage</t>
  </si>
  <si>
    <t>Demon</t>
  </si>
  <si>
    <t>Hulk</t>
  </si>
  <si>
    <t>Reward</t>
  </si>
  <si>
    <t>Beast</t>
  </si>
  <si>
    <t>Shell</t>
  </si>
  <si>
    <t>Boon</t>
  </si>
  <si>
    <t>Satan</t>
  </si>
  <si>
    <t>Wreck</t>
  </si>
  <si>
    <t>Devil</t>
  </si>
  <si>
    <t>Monstrosity</t>
  </si>
  <si>
    <t>Titan</t>
  </si>
  <si>
    <t>End</t>
  </si>
  <si>
    <t>Carrion</t>
  </si>
  <si>
    <t>Collapse</t>
  </si>
  <si>
    <t>Gargantua</t>
  </si>
  <si>
    <t>Level No</t>
  </si>
  <si>
    <t>Gate</t>
  </si>
  <si>
    <t>Temples</t>
  </si>
  <si>
    <t>Resources</t>
  </si>
  <si>
    <t>Total</t>
  </si>
  <si>
    <t>Complete Keys</t>
  </si>
  <si>
    <t>Broken Keys</t>
  </si>
  <si>
    <t>Features</t>
  </si>
  <si>
    <t>Oasis</t>
  </si>
  <si>
    <t>Dune, Creek, Outcrop, Trees, Bushes, Bank, Riverbed, Marsh, Crystal Floor, Cenote</t>
  </si>
  <si>
    <t>Steppe</t>
  </si>
  <si>
    <t>Wildflowers, Tree, Tor, Hillside, Slope, Ridge, Knoll, Bog, Hoarfrost, Taiga</t>
  </si>
  <si>
    <t>Ruins</t>
  </si>
  <si>
    <t>Vaulted ceiling, Pillars, Rubble, Gate, Tower, Drome, Steps, Altar, Collapsed Sewer, Monument</t>
  </si>
  <si>
    <t>Defiles</t>
  </si>
  <si>
    <t>Cliff, Valley, Lake Bed, Crag, Crest, Pinnacle, Precipice, Scar, Bluff, Escarpment, Cave, Scree/Talus, Stringer, Wadi</t>
  </si>
  <si>
    <t>Wastelands</t>
  </si>
  <si>
    <t>Salt lake, Gulch, Hamada, Erg, Dune, Standing Stone, Aquifer</t>
  </si>
  <si>
    <t>Location</t>
  </si>
  <si>
    <t>Object</t>
  </si>
  <si>
    <t>Descriptor</t>
  </si>
  <si>
    <t>Subject</t>
  </si>
  <si>
    <t>Visible</t>
  </si>
  <si>
    <t>Audible</t>
  </si>
  <si>
    <t>To the east</t>
  </si>
  <si>
    <t>the setting sun</t>
  </si>
  <si>
    <t>outlines</t>
  </si>
  <si>
    <t>echoes</t>
  </si>
  <si>
    <t>animals</t>
  </si>
  <si>
    <t>roaring engines</t>
  </si>
  <si>
    <t>To the west</t>
  </si>
  <si>
    <t>the shadow of</t>
  </si>
  <si>
    <t>reflects off the body of</t>
  </si>
  <si>
    <t>rings out</t>
  </si>
  <si>
    <t>a hatch</t>
  </si>
  <si>
    <t>braying creatures</t>
  </si>
  <si>
    <t>To the north</t>
  </si>
  <si>
    <t>a glimpse of</t>
  </si>
  <si>
    <t>highlights</t>
  </si>
  <si>
    <t>thunders</t>
  </si>
  <si>
    <t>a flag</t>
  </si>
  <si>
    <t>gunshots</t>
  </si>
  <si>
    <t>To the south</t>
  </si>
  <si>
    <t>distant</t>
  </si>
  <si>
    <t>glints on</t>
  </si>
  <si>
    <t>a wreck</t>
  </si>
  <si>
    <t>small animals</t>
  </si>
  <si>
    <t>In the distance</t>
  </si>
  <si>
    <t>the outline of</t>
  </si>
  <si>
    <t>illuminates</t>
  </si>
  <si>
    <t>metal box</t>
  </si>
  <si>
    <t>gentle stream</t>
  </si>
  <si>
    <t>On the horizon</t>
  </si>
  <si>
    <t>the glint of</t>
  </si>
  <si>
    <t>rusted hatch</t>
  </si>
  <si>
    <t>At the top of a hill</t>
  </si>
  <si>
    <t>the sound of</t>
  </si>
  <si>
    <t>charred vehicle</t>
  </si>
  <si>
    <t>Resting on the slope of a hill</t>
  </si>
  <si>
    <t>roar</t>
  </si>
  <si>
    <t>ancient statue</t>
  </si>
  <si>
    <t>Perched precariously on a cliff</t>
  </si>
  <si>
    <t>thundering</t>
  </si>
  <si>
    <t>fortified camp</t>
  </si>
  <si>
    <t>Catching your breath</t>
  </si>
  <si>
    <t>group of tents</t>
  </si>
  <si>
    <t>You can just make out</t>
  </si>
  <si>
    <t>an overturned car</t>
  </si>
  <si>
    <t>Nestled in a shallow basin</t>
  </si>
  <si>
    <t>puddle</t>
  </si>
  <si>
    <t>resting vehicles</t>
  </si>
  <si>
    <t>Internal Name</t>
  </si>
  <si>
    <t>Weight</t>
  </si>
  <si>
    <t>Description</t>
  </si>
  <si>
    <t>Effect</t>
  </si>
  <si>
    <t>Bandolier</t>
  </si>
  <si>
    <t>Less reloading, more shooting</t>
  </si>
  <si>
    <t>-25% Reload Speed</t>
  </si>
  <si>
    <t>Wrapped Mags</t>
  </si>
  <si>
    <t>Quick now, slow later</t>
  </si>
  <si>
    <t>-50% Reload Speed</t>
  </si>
  <si>
    <t>Rusty Nails</t>
  </si>
  <si>
    <t>Crunch, smash, punch</t>
  </si>
  <si>
    <t>Deal damage on contact</t>
  </si>
  <si>
    <t>Satchel</t>
  </si>
  <si>
    <t>Food -50% Weight</t>
  </si>
  <si>
    <t>Dry Gourd</t>
  </si>
  <si>
    <t>Empty Flask</t>
  </si>
  <si>
    <t>For those long, dry journeys</t>
  </si>
  <si>
    <t>Water -50% Weight</t>
  </si>
  <si>
    <t>Tools</t>
  </si>
  <si>
    <t>Mending Instruments</t>
  </si>
  <si>
    <t>A bit of care goes a long way</t>
  </si>
  <si>
    <t>50% no weapon degredation</t>
  </si>
  <si>
    <t>Optical Device</t>
  </si>
  <si>
    <t>Vision Edge</t>
  </si>
  <si>
    <t>Helpful... if your aim is true</t>
  </si>
  <si>
    <t>+25% Range</t>
  </si>
  <si>
    <t>Poison Flask</t>
  </si>
  <si>
    <t>Blighted Marrow</t>
  </si>
  <si>
    <t>Bring death to your enemies</t>
  </si>
  <si>
    <t>Poison</t>
  </si>
  <si>
    <t>Smoke Field</t>
  </si>
  <si>
    <t>Obscuring Aura</t>
  </si>
  <si>
    <t>A bit of the ol' razzle dazzle</t>
  </si>
  <si>
    <t>Blind</t>
  </si>
  <si>
    <t>Tracers</t>
  </si>
  <si>
    <t>Enkindling Flask</t>
  </si>
  <si>
    <t>Born from Hellfire itself</t>
  </si>
  <si>
    <t>Fire</t>
  </si>
  <si>
    <t>Heavy Rounds</t>
  </si>
  <si>
    <t>Staggering Barb</t>
  </si>
  <si>
    <t>Keep your enemies down</t>
  </si>
  <si>
    <t>Knock-down</t>
  </si>
  <si>
    <t>Razor Rounds</t>
  </si>
  <si>
    <t>Stinging Edges</t>
  </si>
  <si>
    <t>Like nasty little knives buzzing through the air</t>
  </si>
  <si>
    <t>Bleed</t>
  </si>
  <si>
    <t>Tattered Jacket</t>
  </si>
  <si>
    <t>Cracked Mail</t>
  </si>
  <si>
    <t>Marauder's Guard</t>
  </si>
  <si>
    <t>Battle Plate</t>
  </si>
  <si>
    <t>Warrior Hide</t>
  </si>
  <si>
    <t>Cooldown</t>
  </si>
  <si>
    <t>Splinter</t>
  </si>
  <si>
    <t>Bullet splits into several bullets on impact.</t>
  </si>
  <si>
    <t>Gouge</t>
  </si>
  <si>
    <t>Empty entire magazine, set fire to area on hit.</t>
  </si>
  <si>
    <t>Sweep</t>
  </si>
  <si>
    <t>Knockback all targets hit.</t>
  </si>
  <si>
    <t>Swarm</t>
  </si>
  <si>
    <t>Empty magazine, fire at all enemies.</t>
  </si>
  <si>
    <t>Refill</t>
  </si>
  <si>
    <t>Refill magazine without reloading.</t>
  </si>
  <si>
    <t>Compel</t>
  </si>
  <si>
    <t>Knock enemy back on hit.</t>
  </si>
  <si>
    <t>Hairpin</t>
  </si>
  <si>
    <t>Fire 2 rounds every time you fire for the rest of the magazine.</t>
  </si>
  <si>
    <t>Impact</t>
  </si>
  <si>
    <t>Remaining shots in magazine explode and deal damage to enemies near target.</t>
  </si>
  <si>
    <t>Passion</t>
  </si>
  <si>
    <t>Remaining shots cause burning.</t>
  </si>
  <si>
    <t>Revenge</t>
  </si>
  <si>
    <t>Automatically return fire on enemies who attack you for the rest of the clip.</t>
  </si>
  <si>
    <t>Staunch</t>
  </si>
  <si>
    <t>Remove all conditions</t>
  </si>
  <si>
    <t>Rejuvinate</t>
  </si>
  <si>
    <t>Restore 50 health</t>
  </si>
  <si>
    <t>Immolate</t>
  </si>
  <si>
    <t>Fire grenade</t>
  </si>
  <si>
    <t>Lacerate</t>
  </si>
  <si>
    <t>Explosive grenade.</t>
  </si>
  <si>
    <t>Taunt</t>
  </si>
  <si>
    <t>Taunt enemy</t>
  </si>
  <si>
    <t>Crush</t>
  </si>
  <si>
    <t>Headbutt and remove armour piece.</t>
  </si>
  <si>
    <t>Afflict</t>
  </si>
  <si>
    <t>Raise sickness to maximum level (if sickness already on target).</t>
  </si>
  <si>
    <t>Terrify</t>
  </si>
  <si>
    <t>Knock all enemies down</t>
  </si>
  <si>
    <t>Shatter</t>
  </si>
  <si>
    <t>Decay grenade.</t>
  </si>
  <si>
    <t>Brace</t>
  </si>
  <si>
    <t>Lose armour, gain 50 health.</t>
  </si>
  <si>
    <t>Sacrifice</t>
  </si>
  <si>
    <t>Lose 50 health, apply bleeding, burning, and sickness to target.</t>
  </si>
  <si>
    <t>Execute</t>
  </si>
  <si>
    <t>Execute enemy lower than 100hp</t>
  </si>
  <si>
    <t>Restock</t>
  </si>
  <si>
    <t>..............</t>
  </si>
  <si>
    <t>Fortify</t>
  </si>
  <si>
    <t>Recover 2 armour</t>
  </si>
  <si>
    <t>Blink</t>
  </si>
  <si>
    <t>Dash to target</t>
  </si>
  <si>
    <t>Unearth</t>
  </si>
  <si>
    <t>Uncover a mine (random variety).</t>
  </si>
  <si>
    <t>Defile</t>
  </si>
  <si>
    <t>The Driver</t>
  </si>
  <si>
    <t>Deal damage and apply maximum bleed stacks</t>
  </si>
  <si>
    <t>Absolve</t>
  </si>
  <si>
    <t>Remove enemy conditions, heal self</t>
  </si>
  <si>
    <t>Enemy Type</t>
  </si>
  <si>
    <t>Strength (HP)</t>
  </si>
  <si>
    <t>Strength (Max Armour)</t>
  </si>
  <si>
    <t>Value</t>
  </si>
  <si>
    <t>Weapon Types</t>
  </si>
  <si>
    <t>Time @ min Dps (25)</t>
  </si>
  <si>
    <t>Time @ max dps (110)</t>
  </si>
  <si>
    <t>No Armour</t>
  </si>
  <si>
    <t>Armour</t>
  </si>
  <si>
    <t>Sniper</t>
  </si>
  <si>
    <t>fire shot</t>
  </si>
  <si>
    <t>Brawler</t>
  </si>
  <si>
    <t>charge player</t>
  </si>
  <si>
    <t>Medic</t>
  </si>
  <si>
    <t>SMG, Pistol</t>
  </si>
  <si>
    <t>heal</t>
  </si>
  <si>
    <t>Sentinel</t>
  </si>
  <si>
    <t>SMG, Shotgun, Pistol</t>
  </si>
  <si>
    <t>gain armour</t>
  </si>
  <si>
    <t>Warlord</t>
  </si>
  <si>
    <t>LMG, Rifle</t>
  </si>
  <si>
    <t>summon enemies</t>
  </si>
  <si>
    <t>Mountain</t>
  </si>
  <si>
    <t>LMG, Shotgun</t>
  </si>
  <si>
    <t>approach and volley</t>
  </si>
  <si>
    <t>Martyr</t>
  </si>
  <si>
    <t>explode</t>
  </si>
  <si>
    <t>Witch</t>
  </si>
  <si>
    <t>grenade</t>
  </si>
  <si>
    <t>Ghoul</t>
  </si>
  <si>
    <t>chase and decay</t>
  </si>
  <si>
    <t>1 essence</t>
  </si>
  <si>
    <t>GhoulMother</t>
  </si>
  <si>
    <t>spawn ghouls, dash through player</t>
  </si>
  <si>
    <t>5 essence</t>
  </si>
  <si>
    <t>Maelstrom</t>
  </si>
  <si>
    <t>powerful shot, split into decoys on damage</t>
  </si>
  <si>
    <t>Ghast</t>
  </si>
  <si>
    <t>lob explosive balls, teleport</t>
  </si>
  <si>
    <t>10 essence</t>
  </si>
  <si>
    <t>Revenant</t>
  </si>
  <si>
    <t>explodes into smaller shockers on death</t>
  </si>
  <si>
    <t>2 essence</t>
  </si>
  <si>
    <t>Nightmare</t>
  </si>
  <si>
    <t>fire volleys, consume ghouls, beam attack</t>
  </si>
  <si>
    <t>20 essence</t>
  </si>
  <si>
    <t>Shadow</t>
  </si>
  <si>
    <t>stealth, runs behind player, steals health</t>
  </si>
  <si>
    <t>Grazer</t>
  </si>
  <si>
    <t>runs away when shot</t>
  </si>
  <si>
    <t>5 meat</t>
  </si>
  <si>
    <t>Watcher</t>
  </si>
  <si>
    <t>causes other animals to run away, rams player</t>
  </si>
  <si>
    <t>2 meat</t>
  </si>
  <si>
    <t>Curio</t>
  </si>
  <si>
    <t>runs erratically from player</t>
  </si>
  <si>
    <t>1 meat</t>
  </si>
  <si>
    <t>launches spikes at player</t>
  </si>
  <si>
    <t>3 meat</t>
  </si>
  <si>
    <t>Snapper</t>
  </si>
  <si>
    <t>hides until near player, follows player and attacks</t>
  </si>
  <si>
    <t>Time</t>
  </si>
  <si>
    <t>Storm Distance</t>
  </si>
  <si>
    <t>Environment</t>
  </si>
  <si>
    <t>Weather</t>
  </si>
  <si>
    <t>5-7</t>
  </si>
  <si>
    <t>Dawn</t>
  </si>
  <si>
    <t>&gt;7</t>
  </si>
  <si>
    <t>just a distant shadow</t>
  </si>
  <si>
    <t>Drizzle caresses the dry ground</t>
  </si>
  <si>
    <t>7-11</t>
  </si>
  <si>
    <t>Morning</t>
  </si>
  <si>
    <t>6</t>
  </si>
  <si>
    <t>a whisper on the wind</t>
  </si>
  <si>
    <t>Rain patters on the car bonnet</t>
  </si>
  <si>
    <t>11-13</t>
  </si>
  <si>
    <t>Noon</t>
  </si>
  <si>
    <t>5</t>
  </si>
  <si>
    <t>Downpours cleanse the landscape</t>
  </si>
  <si>
    <t>13-17</t>
  </si>
  <si>
    <t>Afternoon</t>
  </si>
  <si>
    <t>4</t>
  </si>
  <si>
    <t>a bloom on the horizon</t>
  </si>
  <si>
    <t>A dusty haze drifts lazily across the ground</t>
  </si>
  <si>
    <t>17-19</t>
  </si>
  <si>
    <t>3</t>
  </si>
  <si>
    <t>Mist blankets the camp</t>
  </si>
  <si>
    <t>19-23</t>
  </si>
  <si>
    <t>Evening</t>
  </si>
  <si>
    <t>2</t>
  </si>
  <si>
    <t>a grey anvil above us</t>
  </si>
  <si>
    <t>A fog obscures the world</t>
  </si>
  <si>
    <t>23-1</t>
  </si>
  <si>
    <t>Midnight</t>
  </si>
  <si>
    <t>1</t>
  </si>
  <si>
    <t>here</t>
  </si>
  <si>
    <t>The sun beats down from above</t>
  </si>
  <si>
    <t>1-5</t>
  </si>
  <si>
    <t>Predawn</t>
  </si>
  <si>
    <t>Clouds dapple the landscape in shadow</t>
  </si>
  <si>
    <t>The sky turns to iron</t>
  </si>
  <si>
    <t>Icy rain falls from the sky</t>
  </si>
  <si>
    <t>Dust laden winds scour the land</t>
  </si>
  <si>
    <t>Lightning crackles in the sky above</t>
  </si>
  <si>
    <t xml:space="preserve">It is a hot dawn in the wasteland. </t>
  </si>
  <si>
    <t>Drizzle caresses the dry ground, and the storm is just a distant shadow.</t>
  </si>
  <si>
    <t>Freezing rain lashes at exposed skin</t>
  </si>
  <si>
    <t>Burn</t>
  </si>
  <si>
    <t>Sickness</t>
  </si>
  <si>
    <t>Murder</t>
  </si>
  <si>
    <t>The Depths</t>
  </si>
  <si>
    <t>Vigilance</t>
  </si>
  <si>
    <t>Haste</t>
  </si>
  <si>
    <t>Swiftness</t>
  </si>
  <si>
    <t>Multiplicity</t>
  </si>
  <si>
    <t>Fervour</t>
  </si>
  <si>
    <t>Oppression</t>
  </si>
  <si>
    <t>Terror</t>
  </si>
  <si>
    <t>Splinters</t>
  </si>
  <si>
    <t>Malady</t>
  </si>
  <si>
    <t>Pestilence</t>
  </si>
  <si>
    <t>Ashes</t>
  </si>
  <si>
    <t>Cinders</t>
  </si>
  <si>
    <t>Wounds</t>
  </si>
  <si>
    <t>Lacerations</t>
  </si>
  <si>
    <t>Incision</t>
  </si>
  <si>
    <t>Perforation</t>
  </si>
  <si>
    <t>Might</t>
  </si>
  <si>
    <t>Perpetuance</t>
  </si>
  <si>
    <t>Insight</t>
  </si>
  <si>
    <t>Focus</t>
  </si>
  <si>
    <t>Recipes</t>
  </si>
  <si>
    <t>Salt</t>
  </si>
  <si>
    <t>Skin</t>
  </si>
  <si>
    <t>Leather</t>
  </si>
  <si>
    <t>Scrap</t>
  </si>
  <si>
    <t>Charcoal</t>
  </si>
  <si>
    <t>Metal</t>
  </si>
  <si>
    <t>Meteor</t>
  </si>
  <si>
    <t>Alloy</t>
  </si>
  <si>
    <t>Leather Plate</t>
  </si>
  <si>
    <t>Reinforced Leather Plate</t>
  </si>
  <si>
    <t>Metal Plate</t>
  </si>
  <si>
    <t>Alloy Plate</t>
  </si>
  <si>
    <t>Essence</t>
  </si>
  <si>
    <t>Living Metal Plate</t>
  </si>
  <si>
    <t>Meat</t>
  </si>
  <si>
    <t>Fuel</t>
  </si>
  <si>
    <t>Water Collector</t>
  </si>
  <si>
    <t>Trap</t>
  </si>
  <si>
    <t>Ice</t>
  </si>
  <si>
    <t>Drops From</t>
  </si>
  <si>
    <t>Cache, Litter</t>
  </si>
  <si>
    <t>Nightmares</t>
  </si>
  <si>
    <t>Animals</t>
  </si>
  <si>
    <t>Humans</t>
  </si>
  <si>
    <t>Wrecks</t>
  </si>
  <si>
    <t>Bushes</t>
  </si>
  <si>
    <t>Crafting</t>
  </si>
  <si>
    <t>Crafting, Litter</t>
  </si>
  <si>
    <t>Nightmare litter</t>
  </si>
  <si>
    <t>Litter</t>
  </si>
  <si>
    <t>No Chars</t>
  </si>
  <si>
    <t>Food &amp; Water/Day</t>
  </si>
  <si>
    <t>Energy Available</t>
  </si>
  <si>
    <t>Expected Fuel/Day</t>
  </si>
  <si>
    <t>day</t>
  </si>
  <si>
    <t>Average</t>
  </si>
  <si>
    <t>Weights</t>
  </si>
  <si>
    <t>minute</t>
  </si>
  <si>
    <t>hour</t>
  </si>
  <si>
    <t>week</t>
  </si>
  <si>
    <t>total (5 w)</t>
  </si>
  <si>
    <t>hours</t>
  </si>
  <si>
    <t>range</t>
  </si>
  <si>
    <t>distance to target</t>
  </si>
  <si>
    <t>chance</t>
  </si>
  <si>
    <t>min mod</t>
  </si>
  <si>
    <t>max dur</t>
  </si>
  <si>
    <t>Durability Norm</t>
  </si>
  <si>
    <t>Quality</t>
  </si>
  <si>
    <t>Durability Modifier</t>
  </si>
  <si>
    <t>Critical</t>
  </si>
  <si>
    <t>Mag Dur</t>
  </si>
</sst>
</file>

<file path=xl/styles.xml><?xml version="1.0" encoding="utf-8"?>
<styleSheet xmlns="http://schemas.openxmlformats.org/spreadsheetml/2006/main">
  <numFmts count="7">
    <numFmt numFmtId="176" formatCode="0.0_ "/>
    <numFmt numFmtId="177" formatCode="0.00_ "/>
    <numFmt numFmtId="41" formatCode="_-* #,##0_-;\-* #,##0_-;_-* &quot;-&quot;_-;_-@_-"/>
    <numFmt numFmtId="42" formatCode="_-&quot;£&quot;* #,##0_-;\-&quot;£&quot;* #,##0_-;_-&quot;£&quot;* &quot;-&quot;_-;_-@_-"/>
    <numFmt numFmtId="178" formatCode="0.0"/>
    <numFmt numFmtId="44" formatCode="_-&quot;£&quot;* #,##0.00_-;\-&quot;£&quot;* #,##0.00_-;_-&quot;£&quot;* &quot;-&quot;??_-;_-@_-"/>
    <numFmt numFmtId="43" formatCode="_-* #,##0.00_-;\-* #,##0.00_-;_-* &quot;-&quot;??_-;_-@_-"/>
  </numFmts>
  <fonts count="27">
    <font>
      <sz val="11"/>
      <color theme="1"/>
      <name val="Calibri"/>
      <charset val="134"/>
      <scheme val="minor"/>
    </font>
    <font>
      <b/>
      <sz val="11"/>
      <color theme="1"/>
      <name val="Calibri"/>
      <charset val="134"/>
      <scheme val="minor"/>
    </font>
    <font>
      <b/>
      <sz val="13"/>
      <color theme="1"/>
      <name val="Calibri"/>
      <charset val="134"/>
      <scheme val="minor"/>
    </font>
    <font>
      <sz val="11"/>
      <color theme="1"/>
      <name val="Calibri"/>
      <charset val="134"/>
    </font>
    <font>
      <sz val="11"/>
      <name val="Calibri"/>
      <charset val="134"/>
      <scheme val="minor"/>
    </font>
    <font>
      <sz val="11"/>
      <color rgb="FFFF0000"/>
      <name val="Calibri"/>
      <charset val="134"/>
      <scheme val="minor"/>
    </font>
    <font>
      <sz val="11"/>
      <color theme="0"/>
      <name val="Calibri"/>
      <charset val="134"/>
      <scheme val="minor"/>
    </font>
    <font>
      <b/>
      <sz val="11"/>
      <color theme="0"/>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b/>
      <sz val="11"/>
      <color rgb="FFFFFFFF"/>
      <name val="Calibri"/>
      <charset val="0"/>
      <scheme val="minor"/>
    </font>
    <font>
      <b/>
      <sz val="11"/>
      <color rgb="FFFA7D00"/>
      <name val="Calibri"/>
      <charset val="0"/>
      <scheme val="minor"/>
    </font>
    <font>
      <u/>
      <sz val="11"/>
      <color rgb="FF0000FF"/>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s>
  <fills count="52">
    <fill>
      <patternFill patternType="none"/>
    </fill>
    <fill>
      <patternFill patternType="gray125"/>
    </fill>
    <fill>
      <patternFill patternType="lightDown"/>
    </fill>
    <fill>
      <patternFill patternType="solid">
        <fgColor theme="4" tint="0.6"/>
        <bgColor indexed="64"/>
      </patternFill>
    </fill>
    <fill>
      <patternFill patternType="solid">
        <fgColor theme="4" tint="0.8"/>
        <bgColor indexed="64"/>
      </patternFill>
    </fill>
    <fill>
      <patternFill patternType="solid">
        <fgColor theme="2" tint="-0.25"/>
        <bgColor indexed="64"/>
      </patternFill>
    </fill>
    <fill>
      <patternFill patternType="solid">
        <fgColor theme="7" tint="0.6"/>
        <bgColor indexed="64"/>
      </patternFill>
    </fill>
    <fill>
      <patternFill patternType="darkUp">
        <bgColor theme="0"/>
      </patternFill>
    </fill>
    <fill>
      <patternFill patternType="solid">
        <fgColor theme="5" tint="0.6"/>
        <bgColor indexed="64"/>
      </patternFill>
    </fill>
    <fill>
      <patternFill patternType="solid">
        <fgColor theme="2" tint="-0.5"/>
        <bgColor indexed="64"/>
      </patternFill>
    </fill>
    <fill>
      <patternFill patternType="solid">
        <fgColor theme="2" tint="-0.1"/>
        <bgColor indexed="64"/>
      </patternFill>
    </fill>
    <fill>
      <patternFill patternType="darkUp">
        <bgColor theme="0" tint="-0.15"/>
      </patternFill>
    </fill>
    <fill>
      <patternFill patternType="solid">
        <fgColor theme="9" tint="0.6"/>
        <bgColor indexed="64"/>
      </patternFill>
    </fill>
    <fill>
      <patternFill patternType="solid">
        <fgColor theme="7" tint="0.8"/>
        <bgColor indexed="64"/>
      </patternFill>
    </fill>
    <fill>
      <patternFill patternType="solid">
        <fgColor rgb="FFFFC000"/>
        <bgColor indexed="64"/>
      </patternFill>
    </fill>
    <fill>
      <patternFill patternType="solid">
        <fgColor theme="7" tint="0.4"/>
        <bgColor indexed="64"/>
      </patternFill>
    </fill>
    <fill>
      <patternFill patternType="solid">
        <fgColor theme="4" tint="0.4"/>
        <bgColor indexed="64"/>
      </patternFill>
    </fill>
    <fill>
      <patternFill patternType="solid">
        <fgColor theme="3" tint="0.8"/>
        <bgColor indexed="64"/>
      </patternFill>
    </fill>
    <fill>
      <patternFill patternType="solid">
        <fgColor theme="0"/>
        <bgColor indexed="64"/>
      </patternFill>
    </fill>
    <fill>
      <patternFill patternType="solid">
        <fgColor theme="1" tint="0.5"/>
        <bgColor indexed="64"/>
      </patternFill>
    </fill>
    <fill>
      <patternFill patternType="solid">
        <fgColor rgb="FFFF0000"/>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s>
  <borders count="52">
    <border>
      <left/>
      <right/>
      <top/>
      <bottom/>
      <diagonal/>
    </border>
    <border>
      <left/>
      <right/>
      <top/>
      <bottom style="hair">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hair">
        <color auto="1"/>
      </left>
      <right/>
      <top/>
      <bottom/>
      <diagonal/>
    </border>
    <border>
      <left/>
      <right/>
      <top style="hair">
        <color auto="1"/>
      </top>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style="hair">
        <color auto="1"/>
      </bottom>
      <diagonal/>
    </border>
    <border>
      <left/>
      <right style="thin">
        <color auto="1"/>
      </right>
      <top style="hair">
        <color auto="1"/>
      </top>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right/>
      <top style="hair">
        <color auto="1"/>
      </top>
      <bottom style="hair">
        <color auto="1"/>
      </bottom>
      <diagonal/>
    </border>
    <border>
      <left/>
      <right/>
      <top style="hair">
        <color auto="1"/>
      </top>
      <bottom style="thin">
        <color auto="1"/>
      </bottom>
      <diagonal/>
    </border>
    <border>
      <left/>
      <right/>
      <top style="thin">
        <color auto="1"/>
      </top>
      <bottom style="thin">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style="hair">
        <color auto="1"/>
      </right>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thin">
        <color auto="1"/>
      </top>
      <bottom/>
      <diagonal/>
    </border>
    <border>
      <left/>
      <right style="hair">
        <color auto="1"/>
      </right>
      <top/>
      <bottom/>
      <diagonal/>
    </border>
    <border>
      <left style="hair">
        <color auto="1"/>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31"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27" borderId="45" applyNumberFormat="0" applyAlignment="0" applyProtection="0">
      <alignment vertical="center"/>
    </xf>
    <xf numFmtId="0" fontId="12" fillId="0" borderId="44" applyNumberFormat="0" applyFill="0" applyAlignment="0" applyProtection="0">
      <alignment vertical="center"/>
    </xf>
    <xf numFmtId="0" fontId="0" fillId="32" borderId="47" applyNumberFormat="0" applyFont="0" applyAlignment="0" applyProtection="0">
      <alignment vertical="center"/>
    </xf>
    <xf numFmtId="0" fontId="16" fillId="0" borderId="0" applyNumberFormat="0" applyFill="0" applyBorder="0" applyAlignment="0" applyProtection="0">
      <alignment vertical="center"/>
    </xf>
    <xf numFmtId="0" fontId="8" fillId="26" borderId="0" applyNumberFormat="0" applyBorder="0" applyAlignment="0" applyProtection="0">
      <alignment vertical="center"/>
    </xf>
    <xf numFmtId="0" fontId="11" fillId="0" borderId="0" applyNumberFormat="0" applyFill="0" applyBorder="0" applyAlignment="0" applyProtection="0">
      <alignment vertical="center"/>
    </xf>
    <xf numFmtId="0" fontId="9" fillId="30" borderId="0" applyNumberFormat="0" applyBorder="0" applyAlignment="0" applyProtection="0">
      <alignment vertical="center"/>
    </xf>
    <xf numFmtId="0" fontId="17" fillId="0" borderId="0" applyNumberFormat="0" applyFill="0" applyBorder="0" applyAlignment="0" applyProtection="0">
      <alignment vertical="center"/>
    </xf>
    <xf numFmtId="0" fontId="9" fillId="35"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44" applyNumberFormat="0" applyFill="0" applyAlignment="0" applyProtection="0">
      <alignment vertical="center"/>
    </xf>
    <xf numFmtId="0" fontId="24" fillId="0" borderId="50" applyNumberFormat="0" applyFill="0" applyAlignment="0" applyProtection="0">
      <alignment vertical="center"/>
    </xf>
    <xf numFmtId="0" fontId="24" fillId="0" borderId="0" applyNumberFormat="0" applyFill="0" applyBorder="0" applyAlignment="0" applyProtection="0">
      <alignment vertical="center"/>
    </xf>
    <xf numFmtId="0" fontId="26" fillId="48" borderId="46" applyNumberFormat="0" applyAlignment="0" applyProtection="0">
      <alignment vertical="center"/>
    </xf>
    <xf numFmtId="0" fontId="8" fillId="34" borderId="0" applyNumberFormat="0" applyBorder="0" applyAlignment="0" applyProtection="0">
      <alignment vertical="center"/>
    </xf>
    <xf numFmtId="0" fontId="21" fillId="38" borderId="0" applyNumberFormat="0" applyBorder="0" applyAlignment="0" applyProtection="0">
      <alignment vertical="center"/>
    </xf>
    <xf numFmtId="0" fontId="25" fillId="29" borderId="51" applyNumberFormat="0" applyAlignment="0" applyProtection="0">
      <alignment vertical="center"/>
    </xf>
    <xf numFmtId="0" fontId="9" fillId="23" borderId="0" applyNumberFormat="0" applyBorder="0" applyAlignment="0" applyProtection="0">
      <alignment vertical="center"/>
    </xf>
    <xf numFmtId="0" fontId="15" fillId="29" borderId="46" applyNumberFormat="0" applyAlignment="0" applyProtection="0">
      <alignment vertical="center"/>
    </xf>
    <xf numFmtId="0" fontId="18" fillId="0" borderId="48" applyNumberFormat="0" applyFill="0" applyAlignment="0" applyProtection="0">
      <alignment vertical="center"/>
    </xf>
    <xf numFmtId="0" fontId="20" fillId="0" borderId="49" applyNumberFormat="0" applyFill="0" applyAlignment="0" applyProtection="0">
      <alignment vertical="center"/>
    </xf>
    <xf numFmtId="0" fontId="23" fillId="41" borderId="0" applyNumberFormat="0" applyBorder="0" applyAlignment="0" applyProtection="0">
      <alignment vertical="center"/>
    </xf>
    <xf numFmtId="0" fontId="13" fillId="25" borderId="0" applyNumberFormat="0" applyBorder="0" applyAlignment="0" applyProtection="0">
      <alignment vertical="center"/>
    </xf>
    <xf numFmtId="0" fontId="8" fillId="47" borderId="0" applyNumberFormat="0" applyBorder="0" applyAlignment="0" applyProtection="0">
      <alignment vertical="center"/>
    </xf>
    <xf numFmtId="0" fontId="9" fillId="44" borderId="0" applyNumberFormat="0" applyBorder="0" applyAlignment="0" applyProtection="0">
      <alignment vertical="center"/>
    </xf>
    <xf numFmtId="0" fontId="8" fillId="46" borderId="0" applyNumberFormat="0" applyBorder="0" applyAlignment="0" applyProtection="0">
      <alignment vertical="center"/>
    </xf>
    <xf numFmtId="0" fontId="8" fillId="40" borderId="0" applyNumberFormat="0" applyBorder="0" applyAlignment="0" applyProtection="0">
      <alignment vertical="center"/>
    </xf>
    <xf numFmtId="0" fontId="9" fillId="22" borderId="0" applyNumberFormat="0" applyBorder="0" applyAlignment="0" applyProtection="0">
      <alignment vertical="center"/>
    </xf>
    <xf numFmtId="0" fontId="9" fillId="50" borderId="0" applyNumberFormat="0" applyBorder="0" applyAlignment="0" applyProtection="0">
      <alignment vertical="center"/>
    </xf>
    <xf numFmtId="0" fontId="8" fillId="43" borderId="0" applyNumberFormat="0" applyBorder="0" applyAlignment="0" applyProtection="0">
      <alignment vertical="center"/>
    </xf>
    <xf numFmtId="0" fontId="8" fillId="24" borderId="0" applyNumberFormat="0" applyBorder="0" applyAlignment="0" applyProtection="0">
      <alignment vertical="center"/>
    </xf>
    <xf numFmtId="0" fontId="9" fillId="39" borderId="0" applyNumberFormat="0" applyBorder="0" applyAlignment="0" applyProtection="0">
      <alignment vertical="center"/>
    </xf>
    <xf numFmtId="0" fontId="8" fillId="37" borderId="0" applyNumberFormat="0" applyBorder="0" applyAlignment="0" applyProtection="0">
      <alignment vertical="center"/>
    </xf>
    <xf numFmtId="0" fontId="9" fillId="45" borderId="0" applyNumberFormat="0" applyBorder="0" applyAlignment="0" applyProtection="0">
      <alignment vertical="center"/>
    </xf>
    <xf numFmtId="0" fontId="9" fillId="42" borderId="0" applyNumberFormat="0" applyBorder="0" applyAlignment="0" applyProtection="0">
      <alignment vertical="center"/>
    </xf>
    <xf numFmtId="0" fontId="8" fillId="28" borderId="0" applyNumberFormat="0" applyBorder="0" applyAlignment="0" applyProtection="0">
      <alignment vertical="center"/>
    </xf>
    <xf numFmtId="0" fontId="9" fillId="33" borderId="0" applyNumberFormat="0" applyBorder="0" applyAlignment="0" applyProtection="0">
      <alignment vertical="center"/>
    </xf>
    <xf numFmtId="0" fontId="8" fillId="36" borderId="0" applyNumberFormat="0" applyBorder="0" applyAlignment="0" applyProtection="0">
      <alignment vertical="center"/>
    </xf>
    <xf numFmtId="0" fontId="8" fillId="21" borderId="0" applyNumberFormat="0" applyBorder="0" applyAlignment="0" applyProtection="0">
      <alignment vertical="center"/>
    </xf>
    <xf numFmtId="0" fontId="9" fillId="49" borderId="0" applyNumberFormat="0" applyBorder="0" applyAlignment="0" applyProtection="0">
      <alignment vertical="center"/>
    </xf>
    <xf numFmtId="0" fontId="8" fillId="51" borderId="0" applyNumberFormat="0" applyBorder="0" applyAlignment="0" applyProtection="0">
      <alignment vertical="center"/>
    </xf>
  </cellStyleXfs>
  <cellXfs count="310">
    <xf numFmtId="0" fontId="0" fillId="0" borderId="0" xfId="0">
      <alignment vertical="center"/>
    </xf>
    <xf numFmtId="9" fontId="0" fillId="0" borderId="0" xfId="0" applyNumberFormat="1">
      <alignment vertical="center"/>
    </xf>
    <xf numFmtId="0" fontId="0" fillId="0" borderId="0" xfId="0" applyBorder="1">
      <alignment vertical="center"/>
    </xf>
    <xf numFmtId="0" fontId="0" fillId="0" borderId="1" xfId="0"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2" borderId="5" xfId="0" applyFont="1" applyFill="1" applyBorder="1" applyAlignment="1">
      <alignment horizontal="center" vertical="center"/>
    </xf>
    <xf numFmtId="0" fontId="1" fillId="0" borderId="5" xfId="0" applyFont="1" applyBorder="1" applyAlignment="1">
      <alignment horizontal="center" vertical="center" wrapText="1"/>
    </xf>
    <xf numFmtId="0" fontId="0" fillId="0" borderId="6" xfId="0" applyBorder="1">
      <alignment vertical="center"/>
    </xf>
    <xf numFmtId="0" fontId="0" fillId="0" borderId="7" xfId="0" applyBorder="1">
      <alignment vertical="center"/>
    </xf>
    <xf numFmtId="177" fontId="0" fillId="0" borderId="8" xfId="0" applyNumberFormat="1" applyBorder="1" applyAlignment="1">
      <alignment vertical="center"/>
    </xf>
    <xf numFmtId="177" fontId="0" fillId="0" borderId="7" xfId="0" applyNumberFormat="1" applyBorder="1">
      <alignment vertical="center"/>
    </xf>
    <xf numFmtId="177" fontId="0" fillId="2" borderId="7" xfId="0" applyNumberFormat="1" applyFill="1" applyBorder="1">
      <alignment vertical="center"/>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7" xfId="0" applyFill="1" applyBorder="1">
      <alignment vertical="center"/>
    </xf>
    <xf numFmtId="0" fontId="0" fillId="0" borderId="8" xfId="0" applyBorder="1" applyAlignment="1">
      <alignment vertical="center"/>
    </xf>
    <xf numFmtId="176" fontId="0" fillId="0" borderId="8" xfId="0" applyNumberFormat="1" applyBorder="1" applyAlignment="1">
      <alignment vertical="center"/>
    </xf>
    <xf numFmtId="0" fontId="0" fillId="0" borderId="0" xfId="0" applyAlignment="1">
      <alignment horizontal="center" vertical="center"/>
    </xf>
    <xf numFmtId="0" fontId="1" fillId="0" borderId="0" xfId="0" applyFont="1">
      <alignment vertical="center"/>
    </xf>
    <xf numFmtId="0" fontId="0" fillId="0" borderId="0" xfId="0" applyFont="1">
      <alignment vertical="center"/>
    </xf>
    <xf numFmtId="0" fontId="1" fillId="3" borderId="5" xfId="0" applyFont="1" applyFill="1" applyBorder="1">
      <alignment vertical="center"/>
    </xf>
    <xf numFmtId="0" fontId="1" fillId="3" borderId="9" xfId="0" applyFont="1" applyFill="1" applyBorder="1" applyAlignment="1">
      <alignment vertical="center"/>
    </xf>
    <xf numFmtId="0" fontId="0" fillId="3" borderId="6" xfId="0" applyFill="1" applyBorder="1" applyAlignment="1">
      <alignment vertical="center"/>
    </xf>
    <xf numFmtId="0" fontId="0" fillId="3" borderId="7" xfId="0" applyFill="1" applyBorder="1">
      <alignment vertical="center"/>
    </xf>
    <xf numFmtId="0" fontId="0" fillId="3" borderId="0" xfId="0" applyFill="1" applyAlignment="1">
      <alignment vertical="center"/>
    </xf>
    <xf numFmtId="0" fontId="0" fillId="3" borderId="0" xfId="0" applyFill="1" applyBorder="1" applyAlignment="1">
      <alignment vertical="center"/>
    </xf>
    <xf numFmtId="0" fontId="1" fillId="3" borderId="9" xfId="0" applyFont="1" applyFill="1" applyBorder="1">
      <alignment vertical="center"/>
    </xf>
    <xf numFmtId="49" fontId="0" fillId="0" borderId="0" xfId="0" applyNumberFormat="1">
      <alignment vertical="center"/>
    </xf>
    <xf numFmtId="0" fontId="1" fillId="0" borderId="0" xfId="0" applyFont="1" applyAlignment="1">
      <alignment vertical="center"/>
    </xf>
    <xf numFmtId="0" fontId="1" fillId="0" borderId="0" xfId="0" applyFont="1" applyAlignment="1">
      <alignment horizontal="center" vertical="center"/>
    </xf>
    <xf numFmtId="178" fontId="0" fillId="0" borderId="0" xfId="0" applyNumberFormat="1">
      <alignment vertical="center"/>
    </xf>
    <xf numFmtId="0" fontId="0" fillId="4" borderId="0" xfId="0" applyFill="1">
      <alignment vertical="center"/>
    </xf>
    <xf numFmtId="178" fontId="0" fillId="4" borderId="0" xfId="0" applyNumberFormat="1" applyFill="1">
      <alignment vertical="center"/>
    </xf>
    <xf numFmtId="0" fontId="2" fillId="5" borderId="0" xfId="0" applyFont="1" applyFill="1" applyAlignment="1">
      <alignment horizontal="center" vertical="center"/>
    </xf>
    <xf numFmtId="0" fontId="0" fillId="6" borderId="10" xfId="0" applyFont="1" applyFill="1" applyBorder="1" applyAlignment="1">
      <alignment horizontal="center" vertical="center"/>
    </xf>
    <xf numFmtId="0" fontId="0" fillId="6" borderId="10" xfId="0" applyFont="1" applyFill="1" applyBorder="1" applyAlignment="1">
      <alignment horizontal="left" vertical="center"/>
    </xf>
    <xf numFmtId="0" fontId="0" fillId="7" borderId="10" xfId="0" applyFont="1" applyFill="1" applyBorder="1" applyAlignment="1">
      <alignment horizontal="center" vertical="center"/>
    </xf>
    <xf numFmtId="0" fontId="0" fillId="7" borderId="10" xfId="0" applyFont="1" applyFill="1" applyBorder="1" applyAlignment="1">
      <alignment horizontal="left" vertical="center"/>
    </xf>
    <xf numFmtId="0" fontId="0" fillId="8" borderId="10" xfId="0" applyFont="1" applyFill="1" applyBorder="1" applyAlignment="1">
      <alignment horizontal="center" vertical="center"/>
    </xf>
    <xf numFmtId="0" fontId="0" fillId="8" borderId="10" xfId="0" applyFont="1" applyFill="1" applyBorder="1" applyAlignment="1">
      <alignment horizontal="left" vertical="center"/>
    </xf>
    <xf numFmtId="0" fontId="0" fillId="8" borderId="10" xfId="0" applyFill="1" applyBorder="1" applyAlignment="1">
      <alignment horizontal="center" vertical="center"/>
    </xf>
    <xf numFmtId="0" fontId="0" fillId="8" borderId="10" xfId="0" applyFill="1" applyBorder="1">
      <alignment vertical="center"/>
    </xf>
    <xf numFmtId="0" fontId="0" fillId="7" borderId="10" xfId="0" applyFill="1" applyBorder="1" applyAlignment="1">
      <alignment horizontal="center" vertical="center"/>
    </xf>
    <xf numFmtId="0" fontId="0" fillId="7" borderId="10" xfId="0" applyFill="1" applyBorder="1">
      <alignment vertical="center"/>
    </xf>
    <xf numFmtId="0" fontId="0" fillId="6" borderId="10" xfId="0" applyFill="1" applyBorder="1" applyAlignment="1">
      <alignment horizontal="center" vertical="center"/>
    </xf>
    <xf numFmtId="0" fontId="0" fillId="6" borderId="10" xfId="0" applyFill="1" applyBorder="1">
      <alignment vertical="center"/>
    </xf>
    <xf numFmtId="49" fontId="0" fillId="9" borderId="6" xfId="0" applyNumberFormat="1" applyFill="1" applyBorder="1" applyAlignment="1">
      <alignment horizontal="center" vertical="center"/>
    </xf>
    <xf numFmtId="49" fontId="0" fillId="9" borderId="7" xfId="0" applyNumberFormat="1" applyFill="1" applyBorder="1" applyAlignment="1">
      <alignment horizontal="center" vertical="center"/>
    </xf>
    <xf numFmtId="49" fontId="0" fillId="9" borderId="11" xfId="0" applyNumberFormat="1" applyFill="1" applyBorder="1" applyAlignment="1">
      <alignment horizontal="center" vertical="center"/>
    </xf>
    <xf numFmtId="49" fontId="0" fillId="9" borderId="0" xfId="0" applyNumberFormat="1" applyFill="1" applyAlignment="1">
      <alignment horizontal="center" vertical="center"/>
    </xf>
    <xf numFmtId="49" fontId="0" fillId="9" borderId="4" xfId="0" applyNumberFormat="1" applyFill="1" applyBorder="1" applyAlignment="1">
      <alignment horizontal="center" vertical="center"/>
    </xf>
    <xf numFmtId="49" fontId="0" fillId="9" borderId="5" xfId="0" applyNumberFormat="1" applyFill="1" applyBorder="1" applyAlignment="1">
      <alignment horizontal="center" vertical="center"/>
    </xf>
    <xf numFmtId="49" fontId="0" fillId="9" borderId="12" xfId="0" applyNumberFormat="1" applyFill="1" applyBorder="1" applyAlignment="1">
      <alignment horizontal="center" vertical="center"/>
    </xf>
    <xf numFmtId="49" fontId="0" fillId="9" borderId="13" xfId="0" applyNumberFormat="1" applyFill="1" applyBorder="1" applyAlignment="1">
      <alignment horizontal="center" vertical="center"/>
    </xf>
    <xf numFmtId="49" fontId="0" fillId="9" borderId="6" xfId="0" applyNumberFormat="1" applyFill="1" applyBorder="1">
      <alignment vertical="center"/>
    </xf>
    <xf numFmtId="49" fontId="0" fillId="10" borderId="7" xfId="0" applyNumberFormat="1" applyFill="1" applyBorder="1">
      <alignment vertical="center"/>
    </xf>
    <xf numFmtId="49" fontId="0" fillId="10" borderId="11" xfId="0" applyNumberFormat="1" applyFill="1" applyBorder="1">
      <alignment vertical="center"/>
    </xf>
    <xf numFmtId="49" fontId="0" fillId="10" borderId="14" xfId="0" applyNumberFormat="1" applyFill="1" applyBorder="1">
      <alignment vertical="center"/>
    </xf>
    <xf numFmtId="49" fontId="0" fillId="11" borderId="6" xfId="0" applyNumberFormat="1" applyFill="1" applyBorder="1">
      <alignment vertical="center"/>
    </xf>
    <xf numFmtId="49" fontId="0" fillId="11" borderId="7" xfId="0" applyNumberFormat="1" applyFill="1" applyBorder="1">
      <alignment vertical="center"/>
    </xf>
    <xf numFmtId="49" fontId="0" fillId="11" borderId="11" xfId="0" applyNumberFormat="1" applyFill="1" applyBorder="1">
      <alignment vertical="center"/>
    </xf>
    <xf numFmtId="49" fontId="0" fillId="11" borderId="14" xfId="0" applyNumberFormat="1" applyFill="1" applyBorder="1">
      <alignment vertical="center"/>
    </xf>
    <xf numFmtId="0" fontId="0" fillId="9" borderId="0" xfId="0" applyFill="1" applyAlignment="1">
      <alignment horizontal="center" vertical="center"/>
    </xf>
    <xf numFmtId="0" fontId="0" fillId="9" borderId="0" xfId="0" applyFill="1" applyAlignment="1">
      <alignment vertical="center"/>
    </xf>
    <xf numFmtId="0" fontId="0" fillId="0" borderId="6" xfId="0" applyFill="1" applyBorder="1" applyAlignment="1">
      <alignment vertical="center"/>
    </xf>
    <xf numFmtId="0" fontId="0" fillId="4" borderId="0" xfId="0" applyFill="1" applyAlignment="1">
      <alignment vertical="center"/>
    </xf>
    <xf numFmtId="0" fontId="0" fillId="4" borderId="0" xfId="0" applyFill="1" applyAlignment="1">
      <alignment horizontal="center" vertical="center"/>
    </xf>
    <xf numFmtId="0" fontId="0" fillId="12" borderId="0" xfId="0" applyFill="1" applyAlignment="1">
      <alignment vertical="center"/>
    </xf>
    <xf numFmtId="0" fontId="0" fillId="13" borderId="0" xfId="0" applyFill="1" applyAlignment="1">
      <alignment vertical="center"/>
    </xf>
    <xf numFmtId="0" fontId="0" fillId="8" borderId="0" xfId="0" applyFill="1" applyAlignment="1">
      <alignment vertical="center"/>
    </xf>
    <xf numFmtId="0" fontId="0" fillId="9" borderId="0" xfId="0" applyFill="1" applyAlignment="1">
      <alignment horizontal="center" vertical="center" wrapText="1"/>
    </xf>
    <xf numFmtId="0" fontId="1" fillId="9" borderId="0" xfId="0" applyFont="1" applyFill="1" applyAlignment="1">
      <alignment horizontal="center" vertical="center"/>
    </xf>
    <xf numFmtId="0" fontId="1" fillId="0" borderId="13" xfId="0" applyFont="1" applyBorder="1">
      <alignment vertical="center"/>
    </xf>
    <xf numFmtId="0" fontId="1" fillId="0" borderId="4" xfId="0" applyFont="1" applyBorder="1">
      <alignment vertical="center"/>
    </xf>
    <xf numFmtId="49" fontId="1" fillId="0" borderId="4" xfId="0" applyNumberFormat="1" applyFont="1" applyBorder="1">
      <alignment vertical="center"/>
    </xf>
    <xf numFmtId="49" fontId="1" fillId="0" borderId="13" xfId="0" applyNumberFormat="1" applyFont="1" applyBorder="1">
      <alignment vertical="center"/>
    </xf>
    <xf numFmtId="1" fontId="0" fillId="0" borderId="0" xfId="0" applyNumberFormat="1" applyBorder="1">
      <alignment vertical="center"/>
    </xf>
    <xf numFmtId="0" fontId="0" fillId="0" borderId="0" xfId="0" applyAlignment="1">
      <alignment horizontal="center" vertical="center" wrapText="1"/>
    </xf>
    <xf numFmtId="2" fontId="0" fillId="0" borderId="0" xfId="0" applyNumberFormat="1" applyAlignment="1">
      <alignment horizontal="center" vertical="center"/>
    </xf>
    <xf numFmtId="0" fontId="3" fillId="0" borderId="0" xfId="0" applyFont="1" applyAlignment="1">
      <alignment vertical="center"/>
    </xf>
    <xf numFmtId="0" fontId="0" fillId="0" borderId="0" xfId="0" applyAlignment="1">
      <alignment vertical="center"/>
    </xf>
    <xf numFmtId="0" fontId="1" fillId="9" borderId="0" xfId="0" applyFont="1" applyFill="1">
      <alignment vertical="center"/>
    </xf>
    <xf numFmtId="0" fontId="0" fillId="5" borderId="0" xfId="0" applyFill="1">
      <alignment vertical="center"/>
    </xf>
    <xf numFmtId="0" fontId="0" fillId="10" borderId="11" xfId="0" applyFill="1" applyBorder="1">
      <alignment vertical="center"/>
    </xf>
    <xf numFmtId="1" fontId="0" fillId="10" borderId="7" xfId="0" applyNumberFormat="1" applyFill="1" applyBorder="1" applyAlignment="1">
      <alignment horizontal="center" vertical="center"/>
    </xf>
    <xf numFmtId="0" fontId="0" fillId="9" borderId="0" xfId="0" applyFill="1">
      <alignment vertical="center"/>
    </xf>
    <xf numFmtId="0" fontId="0" fillId="9" borderId="0" xfId="0" applyNumberFormat="1" applyFill="1">
      <alignment vertical="center"/>
    </xf>
    <xf numFmtId="0" fontId="0" fillId="10" borderId="0" xfId="0" applyNumberFormat="1" applyFill="1">
      <alignment vertical="center"/>
    </xf>
    <xf numFmtId="0" fontId="0" fillId="10" borderId="0" xfId="0" applyFill="1">
      <alignment vertical="center"/>
    </xf>
    <xf numFmtId="178" fontId="0" fillId="10" borderId="0" xfId="0" applyNumberFormat="1" applyFill="1" applyAlignment="1">
      <alignment horizontal="center" vertical="center"/>
    </xf>
    <xf numFmtId="0" fontId="0" fillId="0" borderId="15" xfId="0" applyBorder="1">
      <alignment vertical="center"/>
    </xf>
    <xf numFmtId="0" fontId="0" fillId="0" borderId="1" xfId="0" applyBorder="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1" fillId="3" borderId="21" xfId="0" applyFont="1" applyFill="1" applyBorder="1" applyAlignment="1">
      <alignment horizontal="center" vertical="center"/>
    </xf>
    <xf numFmtId="0" fontId="1" fillId="0" borderId="7" xfId="0" applyFont="1" applyBorder="1" applyAlignment="1">
      <alignment horizontal="center"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22" xfId="0" applyFont="1" applyFill="1" applyBorder="1" applyAlignment="1">
      <alignment vertical="center"/>
    </xf>
    <xf numFmtId="0" fontId="0" fillId="0" borderId="3" xfId="0" applyBorder="1" applyAlignment="1">
      <alignment horizontal="center" vertical="center"/>
    </xf>
    <xf numFmtId="0" fontId="0" fillId="0" borderId="2" xfId="0"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3" borderId="21" xfId="0" applyFont="1" applyFill="1" applyBorder="1">
      <alignment vertical="center"/>
    </xf>
    <xf numFmtId="0" fontId="4" fillId="3" borderId="22" xfId="0" applyFont="1" applyFill="1" applyBorder="1">
      <alignment vertical="center"/>
    </xf>
    <xf numFmtId="0" fontId="0" fillId="0" borderId="7" xfId="0" applyBorder="1" applyAlignment="1">
      <alignment horizontal="center" vertical="center"/>
    </xf>
    <xf numFmtId="0" fontId="4" fillId="3" borderId="6" xfId="0" applyFont="1" applyFill="1" applyBorder="1">
      <alignment vertical="center"/>
    </xf>
    <xf numFmtId="0" fontId="4" fillId="3" borderId="7" xfId="0" applyFont="1" applyFill="1" applyBorder="1">
      <alignment vertical="center"/>
    </xf>
    <xf numFmtId="0" fontId="4" fillId="3" borderId="0" xfId="0" applyFont="1" applyFill="1">
      <alignment vertical="center"/>
    </xf>
    <xf numFmtId="0" fontId="4" fillId="3" borderId="11" xfId="0" applyFont="1" applyFill="1" applyBorder="1">
      <alignment vertical="center"/>
    </xf>
    <xf numFmtId="0" fontId="0" fillId="0" borderId="8" xfId="0" applyBorder="1" applyAlignment="1">
      <alignment horizontal="center" vertical="center"/>
    </xf>
    <xf numFmtId="0" fontId="0" fillId="0" borderId="16" xfId="0" applyBorder="1">
      <alignment vertical="center"/>
    </xf>
    <xf numFmtId="0" fontId="4" fillId="3" borderId="16" xfId="0" applyFont="1" applyFill="1" applyBorder="1">
      <alignment vertical="center"/>
    </xf>
    <xf numFmtId="0" fontId="4" fillId="3" borderId="8" xfId="0" applyFont="1" applyFill="1" applyBorder="1">
      <alignment vertical="center"/>
    </xf>
    <xf numFmtId="0" fontId="4" fillId="3" borderId="1" xfId="0" applyFont="1" applyFill="1" applyBorder="1">
      <alignment vertical="center"/>
    </xf>
    <xf numFmtId="0" fontId="4" fillId="3" borderId="23" xfId="0" applyFont="1" applyFill="1" applyBorder="1">
      <alignment vertical="center"/>
    </xf>
    <xf numFmtId="0" fontId="4" fillId="3" borderId="0" xfId="0" applyFont="1" applyFill="1" applyBorder="1">
      <alignment vertical="center"/>
    </xf>
    <xf numFmtId="0" fontId="0" fillId="0" borderId="24" xfId="0" applyBorder="1">
      <alignment vertical="center"/>
    </xf>
    <xf numFmtId="0" fontId="0" fillId="0" borderId="17" xfId="0" applyBorder="1">
      <alignment vertical="center"/>
    </xf>
    <xf numFmtId="0" fontId="1" fillId="0" borderId="22" xfId="0" applyFont="1" applyBorder="1" applyAlignment="1">
      <alignment horizontal="center" vertical="center" wrapText="1"/>
    </xf>
    <xf numFmtId="0" fontId="1" fillId="0" borderId="0" xfId="0" applyFont="1" applyBorder="1" applyAlignment="1">
      <alignment horizontal="center" vertical="center" wrapText="1"/>
    </xf>
    <xf numFmtId="0" fontId="0" fillId="0" borderId="11" xfId="0" applyBorder="1" applyAlignment="1">
      <alignment vertical="center"/>
    </xf>
    <xf numFmtId="0" fontId="0" fillId="0" borderId="0" xfId="0" applyBorder="1" applyAlignment="1">
      <alignment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23"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0" fillId="3" borderId="2" xfId="0" applyFill="1" applyBorder="1">
      <alignment vertical="center"/>
    </xf>
    <xf numFmtId="0" fontId="0" fillId="3" borderId="6" xfId="0" applyFill="1" applyBorder="1">
      <alignment vertical="center"/>
    </xf>
    <xf numFmtId="0" fontId="0" fillId="3" borderId="16" xfId="0" applyFill="1" applyBorder="1">
      <alignment vertical="center"/>
    </xf>
    <xf numFmtId="0" fontId="0" fillId="3" borderId="4" xfId="0" applyFill="1" applyBorder="1">
      <alignment vertical="center"/>
    </xf>
    <xf numFmtId="0" fontId="1" fillId="6" borderId="3"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14" borderId="3"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14" borderId="5" xfId="0" applyFont="1" applyFill="1" applyBorder="1" applyAlignment="1">
      <alignment horizontal="center" vertical="center"/>
    </xf>
    <xf numFmtId="2" fontId="0" fillId="6" borderId="7" xfId="0" applyNumberFormat="1" applyFill="1" applyBorder="1">
      <alignment vertical="center"/>
    </xf>
    <xf numFmtId="2" fontId="0" fillId="15" borderId="6" xfId="0" applyNumberFormat="1" applyFill="1" applyBorder="1">
      <alignment vertical="center"/>
    </xf>
    <xf numFmtId="2" fontId="0" fillId="6" borderId="8" xfId="0" applyNumberFormat="1" applyFill="1" applyBorder="1">
      <alignment vertical="center"/>
    </xf>
    <xf numFmtId="2" fontId="0" fillId="15" borderId="16" xfId="0" applyNumberFormat="1" applyFill="1" applyBorder="1">
      <alignment vertical="center"/>
    </xf>
    <xf numFmtId="2" fontId="0" fillId="6" borderId="5" xfId="0" applyNumberFormat="1" applyFill="1" applyBorder="1">
      <alignment vertical="center"/>
    </xf>
    <xf numFmtId="2" fontId="0" fillId="15" borderId="4" xfId="0" applyNumberFormat="1" applyFill="1" applyBorder="1">
      <alignment vertical="center"/>
    </xf>
    <xf numFmtId="0" fontId="0" fillId="0" borderId="0"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7" xfId="0" applyBorder="1" applyAlignment="1">
      <alignment vertical="center"/>
    </xf>
    <xf numFmtId="0" fontId="0" fillId="0" borderId="28" xfId="0" applyBorder="1" applyAlignment="1">
      <alignment vertical="center"/>
    </xf>
    <xf numFmtId="0" fontId="0" fillId="0" borderId="21" xfId="0" applyBorder="1" applyAlignment="1">
      <alignment horizontal="center" vertical="center"/>
    </xf>
    <xf numFmtId="0" fontId="1" fillId="16" borderId="29" xfId="0" applyFont="1" applyFill="1" applyBorder="1" applyAlignment="1">
      <alignment horizontal="center" vertical="center"/>
    </xf>
    <xf numFmtId="0" fontId="0" fillId="0" borderId="6" xfId="0" applyBorder="1" applyAlignment="1">
      <alignment horizontal="center" vertical="center"/>
    </xf>
    <xf numFmtId="0" fontId="0" fillId="3" borderId="0" xfId="0" applyFill="1">
      <alignment vertical="center"/>
    </xf>
    <xf numFmtId="0" fontId="0" fillId="3" borderId="21" xfId="0" applyFont="1" applyFill="1" applyBorder="1">
      <alignment vertical="center"/>
    </xf>
    <xf numFmtId="0" fontId="0" fillId="3" borderId="3" xfId="0" applyFill="1" applyBorder="1">
      <alignment vertical="center"/>
    </xf>
    <xf numFmtId="0" fontId="5" fillId="3" borderId="21" xfId="0" applyFont="1" applyFill="1" applyBorder="1">
      <alignment vertical="center"/>
    </xf>
    <xf numFmtId="0" fontId="0" fillId="3" borderId="0" xfId="0" applyFont="1" applyFill="1">
      <alignment vertical="center"/>
    </xf>
    <xf numFmtId="0" fontId="5" fillId="3" borderId="0" xfId="0" applyFont="1" applyFill="1">
      <alignment vertical="center"/>
    </xf>
    <xf numFmtId="0" fontId="0" fillId="0" borderId="30" xfId="0" applyBorder="1" applyAlignment="1">
      <alignment horizontal="center" vertical="center"/>
    </xf>
    <xf numFmtId="0" fontId="0" fillId="0" borderId="15" xfId="0" applyBorder="1" applyAlignment="1">
      <alignment horizontal="center" vertical="center"/>
    </xf>
    <xf numFmtId="0" fontId="0" fillId="0" borderId="24" xfId="0" applyBorder="1" applyAlignment="1">
      <alignment horizontal="center" vertical="center"/>
    </xf>
    <xf numFmtId="0" fontId="0" fillId="3" borderId="24" xfId="0" applyFill="1" applyBorder="1">
      <alignment vertical="center"/>
    </xf>
    <xf numFmtId="0" fontId="0" fillId="3" borderId="15" xfId="0" applyFill="1" applyBorder="1">
      <alignment vertical="center"/>
    </xf>
    <xf numFmtId="0" fontId="0" fillId="3" borderId="30" xfId="0" applyFill="1" applyBorder="1">
      <alignment vertical="center"/>
    </xf>
    <xf numFmtId="0" fontId="5" fillId="3" borderId="30" xfId="0" applyFont="1" applyFill="1" applyBorder="1">
      <alignment vertical="center"/>
    </xf>
    <xf numFmtId="0" fontId="5" fillId="3" borderId="7" xfId="0" applyFont="1" applyFill="1" applyBorder="1">
      <alignmen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3" borderId="1" xfId="0" applyFill="1" applyBorder="1">
      <alignment vertical="center"/>
    </xf>
    <xf numFmtId="0" fontId="0" fillId="3" borderId="8" xfId="0" applyFill="1" applyBorder="1">
      <alignment vertical="center"/>
    </xf>
    <xf numFmtId="0" fontId="5" fillId="3" borderId="8" xfId="0" applyFont="1" applyFill="1" applyBorder="1">
      <alignment vertical="center"/>
    </xf>
    <xf numFmtId="0" fontId="5" fillId="3" borderId="24" xfId="0" applyFont="1" applyFill="1" applyBorder="1">
      <alignment vertical="center"/>
    </xf>
    <xf numFmtId="0" fontId="5" fillId="3" borderId="6" xfId="0" applyFont="1" applyFill="1" applyBorder="1">
      <alignment vertical="center"/>
    </xf>
    <xf numFmtId="0" fontId="5" fillId="3" borderId="16" xfId="0" applyFont="1" applyFill="1" applyBorder="1">
      <alignment vertical="center"/>
    </xf>
    <xf numFmtId="0" fontId="0" fillId="0" borderId="13" xfId="0" applyBorder="1" applyAlignment="1">
      <alignment horizontal="center" vertical="center"/>
    </xf>
    <xf numFmtId="0" fontId="0" fillId="3" borderId="13" xfId="0" applyFill="1" applyBorder="1">
      <alignment vertical="center"/>
    </xf>
    <xf numFmtId="0" fontId="0" fillId="3" borderId="5" xfId="0" applyFill="1" applyBorder="1">
      <alignment vertical="center"/>
    </xf>
    <xf numFmtId="0" fontId="0" fillId="0" borderId="0" xfId="0" applyBorder="1" applyAlignment="1">
      <alignment horizontal="center" vertical="center"/>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1" fillId="13" borderId="3" xfId="0" applyFont="1" applyFill="1" applyBorder="1" applyAlignment="1">
      <alignment horizontal="center" vertical="center"/>
    </xf>
    <xf numFmtId="0" fontId="1" fillId="13" borderId="2" xfId="0" applyFont="1" applyFill="1" applyBorder="1" applyAlignment="1">
      <alignment horizontal="center" vertical="center"/>
    </xf>
    <xf numFmtId="0" fontId="0" fillId="3" borderId="11" xfId="0" applyFill="1" applyBorder="1">
      <alignment vertical="center"/>
    </xf>
    <xf numFmtId="0" fontId="1" fillId="13" borderId="7" xfId="0" applyFont="1" applyFill="1" applyBorder="1" applyAlignment="1">
      <alignment horizontal="center" vertical="center"/>
    </xf>
    <xf numFmtId="0" fontId="1" fillId="13" borderId="6" xfId="0" applyFont="1" applyFill="1" applyBorder="1" applyAlignment="1">
      <alignment horizontal="center" vertical="center"/>
    </xf>
    <xf numFmtId="0" fontId="1" fillId="13" borderId="5" xfId="0" applyFont="1" applyFill="1" applyBorder="1" applyAlignment="1">
      <alignment horizontal="center" vertical="center"/>
    </xf>
    <xf numFmtId="0" fontId="5" fillId="3" borderId="3" xfId="0" applyFont="1" applyFill="1" applyBorder="1">
      <alignment vertical="center"/>
    </xf>
    <xf numFmtId="0" fontId="5" fillId="3" borderId="22" xfId="0" applyFont="1" applyFill="1" applyBorder="1">
      <alignment vertical="center"/>
    </xf>
    <xf numFmtId="0" fontId="0" fillId="13" borderId="3" xfId="0" applyFill="1" applyBorder="1">
      <alignment vertical="center"/>
    </xf>
    <xf numFmtId="0" fontId="0" fillId="13" borderId="2" xfId="0" applyFill="1" applyBorder="1">
      <alignment vertical="center"/>
    </xf>
    <xf numFmtId="0" fontId="0" fillId="13" borderId="7" xfId="0" applyFill="1" applyBorder="1">
      <alignment vertical="center"/>
    </xf>
    <xf numFmtId="0" fontId="5" fillId="3" borderId="11" xfId="0" applyFont="1" applyFill="1" applyBorder="1">
      <alignment vertical="center"/>
    </xf>
    <xf numFmtId="0" fontId="0" fillId="13" borderId="6" xfId="0" applyFill="1" applyBorder="1">
      <alignment vertical="center"/>
    </xf>
    <xf numFmtId="0" fontId="0" fillId="3" borderId="31" xfId="0" applyFill="1" applyBorder="1">
      <alignment vertical="center"/>
    </xf>
    <xf numFmtId="0" fontId="0" fillId="13" borderId="30" xfId="0" applyFill="1" applyBorder="1">
      <alignment vertical="center"/>
    </xf>
    <xf numFmtId="0" fontId="0" fillId="13" borderId="24" xfId="0" applyFill="1" applyBorder="1">
      <alignment vertical="center"/>
    </xf>
    <xf numFmtId="0" fontId="0" fillId="3" borderId="23" xfId="0" applyFill="1" applyBorder="1">
      <alignment vertical="center"/>
    </xf>
    <xf numFmtId="0" fontId="0" fillId="13" borderId="8" xfId="0" applyFill="1" applyBorder="1">
      <alignment vertical="center"/>
    </xf>
    <xf numFmtId="0" fontId="0" fillId="13" borderId="16" xfId="0" applyFill="1" applyBorder="1">
      <alignment vertical="center"/>
    </xf>
    <xf numFmtId="0" fontId="0" fillId="3" borderId="7" xfId="0" applyFont="1" applyFill="1" applyBorder="1">
      <alignment vertical="center"/>
    </xf>
    <xf numFmtId="0" fontId="0" fillId="3" borderId="11" xfId="0" applyFont="1" applyFill="1" applyBorder="1">
      <alignment vertical="center"/>
    </xf>
    <xf numFmtId="0" fontId="0" fillId="3" borderId="12" xfId="0" applyFill="1" applyBorder="1">
      <alignment vertical="center"/>
    </xf>
    <xf numFmtId="0" fontId="0" fillId="13" borderId="5" xfId="0" applyFill="1" applyBorder="1">
      <alignment vertical="center"/>
    </xf>
    <xf numFmtId="0" fontId="0" fillId="13" borderId="4" xfId="0" applyFill="1" applyBorder="1">
      <alignmen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5" xfId="0" applyFill="1" applyBorder="1" applyAlignment="1">
      <alignment horizontal="center" vertical="center" wrapText="1"/>
    </xf>
    <xf numFmtId="0" fontId="0" fillId="6" borderId="5" xfId="0" applyFill="1" applyBorder="1" applyAlignment="1">
      <alignment horizontal="center" vertical="center"/>
    </xf>
    <xf numFmtId="2" fontId="0" fillId="6" borderId="30" xfId="0" applyNumberFormat="1" applyFill="1" applyBorder="1">
      <alignment vertical="center"/>
    </xf>
    <xf numFmtId="49" fontId="0" fillId="6" borderId="3" xfId="0" applyNumberFormat="1" applyFill="1" applyBorder="1" applyAlignment="1">
      <alignment horizontal="center" vertical="center" wrapText="1"/>
    </xf>
    <xf numFmtId="0" fontId="0" fillId="15" borderId="21" xfId="0" applyFill="1" applyBorder="1" applyAlignment="1">
      <alignment horizontal="center" vertical="center"/>
    </xf>
    <xf numFmtId="0" fontId="0" fillId="14" borderId="3" xfId="0" applyFill="1" applyBorder="1" applyAlignment="1">
      <alignment horizontal="center" vertical="center"/>
    </xf>
    <xf numFmtId="0" fontId="0" fillId="14" borderId="3" xfId="0" applyFill="1" applyBorder="1" applyAlignment="1">
      <alignment horizontal="center" vertical="center" wrapText="1"/>
    </xf>
    <xf numFmtId="49" fontId="0" fillId="6" borderId="5" xfId="0" applyNumberFormat="1" applyFill="1" applyBorder="1" applyAlignment="1">
      <alignment horizontal="center" vertical="center" wrapText="1"/>
    </xf>
    <xf numFmtId="0" fontId="0" fillId="15" borderId="13" xfId="0" applyFill="1" applyBorder="1" applyAlignment="1">
      <alignment horizontal="center" vertical="center"/>
    </xf>
    <xf numFmtId="0" fontId="0" fillId="14" borderId="5" xfId="0" applyFill="1" applyBorder="1" applyAlignment="1">
      <alignment horizontal="center" vertical="center"/>
    </xf>
    <xf numFmtId="0" fontId="0" fillId="14" borderId="5" xfId="0" applyFill="1" applyBorder="1" applyAlignment="1">
      <alignment horizontal="center" vertical="center" wrapText="1"/>
    </xf>
    <xf numFmtId="2" fontId="0" fillId="15" borderId="0" xfId="0" applyNumberFormat="1" applyFill="1">
      <alignment vertical="center"/>
    </xf>
    <xf numFmtId="2" fontId="0" fillId="14" borderId="7" xfId="0" applyNumberFormat="1" applyFill="1" applyBorder="1">
      <alignment vertical="center"/>
    </xf>
    <xf numFmtId="2" fontId="0" fillId="15" borderId="1" xfId="0" applyNumberFormat="1" applyFill="1" applyBorder="1">
      <alignment vertical="center"/>
    </xf>
    <xf numFmtId="2" fontId="0" fillId="14" borderId="8" xfId="0" applyNumberFormat="1" applyFill="1" applyBorder="1">
      <alignment vertical="center"/>
    </xf>
    <xf numFmtId="2" fontId="0" fillId="15" borderId="13" xfId="0" applyNumberFormat="1" applyFill="1" applyBorder="1">
      <alignment vertical="center"/>
    </xf>
    <xf numFmtId="2" fontId="0" fillId="14" borderId="5" xfId="0" applyNumberFormat="1" applyFill="1" applyBorder="1">
      <alignment vertical="center"/>
    </xf>
    <xf numFmtId="0" fontId="0" fillId="0" borderId="4" xfId="0" applyBorder="1">
      <alignment vertical="center"/>
    </xf>
    <xf numFmtId="0" fontId="0" fillId="0" borderId="6" xfId="0" applyBorder="1" applyAlignment="1">
      <alignment vertical="center"/>
    </xf>
    <xf numFmtId="0" fontId="0" fillId="0" borderId="24" xfId="0" applyBorder="1" applyAlignment="1">
      <alignment vertical="center"/>
    </xf>
    <xf numFmtId="0" fontId="0" fillId="0" borderId="13" xfId="0" applyBorder="1">
      <alignment vertical="center"/>
    </xf>
    <xf numFmtId="0" fontId="0" fillId="0" borderId="4" xfId="0" applyBorder="1" applyAlignment="1">
      <alignment vertical="center"/>
    </xf>
    <xf numFmtId="0" fontId="0" fillId="3" borderId="21" xfId="0" applyFill="1" applyBorder="1">
      <alignment vertical="center"/>
    </xf>
    <xf numFmtId="0" fontId="5" fillId="3" borderId="13" xfId="0" applyFont="1" applyFill="1" applyBorder="1">
      <alignment vertical="center"/>
    </xf>
    <xf numFmtId="0" fontId="0" fillId="0" borderId="2" xfId="0" applyBorder="1" applyAlignment="1">
      <alignment vertical="center"/>
    </xf>
    <xf numFmtId="0" fontId="0" fillId="0" borderId="6" xfId="0" applyBorder="1" applyAlignment="1">
      <alignment horizontal="center" vertical="center" wrapText="1"/>
    </xf>
    <xf numFmtId="0" fontId="0" fillId="0" borderId="15" xfId="0" applyBorder="1" applyAlignment="1">
      <alignment vertical="center"/>
    </xf>
    <xf numFmtId="0" fontId="0" fillId="0" borderId="13" xfId="0" applyBorder="1" applyAlignment="1">
      <alignment vertical="center"/>
    </xf>
    <xf numFmtId="0" fontId="0" fillId="17" borderId="0" xfId="0" applyFill="1">
      <alignment vertical="center"/>
    </xf>
    <xf numFmtId="0" fontId="4" fillId="18" borderId="4" xfId="0" applyFont="1" applyFill="1" applyBorder="1">
      <alignment vertical="center"/>
    </xf>
    <xf numFmtId="2" fontId="4" fillId="18" borderId="32" xfId="0" applyNumberFormat="1" applyFont="1" applyFill="1" applyBorder="1">
      <alignment vertical="center"/>
    </xf>
    <xf numFmtId="2" fontId="4" fillId="18" borderId="13" xfId="0" applyNumberFormat="1" applyFont="1" applyFill="1" applyBorder="1">
      <alignment vertical="center"/>
    </xf>
    <xf numFmtId="2" fontId="4" fillId="18" borderId="33" xfId="0" applyNumberFormat="1" applyFont="1" applyFill="1" applyBorder="1">
      <alignment vertical="center"/>
    </xf>
    <xf numFmtId="2" fontId="4" fillId="18" borderId="34" xfId="0" applyNumberFormat="1" applyFont="1" applyFill="1" applyBorder="1">
      <alignment vertical="center"/>
    </xf>
    <xf numFmtId="0" fontId="0" fillId="13" borderId="35" xfId="0" applyFill="1" applyBorder="1">
      <alignment vertical="center"/>
    </xf>
    <xf numFmtId="2" fontId="0" fillId="13" borderId="36" xfId="0" applyNumberFormat="1" applyFill="1" applyBorder="1">
      <alignment vertical="center"/>
    </xf>
    <xf numFmtId="2" fontId="0" fillId="13" borderId="29" xfId="0" applyNumberFormat="1" applyFill="1" applyBorder="1">
      <alignment vertical="center"/>
    </xf>
    <xf numFmtId="2" fontId="0" fillId="13" borderId="37" xfId="0" applyNumberFormat="1" applyFill="1" applyBorder="1">
      <alignment vertical="center"/>
    </xf>
    <xf numFmtId="2" fontId="0" fillId="13" borderId="38" xfId="0" applyNumberFormat="1" applyFill="1" applyBorder="1">
      <alignment vertical="center"/>
    </xf>
    <xf numFmtId="0" fontId="0" fillId="6" borderId="35" xfId="0" applyFill="1" applyBorder="1">
      <alignment vertical="center"/>
    </xf>
    <xf numFmtId="2" fontId="0" fillId="6" borderId="36" xfId="0" applyNumberFormat="1" applyFill="1" applyBorder="1">
      <alignment vertical="center"/>
    </xf>
    <xf numFmtId="2" fontId="0" fillId="6" borderId="29" xfId="0" applyNumberFormat="1" applyFill="1" applyBorder="1">
      <alignment vertical="center"/>
    </xf>
    <xf numFmtId="2" fontId="0" fillId="6" borderId="37" xfId="0" applyNumberFormat="1" applyFill="1" applyBorder="1">
      <alignment vertical="center"/>
    </xf>
    <xf numFmtId="2" fontId="0" fillId="6" borderId="38" xfId="0" applyNumberFormat="1" applyFill="1" applyBorder="1">
      <alignment vertical="center"/>
    </xf>
    <xf numFmtId="0" fontId="0" fillId="15" borderId="35" xfId="0" applyFill="1" applyBorder="1">
      <alignment vertical="center"/>
    </xf>
    <xf numFmtId="2" fontId="0" fillId="15" borderId="36" xfId="0" applyNumberFormat="1" applyFill="1" applyBorder="1">
      <alignment vertical="center"/>
    </xf>
    <xf numFmtId="2" fontId="0" fillId="15" borderId="29" xfId="0" applyNumberFormat="1" applyFill="1" applyBorder="1">
      <alignment vertical="center"/>
    </xf>
    <xf numFmtId="2" fontId="0" fillId="15" borderId="37" xfId="0" applyNumberFormat="1" applyFill="1" applyBorder="1">
      <alignment vertical="center"/>
    </xf>
    <xf numFmtId="2" fontId="0" fillId="15" borderId="38" xfId="0" applyNumberFormat="1" applyFill="1" applyBorder="1">
      <alignment vertical="center"/>
    </xf>
    <xf numFmtId="0" fontId="0" fillId="14" borderId="2" xfId="0" applyFill="1" applyBorder="1">
      <alignment vertical="center"/>
    </xf>
    <xf numFmtId="2" fontId="0" fillId="14" borderId="39" xfId="0" applyNumberFormat="1" applyFill="1" applyBorder="1">
      <alignment vertical="center"/>
    </xf>
    <xf numFmtId="2" fontId="0" fillId="14" borderId="21" xfId="0" applyNumberFormat="1" applyFill="1" applyBorder="1">
      <alignment vertical="center"/>
    </xf>
    <xf numFmtId="2" fontId="0" fillId="14" borderId="40" xfId="0" applyNumberFormat="1" applyFill="1" applyBorder="1">
      <alignment vertical="center"/>
    </xf>
    <xf numFmtId="2" fontId="0" fillId="14" borderId="41" xfId="0" applyNumberFormat="1" applyFill="1" applyBorder="1">
      <alignment vertical="center"/>
    </xf>
    <xf numFmtId="2" fontId="0" fillId="5" borderId="42" xfId="0" applyNumberFormat="1" applyFill="1" applyBorder="1">
      <alignment vertical="center"/>
    </xf>
    <xf numFmtId="2" fontId="0" fillId="5" borderId="0" xfId="0" applyNumberFormat="1" applyFill="1">
      <alignment vertical="center"/>
    </xf>
    <xf numFmtId="2" fontId="0" fillId="5" borderId="43" xfId="0" applyNumberFormat="1" applyFill="1" applyBorder="1">
      <alignment vertical="center"/>
    </xf>
    <xf numFmtId="2" fontId="0" fillId="5" borderId="0" xfId="0" applyNumberFormat="1" applyFill="1" applyAlignment="1">
      <alignment horizontal="center" vertical="center"/>
    </xf>
    <xf numFmtId="2" fontId="0" fillId="5" borderId="0" xfId="0" applyNumberFormat="1" applyFill="1" applyBorder="1" applyAlignment="1">
      <alignment horizontal="center" vertical="center"/>
    </xf>
    <xf numFmtId="2" fontId="0" fillId="5" borderId="43" xfId="0" applyNumberFormat="1" applyFill="1" applyBorder="1" applyAlignment="1">
      <alignment horizontal="center" vertical="center"/>
    </xf>
    <xf numFmtId="2" fontId="5" fillId="5" borderId="0" xfId="0" applyNumberFormat="1" applyFont="1" applyFill="1" applyAlignment="1">
      <alignment horizontal="center" vertical="center"/>
    </xf>
    <xf numFmtId="2" fontId="5" fillId="18" borderId="34" xfId="0" applyNumberFormat="1" applyFont="1" applyFill="1" applyBorder="1">
      <alignment vertical="center"/>
    </xf>
    <xf numFmtId="2" fontId="5" fillId="18" borderId="13" xfId="0" applyNumberFormat="1" applyFont="1" applyFill="1" applyBorder="1">
      <alignment vertical="center"/>
    </xf>
    <xf numFmtId="2" fontId="5" fillId="13" borderId="38" xfId="0" applyNumberFormat="1" applyFont="1" applyFill="1" applyBorder="1">
      <alignment vertical="center"/>
    </xf>
    <xf numFmtId="2" fontId="5" fillId="13" borderId="29" xfId="0" applyNumberFormat="1" applyFont="1" applyFill="1" applyBorder="1">
      <alignment vertical="center"/>
    </xf>
    <xf numFmtId="2" fontId="5" fillId="6" borderId="38" xfId="0" applyNumberFormat="1" applyFont="1" applyFill="1" applyBorder="1">
      <alignment vertical="center"/>
    </xf>
    <xf numFmtId="2" fontId="5" fillId="6" borderId="29" xfId="0" applyNumberFormat="1" applyFont="1" applyFill="1" applyBorder="1">
      <alignment vertical="center"/>
    </xf>
    <xf numFmtId="2" fontId="5" fillId="15" borderId="38" xfId="0" applyNumberFormat="1" applyFont="1" applyFill="1" applyBorder="1">
      <alignment vertical="center"/>
    </xf>
    <xf numFmtId="2" fontId="5" fillId="15" borderId="29" xfId="0" applyNumberFormat="1" applyFont="1" applyFill="1" applyBorder="1">
      <alignment vertical="center"/>
    </xf>
    <xf numFmtId="2" fontId="5" fillId="14" borderId="41" xfId="0" applyNumberFormat="1" applyFont="1" applyFill="1" applyBorder="1">
      <alignment vertical="center"/>
    </xf>
    <xf numFmtId="2" fontId="5" fillId="14" borderId="21" xfId="0" applyNumberFormat="1" applyFont="1" applyFill="1" applyBorder="1">
      <alignment vertical="center"/>
    </xf>
    <xf numFmtId="0" fontId="0" fillId="0" borderId="43" xfId="0" applyBorder="1">
      <alignment vertical="center"/>
    </xf>
    <xf numFmtId="0" fontId="0" fillId="19" borderId="0" xfId="0" applyFill="1">
      <alignment vertical="center"/>
    </xf>
    <xf numFmtId="2" fontId="5" fillId="5" borderId="6" xfId="0" applyNumberFormat="1" applyFont="1" applyFill="1" applyBorder="1" applyAlignment="1">
      <alignment horizontal="center" vertical="center"/>
    </xf>
    <xf numFmtId="2" fontId="5" fillId="18" borderId="33" xfId="0" applyNumberFormat="1" applyFont="1" applyFill="1" applyBorder="1">
      <alignment vertical="center"/>
    </xf>
    <xf numFmtId="2" fontId="5" fillId="13" borderId="37" xfId="0" applyNumberFormat="1" applyFont="1" applyFill="1" applyBorder="1">
      <alignment vertical="center"/>
    </xf>
    <xf numFmtId="2" fontId="5" fillId="6" borderId="37" xfId="0" applyNumberFormat="1" applyFont="1" applyFill="1" applyBorder="1">
      <alignment vertical="center"/>
    </xf>
    <xf numFmtId="2" fontId="5" fillId="15" borderId="37" xfId="0" applyNumberFormat="1" applyFont="1" applyFill="1" applyBorder="1">
      <alignment vertical="center"/>
    </xf>
    <xf numFmtId="2" fontId="5" fillId="14" borderId="40" xfId="0" applyNumberFormat="1" applyFont="1" applyFill="1" applyBorder="1">
      <alignment vertical="center"/>
    </xf>
    <xf numFmtId="0" fontId="5" fillId="5" borderId="0" xfId="0" applyFont="1" applyFill="1" applyAlignment="1">
      <alignment horizontal="center" vertical="center"/>
    </xf>
    <xf numFmtId="2" fontId="0" fillId="5" borderId="0" xfId="0" applyNumberFormat="1" applyFill="1" applyBorder="1">
      <alignment vertical="center"/>
    </xf>
    <xf numFmtId="0" fontId="6" fillId="5" borderId="0" xfId="0" applyFont="1" applyFill="1">
      <alignment vertical="center"/>
    </xf>
    <xf numFmtId="2" fontId="0" fillId="0" borderId="0" xfId="0" applyNumberFormat="1">
      <alignment vertical="center"/>
    </xf>
    <xf numFmtId="0" fontId="7" fillId="20" borderId="0" xfId="0" applyFont="1" applyFill="1" applyAlignment="1">
      <alignment horizontal="center" vertical="center"/>
    </xf>
    <xf numFmtId="0" fontId="6" fillId="20" borderId="0" xfId="0" applyFont="1" applyFill="1" applyAlignment="1">
      <alignment horizontal="center" vertical="center"/>
    </xf>
    <xf numFmtId="2" fontId="6" fillId="20" borderId="0" xfId="0" applyNumberFormat="1" applyFont="1" applyFill="1" applyAlignment="1">
      <alignment horizontal="center" vertical="center"/>
    </xf>
    <xf numFmtId="2" fontId="7" fillId="20" borderId="0" xfId="0" applyNumberFormat="1" applyFont="1" applyFill="1" applyAlignment="1">
      <alignment horizontal="center" vertical="center"/>
    </xf>
    <xf numFmtId="0" fontId="6" fillId="0" borderId="0" xfId="0" applyFont="1" applyAlignment="1">
      <alignment horizontal="center" vertical="center"/>
    </xf>
    <xf numFmtId="49" fontId="0" fillId="10" borderId="14" xfId="0" applyNumberFormat="1" applyFill="1" applyBorder="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E419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V2'!$AG$23</c:f>
              <c:strCache>
                <c:ptCount val="1"/>
                <c:pt idx="0">
                  <c:v>Pistol</c:v>
                </c:pt>
              </c:strCache>
            </c:strRef>
          </c:tx>
          <c:spPr>
            <a:ln w="28575" cap="rnd">
              <a:solidFill>
                <a:schemeClr val="accent1"/>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V2'!$AG$24:$AG$26</c:f>
              <c:numCache>
                <c:formatCode>General</c:formatCode>
                <c:ptCount val="3"/>
                <c:pt idx="0">
                  <c:v>39.655</c:v>
                </c:pt>
                <c:pt idx="1">
                  <c:v>153.5625</c:v>
                </c:pt>
                <c:pt idx="2">
                  <c:v>369.15</c:v>
                </c:pt>
              </c:numCache>
            </c:numRef>
          </c:val>
          <c:smooth val="0"/>
        </c:ser>
        <c:ser>
          <c:idx val="1"/>
          <c:order val="1"/>
          <c:tx>
            <c:strRef>
              <c:f>'Weapon Data V2'!$AH$23</c:f>
              <c:strCache>
                <c:ptCount val="1"/>
                <c:pt idx="0">
                  <c:v>Rifle</c:v>
                </c:pt>
              </c:strCache>
            </c:strRef>
          </c:tx>
          <c:spPr>
            <a:ln w="28575" cap="rnd">
              <a:solidFill>
                <a:schemeClr val="accent2"/>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V2'!$AH$24:$AH$26</c:f>
              <c:numCache>
                <c:formatCode>General</c:formatCode>
                <c:ptCount val="3"/>
                <c:pt idx="0">
                  <c:v>27.72</c:v>
                </c:pt>
                <c:pt idx="1">
                  <c:v>172.8</c:v>
                </c:pt>
                <c:pt idx="2">
                  <c:v>524.16</c:v>
                </c:pt>
              </c:numCache>
            </c:numRef>
          </c:val>
          <c:smooth val="0"/>
        </c:ser>
        <c:ser>
          <c:idx val="2"/>
          <c:order val="2"/>
          <c:tx>
            <c:strRef>
              <c:f>'Weapon Data V2'!$AI$23</c:f>
              <c:strCache>
                <c:ptCount val="1"/>
                <c:pt idx="0">
                  <c:v>SMG</c:v>
                </c:pt>
              </c:strCache>
            </c:strRef>
          </c:tx>
          <c:spPr>
            <a:ln w="28575" cap="rnd">
              <a:solidFill>
                <a:schemeClr val="accent3"/>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V2'!$AI$24:$AI$26</c:f>
              <c:numCache>
                <c:formatCode>General</c:formatCode>
                <c:ptCount val="3"/>
                <c:pt idx="0">
                  <c:v>69.993</c:v>
                </c:pt>
                <c:pt idx="1">
                  <c:v>153.391875</c:v>
                </c:pt>
                <c:pt idx="2">
                  <c:v>278.103</c:v>
                </c:pt>
              </c:numCache>
            </c:numRef>
          </c:val>
          <c:smooth val="0"/>
        </c:ser>
        <c:ser>
          <c:idx val="3"/>
          <c:order val="3"/>
          <c:tx>
            <c:strRef>
              <c:f>'Weapon Data V2'!$AJ$23</c:f>
              <c:strCache>
                <c:ptCount val="1"/>
                <c:pt idx="0">
                  <c:v>Shotgun</c:v>
                </c:pt>
              </c:strCache>
            </c:strRef>
          </c:tx>
          <c:spPr>
            <a:ln w="28575" cap="rnd">
              <a:solidFill>
                <a:schemeClr val="accent4"/>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V2'!$AJ$24:$AJ$26</c:f>
              <c:numCache>
                <c:formatCode>General</c:formatCode>
                <c:ptCount val="3"/>
                <c:pt idx="0">
                  <c:v>7.65</c:v>
                </c:pt>
                <c:pt idx="1">
                  <c:v>24.48</c:v>
                </c:pt>
                <c:pt idx="2">
                  <c:v>56.1</c:v>
                </c:pt>
              </c:numCache>
            </c:numRef>
          </c:val>
          <c:smooth val="0"/>
        </c:ser>
        <c:ser>
          <c:idx val="4"/>
          <c:order val="4"/>
          <c:tx>
            <c:strRef>
              <c:f>'Weapon Data V2'!$AK$23</c:f>
              <c:strCache>
                <c:ptCount val="1"/>
                <c:pt idx="0">
                  <c:v>LMG</c:v>
                </c:pt>
              </c:strCache>
            </c:strRef>
          </c:tx>
          <c:spPr>
            <a:ln w="28575" cap="rnd">
              <a:solidFill>
                <a:schemeClr val="accent5"/>
              </a:solidFill>
              <a:round/>
            </a:ln>
            <a:effectLst/>
          </c:spPr>
          <c:marker>
            <c:symbol val="none"/>
          </c:marker>
          <c:dLbls>
            <c:delete val="1"/>
          </c:dLbls>
          <c:cat>
            <c:numRef>
              <c:f>'Weapon Data V2'!$AF$24:$AF$26</c:f>
              <c:numCache>
                <c:formatCode>General</c:formatCode>
                <c:ptCount val="3"/>
                <c:pt idx="0">
                  <c:v>0</c:v>
                </c:pt>
                <c:pt idx="1">
                  <c:v>10</c:v>
                </c:pt>
                <c:pt idx="2">
                  <c:v>20</c:v>
                </c:pt>
              </c:numCache>
            </c:numRef>
          </c:cat>
          <c:val>
            <c:numRef>
              <c:f>'Weapon Data V2'!$AK$24:$AK$26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V3'!$AI$13</c:f>
              <c:strCache>
                <c:ptCount val="1"/>
                <c:pt idx="0">
                  <c:v>Pistol</c:v>
                </c:pt>
              </c:strCache>
            </c:strRef>
          </c:tx>
          <c:spPr>
            <a:ln w="28575" cap="rnd">
              <a:solidFill>
                <a:schemeClr val="accent1"/>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V3'!$AI$14:$AI$16</c:f>
              <c:numCache>
                <c:formatCode>General</c:formatCode>
                <c:ptCount val="3"/>
                <c:pt idx="0">
                  <c:v>39.655</c:v>
                </c:pt>
                <c:pt idx="1">
                  <c:v>153.5625</c:v>
                </c:pt>
                <c:pt idx="2">
                  <c:v>369.15</c:v>
                </c:pt>
              </c:numCache>
            </c:numRef>
          </c:val>
          <c:smooth val="0"/>
        </c:ser>
        <c:ser>
          <c:idx val="1"/>
          <c:order val="1"/>
          <c:tx>
            <c:strRef>
              <c:f>'Weapon Data V3'!$AJ$13</c:f>
              <c:strCache>
                <c:ptCount val="1"/>
                <c:pt idx="0">
                  <c:v>Rifle</c:v>
                </c:pt>
              </c:strCache>
            </c:strRef>
          </c:tx>
          <c:spPr>
            <a:ln w="28575" cap="rnd">
              <a:solidFill>
                <a:schemeClr val="accent2"/>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V3'!$AJ$14:$AJ$16</c:f>
              <c:numCache>
                <c:formatCode>General</c:formatCode>
                <c:ptCount val="3"/>
                <c:pt idx="0">
                  <c:v>27.72</c:v>
                </c:pt>
                <c:pt idx="1">
                  <c:v>172.8</c:v>
                </c:pt>
                <c:pt idx="2">
                  <c:v>524.16</c:v>
                </c:pt>
              </c:numCache>
            </c:numRef>
          </c:val>
          <c:smooth val="0"/>
        </c:ser>
        <c:ser>
          <c:idx val="2"/>
          <c:order val="2"/>
          <c:tx>
            <c:strRef>
              <c:f>'Weapon Data V3'!$AK$13</c:f>
              <c:strCache>
                <c:ptCount val="1"/>
                <c:pt idx="0">
                  <c:v>SMG</c:v>
                </c:pt>
              </c:strCache>
            </c:strRef>
          </c:tx>
          <c:spPr>
            <a:ln w="28575" cap="rnd">
              <a:solidFill>
                <a:schemeClr val="accent3"/>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V3'!$AK$14:$AK$16</c:f>
              <c:numCache>
                <c:formatCode>General</c:formatCode>
                <c:ptCount val="3"/>
                <c:pt idx="0">
                  <c:v>69.993</c:v>
                </c:pt>
                <c:pt idx="1">
                  <c:v>153.391875</c:v>
                </c:pt>
                <c:pt idx="2">
                  <c:v>278.103</c:v>
                </c:pt>
              </c:numCache>
            </c:numRef>
          </c:val>
          <c:smooth val="0"/>
        </c:ser>
        <c:ser>
          <c:idx val="3"/>
          <c:order val="3"/>
          <c:tx>
            <c:strRef>
              <c:f>'Weapon Data V3'!$AL$13</c:f>
              <c:strCache>
                <c:ptCount val="1"/>
                <c:pt idx="0">
                  <c:v>Shotgun</c:v>
                </c:pt>
              </c:strCache>
            </c:strRef>
          </c:tx>
          <c:spPr>
            <a:ln w="28575" cap="rnd">
              <a:solidFill>
                <a:schemeClr val="accent4"/>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V3'!$AL$14:$AL$16</c:f>
              <c:numCache>
                <c:formatCode>General</c:formatCode>
                <c:ptCount val="3"/>
                <c:pt idx="0">
                  <c:v>0</c:v>
                </c:pt>
                <c:pt idx="1">
                  <c:v>0</c:v>
                </c:pt>
                <c:pt idx="2">
                  <c:v>315</c:v>
                </c:pt>
              </c:numCache>
            </c:numRef>
          </c:val>
          <c:smooth val="0"/>
        </c:ser>
        <c:ser>
          <c:idx val="4"/>
          <c:order val="4"/>
          <c:tx>
            <c:strRef>
              <c:f>'Weapon Data V3'!$AM$13</c:f>
              <c:strCache>
                <c:ptCount val="1"/>
                <c:pt idx="0">
                  <c:v>LMG</c:v>
                </c:pt>
              </c:strCache>
            </c:strRef>
          </c:tx>
          <c:spPr>
            <a:ln w="28575" cap="rnd">
              <a:solidFill>
                <a:schemeClr val="accent5"/>
              </a:solidFill>
              <a:round/>
            </a:ln>
            <a:effectLst/>
          </c:spPr>
          <c:marker>
            <c:symbol val="none"/>
          </c:marker>
          <c:dLbls>
            <c:delete val="1"/>
          </c:dLbls>
          <c:cat>
            <c:numRef>
              <c:f>'Weapon Data V3'!$AH$14:$AH$16</c:f>
              <c:numCache>
                <c:formatCode>General</c:formatCode>
                <c:ptCount val="3"/>
                <c:pt idx="0">
                  <c:v>0</c:v>
                </c:pt>
                <c:pt idx="1">
                  <c:v>10</c:v>
                </c:pt>
                <c:pt idx="2">
                  <c:v>20</c:v>
                </c:pt>
              </c:numCache>
            </c:numRef>
          </c:cat>
          <c:val>
            <c:numRef>
              <c:f>'Weapon Data V3'!$AM$14:$AM$16</c:f>
              <c:numCache>
                <c:formatCode>General</c:formatCode>
                <c:ptCount val="3"/>
                <c:pt idx="0">
                  <c:v>25.245</c:v>
                </c:pt>
                <c:pt idx="1">
                  <c:v>77.3303125</c:v>
                </c:pt>
                <c:pt idx="2">
                  <c:v>151.8</c:v>
                </c:pt>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Weapon DPS Growth</a:t>
            </a:r>
          </a:p>
        </c:rich>
      </c:tx>
      <c:layout/>
      <c:overlay val="0"/>
      <c:spPr>
        <a:noFill/>
        <a:ln>
          <a:noFill/>
        </a:ln>
        <a:effectLst/>
      </c:spPr>
    </c:title>
    <c:autoTitleDeleted val="0"/>
    <c:plotArea>
      <c:layout>
        <c:manualLayout>
          <c:layoutTarget val="inner"/>
          <c:xMode val="edge"/>
          <c:yMode val="edge"/>
          <c:x val="0.0777453322714804"/>
          <c:y val="0.0983564125792675"/>
          <c:w val="0.905618971772409"/>
          <c:h val="0.777326258573832"/>
        </c:manualLayout>
      </c:layout>
      <c:lineChart>
        <c:grouping val="standard"/>
        <c:varyColors val="0"/>
        <c:ser>
          <c:idx val="0"/>
          <c:order val="0"/>
          <c:tx>
            <c:strRef>
              <c:f>'Weapon Data V4'!$AC$13</c:f>
              <c:strCache>
                <c:ptCount val="1"/>
                <c:pt idx="0">
                  <c:v/>
                </c:pt>
              </c:strCache>
            </c:strRef>
          </c:tx>
          <c:spPr>
            <a:ln w="28575" cap="rnd">
              <a:solidFill>
                <a:schemeClr val="accent1"/>
              </a:solidFill>
              <a:round/>
            </a:ln>
            <a:effectLst/>
          </c:spPr>
          <c:marker>
            <c:symbol val="none"/>
          </c:marker>
          <c:dLbls>
            <c:delete val="1"/>
          </c:dLbls>
          <c:cat>
            <c:numRef>
              <c:f>'Weapon Data V4'!$AB$14</c:f>
              <c:numCache>
                <c:formatCode>General</c:formatCode>
                <c:ptCount val="1"/>
              </c:numCache>
            </c:numRef>
          </c:cat>
          <c:val>
            <c:numRef>
              <c:f>'Weapon Data V4'!$AC$14</c:f>
              <c:numCache>
                <c:formatCode>General</c:formatCode>
                <c:ptCount val="1"/>
              </c:numCache>
            </c:numRef>
          </c:val>
          <c:smooth val="0"/>
        </c:ser>
        <c:ser>
          <c:idx val="1"/>
          <c:order val="1"/>
          <c:tx>
            <c:strRef>
              <c:f>'Weapon Data V4'!$AD$13</c:f>
              <c:strCache>
                <c:ptCount val="1"/>
                <c:pt idx="0">
                  <c:v/>
                </c:pt>
              </c:strCache>
            </c:strRef>
          </c:tx>
          <c:spPr>
            <a:ln w="28575" cap="rnd">
              <a:solidFill>
                <a:schemeClr val="accent2"/>
              </a:solidFill>
              <a:round/>
            </a:ln>
            <a:effectLst/>
          </c:spPr>
          <c:marker>
            <c:symbol val="none"/>
          </c:marker>
          <c:dLbls>
            <c:delete val="1"/>
          </c:dLbls>
          <c:cat>
            <c:numRef>
              <c:f>'Weapon Data V4'!$AB$14</c:f>
              <c:numCache>
                <c:formatCode>General</c:formatCode>
                <c:ptCount val="1"/>
              </c:numCache>
            </c:numRef>
          </c:cat>
          <c:val>
            <c:numRef>
              <c:f>'Weapon Data V4'!$AD$14</c:f>
              <c:numCache>
                <c:formatCode>General</c:formatCode>
                <c:ptCount val="1"/>
              </c:numCache>
            </c:numRef>
          </c:val>
          <c:smooth val="0"/>
        </c:ser>
        <c:ser>
          <c:idx val="2"/>
          <c:order val="2"/>
          <c:tx>
            <c:strRef>
              <c:f>'Weapon Data V4'!$AE$13</c:f>
              <c:strCache>
                <c:ptCount val="1"/>
                <c:pt idx="0">
                  <c:v/>
                </c:pt>
              </c:strCache>
            </c:strRef>
          </c:tx>
          <c:spPr>
            <a:ln w="28575" cap="rnd">
              <a:solidFill>
                <a:schemeClr val="accent3"/>
              </a:solidFill>
              <a:round/>
            </a:ln>
            <a:effectLst/>
          </c:spPr>
          <c:marker>
            <c:symbol val="none"/>
          </c:marker>
          <c:dLbls>
            <c:delete val="1"/>
          </c:dLbls>
          <c:cat>
            <c:numRef>
              <c:f>'Weapon Data V4'!$AB$14</c:f>
              <c:numCache>
                <c:formatCode>General</c:formatCode>
                <c:ptCount val="1"/>
              </c:numCache>
            </c:numRef>
          </c:cat>
          <c:val>
            <c:numRef>
              <c:f>'Weapon Data V4'!$AE$14</c:f>
              <c:numCache>
                <c:formatCode>General</c:formatCode>
                <c:ptCount val="1"/>
              </c:numCache>
            </c:numRef>
          </c:val>
          <c:smooth val="0"/>
        </c:ser>
        <c:ser>
          <c:idx val="3"/>
          <c:order val="3"/>
          <c:tx>
            <c:strRef>
              <c:f>'Weapon Data V4'!$AF$13</c:f>
              <c:strCache>
                <c:ptCount val="1"/>
                <c:pt idx="0">
                  <c:v/>
                </c:pt>
              </c:strCache>
            </c:strRef>
          </c:tx>
          <c:spPr>
            <a:ln w="28575" cap="rnd">
              <a:solidFill>
                <a:schemeClr val="accent4"/>
              </a:solidFill>
              <a:round/>
            </a:ln>
            <a:effectLst/>
          </c:spPr>
          <c:marker>
            <c:symbol val="none"/>
          </c:marker>
          <c:dLbls>
            <c:delete val="1"/>
          </c:dLbls>
          <c:cat>
            <c:numRef>
              <c:f>'Weapon Data V4'!$AB$14</c:f>
              <c:numCache>
                <c:formatCode>General</c:formatCode>
                <c:ptCount val="1"/>
              </c:numCache>
            </c:numRef>
          </c:cat>
          <c:val>
            <c:numRef>
              <c:f>'Weapon Data V4'!$AF$14</c:f>
              <c:numCache>
                <c:formatCode>General</c:formatCode>
                <c:ptCount val="1"/>
              </c:numCache>
            </c:numRef>
          </c:val>
          <c:smooth val="0"/>
        </c:ser>
        <c:ser>
          <c:idx val="4"/>
          <c:order val="4"/>
          <c:tx>
            <c:strRef>
              <c:f>'Weapon Data V4'!$AG$13</c:f>
              <c:strCache>
                <c:ptCount val="1"/>
                <c:pt idx="0">
                  <c:v/>
                </c:pt>
              </c:strCache>
            </c:strRef>
          </c:tx>
          <c:spPr>
            <a:ln w="28575" cap="rnd">
              <a:solidFill>
                <a:schemeClr val="accent5"/>
              </a:solidFill>
              <a:round/>
            </a:ln>
            <a:effectLst/>
          </c:spPr>
          <c:marker>
            <c:symbol val="none"/>
          </c:marker>
          <c:dLbls>
            <c:delete val="1"/>
          </c:dLbls>
          <c:cat>
            <c:numRef>
              <c:f>'Weapon Data V4'!$AB$14</c:f>
              <c:numCache>
                <c:formatCode>General</c:formatCode>
                <c:ptCount val="1"/>
              </c:numCache>
            </c:numRef>
          </c:cat>
          <c:val>
            <c:numRef>
              <c:f>'Weapon Data V4'!$AG$14</c:f>
              <c:numCache>
                <c:formatCode>General</c:formatCode>
                <c:ptCount val="1"/>
              </c:numCache>
            </c:numRef>
          </c:val>
          <c:smooth val="0"/>
        </c:ser>
        <c:dLbls>
          <c:showLegendKey val="0"/>
          <c:showVal val="0"/>
          <c:showCatName val="0"/>
          <c:showSerName val="0"/>
          <c:showPercent val="0"/>
          <c:showBubbleSize val="0"/>
        </c:dLbls>
        <c:marker val="0"/>
        <c:smooth val="0"/>
        <c:axId val="603227670"/>
        <c:axId val="721611816"/>
      </c:lineChart>
      <c:catAx>
        <c:axId val="603227670"/>
        <c:scaling>
          <c:orientation val="minMax"/>
        </c:scaling>
        <c:delete val="0"/>
        <c:axPos val="b"/>
        <c:title>
          <c:tx>
            <c:rich>
              <a:bodyPr rot="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Durability</a:t>
                </a:r>
              </a:p>
            </c:rich>
          </c:tx>
          <c:layout>
            <c:manualLayout>
              <c:xMode val="edge"/>
              <c:yMode val="edge"/>
              <c:x val="0.593823555437572"/>
              <c:y val="0.9364565808205"/>
            </c:manualLayout>
          </c:layout>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721611816"/>
        <c:crosses val="autoZero"/>
        <c:auto val="1"/>
        <c:lblAlgn val="ctr"/>
        <c:lblOffset val="100"/>
        <c:noMultiLvlLbl val="0"/>
      </c:catAx>
      <c:valAx>
        <c:axId val="72161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GB" sz="1000" b="0" i="0" u="none" strike="noStrike" kern="1200" baseline="0">
                    <a:solidFill>
                      <a:schemeClr val="tx1">
                        <a:lumMod val="65000"/>
                        <a:lumOff val="35000"/>
                      </a:schemeClr>
                    </a:solidFill>
                    <a:latin typeface="+mn-lt"/>
                    <a:ea typeface="+mn-ea"/>
                    <a:cs typeface="+mn-cs"/>
                  </a:defRPr>
                </a:pPr>
                <a:r>
                  <a:t>DPS</a:t>
                </a:r>
              </a:p>
              <a:p>
                <a:pPr defTabSz="914400">
                  <a:defRPr lang="en-GB" sz="1000" b="0" i="0" u="none" strike="noStrike" kern="1200" baseline="0">
                    <a:solidFill>
                      <a:schemeClr val="tx1">
                        <a:lumMod val="65000"/>
                        <a:lumOff val="35000"/>
                      </a:schemeClr>
                    </a:solidFill>
                    <a:latin typeface="+mn-lt"/>
                    <a:ea typeface="+mn-ea"/>
                    <a:cs typeface="+mn-cs"/>
                  </a:defRPr>
                </a:pPr>
              </a:p>
            </c:rich>
          </c:tx>
          <c:layout/>
          <c:overlay val="0"/>
          <c:spPr>
            <a:noFill/>
            <a:ln>
              <a:noFill/>
            </a:ln>
            <a:effectLst/>
          </c:sp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03227670"/>
        <c:crosses val="autoZero"/>
        <c:crossBetween val="between"/>
      </c:valAx>
      <c:spPr>
        <a:noFill/>
        <a:ln>
          <a:noFill/>
        </a:ln>
        <a:effectLst/>
      </c:spPr>
    </c:plotArea>
    <c:legend>
      <c:legendPos val="b"/>
      <c:layout>
        <c:manualLayout>
          <c:xMode val="edge"/>
          <c:yMode val="edge"/>
          <c:x val="0.0541544996018051"/>
          <c:y val="0.927138604891937"/>
        </c:manualLayout>
      </c:layout>
      <c:overlay val="0"/>
      <c:spPr>
        <a:noFill/>
        <a:ln>
          <a:noFill/>
        </a:ln>
        <a:effectLst/>
      </c:spPr>
      <c:txPr>
        <a:bodyPr rot="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externalData r:id="rId1">
    <c:autoUpdate val="0"/>
  </c:externalData>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GB" sz="1400" b="0" i="0" u="none" strike="noStrike" kern="1200" spc="0" baseline="0">
                <a:solidFill>
                  <a:schemeClr val="tx1">
                    <a:lumMod val="65000"/>
                    <a:lumOff val="35000"/>
                  </a:schemeClr>
                </a:solidFill>
                <a:latin typeface="+mn-lt"/>
                <a:ea typeface="+mn-ea"/>
                <a:cs typeface="+mn-cs"/>
              </a:defRPr>
            </a:pPr>
            <a:r>
              <a:t>Damage Growth</a:t>
            </a:r>
          </a:p>
        </c:rich>
      </c:tx>
      <c:layout/>
      <c:overlay val="0"/>
      <c:spPr>
        <a:noFill/>
        <a:ln>
          <a:noFill/>
        </a:ln>
        <a:effectLst/>
      </c:sp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elete val="1"/>
          </c:dLbls>
          <c:xVal>
            <c:numRef>
              <c:f>Sheet2!$A$35:$A$49</c:f>
              <c:numCache>
                <c:formatCode>General</c:formatCode>
                <c:ptCount val="15"/>
                <c:pt idx="0">
                  <c:v>0</c:v>
                </c:pt>
                <c:pt idx="1">
                  <c:v>5</c:v>
                </c:pt>
                <c:pt idx="2">
                  <c:v>10</c:v>
                </c:pt>
                <c:pt idx="3">
                  <c:v>0</c:v>
                </c:pt>
                <c:pt idx="4">
                  <c:v>5</c:v>
                </c:pt>
                <c:pt idx="5">
                  <c:v>10</c:v>
                </c:pt>
                <c:pt idx="6">
                  <c:v>0</c:v>
                </c:pt>
                <c:pt idx="7">
                  <c:v>5</c:v>
                </c:pt>
                <c:pt idx="8">
                  <c:v>10</c:v>
                </c:pt>
                <c:pt idx="9">
                  <c:v>0</c:v>
                </c:pt>
                <c:pt idx="10">
                  <c:v>5</c:v>
                </c:pt>
                <c:pt idx="11">
                  <c:v>10</c:v>
                </c:pt>
                <c:pt idx="12">
                  <c:v>0</c:v>
                </c:pt>
                <c:pt idx="13">
                  <c:v>5</c:v>
                </c:pt>
                <c:pt idx="14">
                  <c:v>10</c:v>
                </c:pt>
              </c:numCache>
            </c:numRef>
          </c:xVal>
          <c:yVal>
            <c:numRef>
              <c:f>Sheet2!$P$35:$P$49</c:f>
              <c:numCache>
                <c:formatCode>0.0_ </c:formatCode>
                <c:ptCount val="15"/>
                <c:pt idx="0">
                  <c:v>26.8734375</c:v>
                </c:pt>
                <c:pt idx="1">
                  <c:v>32.0217041015625</c:v>
                </c:pt>
                <c:pt idx="2">
                  <c:v>37.6974609375</c:v>
                </c:pt>
                <c:pt idx="3">
                  <c:v>26.8734375</c:v>
                </c:pt>
                <c:pt idx="4">
                  <c:v>37.6974609375</c:v>
                </c:pt>
                <c:pt idx="5">
                  <c:v>50.7</c:v>
                </c:pt>
                <c:pt idx="6">
                  <c:v>26.8734375</c:v>
                </c:pt>
                <c:pt idx="7">
                  <c:v>43.9178466796875</c:v>
                </c:pt>
                <c:pt idx="8">
                  <c:v>66.0181640625</c:v>
                </c:pt>
                <c:pt idx="9">
                  <c:v>26.8734375</c:v>
                </c:pt>
                <c:pt idx="10">
                  <c:v>50.7</c:v>
                </c:pt>
                <c:pt idx="11">
                  <c:v>83.7890625</c:v>
                </c:pt>
                <c:pt idx="12">
                  <c:v>26.8734375</c:v>
                </c:pt>
                <c:pt idx="13">
                  <c:v>58.0610595703125</c:v>
                </c:pt>
                <c:pt idx="14">
                  <c:v>104.1498046875</c:v>
                </c:pt>
              </c:numCache>
            </c:numRef>
          </c:yVal>
          <c:smooth val="0"/>
        </c:ser>
        <c:dLbls>
          <c:showLegendKey val="0"/>
          <c:showVal val="0"/>
          <c:showCatName val="0"/>
          <c:showSerName val="0"/>
          <c:showPercent val="0"/>
          <c:showBubbleSize val="0"/>
        </c:dLbls>
        <c:axId val="663463360"/>
        <c:axId val="624710651"/>
      </c:scatterChart>
      <c:valAx>
        <c:axId val="663463360"/>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24710651"/>
        <c:crosses val="autoZero"/>
        <c:crossBetween val="midCat"/>
        <c:majorUnit val="5"/>
      </c:valAx>
      <c:valAx>
        <c:axId val="624710651"/>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0.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en-GB" sz="900" b="0" i="0" u="none" strike="noStrike" kern="1200" baseline="0">
                <a:solidFill>
                  <a:schemeClr val="tx1">
                    <a:lumMod val="65000"/>
                    <a:lumOff val="35000"/>
                  </a:schemeClr>
                </a:solidFill>
                <a:latin typeface="+mn-lt"/>
                <a:ea typeface="+mn-ea"/>
                <a:cs typeface="+mn-cs"/>
              </a:defRPr>
            </a:pPr>
          </a:p>
        </c:txPr>
        <c:crossAx val="663463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GB"/>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31</xdr:col>
      <xdr:colOff>567055</xdr:colOff>
      <xdr:row>28</xdr:row>
      <xdr:rowOff>125730</xdr:rowOff>
    </xdr:from>
    <xdr:to>
      <xdr:col>39</xdr:col>
      <xdr:colOff>41910</xdr:colOff>
      <xdr:row>54</xdr:row>
      <xdr:rowOff>79375</xdr:rowOff>
    </xdr:to>
    <xdr:graphicFrame>
      <xdr:nvGraphicFramePr>
        <xdr:cNvPr id="8" name="Chart 7"/>
        <xdr:cNvGraphicFramePr/>
      </xdr:nvGraphicFramePr>
      <xdr:xfrm>
        <a:off x="24446230" y="5459730"/>
        <a:ext cx="7152005" cy="49066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33</xdr:col>
      <xdr:colOff>567055</xdr:colOff>
      <xdr:row>18</xdr:row>
      <xdr:rowOff>125730</xdr:rowOff>
    </xdr:from>
    <xdr:to>
      <xdr:col>41</xdr:col>
      <xdr:colOff>41910</xdr:colOff>
      <xdr:row>44</xdr:row>
      <xdr:rowOff>79375</xdr:rowOff>
    </xdr:to>
    <xdr:graphicFrame>
      <xdr:nvGraphicFramePr>
        <xdr:cNvPr id="2" name="Chart 1"/>
        <xdr:cNvGraphicFramePr/>
      </xdr:nvGraphicFramePr>
      <xdr:xfrm>
        <a:off x="22807930" y="3554730"/>
        <a:ext cx="6466205" cy="49066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25</xdr:col>
      <xdr:colOff>243205</xdr:colOff>
      <xdr:row>15</xdr:row>
      <xdr:rowOff>182880</xdr:rowOff>
    </xdr:from>
    <xdr:to>
      <xdr:col>33</xdr:col>
      <xdr:colOff>327660</xdr:colOff>
      <xdr:row>36</xdr:row>
      <xdr:rowOff>136525</xdr:rowOff>
    </xdr:to>
    <xdr:graphicFrame>
      <xdr:nvGraphicFramePr>
        <xdr:cNvPr id="2" name="Chart 1"/>
        <xdr:cNvGraphicFramePr/>
      </xdr:nvGraphicFramePr>
      <xdr:xfrm>
        <a:off x="16788130" y="3040380"/>
        <a:ext cx="6494780" cy="395414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292735</xdr:colOff>
      <xdr:row>7</xdr:row>
      <xdr:rowOff>156210</xdr:rowOff>
    </xdr:from>
    <xdr:to>
      <xdr:col>17</xdr:col>
      <xdr:colOff>301625</xdr:colOff>
      <xdr:row>25</xdr:row>
      <xdr:rowOff>60325</xdr:rowOff>
    </xdr:to>
    <xdr:graphicFrame>
      <xdr:nvGraphicFramePr>
        <xdr:cNvPr id="3" name="Chart 2"/>
        <xdr:cNvGraphicFramePr/>
      </xdr:nvGraphicFramePr>
      <xdr:xfrm>
        <a:off x="5922010" y="1489710"/>
        <a:ext cx="8086090" cy="33331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75"/>
  <sheetViews>
    <sheetView workbookViewId="0">
      <selection activeCell="AF4" sqref="AF4"/>
    </sheetView>
  </sheetViews>
  <sheetFormatPr defaultColWidth="16.7142857142857" defaultRowHeight="15"/>
  <cols>
    <col min="1" max="1" width="9.14285714285714" customWidth="1"/>
    <col min="2" max="2" width="10.1428571428571" customWidth="1"/>
    <col min="3" max="3" width="14.7142857142857" customWidth="1"/>
    <col min="4" max="25" width="8.71428571428571" customWidth="1"/>
    <col min="26" max="27" width="8.57142857142857" customWidth="1" outlineLevel="1"/>
    <col min="28" max="28" width="7.71428571428571" customWidth="1" outlineLevel="1"/>
    <col min="29" max="34" width="10.8571428571429" customWidth="1" outlineLevel="1"/>
    <col min="35" max="36" width="9.85714285714286" customWidth="1"/>
    <col min="37" max="37" width="10.5714285714286" customWidth="1"/>
    <col min="38" max="38" width="16" customWidth="1"/>
  </cols>
  <sheetData>
    <row r="1" spans="1:39">
      <c r="A1" s="86" t="s">
        <v>0</v>
      </c>
      <c r="B1" s="86" t="s">
        <v>1</v>
      </c>
      <c r="C1" s="86" t="s">
        <v>2</v>
      </c>
      <c r="D1" s="76" t="s">
        <v>3</v>
      </c>
      <c r="E1" s="76"/>
      <c r="F1" s="76"/>
      <c r="G1" s="76" t="s">
        <v>4</v>
      </c>
      <c r="H1" s="76"/>
      <c r="I1" s="76"/>
      <c r="J1" s="76" t="s">
        <v>5</v>
      </c>
      <c r="K1" s="76"/>
      <c r="L1" s="76"/>
      <c r="M1" s="76" t="s">
        <v>6</v>
      </c>
      <c r="N1" s="76"/>
      <c r="O1" s="76"/>
      <c r="P1" s="76" t="s">
        <v>7</v>
      </c>
      <c r="Q1" s="76"/>
      <c r="R1" s="76"/>
      <c r="S1" s="76" t="s">
        <v>8</v>
      </c>
      <c r="T1" s="76"/>
      <c r="U1" s="76"/>
      <c r="V1" s="76" t="s">
        <v>9</v>
      </c>
      <c r="W1" s="76"/>
      <c r="X1" s="76"/>
      <c r="Y1" s="86" t="s">
        <v>10</v>
      </c>
      <c r="Z1" s="22" t="s">
        <v>11</v>
      </c>
      <c r="AA1" s="22"/>
      <c r="AB1" s="22"/>
      <c r="AC1" s="22" t="s">
        <v>12</v>
      </c>
      <c r="AD1" s="22"/>
      <c r="AE1" s="22"/>
      <c r="AF1" s="22" t="s">
        <v>13</v>
      </c>
      <c r="AG1" s="22"/>
      <c r="AH1" s="22"/>
      <c r="AI1" s="305" t="s">
        <v>14</v>
      </c>
      <c r="AJ1" s="305"/>
      <c r="AK1" s="305"/>
      <c r="AL1" s="305" t="s">
        <v>15</v>
      </c>
      <c r="AM1" t="s">
        <v>16</v>
      </c>
    </row>
    <row r="2" spans="1:38">
      <c r="A2" s="86"/>
      <c r="B2" s="86"/>
      <c r="C2" s="86"/>
      <c r="D2" s="76" t="s">
        <v>17</v>
      </c>
      <c r="E2" s="76" t="s">
        <v>18</v>
      </c>
      <c r="F2" s="76" t="s">
        <v>19</v>
      </c>
      <c r="G2" s="76" t="s">
        <v>17</v>
      </c>
      <c r="H2" s="76" t="s">
        <v>18</v>
      </c>
      <c r="I2" s="76" t="s">
        <v>19</v>
      </c>
      <c r="J2" s="76" t="s">
        <v>17</v>
      </c>
      <c r="K2" s="76" t="s">
        <v>18</v>
      </c>
      <c r="L2" s="76" t="s">
        <v>19</v>
      </c>
      <c r="M2" s="76" t="s">
        <v>17</v>
      </c>
      <c r="N2" s="76" t="s">
        <v>18</v>
      </c>
      <c r="O2" s="76" t="s">
        <v>19</v>
      </c>
      <c r="P2" s="86" t="s">
        <v>17</v>
      </c>
      <c r="Q2" s="86" t="s">
        <v>18</v>
      </c>
      <c r="R2" s="76" t="s">
        <v>19</v>
      </c>
      <c r="S2" s="76" t="s">
        <v>17</v>
      </c>
      <c r="T2" s="76" t="s">
        <v>18</v>
      </c>
      <c r="U2" s="76" t="s">
        <v>19</v>
      </c>
      <c r="V2" s="76" t="s">
        <v>17</v>
      </c>
      <c r="W2" s="76" t="s">
        <v>18</v>
      </c>
      <c r="X2" s="76" t="s">
        <v>19</v>
      </c>
      <c r="Y2" s="86"/>
      <c r="Z2" t="s">
        <v>17</v>
      </c>
      <c r="AA2" t="s">
        <v>18</v>
      </c>
      <c r="AB2" t="s">
        <v>19</v>
      </c>
      <c r="AC2" t="s">
        <v>17</v>
      </c>
      <c r="AD2" t="s">
        <v>18</v>
      </c>
      <c r="AE2" t="s">
        <v>19</v>
      </c>
      <c r="AF2" t="s">
        <v>17</v>
      </c>
      <c r="AG2" t="s">
        <v>18</v>
      </c>
      <c r="AH2" t="s">
        <v>19</v>
      </c>
      <c r="AI2" s="306" t="s">
        <v>17</v>
      </c>
      <c r="AJ2" s="306" t="s">
        <v>18</v>
      </c>
      <c r="AK2" s="305" t="s">
        <v>19</v>
      </c>
      <c r="AL2" s="305"/>
    </row>
    <row r="3" spans="1:38">
      <c r="A3" s="87" t="s">
        <v>20</v>
      </c>
      <c r="B3" s="87" t="b">
        <v>1</v>
      </c>
      <c r="C3" s="87"/>
      <c r="D3" s="87"/>
      <c r="E3" s="87"/>
      <c r="F3" s="87"/>
      <c r="G3" s="87"/>
      <c r="H3" s="87"/>
      <c r="I3" s="87"/>
      <c r="J3" s="87"/>
      <c r="K3" s="87"/>
      <c r="L3" s="87"/>
      <c r="M3" s="87"/>
      <c r="N3" s="87"/>
      <c r="O3" s="87"/>
      <c r="P3" s="87"/>
      <c r="Q3" s="87"/>
      <c r="R3" s="87"/>
      <c r="S3" s="301" t="s">
        <v>21</v>
      </c>
      <c r="T3" s="301"/>
      <c r="U3" s="301"/>
      <c r="V3" s="87"/>
      <c r="W3" s="87"/>
      <c r="X3" s="87"/>
      <c r="Y3" s="303"/>
      <c r="AA3" s="35"/>
      <c r="AB3" s="35"/>
      <c r="AC3" s="35"/>
      <c r="AD3" s="35"/>
      <c r="AE3" s="35"/>
      <c r="AF3" s="35"/>
      <c r="AG3" s="35"/>
      <c r="AH3" s="35"/>
      <c r="AI3" s="306" t="s">
        <v>22</v>
      </c>
      <c r="AJ3" s="306"/>
      <c r="AK3" s="306"/>
      <c r="AL3" s="306"/>
    </row>
    <row r="4" spans="1:39">
      <c r="A4" s="250"/>
      <c r="B4" s="250"/>
      <c r="C4" s="251" t="s">
        <v>23</v>
      </c>
      <c r="D4" s="252">
        <v>1.5</v>
      </c>
      <c r="E4" s="253">
        <v>6</v>
      </c>
      <c r="F4" s="254">
        <f>AVERAGE(D4:E4)</f>
        <v>3.75</v>
      </c>
      <c r="G4" s="255">
        <v>50</v>
      </c>
      <c r="H4" s="253">
        <v>60</v>
      </c>
      <c r="I4" s="254">
        <f>AVERAGE(G4:H4)</f>
        <v>55</v>
      </c>
      <c r="J4" s="255">
        <v>1</v>
      </c>
      <c r="K4" s="253">
        <v>3</v>
      </c>
      <c r="L4" s="254">
        <f>AVERAGE(J4:K4)</f>
        <v>2</v>
      </c>
      <c r="M4" s="255">
        <v>70</v>
      </c>
      <c r="N4" s="253">
        <v>80</v>
      </c>
      <c r="O4" s="254">
        <f>AVERAGE(M4:N4)</f>
        <v>75</v>
      </c>
      <c r="P4" s="255">
        <v>2.5</v>
      </c>
      <c r="Q4" s="253">
        <v>3.5</v>
      </c>
      <c r="R4" s="254">
        <f>AVERAGE(P4:Q4)</f>
        <v>3</v>
      </c>
      <c r="S4" s="283">
        <v>6</v>
      </c>
      <c r="T4" s="284">
        <v>12</v>
      </c>
      <c r="U4" s="296">
        <f>AVERAGE(S4:T4)</f>
        <v>9</v>
      </c>
      <c r="V4" s="255">
        <v>3</v>
      </c>
      <c r="W4" s="253">
        <v>4</v>
      </c>
      <c r="X4" s="254">
        <f>AVERAGE(V4:W4)</f>
        <v>3.5</v>
      </c>
      <c r="Y4" s="253">
        <v>1</v>
      </c>
      <c r="Z4" s="304">
        <f>V4/100*D4*2+(1-V4/100)*D4</f>
        <v>1.545</v>
      </c>
      <c r="AA4" s="304">
        <f>W4/100*E4*2+(1-W4/100)*E4</f>
        <v>6.24</v>
      </c>
      <c r="AB4" s="304">
        <f>AVERAGE(Z4:AA4)</f>
        <v>3.8925</v>
      </c>
      <c r="AC4" s="304">
        <f>S4/J4+P4</f>
        <v>8.5</v>
      </c>
      <c r="AD4" s="304">
        <f>T4/K4+Q4</f>
        <v>7.5</v>
      </c>
      <c r="AE4" s="304">
        <f>AVERAGE(AC4:AD4)</f>
        <v>8</v>
      </c>
      <c r="AF4" s="304">
        <f>S4*Z4*$Y4</f>
        <v>9.27</v>
      </c>
      <c r="AG4" s="304">
        <f>T4*AA4*$Y4</f>
        <v>74.88</v>
      </c>
      <c r="AH4" s="304">
        <f>U4*AB4*$Y4</f>
        <v>35.0325</v>
      </c>
      <c r="AI4" s="307">
        <f>AF4/AC4</f>
        <v>1.09058823529412</v>
      </c>
      <c r="AJ4" s="307">
        <f>AG4/AD4</f>
        <v>9.984</v>
      </c>
      <c r="AK4" s="308">
        <f>AVERAGE(AI4:AJ4)</f>
        <v>5.53729411764706</v>
      </c>
      <c r="AL4" s="308">
        <v>5</v>
      </c>
      <c r="AM4">
        <f>AVERAGE(J4:K4)*AVERAGE(D4:E4)*Y4</f>
        <v>7.5</v>
      </c>
    </row>
    <row r="5" spans="1:39">
      <c r="A5" s="250"/>
      <c r="B5" s="250"/>
      <c r="C5" s="256" t="s">
        <v>24</v>
      </c>
      <c r="D5" s="257">
        <v>2.5</v>
      </c>
      <c r="E5" s="258">
        <v>10</v>
      </c>
      <c r="F5" s="259">
        <f t="shared" ref="F5:F38" si="0">AVERAGE(D5:E5)</f>
        <v>6.25</v>
      </c>
      <c r="G5" s="260">
        <v>55</v>
      </c>
      <c r="H5" s="258">
        <v>65</v>
      </c>
      <c r="I5" s="259">
        <f t="shared" ref="I5:I38" si="1">AVERAGE(G5:H5)</f>
        <v>60</v>
      </c>
      <c r="J5" s="260">
        <v>1.25</v>
      </c>
      <c r="K5" s="258">
        <v>3</v>
      </c>
      <c r="L5" s="259">
        <f t="shared" ref="L5:L38" si="2">AVERAGE(J5:K5)</f>
        <v>2.125</v>
      </c>
      <c r="M5" s="260">
        <v>75</v>
      </c>
      <c r="N5" s="258">
        <v>85</v>
      </c>
      <c r="O5" s="259">
        <f t="shared" ref="O5:O38" si="3">AVERAGE(M5:N5)</f>
        <v>80</v>
      </c>
      <c r="P5" s="260">
        <v>2</v>
      </c>
      <c r="Q5" s="258">
        <v>3</v>
      </c>
      <c r="R5" s="259">
        <f t="shared" ref="R5:R38" si="4">AVERAGE(P5:Q5)</f>
        <v>2.5</v>
      </c>
      <c r="S5" s="285">
        <v>6</v>
      </c>
      <c r="T5" s="286">
        <v>12</v>
      </c>
      <c r="U5" s="297">
        <f t="shared" ref="U5:U38" si="5">AVERAGE(S5:T5)</f>
        <v>9</v>
      </c>
      <c r="V5" s="260">
        <v>4</v>
      </c>
      <c r="W5" s="258">
        <v>5</v>
      </c>
      <c r="X5" s="259">
        <f t="shared" ref="X5:X38" si="6">AVERAGE(V5:W5)</f>
        <v>4.5</v>
      </c>
      <c r="Y5" s="258">
        <v>1</v>
      </c>
      <c r="Z5" s="304">
        <f t="shared" ref="Z5:Z38" si="7">V5/100*D5*2+(1-V5/100)*D5</f>
        <v>2.6</v>
      </c>
      <c r="AA5" s="304">
        <f>W5/100*E5*2+(1-W5/100)*E5</f>
        <v>10.5</v>
      </c>
      <c r="AB5" s="304">
        <f t="shared" ref="AB5:AB38" si="8">AVERAGE(Z5:AA5)</f>
        <v>6.55</v>
      </c>
      <c r="AC5" s="304">
        <f t="shared" ref="AC5:AC38" si="9">S5/J5+P5</f>
        <v>6.8</v>
      </c>
      <c r="AD5" s="304">
        <f>T5/K5+Q5</f>
        <v>7</v>
      </c>
      <c r="AE5" s="304">
        <f t="shared" ref="AE5:AE38" si="10">AVERAGE(AC5:AD5)</f>
        <v>6.9</v>
      </c>
      <c r="AF5" s="304">
        <f t="shared" ref="AF5:AF38" si="11">S5*Z5*$Y5</f>
        <v>15.6</v>
      </c>
      <c r="AG5" s="304">
        <f>T5*AA5*$Y5</f>
        <v>126</v>
      </c>
      <c r="AH5" s="304">
        <f>U5*AB5*$Y5</f>
        <v>58.95</v>
      </c>
      <c r="AI5" s="307">
        <f t="shared" ref="AI5:AI38" si="12">AF5/AC5</f>
        <v>2.29411764705882</v>
      </c>
      <c r="AJ5" s="307">
        <f>AG5/AD5</f>
        <v>18</v>
      </c>
      <c r="AK5" s="308">
        <f t="shared" ref="AK5:AK38" si="13">AVERAGE(AI5:AJ5)</f>
        <v>10.1470588235294</v>
      </c>
      <c r="AL5" s="308">
        <v>10</v>
      </c>
      <c r="AM5">
        <f t="shared" ref="AM5:AM38" si="14">AVERAGE(J5:K5)*AVERAGE(D5:E5)*Y5</f>
        <v>13.28125</v>
      </c>
    </row>
    <row r="6" spans="1:39">
      <c r="A6" s="250"/>
      <c r="B6" s="250"/>
      <c r="C6" s="261" t="s">
        <v>25</v>
      </c>
      <c r="D6" s="262">
        <v>4</v>
      </c>
      <c r="E6" s="263">
        <v>13</v>
      </c>
      <c r="F6" s="264">
        <f t="shared" si="0"/>
        <v>8.5</v>
      </c>
      <c r="G6" s="265">
        <v>60</v>
      </c>
      <c r="H6" s="263">
        <v>70</v>
      </c>
      <c r="I6" s="264">
        <f t="shared" si="1"/>
        <v>65</v>
      </c>
      <c r="J6" s="265">
        <v>1.5</v>
      </c>
      <c r="K6" s="263">
        <v>3</v>
      </c>
      <c r="L6" s="264">
        <f t="shared" si="2"/>
        <v>2.25</v>
      </c>
      <c r="M6" s="265">
        <v>80</v>
      </c>
      <c r="N6" s="263">
        <v>90</v>
      </c>
      <c r="O6" s="264">
        <f t="shared" si="3"/>
        <v>85</v>
      </c>
      <c r="P6" s="265">
        <v>1.5</v>
      </c>
      <c r="Q6" s="263">
        <v>2.5</v>
      </c>
      <c r="R6" s="264">
        <f t="shared" si="4"/>
        <v>2</v>
      </c>
      <c r="S6" s="287">
        <v>6</v>
      </c>
      <c r="T6" s="288">
        <v>12</v>
      </c>
      <c r="U6" s="298">
        <f t="shared" si="5"/>
        <v>9</v>
      </c>
      <c r="V6" s="265">
        <v>5</v>
      </c>
      <c r="W6" s="263">
        <v>6</v>
      </c>
      <c r="X6" s="264">
        <f t="shared" si="6"/>
        <v>5.5</v>
      </c>
      <c r="Y6" s="263">
        <v>1</v>
      </c>
      <c r="Z6" s="304">
        <f t="shared" si="7"/>
        <v>4.2</v>
      </c>
      <c r="AA6" s="304">
        <f>W6/100*E6*2+(1-W6/100)*E6</f>
        <v>13.78</v>
      </c>
      <c r="AB6" s="304">
        <f t="shared" si="8"/>
        <v>8.99</v>
      </c>
      <c r="AC6" s="304">
        <f t="shared" si="9"/>
        <v>5.5</v>
      </c>
      <c r="AD6" s="304">
        <f>T6/K6+Q6</f>
        <v>6.5</v>
      </c>
      <c r="AE6" s="304">
        <f t="shared" si="10"/>
        <v>6</v>
      </c>
      <c r="AF6" s="304">
        <f t="shared" si="11"/>
        <v>25.2</v>
      </c>
      <c r="AG6" s="304">
        <f>T6*AA6*$Y6</f>
        <v>165.36</v>
      </c>
      <c r="AH6" s="304">
        <f>U6*AB6*$Y6</f>
        <v>80.91</v>
      </c>
      <c r="AI6" s="307">
        <f t="shared" si="12"/>
        <v>4.58181818181818</v>
      </c>
      <c r="AJ6" s="307">
        <f>AG6/AD6</f>
        <v>25.44</v>
      </c>
      <c r="AK6" s="308">
        <f t="shared" si="13"/>
        <v>15.0109090909091</v>
      </c>
      <c r="AL6" s="308">
        <v>15</v>
      </c>
      <c r="AM6">
        <f t="shared" si="14"/>
        <v>19.125</v>
      </c>
    </row>
    <row r="7" spans="1:39">
      <c r="A7" s="250"/>
      <c r="B7" s="250"/>
      <c r="C7" s="266" t="s">
        <v>26</v>
      </c>
      <c r="D7" s="267">
        <v>5.5</v>
      </c>
      <c r="E7" s="268">
        <v>15</v>
      </c>
      <c r="F7" s="269">
        <f t="shared" si="0"/>
        <v>10.25</v>
      </c>
      <c r="G7" s="270">
        <v>65</v>
      </c>
      <c r="H7" s="268">
        <v>75</v>
      </c>
      <c r="I7" s="269">
        <f t="shared" si="1"/>
        <v>70</v>
      </c>
      <c r="J7" s="270">
        <v>1.75</v>
      </c>
      <c r="K7" s="268">
        <v>3</v>
      </c>
      <c r="L7" s="269">
        <f t="shared" si="2"/>
        <v>2.375</v>
      </c>
      <c r="M7" s="270">
        <v>85</v>
      </c>
      <c r="N7" s="268">
        <v>95</v>
      </c>
      <c r="O7" s="269">
        <f t="shared" si="3"/>
        <v>90</v>
      </c>
      <c r="P7" s="270">
        <v>1</v>
      </c>
      <c r="Q7" s="268">
        <v>2</v>
      </c>
      <c r="R7" s="269">
        <f t="shared" si="4"/>
        <v>1.5</v>
      </c>
      <c r="S7" s="289">
        <v>6</v>
      </c>
      <c r="T7" s="290">
        <v>12</v>
      </c>
      <c r="U7" s="299">
        <f t="shared" si="5"/>
        <v>9</v>
      </c>
      <c r="V7" s="270">
        <v>6</v>
      </c>
      <c r="W7" s="268">
        <v>7</v>
      </c>
      <c r="X7" s="269">
        <f t="shared" si="6"/>
        <v>6.5</v>
      </c>
      <c r="Y7" s="268">
        <v>1</v>
      </c>
      <c r="Z7" s="304">
        <f t="shared" si="7"/>
        <v>5.83</v>
      </c>
      <c r="AA7" s="304">
        <f>W7/100*E7*2+(1-W7/100)*E7</f>
        <v>16.05</v>
      </c>
      <c r="AB7" s="304">
        <f t="shared" si="8"/>
        <v>10.94</v>
      </c>
      <c r="AC7" s="304">
        <f t="shared" si="9"/>
        <v>4.42857142857143</v>
      </c>
      <c r="AD7" s="304">
        <f>T7/K7+Q7</f>
        <v>6</v>
      </c>
      <c r="AE7" s="304">
        <f t="shared" si="10"/>
        <v>5.21428571428571</v>
      </c>
      <c r="AF7" s="304">
        <f t="shared" si="11"/>
        <v>34.98</v>
      </c>
      <c r="AG7" s="304">
        <f>T7*AA7*$Y7</f>
        <v>192.6</v>
      </c>
      <c r="AH7" s="304">
        <f>U7*AB7*$Y7</f>
        <v>98.46</v>
      </c>
      <c r="AI7" s="307">
        <f t="shared" si="12"/>
        <v>7.89870967741936</v>
      </c>
      <c r="AJ7" s="307">
        <f>AG7/AD7</f>
        <v>32.1</v>
      </c>
      <c r="AK7" s="308">
        <f t="shared" si="13"/>
        <v>19.9993548387097</v>
      </c>
      <c r="AL7" s="308">
        <v>20</v>
      </c>
      <c r="AM7">
        <f t="shared" si="14"/>
        <v>24.34375</v>
      </c>
    </row>
    <row r="8" spans="1:39">
      <c r="A8" s="250"/>
      <c r="B8" s="250"/>
      <c r="C8" s="271" t="s">
        <v>27</v>
      </c>
      <c r="D8" s="272">
        <v>7</v>
      </c>
      <c r="E8" s="273">
        <v>16</v>
      </c>
      <c r="F8" s="274">
        <f t="shared" si="0"/>
        <v>11.5</v>
      </c>
      <c r="G8" s="275">
        <v>70</v>
      </c>
      <c r="H8" s="273">
        <v>80</v>
      </c>
      <c r="I8" s="274">
        <f t="shared" si="1"/>
        <v>75</v>
      </c>
      <c r="J8" s="275">
        <v>2</v>
      </c>
      <c r="K8" s="273">
        <v>3</v>
      </c>
      <c r="L8" s="274">
        <f t="shared" si="2"/>
        <v>2.5</v>
      </c>
      <c r="M8" s="275">
        <v>90</v>
      </c>
      <c r="N8" s="273">
        <v>100</v>
      </c>
      <c r="O8" s="274">
        <f t="shared" si="3"/>
        <v>95</v>
      </c>
      <c r="P8" s="275">
        <v>0.5</v>
      </c>
      <c r="Q8" s="273">
        <v>1.5</v>
      </c>
      <c r="R8" s="274">
        <f t="shared" si="4"/>
        <v>1</v>
      </c>
      <c r="S8" s="291">
        <v>6</v>
      </c>
      <c r="T8" s="292">
        <v>12</v>
      </c>
      <c r="U8" s="300">
        <f t="shared" si="5"/>
        <v>9</v>
      </c>
      <c r="V8" s="275">
        <v>7</v>
      </c>
      <c r="W8" s="273">
        <v>8</v>
      </c>
      <c r="X8" s="274">
        <f t="shared" si="6"/>
        <v>7.5</v>
      </c>
      <c r="Y8" s="273">
        <v>1</v>
      </c>
      <c r="Z8" s="304">
        <f t="shared" si="7"/>
        <v>7.49</v>
      </c>
      <c r="AA8" s="304">
        <f>W8/100*E8*2+(1-W8/100)*E8</f>
        <v>17.28</v>
      </c>
      <c r="AB8" s="304">
        <f t="shared" si="8"/>
        <v>12.385</v>
      </c>
      <c r="AC8" s="304">
        <f t="shared" si="9"/>
        <v>3.5</v>
      </c>
      <c r="AD8" s="304">
        <f>T8/K8+Q8</f>
        <v>5.5</v>
      </c>
      <c r="AE8" s="304">
        <f t="shared" si="10"/>
        <v>4.5</v>
      </c>
      <c r="AF8" s="304">
        <f t="shared" si="11"/>
        <v>44.94</v>
      </c>
      <c r="AG8" s="304">
        <f>T8*AA8*$Y8</f>
        <v>207.36</v>
      </c>
      <c r="AH8" s="304">
        <f>U8*AB8*$Y8</f>
        <v>111.465</v>
      </c>
      <c r="AI8" s="307">
        <f t="shared" si="12"/>
        <v>12.84</v>
      </c>
      <c r="AJ8" s="307">
        <f>AG8/AD8</f>
        <v>37.7018181818182</v>
      </c>
      <c r="AK8" s="308">
        <f t="shared" si="13"/>
        <v>25.2709090909091</v>
      </c>
      <c r="AL8" s="308">
        <v>25</v>
      </c>
      <c r="AM8">
        <f t="shared" si="14"/>
        <v>28.75</v>
      </c>
    </row>
    <row r="9" spans="1:38">
      <c r="A9" s="87" t="s">
        <v>28</v>
      </c>
      <c r="B9" s="87" t="b">
        <v>1</v>
      </c>
      <c r="C9" s="87"/>
      <c r="D9" s="276"/>
      <c r="E9" s="277"/>
      <c r="F9" s="278"/>
      <c r="G9" s="276"/>
      <c r="H9" s="277"/>
      <c r="I9" s="278"/>
      <c r="J9" s="282" t="s">
        <v>21</v>
      </c>
      <c r="K9" s="282"/>
      <c r="L9" s="295"/>
      <c r="M9" s="276"/>
      <c r="N9" s="277"/>
      <c r="O9" s="278"/>
      <c r="P9" s="276"/>
      <c r="Q9" s="277"/>
      <c r="R9" s="278"/>
      <c r="S9" s="276"/>
      <c r="T9" s="277"/>
      <c r="U9" s="278"/>
      <c r="V9" s="276"/>
      <c r="W9" s="302"/>
      <c r="X9" s="278"/>
      <c r="Y9" s="277"/>
      <c r="Z9" s="304"/>
      <c r="AA9" s="304"/>
      <c r="AB9" s="304"/>
      <c r="AC9" s="304"/>
      <c r="AD9" s="304"/>
      <c r="AE9" s="304"/>
      <c r="AF9" s="304"/>
      <c r="AG9" s="304"/>
      <c r="AH9" s="304"/>
      <c r="AI9" s="307" t="s">
        <v>29</v>
      </c>
      <c r="AJ9" s="307"/>
      <c r="AK9" s="307"/>
      <c r="AL9" s="307"/>
    </row>
    <row r="10" spans="1:39">
      <c r="A10" s="250"/>
      <c r="B10" s="250"/>
      <c r="C10" s="251" t="s">
        <v>30</v>
      </c>
      <c r="D10" s="252">
        <v>10</v>
      </c>
      <c r="E10" s="253">
        <v>15</v>
      </c>
      <c r="F10" s="254">
        <f t="shared" si="0"/>
        <v>12.5</v>
      </c>
      <c r="G10" s="255">
        <v>67.5</v>
      </c>
      <c r="H10" s="253">
        <v>75</v>
      </c>
      <c r="I10" s="254">
        <f t="shared" si="1"/>
        <v>71.25</v>
      </c>
      <c r="J10" s="283">
        <v>0.2</v>
      </c>
      <c r="K10" s="284">
        <v>0.5</v>
      </c>
      <c r="L10" s="296">
        <f t="shared" si="2"/>
        <v>0.35</v>
      </c>
      <c r="M10" s="255">
        <v>30</v>
      </c>
      <c r="N10" s="253">
        <v>40</v>
      </c>
      <c r="O10" s="254">
        <f t="shared" si="3"/>
        <v>35</v>
      </c>
      <c r="P10" s="255">
        <v>3.5</v>
      </c>
      <c r="Q10" s="253">
        <v>5</v>
      </c>
      <c r="R10" s="254">
        <f t="shared" si="4"/>
        <v>4.25</v>
      </c>
      <c r="S10" s="255">
        <v>4</v>
      </c>
      <c r="T10" s="253">
        <v>10</v>
      </c>
      <c r="U10" s="254">
        <f t="shared" si="5"/>
        <v>7</v>
      </c>
      <c r="V10" s="255">
        <v>10</v>
      </c>
      <c r="W10" s="253">
        <v>20</v>
      </c>
      <c r="X10" s="254">
        <f t="shared" si="6"/>
        <v>15</v>
      </c>
      <c r="Y10" s="253">
        <v>1</v>
      </c>
      <c r="Z10" s="304">
        <f t="shared" si="7"/>
        <v>11</v>
      </c>
      <c r="AA10" s="304">
        <f>W10/100*E10*2+(1-W10/100)*E10</f>
        <v>18</v>
      </c>
      <c r="AB10" s="304">
        <f t="shared" si="8"/>
        <v>14.5</v>
      </c>
      <c r="AC10" s="304">
        <f t="shared" si="9"/>
        <v>23.5</v>
      </c>
      <c r="AD10" s="304">
        <f>T10/K10+Q10</f>
        <v>25</v>
      </c>
      <c r="AE10" s="304">
        <f t="shared" si="10"/>
        <v>24.25</v>
      </c>
      <c r="AF10" s="304">
        <f t="shared" si="11"/>
        <v>44</v>
      </c>
      <c r="AG10" s="304">
        <f>T10*AA10*$Y10</f>
        <v>180</v>
      </c>
      <c r="AH10" s="304">
        <f>U10*AB10*$Y10</f>
        <v>101.5</v>
      </c>
      <c r="AI10" s="307">
        <f t="shared" si="12"/>
        <v>1.87234042553191</v>
      </c>
      <c r="AJ10" s="307">
        <f>AG10/AD10</f>
        <v>7.2</v>
      </c>
      <c r="AK10" s="308">
        <f t="shared" si="13"/>
        <v>4.53617021276596</v>
      </c>
      <c r="AL10" s="308">
        <v>5</v>
      </c>
      <c r="AM10">
        <f t="shared" si="14"/>
        <v>4.375</v>
      </c>
    </row>
    <row r="11" spans="1:39">
      <c r="A11" s="250"/>
      <c r="B11" s="250"/>
      <c r="C11" s="256" t="s">
        <v>31</v>
      </c>
      <c r="D11" s="257">
        <v>20</v>
      </c>
      <c r="E11" s="258">
        <v>30</v>
      </c>
      <c r="F11" s="259">
        <f t="shared" si="0"/>
        <v>25</v>
      </c>
      <c r="G11" s="260">
        <v>72.5</v>
      </c>
      <c r="H11" s="258">
        <v>80</v>
      </c>
      <c r="I11" s="259">
        <f t="shared" si="1"/>
        <v>76.25</v>
      </c>
      <c r="J11" s="285">
        <v>0.2</v>
      </c>
      <c r="K11" s="286">
        <v>0.5</v>
      </c>
      <c r="L11" s="297">
        <f t="shared" si="2"/>
        <v>0.35</v>
      </c>
      <c r="M11" s="260">
        <v>35</v>
      </c>
      <c r="N11" s="258">
        <v>45</v>
      </c>
      <c r="O11" s="259">
        <f t="shared" si="3"/>
        <v>40</v>
      </c>
      <c r="P11" s="260">
        <v>3.75</v>
      </c>
      <c r="Q11" s="258">
        <v>5.25</v>
      </c>
      <c r="R11" s="259">
        <f t="shared" si="4"/>
        <v>4.5</v>
      </c>
      <c r="S11" s="260">
        <v>4</v>
      </c>
      <c r="T11" s="258">
        <v>9</v>
      </c>
      <c r="U11" s="259">
        <f t="shared" si="5"/>
        <v>6.5</v>
      </c>
      <c r="V11" s="260">
        <v>15</v>
      </c>
      <c r="W11" s="258">
        <v>35</v>
      </c>
      <c r="X11" s="259">
        <f t="shared" si="6"/>
        <v>25</v>
      </c>
      <c r="Y11" s="258">
        <v>1</v>
      </c>
      <c r="Z11" s="304">
        <f t="shared" si="7"/>
        <v>23</v>
      </c>
      <c r="AA11" s="304">
        <f>W11/100*E11*2+(1-W11/100)*E11</f>
        <v>40.5</v>
      </c>
      <c r="AB11" s="304">
        <f t="shared" si="8"/>
        <v>31.75</v>
      </c>
      <c r="AC11" s="304">
        <f t="shared" si="9"/>
        <v>23.75</v>
      </c>
      <c r="AD11" s="304">
        <f>T11/K11+Q11</f>
        <v>23.25</v>
      </c>
      <c r="AE11" s="304">
        <f t="shared" si="10"/>
        <v>23.5</v>
      </c>
      <c r="AF11" s="304">
        <f t="shared" si="11"/>
        <v>92</v>
      </c>
      <c r="AG11" s="304">
        <f>T11*AA11*$Y11</f>
        <v>364.5</v>
      </c>
      <c r="AH11" s="304">
        <f>U11*AB11*$Y11</f>
        <v>206.375</v>
      </c>
      <c r="AI11" s="307">
        <f t="shared" si="12"/>
        <v>3.87368421052632</v>
      </c>
      <c r="AJ11" s="307">
        <f>AG11/AD11</f>
        <v>15.6774193548387</v>
      </c>
      <c r="AK11" s="308">
        <f t="shared" si="13"/>
        <v>9.77555178268251</v>
      </c>
      <c r="AL11" s="308">
        <v>10</v>
      </c>
      <c r="AM11">
        <f t="shared" si="14"/>
        <v>8.75</v>
      </c>
    </row>
    <row r="12" spans="1:39">
      <c r="A12" s="250"/>
      <c r="B12" s="250"/>
      <c r="C12" s="261" t="s">
        <v>32</v>
      </c>
      <c r="D12" s="262">
        <v>30</v>
      </c>
      <c r="E12" s="263">
        <v>45</v>
      </c>
      <c r="F12" s="264">
        <f t="shared" si="0"/>
        <v>37.5</v>
      </c>
      <c r="G12" s="265">
        <v>77.5</v>
      </c>
      <c r="H12" s="263">
        <v>85</v>
      </c>
      <c r="I12" s="264">
        <f t="shared" si="1"/>
        <v>81.25</v>
      </c>
      <c r="J12" s="287">
        <v>0.2</v>
      </c>
      <c r="K12" s="288">
        <v>0.5</v>
      </c>
      <c r="L12" s="298">
        <f t="shared" si="2"/>
        <v>0.35</v>
      </c>
      <c r="M12" s="265">
        <v>40</v>
      </c>
      <c r="N12" s="263">
        <v>50</v>
      </c>
      <c r="O12" s="264">
        <f t="shared" si="3"/>
        <v>45</v>
      </c>
      <c r="P12" s="265">
        <v>4</v>
      </c>
      <c r="Q12" s="263">
        <v>5.5</v>
      </c>
      <c r="R12" s="264">
        <f t="shared" si="4"/>
        <v>4.75</v>
      </c>
      <c r="S12" s="265">
        <v>4</v>
      </c>
      <c r="T12" s="263">
        <v>8</v>
      </c>
      <c r="U12" s="264">
        <f t="shared" si="5"/>
        <v>6</v>
      </c>
      <c r="V12" s="265">
        <v>30</v>
      </c>
      <c r="W12" s="263">
        <v>50</v>
      </c>
      <c r="X12" s="264">
        <f t="shared" si="6"/>
        <v>40</v>
      </c>
      <c r="Y12" s="263">
        <v>1</v>
      </c>
      <c r="Z12" s="304">
        <f t="shared" si="7"/>
        <v>39</v>
      </c>
      <c r="AA12" s="304">
        <f>W12/100*E12*2+(1-W12/100)*E12</f>
        <v>67.5</v>
      </c>
      <c r="AB12" s="304">
        <f t="shared" si="8"/>
        <v>53.25</v>
      </c>
      <c r="AC12" s="304">
        <f t="shared" si="9"/>
        <v>24</v>
      </c>
      <c r="AD12" s="304">
        <f>T12/K12+Q12</f>
        <v>21.5</v>
      </c>
      <c r="AE12" s="304">
        <f t="shared" si="10"/>
        <v>22.75</v>
      </c>
      <c r="AF12" s="304">
        <f t="shared" si="11"/>
        <v>156</v>
      </c>
      <c r="AG12" s="304">
        <f>T12*AA12*$Y12</f>
        <v>540</v>
      </c>
      <c r="AH12" s="304">
        <f>U12*AB12*$Y12</f>
        <v>319.5</v>
      </c>
      <c r="AI12" s="307">
        <f t="shared" si="12"/>
        <v>6.5</v>
      </c>
      <c r="AJ12" s="307">
        <f>AG12/AD12</f>
        <v>25.1162790697674</v>
      </c>
      <c r="AK12" s="308">
        <f t="shared" si="13"/>
        <v>15.8081395348837</v>
      </c>
      <c r="AL12" s="308">
        <v>15</v>
      </c>
      <c r="AM12">
        <f t="shared" si="14"/>
        <v>13.125</v>
      </c>
    </row>
    <row r="13" spans="1:39">
      <c r="A13" s="250"/>
      <c r="B13" s="250"/>
      <c r="C13" s="266" t="s">
        <v>33</v>
      </c>
      <c r="D13" s="267">
        <v>40</v>
      </c>
      <c r="E13" s="268">
        <v>60</v>
      </c>
      <c r="F13" s="269">
        <f t="shared" si="0"/>
        <v>50</v>
      </c>
      <c r="G13" s="270">
        <v>82.5</v>
      </c>
      <c r="H13" s="268">
        <v>90</v>
      </c>
      <c r="I13" s="269">
        <f t="shared" si="1"/>
        <v>86.25</v>
      </c>
      <c r="J13" s="289">
        <v>0.2</v>
      </c>
      <c r="K13" s="290">
        <v>0.5</v>
      </c>
      <c r="L13" s="299">
        <f t="shared" si="2"/>
        <v>0.35</v>
      </c>
      <c r="M13" s="270">
        <v>45</v>
      </c>
      <c r="N13" s="268">
        <v>55</v>
      </c>
      <c r="O13" s="269">
        <f t="shared" si="3"/>
        <v>50</v>
      </c>
      <c r="P13" s="270">
        <v>4.25</v>
      </c>
      <c r="Q13" s="268">
        <v>5.75</v>
      </c>
      <c r="R13" s="269">
        <f t="shared" si="4"/>
        <v>5</v>
      </c>
      <c r="S13" s="270">
        <v>4</v>
      </c>
      <c r="T13" s="268">
        <v>7</v>
      </c>
      <c r="U13" s="269">
        <f t="shared" si="5"/>
        <v>5.5</v>
      </c>
      <c r="V13" s="270">
        <v>45</v>
      </c>
      <c r="W13" s="268">
        <v>65</v>
      </c>
      <c r="X13" s="269">
        <f t="shared" si="6"/>
        <v>55</v>
      </c>
      <c r="Y13" s="268">
        <v>1</v>
      </c>
      <c r="Z13" s="304">
        <f t="shared" si="7"/>
        <v>58</v>
      </c>
      <c r="AA13" s="304">
        <f>W13/100*E13*2+(1-W13/100)*E13</f>
        <v>99</v>
      </c>
      <c r="AB13" s="304">
        <f t="shared" si="8"/>
        <v>78.5</v>
      </c>
      <c r="AC13" s="304">
        <f t="shared" si="9"/>
        <v>24.25</v>
      </c>
      <c r="AD13" s="304">
        <f>T13/K13+Q13</f>
        <v>19.75</v>
      </c>
      <c r="AE13" s="304">
        <f t="shared" si="10"/>
        <v>22</v>
      </c>
      <c r="AF13" s="304">
        <f t="shared" si="11"/>
        <v>232</v>
      </c>
      <c r="AG13" s="304">
        <f>T13*AA13*$Y13</f>
        <v>693</v>
      </c>
      <c r="AH13" s="304">
        <f>U13*AB13*$Y13</f>
        <v>431.75</v>
      </c>
      <c r="AI13" s="307">
        <f t="shared" si="12"/>
        <v>9.56701030927835</v>
      </c>
      <c r="AJ13" s="307">
        <f>AG13/AD13</f>
        <v>35.0886075949367</v>
      </c>
      <c r="AK13" s="308">
        <f t="shared" si="13"/>
        <v>22.3278089521075</v>
      </c>
      <c r="AL13" s="308">
        <v>20</v>
      </c>
      <c r="AM13">
        <f t="shared" si="14"/>
        <v>17.5</v>
      </c>
    </row>
    <row r="14" spans="1:39">
      <c r="A14" s="250"/>
      <c r="B14" s="250"/>
      <c r="C14" s="271" t="s">
        <v>34</v>
      </c>
      <c r="D14" s="272">
        <v>50</v>
      </c>
      <c r="E14" s="273">
        <v>75</v>
      </c>
      <c r="F14" s="274">
        <f t="shared" si="0"/>
        <v>62.5</v>
      </c>
      <c r="G14" s="275">
        <v>87.5</v>
      </c>
      <c r="H14" s="273">
        <v>95</v>
      </c>
      <c r="I14" s="274">
        <f t="shared" si="1"/>
        <v>91.25</v>
      </c>
      <c r="J14" s="291">
        <v>0.2</v>
      </c>
      <c r="K14" s="292">
        <v>0.5</v>
      </c>
      <c r="L14" s="300">
        <f t="shared" si="2"/>
        <v>0.35</v>
      </c>
      <c r="M14" s="275">
        <v>50</v>
      </c>
      <c r="N14" s="273">
        <v>60</v>
      </c>
      <c r="O14" s="274">
        <f t="shared" si="3"/>
        <v>55</v>
      </c>
      <c r="P14" s="275">
        <v>4.5</v>
      </c>
      <c r="Q14" s="273">
        <v>6</v>
      </c>
      <c r="R14" s="274">
        <f t="shared" si="4"/>
        <v>5.25</v>
      </c>
      <c r="S14" s="275">
        <v>4</v>
      </c>
      <c r="T14" s="273">
        <v>6</v>
      </c>
      <c r="U14" s="274">
        <f t="shared" si="5"/>
        <v>5</v>
      </c>
      <c r="V14" s="275">
        <v>60</v>
      </c>
      <c r="W14" s="273">
        <v>70</v>
      </c>
      <c r="X14" s="274">
        <f t="shared" si="6"/>
        <v>65</v>
      </c>
      <c r="Y14" s="273">
        <v>1</v>
      </c>
      <c r="Z14" s="304">
        <f t="shared" si="7"/>
        <v>80</v>
      </c>
      <c r="AA14" s="304">
        <f>W14/100*E14*2+(1-W14/100)*E14</f>
        <v>127.5</v>
      </c>
      <c r="AB14" s="304">
        <f t="shared" si="8"/>
        <v>103.75</v>
      </c>
      <c r="AC14" s="304">
        <f t="shared" si="9"/>
        <v>24.5</v>
      </c>
      <c r="AD14" s="304">
        <f>T14/K14+Q14</f>
        <v>18</v>
      </c>
      <c r="AE14" s="304">
        <f t="shared" si="10"/>
        <v>21.25</v>
      </c>
      <c r="AF14" s="304">
        <f t="shared" si="11"/>
        <v>320</v>
      </c>
      <c r="AG14" s="304">
        <f>T14*AA14*$Y14</f>
        <v>765</v>
      </c>
      <c r="AH14" s="304">
        <f>U14*AB14*$Y14</f>
        <v>518.75</v>
      </c>
      <c r="AI14" s="307">
        <f t="shared" si="12"/>
        <v>13.0612244897959</v>
      </c>
      <c r="AJ14" s="307">
        <f>AG14/AD14</f>
        <v>42.5</v>
      </c>
      <c r="AK14" s="308">
        <f t="shared" si="13"/>
        <v>27.780612244898</v>
      </c>
      <c r="AL14" s="308">
        <v>25</v>
      </c>
      <c r="AM14">
        <f t="shared" si="14"/>
        <v>21.875</v>
      </c>
    </row>
    <row r="15" spans="1:38">
      <c r="A15" s="87" t="s">
        <v>35</v>
      </c>
      <c r="B15" s="87" t="b">
        <v>1</v>
      </c>
      <c r="C15" s="87"/>
      <c r="D15" s="276"/>
      <c r="E15" s="277"/>
      <c r="F15" s="278"/>
      <c r="G15" s="279"/>
      <c r="H15" s="280"/>
      <c r="I15" s="281"/>
      <c r="J15" s="276"/>
      <c r="K15" s="277"/>
      <c r="L15" s="278"/>
      <c r="M15" s="276"/>
      <c r="N15" s="277"/>
      <c r="O15" s="278"/>
      <c r="P15" s="276"/>
      <c r="Q15" s="277"/>
      <c r="R15" s="278"/>
      <c r="S15" s="276"/>
      <c r="T15" s="277"/>
      <c r="U15" s="278"/>
      <c r="V15" s="282" t="s">
        <v>21</v>
      </c>
      <c r="W15" s="282"/>
      <c r="X15" s="295"/>
      <c r="Y15" s="277"/>
      <c r="Z15" s="304"/>
      <c r="AA15" s="304"/>
      <c r="AB15" s="304"/>
      <c r="AC15" s="304"/>
      <c r="AD15" s="304"/>
      <c r="AE15" s="304"/>
      <c r="AF15" s="304"/>
      <c r="AG15" s="304"/>
      <c r="AH15" s="304"/>
      <c r="AI15" s="307" t="s">
        <v>36</v>
      </c>
      <c r="AJ15" s="307"/>
      <c r="AK15" s="307"/>
      <c r="AL15" s="307"/>
    </row>
    <row r="16" spans="1:39">
      <c r="A16" s="250"/>
      <c r="B16" s="250"/>
      <c r="C16" s="251" t="s">
        <v>37</v>
      </c>
      <c r="D16" s="252">
        <v>0.7</v>
      </c>
      <c r="E16" s="253">
        <v>1.3</v>
      </c>
      <c r="F16" s="254">
        <f t="shared" si="0"/>
        <v>1</v>
      </c>
      <c r="G16" s="255">
        <v>15</v>
      </c>
      <c r="H16" s="253">
        <v>25</v>
      </c>
      <c r="I16" s="254">
        <f t="shared" si="1"/>
        <v>20</v>
      </c>
      <c r="J16" s="255">
        <v>0.5</v>
      </c>
      <c r="K16" s="253">
        <v>1</v>
      </c>
      <c r="L16" s="254">
        <f t="shared" si="2"/>
        <v>0.75</v>
      </c>
      <c r="M16" s="255">
        <v>40</v>
      </c>
      <c r="N16" s="253">
        <v>60</v>
      </c>
      <c r="O16" s="254">
        <f t="shared" si="3"/>
        <v>50</v>
      </c>
      <c r="P16" s="255">
        <v>2</v>
      </c>
      <c r="Q16" s="253">
        <v>3.5</v>
      </c>
      <c r="R16" s="254">
        <f t="shared" si="4"/>
        <v>2.75</v>
      </c>
      <c r="S16" s="255">
        <v>2</v>
      </c>
      <c r="T16" s="253">
        <v>6</v>
      </c>
      <c r="U16" s="254">
        <f t="shared" si="5"/>
        <v>4</v>
      </c>
      <c r="V16" s="283">
        <v>2</v>
      </c>
      <c r="W16" s="284">
        <v>2.5</v>
      </c>
      <c r="X16" s="296">
        <f t="shared" si="6"/>
        <v>2.25</v>
      </c>
      <c r="Y16" s="253">
        <v>9</v>
      </c>
      <c r="Z16" s="304">
        <f t="shared" si="7"/>
        <v>0.714</v>
      </c>
      <c r="AA16" s="304">
        <f>W16/100*E16*2+(1-W16/100)*E16</f>
        <v>1.3325</v>
      </c>
      <c r="AB16" s="304">
        <f t="shared" si="8"/>
        <v>1.02325</v>
      </c>
      <c r="AC16" s="304">
        <f t="shared" si="9"/>
        <v>6</v>
      </c>
      <c r="AD16" s="304">
        <f>T16/K16+Q16</f>
        <v>9.5</v>
      </c>
      <c r="AE16" s="304">
        <f t="shared" si="10"/>
        <v>7.75</v>
      </c>
      <c r="AF16" s="304">
        <f t="shared" si="11"/>
        <v>12.852</v>
      </c>
      <c r="AG16" s="304">
        <f>T16*AA16*$Y16</f>
        <v>71.955</v>
      </c>
      <c r="AH16" s="304">
        <f>U16*AB16*$Y16</f>
        <v>36.837</v>
      </c>
      <c r="AI16" s="307">
        <f t="shared" si="12"/>
        <v>2.142</v>
      </c>
      <c r="AJ16" s="307">
        <f>AG16/AD16</f>
        <v>7.57421052631579</v>
      </c>
      <c r="AK16" s="308">
        <f t="shared" si="13"/>
        <v>4.85810526315789</v>
      </c>
      <c r="AL16" s="308">
        <v>5</v>
      </c>
      <c r="AM16">
        <f t="shared" si="14"/>
        <v>6.75</v>
      </c>
    </row>
    <row r="17" spans="1:39">
      <c r="A17" s="250"/>
      <c r="B17" s="250"/>
      <c r="C17" s="256" t="s">
        <v>38</v>
      </c>
      <c r="D17" s="257">
        <v>1.2</v>
      </c>
      <c r="E17" s="258">
        <v>2</v>
      </c>
      <c r="F17" s="259">
        <f t="shared" si="0"/>
        <v>1.6</v>
      </c>
      <c r="G17" s="260">
        <v>20</v>
      </c>
      <c r="H17" s="258">
        <v>30</v>
      </c>
      <c r="I17" s="259">
        <f t="shared" si="1"/>
        <v>25</v>
      </c>
      <c r="J17" s="260">
        <v>0.625</v>
      </c>
      <c r="K17" s="258">
        <v>1.125</v>
      </c>
      <c r="L17" s="259">
        <f t="shared" si="2"/>
        <v>0.875</v>
      </c>
      <c r="M17" s="260">
        <v>45</v>
      </c>
      <c r="N17" s="258">
        <v>62.5</v>
      </c>
      <c r="O17" s="259">
        <f t="shared" si="3"/>
        <v>53.75</v>
      </c>
      <c r="P17" s="260">
        <v>2</v>
      </c>
      <c r="Q17" s="258">
        <v>3.25</v>
      </c>
      <c r="R17" s="259">
        <f t="shared" si="4"/>
        <v>2.625</v>
      </c>
      <c r="S17" s="260">
        <v>3</v>
      </c>
      <c r="T17" s="258">
        <v>7</v>
      </c>
      <c r="U17" s="259">
        <f t="shared" si="5"/>
        <v>5</v>
      </c>
      <c r="V17" s="285">
        <v>2</v>
      </c>
      <c r="W17" s="286">
        <v>2.5</v>
      </c>
      <c r="X17" s="297">
        <f t="shared" si="6"/>
        <v>2.25</v>
      </c>
      <c r="Y17" s="258">
        <v>10</v>
      </c>
      <c r="Z17" s="304">
        <f t="shared" si="7"/>
        <v>1.224</v>
      </c>
      <c r="AA17" s="304">
        <f>W17/100*E17*2+(1-W17/100)*E17</f>
        <v>2.05</v>
      </c>
      <c r="AB17" s="304">
        <f t="shared" si="8"/>
        <v>1.637</v>
      </c>
      <c r="AC17" s="304">
        <f t="shared" si="9"/>
        <v>6.8</v>
      </c>
      <c r="AD17" s="304">
        <f>T17/K17+Q17</f>
        <v>9.47222222222222</v>
      </c>
      <c r="AE17" s="304">
        <f t="shared" si="10"/>
        <v>8.13611111111111</v>
      </c>
      <c r="AF17" s="304">
        <f t="shared" si="11"/>
        <v>36.72</v>
      </c>
      <c r="AG17" s="304">
        <f>T17*AA17*$Y17</f>
        <v>143.5</v>
      </c>
      <c r="AH17" s="304">
        <f>U17*AB17*$Y17</f>
        <v>81.85</v>
      </c>
      <c r="AI17" s="307">
        <f t="shared" si="12"/>
        <v>5.4</v>
      </c>
      <c r="AJ17" s="307">
        <f>AG17/AD17</f>
        <v>15.1495601173021</v>
      </c>
      <c r="AK17" s="308">
        <f t="shared" si="13"/>
        <v>10.274780058651</v>
      </c>
      <c r="AL17" s="308">
        <v>10</v>
      </c>
      <c r="AM17">
        <f t="shared" si="14"/>
        <v>14</v>
      </c>
    </row>
    <row r="18" spans="1:39">
      <c r="A18" s="250"/>
      <c r="B18" s="250"/>
      <c r="C18" s="261" t="s">
        <v>39</v>
      </c>
      <c r="D18" s="262">
        <v>1.5</v>
      </c>
      <c r="E18" s="263">
        <v>2.2</v>
      </c>
      <c r="F18" s="264">
        <f t="shared" si="0"/>
        <v>1.85</v>
      </c>
      <c r="G18" s="265">
        <v>25</v>
      </c>
      <c r="H18" s="263">
        <v>35</v>
      </c>
      <c r="I18" s="264">
        <f t="shared" si="1"/>
        <v>30</v>
      </c>
      <c r="J18" s="265">
        <v>0.75</v>
      </c>
      <c r="K18" s="263">
        <v>1.25</v>
      </c>
      <c r="L18" s="264">
        <f t="shared" si="2"/>
        <v>1</v>
      </c>
      <c r="M18" s="265">
        <v>50</v>
      </c>
      <c r="N18" s="263">
        <v>65</v>
      </c>
      <c r="O18" s="264">
        <f t="shared" si="3"/>
        <v>57.5</v>
      </c>
      <c r="P18" s="265">
        <v>2</v>
      </c>
      <c r="Q18" s="263">
        <v>3</v>
      </c>
      <c r="R18" s="264">
        <f t="shared" si="4"/>
        <v>2.5</v>
      </c>
      <c r="S18" s="265">
        <v>4</v>
      </c>
      <c r="T18" s="263">
        <v>8</v>
      </c>
      <c r="U18" s="264">
        <f t="shared" si="5"/>
        <v>6</v>
      </c>
      <c r="V18" s="287">
        <v>2</v>
      </c>
      <c r="W18" s="288">
        <v>2.5</v>
      </c>
      <c r="X18" s="298">
        <f t="shared" si="6"/>
        <v>2.25</v>
      </c>
      <c r="Y18" s="263">
        <v>11</v>
      </c>
      <c r="Z18" s="304">
        <f t="shared" si="7"/>
        <v>1.53</v>
      </c>
      <c r="AA18" s="304">
        <f>W18/100*E18*2+(1-W18/100)*E18</f>
        <v>2.255</v>
      </c>
      <c r="AB18" s="304">
        <f t="shared" si="8"/>
        <v>1.8925</v>
      </c>
      <c r="AC18" s="304">
        <f t="shared" si="9"/>
        <v>7.33333333333333</v>
      </c>
      <c r="AD18" s="304">
        <f>T18/K18+Q18</f>
        <v>9.4</v>
      </c>
      <c r="AE18" s="304">
        <f t="shared" si="10"/>
        <v>8.36666666666667</v>
      </c>
      <c r="AF18" s="304">
        <f t="shared" si="11"/>
        <v>67.32</v>
      </c>
      <c r="AG18" s="304">
        <f>T18*AA18*$Y18</f>
        <v>198.44</v>
      </c>
      <c r="AH18" s="304">
        <f>U18*AB18*$Y18</f>
        <v>124.905</v>
      </c>
      <c r="AI18" s="307">
        <f t="shared" si="12"/>
        <v>9.18</v>
      </c>
      <c r="AJ18" s="307">
        <f>AG18/AD18</f>
        <v>21.1106382978723</v>
      </c>
      <c r="AK18" s="308">
        <f t="shared" si="13"/>
        <v>15.1453191489362</v>
      </c>
      <c r="AL18" s="308">
        <v>15</v>
      </c>
      <c r="AM18">
        <f t="shared" si="14"/>
        <v>20.35</v>
      </c>
    </row>
    <row r="19" spans="1:39">
      <c r="A19" s="250"/>
      <c r="B19" s="250"/>
      <c r="C19" s="266" t="s">
        <v>40</v>
      </c>
      <c r="D19" s="267">
        <v>1.8</v>
      </c>
      <c r="E19" s="268">
        <v>2.2</v>
      </c>
      <c r="F19" s="269">
        <f t="shared" si="0"/>
        <v>2</v>
      </c>
      <c r="G19" s="270">
        <v>30</v>
      </c>
      <c r="H19" s="268">
        <v>40</v>
      </c>
      <c r="I19" s="269">
        <f t="shared" si="1"/>
        <v>35</v>
      </c>
      <c r="J19" s="270">
        <v>0.875</v>
      </c>
      <c r="K19" s="268">
        <v>1.385</v>
      </c>
      <c r="L19" s="269">
        <f t="shared" si="2"/>
        <v>1.13</v>
      </c>
      <c r="M19" s="270">
        <v>55</v>
      </c>
      <c r="N19" s="268">
        <v>67.5</v>
      </c>
      <c r="O19" s="269">
        <f t="shared" si="3"/>
        <v>61.25</v>
      </c>
      <c r="P19" s="270">
        <v>2</v>
      </c>
      <c r="Q19" s="268">
        <v>2.75</v>
      </c>
      <c r="R19" s="269">
        <f t="shared" si="4"/>
        <v>2.375</v>
      </c>
      <c r="S19" s="270">
        <v>5</v>
      </c>
      <c r="T19" s="268">
        <v>9</v>
      </c>
      <c r="U19" s="269">
        <f t="shared" si="5"/>
        <v>7</v>
      </c>
      <c r="V19" s="289">
        <v>2</v>
      </c>
      <c r="W19" s="290">
        <v>2.5</v>
      </c>
      <c r="X19" s="299">
        <f t="shared" si="6"/>
        <v>2.25</v>
      </c>
      <c r="Y19" s="268">
        <v>12</v>
      </c>
      <c r="Z19" s="304">
        <f t="shared" si="7"/>
        <v>1.836</v>
      </c>
      <c r="AA19" s="304">
        <f>W19/100*E19*2+(1-W19/100)*E19</f>
        <v>2.255</v>
      </c>
      <c r="AB19" s="304">
        <f t="shared" si="8"/>
        <v>2.0455</v>
      </c>
      <c r="AC19" s="304">
        <f t="shared" si="9"/>
        <v>7.71428571428571</v>
      </c>
      <c r="AD19" s="304">
        <f>T19/K19+Q19</f>
        <v>9.24819494584838</v>
      </c>
      <c r="AE19" s="304">
        <f t="shared" si="10"/>
        <v>8.48124033006705</v>
      </c>
      <c r="AF19" s="304">
        <f t="shared" si="11"/>
        <v>110.16</v>
      </c>
      <c r="AG19" s="304">
        <f>T19*AA19*$Y19</f>
        <v>243.54</v>
      </c>
      <c r="AH19" s="304">
        <f>U19*AB19*$Y19</f>
        <v>171.822</v>
      </c>
      <c r="AI19" s="307">
        <f t="shared" si="12"/>
        <v>14.28</v>
      </c>
      <c r="AJ19" s="307">
        <f>AG19/AD19</f>
        <v>26.3337874499854</v>
      </c>
      <c r="AK19" s="308">
        <f t="shared" si="13"/>
        <v>20.3068937249927</v>
      </c>
      <c r="AL19" s="308">
        <v>20</v>
      </c>
      <c r="AM19">
        <f t="shared" si="14"/>
        <v>27.12</v>
      </c>
    </row>
    <row r="20" spans="1:39">
      <c r="A20" s="250"/>
      <c r="B20" s="250"/>
      <c r="C20" s="271" t="s">
        <v>41</v>
      </c>
      <c r="D20" s="272">
        <v>1.9</v>
      </c>
      <c r="E20" s="273">
        <v>2.2</v>
      </c>
      <c r="F20" s="274">
        <f t="shared" si="0"/>
        <v>2.05</v>
      </c>
      <c r="G20" s="275">
        <v>35</v>
      </c>
      <c r="H20" s="273">
        <v>45</v>
      </c>
      <c r="I20" s="274">
        <f t="shared" si="1"/>
        <v>40</v>
      </c>
      <c r="J20" s="275">
        <v>1</v>
      </c>
      <c r="K20" s="273">
        <v>1.5</v>
      </c>
      <c r="L20" s="274">
        <f t="shared" si="2"/>
        <v>1.25</v>
      </c>
      <c r="M20" s="275">
        <v>60</v>
      </c>
      <c r="N20" s="273">
        <v>70</v>
      </c>
      <c r="O20" s="274">
        <f t="shared" si="3"/>
        <v>65</v>
      </c>
      <c r="P20" s="275">
        <v>2</v>
      </c>
      <c r="Q20" s="273">
        <v>2.5</v>
      </c>
      <c r="R20" s="274">
        <f t="shared" si="4"/>
        <v>2.25</v>
      </c>
      <c r="S20" s="275">
        <v>6</v>
      </c>
      <c r="T20" s="273">
        <v>10</v>
      </c>
      <c r="U20" s="274">
        <f t="shared" si="5"/>
        <v>8</v>
      </c>
      <c r="V20" s="291">
        <v>2</v>
      </c>
      <c r="W20" s="292">
        <v>2.5</v>
      </c>
      <c r="X20" s="300">
        <f t="shared" si="6"/>
        <v>2.25</v>
      </c>
      <c r="Y20" s="273">
        <v>13</v>
      </c>
      <c r="Z20" s="304">
        <f t="shared" si="7"/>
        <v>1.938</v>
      </c>
      <c r="AA20" s="304">
        <f>W20/100*E20*2+(1-W20/100)*E20</f>
        <v>2.255</v>
      </c>
      <c r="AB20" s="304">
        <f t="shared" si="8"/>
        <v>2.0965</v>
      </c>
      <c r="AC20" s="304">
        <f t="shared" si="9"/>
        <v>8</v>
      </c>
      <c r="AD20" s="304">
        <f>T20/K20+Q20</f>
        <v>9.16666666666667</v>
      </c>
      <c r="AE20" s="304">
        <f t="shared" si="10"/>
        <v>8.58333333333333</v>
      </c>
      <c r="AF20" s="304">
        <f t="shared" si="11"/>
        <v>151.164</v>
      </c>
      <c r="AG20" s="304">
        <f>T20*AA20*$Y20</f>
        <v>293.15</v>
      </c>
      <c r="AH20" s="304">
        <f>U20*AB20*$Y20</f>
        <v>218.036</v>
      </c>
      <c r="AI20" s="307">
        <f t="shared" si="12"/>
        <v>18.8955</v>
      </c>
      <c r="AJ20" s="307">
        <f>AG20/AD20</f>
        <v>31.98</v>
      </c>
      <c r="AK20" s="308">
        <f t="shared" si="13"/>
        <v>25.43775</v>
      </c>
      <c r="AL20" s="308">
        <v>25</v>
      </c>
      <c r="AM20">
        <f t="shared" si="14"/>
        <v>33.3125</v>
      </c>
    </row>
    <row r="21" spans="1:38">
      <c r="A21" s="87" t="s">
        <v>42</v>
      </c>
      <c r="B21" s="87" t="b">
        <v>0</v>
      </c>
      <c r="C21" s="87"/>
      <c r="D21" s="279"/>
      <c r="E21" s="280"/>
      <c r="F21" s="281"/>
      <c r="G21" s="282" t="s">
        <v>21</v>
      </c>
      <c r="H21" s="282"/>
      <c r="I21" s="295"/>
      <c r="J21" s="276"/>
      <c r="K21" s="277"/>
      <c r="L21" s="278"/>
      <c r="M21" s="276"/>
      <c r="N21" s="277"/>
      <c r="O21" s="278"/>
      <c r="P21" s="276"/>
      <c r="Q21" s="277"/>
      <c r="R21" s="278"/>
      <c r="S21" s="276"/>
      <c r="T21" s="277"/>
      <c r="U21" s="278"/>
      <c r="V21" s="276"/>
      <c r="W21" s="302"/>
      <c r="X21" s="278"/>
      <c r="Y21" s="277"/>
      <c r="Z21" s="304"/>
      <c r="AA21" s="304"/>
      <c r="AB21" s="304"/>
      <c r="AC21" s="304"/>
      <c r="AD21" s="304"/>
      <c r="AE21" s="304"/>
      <c r="AF21" s="304"/>
      <c r="AG21" s="304"/>
      <c r="AH21" s="304"/>
      <c r="AI21" s="307" t="s">
        <v>43</v>
      </c>
      <c r="AJ21" s="307"/>
      <c r="AK21" s="307"/>
      <c r="AL21" s="307"/>
    </row>
    <row r="22" spans="1:39">
      <c r="A22" s="250"/>
      <c r="B22" s="250"/>
      <c r="C22" s="251" t="s">
        <v>44</v>
      </c>
      <c r="D22" s="252">
        <v>1.1</v>
      </c>
      <c r="E22" s="253">
        <v>2.2</v>
      </c>
      <c r="F22" s="254">
        <f t="shared" si="0"/>
        <v>1.65</v>
      </c>
      <c r="G22" s="283">
        <v>50</v>
      </c>
      <c r="H22" s="284">
        <v>60</v>
      </c>
      <c r="I22" s="296">
        <f t="shared" si="1"/>
        <v>55</v>
      </c>
      <c r="J22" s="255">
        <v>4</v>
      </c>
      <c r="K22" s="253">
        <v>7</v>
      </c>
      <c r="L22" s="254">
        <f t="shared" si="2"/>
        <v>5.5</v>
      </c>
      <c r="M22" s="255">
        <v>50</v>
      </c>
      <c r="N22" s="253">
        <v>65</v>
      </c>
      <c r="O22" s="254">
        <f t="shared" si="3"/>
        <v>57.5</v>
      </c>
      <c r="P22" s="255">
        <v>2</v>
      </c>
      <c r="Q22" s="253">
        <v>3</v>
      </c>
      <c r="R22" s="254">
        <f t="shared" si="4"/>
        <v>2.5</v>
      </c>
      <c r="S22" s="255">
        <v>10</v>
      </c>
      <c r="T22" s="253">
        <v>20</v>
      </c>
      <c r="U22" s="254">
        <f t="shared" si="5"/>
        <v>15</v>
      </c>
      <c r="V22" s="255">
        <v>1</v>
      </c>
      <c r="W22" s="253">
        <v>2.5</v>
      </c>
      <c r="X22" s="254">
        <f t="shared" si="6"/>
        <v>1.75</v>
      </c>
      <c r="Y22" s="253">
        <v>1</v>
      </c>
      <c r="Z22" s="304">
        <f t="shared" si="7"/>
        <v>1.111</v>
      </c>
      <c r="AA22" s="304">
        <f>W22/100*E22*2+(1-W22/100)*E22</f>
        <v>2.255</v>
      </c>
      <c r="AB22" s="304">
        <f t="shared" si="8"/>
        <v>1.683</v>
      </c>
      <c r="AC22" s="304">
        <f t="shared" si="9"/>
        <v>4.5</v>
      </c>
      <c r="AD22" s="304">
        <f>T22/K22+Q22</f>
        <v>5.85714285714286</v>
      </c>
      <c r="AE22" s="304">
        <f t="shared" si="10"/>
        <v>5.17857142857143</v>
      </c>
      <c r="AF22" s="304">
        <f t="shared" si="11"/>
        <v>11.11</v>
      </c>
      <c r="AG22" s="304">
        <f>T22*AA22*$Y22</f>
        <v>45.1</v>
      </c>
      <c r="AH22" s="304">
        <f>U22*AB22*$Y22</f>
        <v>25.245</v>
      </c>
      <c r="AI22" s="307">
        <f t="shared" si="12"/>
        <v>2.46888888888889</v>
      </c>
      <c r="AJ22" s="307">
        <f>AG22/AD22</f>
        <v>7.7</v>
      </c>
      <c r="AK22" s="308">
        <f t="shared" si="13"/>
        <v>5.08444444444444</v>
      </c>
      <c r="AL22" s="308">
        <v>5</v>
      </c>
      <c r="AM22">
        <f t="shared" si="14"/>
        <v>9.075</v>
      </c>
    </row>
    <row r="23" spans="1:39">
      <c r="A23" s="250"/>
      <c r="B23" s="250"/>
      <c r="C23" s="256" t="s">
        <v>45</v>
      </c>
      <c r="D23" s="257">
        <v>2</v>
      </c>
      <c r="E23" s="258">
        <v>3.1</v>
      </c>
      <c r="F23" s="259">
        <f t="shared" si="0"/>
        <v>2.55</v>
      </c>
      <c r="G23" s="285">
        <v>50</v>
      </c>
      <c r="H23" s="286">
        <v>60</v>
      </c>
      <c r="I23" s="297">
        <f t="shared" si="1"/>
        <v>55</v>
      </c>
      <c r="J23" s="260">
        <v>5</v>
      </c>
      <c r="K23" s="258">
        <v>8</v>
      </c>
      <c r="L23" s="259">
        <f t="shared" si="2"/>
        <v>6.5</v>
      </c>
      <c r="M23" s="260">
        <v>55</v>
      </c>
      <c r="N23" s="258">
        <v>70</v>
      </c>
      <c r="O23" s="259">
        <f t="shared" si="3"/>
        <v>62.5</v>
      </c>
      <c r="P23" s="260">
        <v>1.75</v>
      </c>
      <c r="Q23" s="258">
        <v>2.75</v>
      </c>
      <c r="R23" s="259">
        <f t="shared" si="4"/>
        <v>2.25</v>
      </c>
      <c r="S23" s="260">
        <v>15</v>
      </c>
      <c r="T23" s="258">
        <v>25</v>
      </c>
      <c r="U23" s="259">
        <f t="shared" si="5"/>
        <v>20</v>
      </c>
      <c r="V23" s="260">
        <v>1.25</v>
      </c>
      <c r="W23" s="258">
        <v>2.75</v>
      </c>
      <c r="X23" s="259">
        <f t="shared" si="6"/>
        <v>2</v>
      </c>
      <c r="Y23" s="258">
        <v>1</v>
      </c>
      <c r="Z23" s="304">
        <f t="shared" si="7"/>
        <v>2.025</v>
      </c>
      <c r="AA23" s="304">
        <f>W23/100*E23*2+(1-W23/100)*E23</f>
        <v>3.18525</v>
      </c>
      <c r="AB23" s="304">
        <f t="shared" si="8"/>
        <v>2.605125</v>
      </c>
      <c r="AC23" s="304">
        <f t="shared" si="9"/>
        <v>4.75</v>
      </c>
      <c r="AD23" s="304">
        <f>T23/K23+Q23</f>
        <v>5.875</v>
      </c>
      <c r="AE23" s="304">
        <f t="shared" si="10"/>
        <v>5.3125</v>
      </c>
      <c r="AF23" s="304">
        <f t="shared" si="11"/>
        <v>30.375</v>
      </c>
      <c r="AG23" s="304">
        <f>T23*AA23*$Y23</f>
        <v>79.63125</v>
      </c>
      <c r="AH23" s="304">
        <f>U23*AB23*$Y23</f>
        <v>52.1025</v>
      </c>
      <c r="AI23" s="307">
        <f t="shared" si="12"/>
        <v>6.39473684210526</v>
      </c>
      <c r="AJ23" s="307">
        <f>AG23/AD23</f>
        <v>13.5542553191489</v>
      </c>
      <c r="AK23" s="308">
        <f t="shared" si="13"/>
        <v>9.9744960806271</v>
      </c>
      <c r="AL23" s="308">
        <v>10</v>
      </c>
      <c r="AM23">
        <f t="shared" si="14"/>
        <v>16.575</v>
      </c>
    </row>
    <row r="24" spans="1:39">
      <c r="A24" s="250"/>
      <c r="B24" s="250"/>
      <c r="C24" s="261" t="s">
        <v>46</v>
      </c>
      <c r="D24" s="262">
        <v>2.7</v>
      </c>
      <c r="E24" s="263">
        <v>3.5</v>
      </c>
      <c r="F24" s="264">
        <f t="shared" si="0"/>
        <v>3.1</v>
      </c>
      <c r="G24" s="287">
        <v>50</v>
      </c>
      <c r="H24" s="288">
        <v>60</v>
      </c>
      <c r="I24" s="298">
        <f t="shared" si="1"/>
        <v>55</v>
      </c>
      <c r="J24" s="265">
        <v>6</v>
      </c>
      <c r="K24" s="263">
        <v>9</v>
      </c>
      <c r="L24" s="264">
        <f t="shared" si="2"/>
        <v>7.5</v>
      </c>
      <c r="M24" s="265">
        <v>60</v>
      </c>
      <c r="N24" s="263">
        <v>75</v>
      </c>
      <c r="O24" s="264">
        <f t="shared" si="3"/>
        <v>67.5</v>
      </c>
      <c r="P24" s="265">
        <v>1.5</v>
      </c>
      <c r="Q24" s="263">
        <v>2.5</v>
      </c>
      <c r="R24" s="264">
        <f t="shared" si="4"/>
        <v>2</v>
      </c>
      <c r="S24" s="265">
        <v>20</v>
      </c>
      <c r="T24" s="263">
        <v>30</v>
      </c>
      <c r="U24" s="264">
        <f t="shared" si="5"/>
        <v>25</v>
      </c>
      <c r="V24" s="265">
        <v>1.5</v>
      </c>
      <c r="W24" s="263">
        <v>3</v>
      </c>
      <c r="X24" s="264">
        <f t="shared" si="6"/>
        <v>2.25</v>
      </c>
      <c r="Y24" s="263">
        <v>1</v>
      </c>
      <c r="Z24" s="304">
        <f t="shared" si="7"/>
        <v>2.7405</v>
      </c>
      <c r="AA24" s="304">
        <f>W24/100*E24*2+(1-W24/100)*E24</f>
        <v>3.605</v>
      </c>
      <c r="AB24" s="304">
        <f t="shared" si="8"/>
        <v>3.17275</v>
      </c>
      <c r="AC24" s="304">
        <f t="shared" si="9"/>
        <v>4.83333333333333</v>
      </c>
      <c r="AD24" s="304">
        <f>T24/K24+Q24</f>
        <v>5.83333333333333</v>
      </c>
      <c r="AE24" s="304">
        <f t="shared" si="10"/>
        <v>5.33333333333333</v>
      </c>
      <c r="AF24" s="304">
        <f t="shared" si="11"/>
        <v>54.81</v>
      </c>
      <c r="AG24" s="304">
        <f>T24*AA24*$Y24</f>
        <v>108.15</v>
      </c>
      <c r="AH24" s="304">
        <f>U24*AB24*$Y24</f>
        <v>79.31875</v>
      </c>
      <c r="AI24" s="307">
        <f t="shared" si="12"/>
        <v>11.34</v>
      </c>
      <c r="AJ24" s="307">
        <f>AG24/AD24</f>
        <v>18.54</v>
      </c>
      <c r="AK24" s="308">
        <f t="shared" si="13"/>
        <v>14.94</v>
      </c>
      <c r="AL24" s="308">
        <v>15</v>
      </c>
      <c r="AM24">
        <f t="shared" si="14"/>
        <v>23.25</v>
      </c>
    </row>
    <row r="25" spans="1:39">
      <c r="A25" s="250"/>
      <c r="B25" s="250"/>
      <c r="C25" s="266" t="s">
        <v>47</v>
      </c>
      <c r="D25" s="267">
        <v>3</v>
      </c>
      <c r="E25" s="268">
        <v>3.8</v>
      </c>
      <c r="F25" s="269">
        <f t="shared" si="0"/>
        <v>3.4</v>
      </c>
      <c r="G25" s="289">
        <v>50</v>
      </c>
      <c r="H25" s="290">
        <v>60</v>
      </c>
      <c r="I25" s="299">
        <f t="shared" si="1"/>
        <v>55</v>
      </c>
      <c r="J25" s="270">
        <v>7</v>
      </c>
      <c r="K25" s="268">
        <v>10</v>
      </c>
      <c r="L25" s="269">
        <f t="shared" si="2"/>
        <v>8.5</v>
      </c>
      <c r="M25" s="270">
        <v>65</v>
      </c>
      <c r="N25" s="268">
        <v>80</v>
      </c>
      <c r="O25" s="269">
        <f t="shared" si="3"/>
        <v>72.5</v>
      </c>
      <c r="P25" s="270">
        <v>1.25</v>
      </c>
      <c r="Q25" s="268">
        <v>2.25</v>
      </c>
      <c r="R25" s="269">
        <f t="shared" si="4"/>
        <v>1.75</v>
      </c>
      <c r="S25" s="270">
        <v>25</v>
      </c>
      <c r="T25" s="268">
        <v>35</v>
      </c>
      <c r="U25" s="269">
        <f t="shared" si="5"/>
        <v>30</v>
      </c>
      <c r="V25" s="270">
        <v>1.75</v>
      </c>
      <c r="W25" s="268">
        <v>3.25</v>
      </c>
      <c r="X25" s="269">
        <f t="shared" si="6"/>
        <v>2.5</v>
      </c>
      <c r="Y25" s="268">
        <v>1</v>
      </c>
      <c r="Z25" s="304">
        <f t="shared" si="7"/>
        <v>3.0525</v>
      </c>
      <c r="AA25" s="304">
        <f>W25/100*E25*2+(1-W25/100)*E25</f>
        <v>3.9235</v>
      </c>
      <c r="AB25" s="304">
        <f t="shared" si="8"/>
        <v>3.488</v>
      </c>
      <c r="AC25" s="304">
        <f t="shared" si="9"/>
        <v>4.82142857142857</v>
      </c>
      <c r="AD25" s="304">
        <f>T25/K25+Q25</f>
        <v>5.75</v>
      </c>
      <c r="AE25" s="304">
        <f t="shared" si="10"/>
        <v>5.28571428571429</v>
      </c>
      <c r="AF25" s="304">
        <f t="shared" si="11"/>
        <v>76.3125</v>
      </c>
      <c r="AG25" s="304">
        <f>T25*AA25*$Y25</f>
        <v>137.3225</v>
      </c>
      <c r="AH25" s="304">
        <f>U25*AB25*$Y25</f>
        <v>104.64</v>
      </c>
      <c r="AI25" s="307">
        <f t="shared" si="12"/>
        <v>15.8277777777778</v>
      </c>
      <c r="AJ25" s="307">
        <f>AG25/AD25</f>
        <v>23.8821739130435</v>
      </c>
      <c r="AK25" s="308">
        <f t="shared" si="13"/>
        <v>19.8549758454106</v>
      </c>
      <c r="AL25" s="308">
        <v>20</v>
      </c>
      <c r="AM25">
        <f t="shared" si="14"/>
        <v>28.9</v>
      </c>
    </row>
    <row r="26" spans="1:39">
      <c r="A26" s="250"/>
      <c r="B26" s="250"/>
      <c r="C26" s="271" t="s">
        <v>48</v>
      </c>
      <c r="D26" s="272">
        <v>3.2</v>
      </c>
      <c r="E26" s="273">
        <v>4</v>
      </c>
      <c r="F26" s="274">
        <f t="shared" si="0"/>
        <v>3.6</v>
      </c>
      <c r="G26" s="291">
        <v>50</v>
      </c>
      <c r="H26" s="292">
        <v>60</v>
      </c>
      <c r="I26" s="300">
        <f t="shared" si="1"/>
        <v>55</v>
      </c>
      <c r="J26" s="275">
        <v>8</v>
      </c>
      <c r="K26" s="273">
        <v>11</v>
      </c>
      <c r="L26" s="274">
        <f t="shared" si="2"/>
        <v>9.5</v>
      </c>
      <c r="M26" s="275">
        <v>70</v>
      </c>
      <c r="N26" s="273">
        <v>85</v>
      </c>
      <c r="O26" s="274">
        <f t="shared" si="3"/>
        <v>77.5</v>
      </c>
      <c r="P26" s="275">
        <v>1</v>
      </c>
      <c r="Q26" s="273">
        <v>2</v>
      </c>
      <c r="R26" s="274">
        <f t="shared" si="4"/>
        <v>1.5</v>
      </c>
      <c r="S26" s="275">
        <v>30</v>
      </c>
      <c r="T26" s="273">
        <v>40</v>
      </c>
      <c r="U26" s="274">
        <f t="shared" si="5"/>
        <v>35</v>
      </c>
      <c r="V26" s="275">
        <v>2</v>
      </c>
      <c r="W26" s="273">
        <v>3.5</v>
      </c>
      <c r="X26" s="274">
        <f t="shared" si="6"/>
        <v>2.75</v>
      </c>
      <c r="Y26" s="273">
        <v>1</v>
      </c>
      <c r="Z26" s="304">
        <f t="shared" si="7"/>
        <v>3.264</v>
      </c>
      <c r="AA26" s="304">
        <f>W26/100*E26*2+(1-W26/100)*E26</f>
        <v>4.14</v>
      </c>
      <c r="AB26" s="304">
        <f t="shared" si="8"/>
        <v>3.702</v>
      </c>
      <c r="AC26" s="304">
        <f t="shared" si="9"/>
        <v>4.75</v>
      </c>
      <c r="AD26" s="304">
        <f>T26/K26+Q26</f>
        <v>5.63636363636364</v>
      </c>
      <c r="AE26" s="304">
        <f t="shared" si="10"/>
        <v>5.19318181818182</v>
      </c>
      <c r="AF26" s="304">
        <f t="shared" si="11"/>
        <v>97.92</v>
      </c>
      <c r="AG26" s="304">
        <f>T26*AA26*$Y26</f>
        <v>165.6</v>
      </c>
      <c r="AH26" s="304">
        <f>U26*AB26*$Y26</f>
        <v>129.57</v>
      </c>
      <c r="AI26" s="307">
        <f t="shared" si="12"/>
        <v>20.6147368421053</v>
      </c>
      <c r="AJ26" s="307">
        <f>AG26/AD26</f>
        <v>29.3806451612903</v>
      </c>
      <c r="AK26" s="308">
        <f t="shared" si="13"/>
        <v>24.9976910016978</v>
      </c>
      <c r="AL26" s="308">
        <v>25</v>
      </c>
      <c r="AM26">
        <f t="shared" si="14"/>
        <v>34.2</v>
      </c>
    </row>
    <row r="27" spans="1:38">
      <c r="A27" s="87" t="s">
        <v>49</v>
      </c>
      <c r="B27" s="87" t="b">
        <v>0</v>
      </c>
      <c r="C27" s="87"/>
      <c r="D27" s="276"/>
      <c r="E27" s="277"/>
      <c r="F27" s="278"/>
      <c r="G27" s="276"/>
      <c r="H27" s="277"/>
      <c r="I27" s="278"/>
      <c r="J27" s="276"/>
      <c r="K27" s="277"/>
      <c r="L27" s="278"/>
      <c r="M27" s="282" t="s">
        <v>21</v>
      </c>
      <c r="N27" s="282"/>
      <c r="O27" s="295"/>
      <c r="P27" s="276"/>
      <c r="Q27" s="277"/>
      <c r="R27" s="278"/>
      <c r="S27" s="276"/>
      <c r="T27" s="277"/>
      <c r="U27" s="278"/>
      <c r="V27" s="276"/>
      <c r="W27" s="302"/>
      <c r="X27" s="278"/>
      <c r="Y27" s="277"/>
      <c r="Z27" s="304"/>
      <c r="AA27" s="304"/>
      <c r="AB27" s="304"/>
      <c r="AC27" s="304"/>
      <c r="AD27" s="304"/>
      <c r="AE27" s="304"/>
      <c r="AF27" s="304"/>
      <c r="AG27" s="304"/>
      <c r="AH27" s="304"/>
      <c r="AI27" s="307" t="s">
        <v>50</v>
      </c>
      <c r="AJ27" s="307"/>
      <c r="AK27" s="307"/>
      <c r="AL27" s="307"/>
    </row>
    <row r="28" spans="1:39">
      <c r="A28" s="250"/>
      <c r="B28" s="250"/>
      <c r="C28" s="251" t="s">
        <v>51</v>
      </c>
      <c r="D28" s="252">
        <v>2.25</v>
      </c>
      <c r="E28" s="253">
        <v>3.25</v>
      </c>
      <c r="F28" s="254">
        <f t="shared" si="0"/>
        <v>2.75</v>
      </c>
      <c r="G28" s="255">
        <v>30</v>
      </c>
      <c r="H28" s="253">
        <v>40</v>
      </c>
      <c r="I28" s="254">
        <f t="shared" si="1"/>
        <v>35</v>
      </c>
      <c r="J28" s="255">
        <v>1.5</v>
      </c>
      <c r="K28" s="253">
        <v>4</v>
      </c>
      <c r="L28" s="254">
        <f t="shared" si="2"/>
        <v>2.75</v>
      </c>
      <c r="M28" s="283">
        <v>20</v>
      </c>
      <c r="N28" s="284">
        <v>50</v>
      </c>
      <c r="O28" s="296">
        <f t="shared" si="3"/>
        <v>35</v>
      </c>
      <c r="P28" s="255">
        <v>8</v>
      </c>
      <c r="Q28" s="253">
        <v>12</v>
      </c>
      <c r="R28" s="254">
        <f t="shared" si="4"/>
        <v>10</v>
      </c>
      <c r="S28" s="255">
        <v>30</v>
      </c>
      <c r="T28" s="253">
        <v>60</v>
      </c>
      <c r="U28" s="254">
        <f t="shared" si="5"/>
        <v>45</v>
      </c>
      <c r="V28" s="255">
        <v>2</v>
      </c>
      <c r="W28" s="253">
        <v>4</v>
      </c>
      <c r="X28" s="254">
        <f t="shared" si="6"/>
        <v>3</v>
      </c>
      <c r="Y28" s="253">
        <v>1</v>
      </c>
      <c r="Z28" s="304">
        <f t="shared" si="7"/>
        <v>2.295</v>
      </c>
      <c r="AA28" s="304">
        <f>W28/100*E28*2+(1-W28/100)*E28</f>
        <v>3.38</v>
      </c>
      <c r="AB28" s="304">
        <f t="shared" si="8"/>
        <v>2.8375</v>
      </c>
      <c r="AC28" s="304">
        <f t="shared" si="9"/>
        <v>28</v>
      </c>
      <c r="AD28" s="304">
        <f>T28/K28+Q28</f>
        <v>27</v>
      </c>
      <c r="AE28" s="304">
        <f t="shared" si="10"/>
        <v>27.5</v>
      </c>
      <c r="AF28" s="304">
        <f t="shared" si="11"/>
        <v>68.85</v>
      </c>
      <c r="AG28" s="304">
        <f>T28*AA28*$Y28</f>
        <v>202.8</v>
      </c>
      <c r="AH28" s="304">
        <f>U28*AB28*$Y28</f>
        <v>127.6875</v>
      </c>
      <c r="AI28" s="307">
        <f t="shared" si="12"/>
        <v>2.45892857142857</v>
      </c>
      <c r="AJ28" s="307">
        <f>AG28/AD28</f>
        <v>7.51111111111111</v>
      </c>
      <c r="AK28" s="308">
        <f t="shared" si="13"/>
        <v>4.98501984126984</v>
      </c>
      <c r="AL28" s="308">
        <v>5</v>
      </c>
      <c r="AM28">
        <f t="shared" si="14"/>
        <v>7.5625</v>
      </c>
    </row>
    <row r="29" spans="1:39">
      <c r="A29" s="250"/>
      <c r="B29" s="250"/>
      <c r="C29" s="256" t="s">
        <v>52</v>
      </c>
      <c r="D29" s="257">
        <v>4.25</v>
      </c>
      <c r="E29" s="258">
        <v>6.25</v>
      </c>
      <c r="F29" s="259">
        <f t="shared" si="0"/>
        <v>5.25</v>
      </c>
      <c r="G29" s="260">
        <v>35</v>
      </c>
      <c r="H29" s="258">
        <v>45</v>
      </c>
      <c r="I29" s="259">
        <f t="shared" si="1"/>
        <v>40</v>
      </c>
      <c r="J29" s="260">
        <v>1.625</v>
      </c>
      <c r="K29" s="258">
        <v>4</v>
      </c>
      <c r="L29" s="259">
        <f t="shared" si="2"/>
        <v>2.8125</v>
      </c>
      <c r="M29" s="285">
        <v>20</v>
      </c>
      <c r="N29" s="286">
        <v>50</v>
      </c>
      <c r="O29" s="297">
        <f t="shared" si="3"/>
        <v>35</v>
      </c>
      <c r="P29" s="260">
        <v>8.5</v>
      </c>
      <c r="Q29" s="258">
        <v>14</v>
      </c>
      <c r="R29" s="259">
        <f t="shared" si="4"/>
        <v>11.25</v>
      </c>
      <c r="S29" s="260">
        <v>37</v>
      </c>
      <c r="T29" s="258">
        <v>75</v>
      </c>
      <c r="U29" s="259">
        <f t="shared" si="5"/>
        <v>56</v>
      </c>
      <c r="V29" s="260">
        <v>4</v>
      </c>
      <c r="W29" s="258">
        <v>6</v>
      </c>
      <c r="X29" s="259">
        <f t="shared" si="6"/>
        <v>5</v>
      </c>
      <c r="Y29" s="258">
        <v>1</v>
      </c>
      <c r="Z29" s="304">
        <f t="shared" si="7"/>
        <v>4.42</v>
      </c>
      <c r="AA29" s="304">
        <f>W29/100*E29*2+(1-W29/100)*E29</f>
        <v>6.625</v>
      </c>
      <c r="AB29" s="304">
        <f t="shared" si="8"/>
        <v>5.5225</v>
      </c>
      <c r="AC29" s="304">
        <f t="shared" si="9"/>
        <v>31.2692307692308</v>
      </c>
      <c r="AD29" s="304">
        <f>T29/K29+Q29</f>
        <v>32.75</v>
      </c>
      <c r="AE29" s="304">
        <f t="shared" si="10"/>
        <v>32.0096153846154</v>
      </c>
      <c r="AF29" s="304">
        <f t="shared" si="11"/>
        <v>163.54</v>
      </c>
      <c r="AG29" s="304">
        <f>T29*AA29*$Y29</f>
        <v>496.875</v>
      </c>
      <c r="AH29" s="304">
        <f>U29*AB29*$Y29</f>
        <v>309.26</v>
      </c>
      <c r="AI29" s="307">
        <f t="shared" si="12"/>
        <v>5.23006150061501</v>
      </c>
      <c r="AJ29" s="307">
        <f>AG29/AD29</f>
        <v>15.1717557251908</v>
      </c>
      <c r="AK29" s="308">
        <f t="shared" si="13"/>
        <v>10.2009086129029</v>
      </c>
      <c r="AL29" s="308">
        <v>10</v>
      </c>
      <c r="AM29">
        <f t="shared" si="14"/>
        <v>14.765625</v>
      </c>
    </row>
    <row r="30" spans="1:39">
      <c r="A30" s="250"/>
      <c r="B30" s="250"/>
      <c r="C30" s="261" t="s">
        <v>53</v>
      </c>
      <c r="D30" s="262">
        <v>6</v>
      </c>
      <c r="E30" s="263">
        <v>8.75</v>
      </c>
      <c r="F30" s="264">
        <f t="shared" si="0"/>
        <v>7.375</v>
      </c>
      <c r="G30" s="265">
        <v>40</v>
      </c>
      <c r="H30" s="263">
        <v>50</v>
      </c>
      <c r="I30" s="264">
        <f t="shared" si="1"/>
        <v>45</v>
      </c>
      <c r="J30" s="265">
        <v>1.75</v>
      </c>
      <c r="K30" s="263">
        <v>4</v>
      </c>
      <c r="L30" s="264">
        <f t="shared" si="2"/>
        <v>2.875</v>
      </c>
      <c r="M30" s="287">
        <v>20</v>
      </c>
      <c r="N30" s="288">
        <v>50</v>
      </c>
      <c r="O30" s="298">
        <f t="shared" si="3"/>
        <v>35</v>
      </c>
      <c r="P30" s="265">
        <v>9</v>
      </c>
      <c r="Q30" s="263">
        <v>16</v>
      </c>
      <c r="R30" s="264">
        <f t="shared" si="4"/>
        <v>12.5</v>
      </c>
      <c r="S30" s="265">
        <v>45</v>
      </c>
      <c r="T30" s="263">
        <v>90</v>
      </c>
      <c r="U30" s="264">
        <f t="shared" si="5"/>
        <v>67.5</v>
      </c>
      <c r="V30" s="265">
        <v>6</v>
      </c>
      <c r="W30" s="263">
        <v>8</v>
      </c>
      <c r="X30" s="264">
        <f t="shared" si="6"/>
        <v>7</v>
      </c>
      <c r="Y30" s="263">
        <v>1</v>
      </c>
      <c r="Z30" s="304">
        <f t="shared" si="7"/>
        <v>6.36</v>
      </c>
      <c r="AA30" s="304">
        <f>W30/100*E30*2+(1-W30/100)*E30</f>
        <v>9.45</v>
      </c>
      <c r="AB30" s="304">
        <f t="shared" si="8"/>
        <v>7.905</v>
      </c>
      <c r="AC30" s="304">
        <f t="shared" si="9"/>
        <v>34.7142857142857</v>
      </c>
      <c r="AD30" s="304">
        <f>T30/K30+Q30</f>
        <v>38.5</v>
      </c>
      <c r="AE30" s="304">
        <f t="shared" si="10"/>
        <v>36.6071428571429</v>
      </c>
      <c r="AF30" s="304">
        <f t="shared" si="11"/>
        <v>286.2</v>
      </c>
      <c r="AG30" s="304">
        <f>T30*AA30*$Y30</f>
        <v>850.5</v>
      </c>
      <c r="AH30" s="304">
        <f>U30*AB30*$Y30</f>
        <v>533.5875</v>
      </c>
      <c r="AI30" s="307">
        <f t="shared" si="12"/>
        <v>8.24444444444444</v>
      </c>
      <c r="AJ30" s="307">
        <f>AG30/AD30</f>
        <v>22.0909090909091</v>
      </c>
      <c r="AK30" s="308">
        <f t="shared" si="13"/>
        <v>15.1676767676768</v>
      </c>
      <c r="AL30" s="308">
        <v>15</v>
      </c>
      <c r="AM30">
        <f t="shared" si="14"/>
        <v>21.203125</v>
      </c>
    </row>
    <row r="31" spans="1:39">
      <c r="A31" s="250"/>
      <c r="B31" s="250"/>
      <c r="C31" s="266" t="s">
        <v>54</v>
      </c>
      <c r="D31" s="267">
        <v>8.5</v>
      </c>
      <c r="E31" s="268">
        <v>10.5</v>
      </c>
      <c r="F31" s="269">
        <f t="shared" si="0"/>
        <v>9.5</v>
      </c>
      <c r="G31" s="270">
        <v>45</v>
      </c>
      <c r="H31" s="268">
        <v>55</v>
      </c>
      <c r="I31" s="269">
        <f t="shared" si="1"/>
        <v>50</v>
      </c>
      <c r="J31" s="270">
        <v>1.875</v>
      </c>
      <c r="K31" s="268">
        <v>4</v>
      </c>
      <c r="L31" s="269">
        <f t="shared" si="2"/>
        <v>2.9375</v>
      </c>
      <c r="M31" s="289">
        <v>20</v>
      </c>
      <c r="N31" s="290">
        <v>50</v>
      </c>
      <c r="O31" s="299">
        <f t="shared" si="3"/>
        <v>35</v>
      </c>
      <c r="P31" s="270">
        <v>9.5</v>
      </c>
      <c r="Q31" s="268">
        <v>18</v>
      </c>
      <c r="R31" s="269">
        <f t="shared" si="4"/>
        <v>13.75</v>
      </c>
      <c r="S31" s="270">
        <v>52</v>
      </c>
      <c r="T31" s="268">
        <v>105</v>
      </c>
      <c r="U31" s="269">
        <f t="shared" si="5"/>
        <v>78.5</v>
      </c>
      <c r="V31" s="270">
        <v>8</v>
      </c>
      <c r="W31" s="268">
        <v>10</v>
      </c>
      <c r="X31" s="269">
        <f t="shared" si="6"/>
        <v>9</v>
      </c>
      <c r="Y31" s="268">
        <v>1</v>
      </c>
      <c r="Z31" s="304">
        <f t="shared" si="7"/>
        <v>9.18</v>
      </c>
      <c r="AA31" s="304">
        <f>W31/100*E31*2+(1-W31/100)*E31</f>
        <v>11.55</v>
      </c>
      <c r="AB31" s="304">
        <f t="shared" si="8"/>
        <v>10.365</v>
      </c>
      <c r="AC31" s="304">
        <f t="shared" si="9"/>
        <v>37.2333333333333</v>
      </c>
      <c r="AD31" s="304">
        <f>T31/K31+Q31</f>
        <v>44.25</v>
      </c>
      <c r="AE31" s="304">
        <f t="shared" si="10"/>
        <v>40.7416666666667</v>
      </c>
      <c r="AF31" s="304">
        <f t="shared" si="11"/>
        <v>477.36</v>
      </c>
      <c r="AG31" s="304">
        <f>T31*AA31*$Y31</f>
        <v>1212.75</v>
      </c>
      <c r="AH31" s="304">
        <f>U31*AB31*$Y31</f>
        <v>813.6525</v>
      </c>
      <c r="AI31" s="307">
        <f t="shared" si="12"/>
        <v>12.820769919427</v>
      </c>
      <c r="AJ31" s="307">
        <f>AG31/AD31</f>
        <v>27.4067796610169</v>
      </c>
      <c r="AK31" s="308">
        <f t="shared" si="13"/>
        <v>20.113774790222</v>
      </c>
      <c r="AL31" s="308">
        <v>20</v>
      </c>
      <c r="AM31">
        <f t="shared" si="14"/>
        <v>27.90625</v>
      </c>
    </row>
    <row r="32" spans="1:39">
      <c r="A32" s="250"/>
      <c r="B32" s="250"/>
      <c r="C32" s="271" t="s">
        <v>55</v>
      </c>
      <c r="D32" s="272">
        <v>10</v>
      </c>
      <c r="E32" s="273">
        <v>12.5</v>
      </c>
      <c r="F32" s="274">
        <f t="shared" si="0"/>
        <v>11.25</v>
      </c>
      <c r="G32" s="275">
        <v>55</v>
      </c>
      <c r="H32" s="273">
        <v>60</v>
      </c>
      <c r="I32" s="274">
        <f t="shared" si="1"/>
        <v>57.5</v>
      </c>
      <c r="J32" s="275">
        <v>2</v>
      </c>
      <c r="K32" s="273">
        <v>4</v>
      </c>
      <c r="L32" s="274">
        <f t="shared" si="2"/>
        <v>3</v>
      </c>
      <c r="M32" s="291">
        <v>20</v>
      </c>
      <c r="N32" s="292">
        <v>50</v>
      </c>
      <c r="O32" s="300">
        <f t="shared" si="3"/>
        <v>35</v>
      </c>
      <c r="P32" s="275">
        <v>10</v>
      </c>
      <c r="Q32" s="273">
        <v>20</v>
      </c>
      <c r="R32" s="274">
        <f t="shared" si="4"/>
        <v>15</v>
      </c>
      <c r="S32" s="275">
        <v>60</v>
      </c>
      <c r="T32" s="273">
        <v>120</v>
      </c>
      <c r="U32" s="274">
        <f t="shared" si="5"/>
        <v>90</v>
      </c>
      <c r="V32" s="275">
        <v>10</v>
      </c>
      <c r="W32" s="273">
        <v>12</v>
      </c>
      <c r="X32" s="274">
        <f t="shared" si="6"/>
        <v>11</v>
      </c>
      <c r="Y32" s="273">
        <v>1</v>
      </c>
      <c r="Z32" s="304">
        <f t="shared" si="7"/>
        <v>11</v>
      </c>
      <c r="AA32" s="304">
        <f>W32/100*E32*2+(1-W32/100)*E32</f>
        <v>14</v>
      </c>
      <c r="AB32" s="304">
        <f t="shared" si="8"/>
        <v>12.5</v>
      </c>
      <c r="AC32" s="304">
        <f t="shared" si="9"/>
        <v>40</v>
      </c>
      <c r="AD32" s="304">
        <f>T32/K32+Q32</f>
        <v>50</v>
      </c>
      <c r="AE32" s="304">
        <f t="shared" si="10"/>
        <v>45</v>
      </c>
      <c r="AF32" s="304">
        <f t="shared" si="11"/>
        <v>660</v>
      </c>
      <c r="AG32" s="304">
        <f>T32*AA32*$Y32</f>
        <v>1680</v>
      </c>
      <c r="AH32" s="304">
        <f>U32*AB32*$Y32</f>
        <v>1125</v>
      </c>
      <c r="AI32" s="307">
        <f t="shared" si="12"/>
        <v>16.5</v>
      </c>
      <c r="AJ32" s="307">
        <f>AG32/AD32</f>
        <v>33.6</v>
      </c>
      <c r="AK32" s="308">
        <f t="shared" si="13"/>
        <v>25.05</v>
      </c>
      <c r="AL32" s="308">
        <v>25</v>
      </c>
      <c r="AM32">
        <f t="shared" si="14"/>
        <v>33.75</v>
      </c>
    </row>
    <row r="33" spans="1:38">
      <c r="A33" s="87" t="s">
        <v>56</v>
      </c>
      <c r="B33" s="87" t="b">
        <v>1</v>
      </c>
      <c r="C33" s="87"/>
      <c r="D33" s="276"/>
      <c r="E33" s="277"/>
      <c r="F33" s="278"/>
      <c r="G33" s="276"/>
      <c r="H33" s="277"/>
      <c r="I33" s="278"/>
      <c r="J33" s="276"/>
      <c r="K33" s="277"/>
      <c r="L33" s="278"/>
      <c r="M33" s="276"/>
      <c r="N33" s="277"/>
      <c r="O33" s="278"/>
      <c r="P33" s="276"/>
      <c r="Q33" s="277"/>
      <c r="R33" s="278"/>
      <c r="S33" s="276"/>
      <c r="T33" s="277"/>
      <c r="U33" s="278"/>
      <c r="V33" s="276"/>
      <c r="W33" s="302"/>
      <c r="X33" s="278"/>
      <c r="Y33" s="277"/>
      <c r="Z33" s="304"/>
      <c r="AA33" s="304"/>
      <c r="AB33" s="304"/>
      <c r="AC33" s="304"/>
      <c r="AD33" s="304"/>
      <c r="AE33" s="304"/>
      <c r="AF33" s="304"/>
      <c r="AG33" s="304"/>
      <c r="AH33" s="304"/>
      <c r="AI33" s="307"/>
      <c r="AJ33" s="307"/>
      <c r="AK33" s="307"/>
      <c r="AL33" s="307"/>
    </row>
    <row r="34" spans="1:39">
      <c r="A34" s="250"/>
      <c r="B34" s="250"/>
      <c r="C34" s="251" t="s">
        <v>57</v>
      </c>
      <c r="D34" s="252">
        <v>25</v>
      </c>
      <c r="E34" s="253">
        <v>30</v>
      </c>
      <c r="F34" s="254">
        <f t="shared" si="0"/>
        <v>27.5</v>
      </c>
      <c r="G34" s="255">
        <v>100</v>
      </c>
      <c r="H34" s="253">
        <v>100</v>
      </c>
      <c r="I34" s="254">
        <f t="shared" si="1"/>
        <v>100</v>
      </c>
      <c r="J34" s="255">
        <v>1</v>
      </c>
      <c r="K34" s="253">
        <v>1</v>
      </c>
      <c r="L34" s="254">
        <f t="shared" si="2"/>
        <v>1</v>
      </c>
      <c r="M34" s="255">
        <v>50</v>
      </c>
      <c r="N34" s="253">
        <v>50</v>
      </c>
      <c r="O34" s="254">
        <f t="shared" si="3"/>
        <v>50</v>
      </c>
      <c r="P34" s="255">
        <v>4</v>
      </c>
      <c r="Q34" s="253">
        <v>5</v>
      </c>
      <c r="R34" s="254">
        <f t="shared" si="4"/>
        <v>4.5</v>
      </c>
      <c r="S34" s="255">
        <v>1</v>
      </c>
      <c r="T34" s="253">
        <v>1</v>
      </c>
      <c r="U34" s="254">
        <f t="shared" si="5"/>
        <v>1</v>
      </c>
      <c r="V34" s="255">
        <v>1</v>
      </c>
      <c r="W34" s="253">
        <v>1</v>
      </c>
      <c r="X34" s="254">
        <f t="shared" si="6"/>
        <v>1</v>
      </c>
      <c r="Y34" s="253">
        <v>1</v>
      </c>
      <c r="Z34" s="304">
        <f t="shared" si="7"/>
        <v>25.25</v>
      </c>
      <c r="AA34" s="304">
        <f>W34/100*E34*2+(1-W34/100)*E34</f>
        <v>30.3</v>
      </c>
      <c r="AB34" s="304">
        <f t="shared" si="8"/>
        <v>27.775</v>
      </c>
      <c r="AC34" s="304">
        <f t="shared" si="9"/>
        <v>5</v>
      </c>
      <c r="AD34" s="304">
        <f>T34/K34+Q34</f>
        <v>6</v>
      </c>
      <c r="AE34" s="304">
        <f t="shared" si="10"/>
        <v>5.5</v>
      </c>
      <c r="AF34" s="304">
        <f t="shared" si="11"/>
        <v>25.25</v>
      </c>
      <c r="AG34" s="304">
        <f>T34*AA34*$Y34</f>
        <v>30.3</v>
      </c>
      <c r="AH34" s="304">
        <f>U34*AB34*$Y34</f>
        <v>27.775</v>
      </c>
      <c r="AI34" s="307">
        <f t="shared" si="12"/>
        <v>5.05</v>
      </c>
      <c r="AJ34" s="307">
        <f>AG34/AD34</f>
        <v>5.05</v>
      </c>
      <c r="AK34" s="308">
        <f t="shared" si="13"/>
        <v>5.05</v>
      </c>
      <c r="AL34" s="308">
        <f t="shared" ref="AL34:AL38" si="15">AL28</f>
        <v>5</v>
      </c>
      <c r="AM34">
        <f t="shared" si="14"/>
        <v>27.5</v>
      </c>
    </row>
    <row r="35" spans="1:39">
      <c r="A35" s="250"/>
      <c r="B35" s="250"/>
      <c r="C35" s="256" t="s">
        <v>58</v>
      </c>
      <c r="D35" s="257">
        <v>40</v>
      </c>
      <c r="E35" s="258">
        <v>70</v>
      </c>
      <c r="F35" s="259">
        <f t="shared" si="0"/>
        <v>55</v>
      </c>
      <c r="G35" s="260">
        <v>100</v>
      </c>
      <c r="H35" s="258">
        <v>100</v>
      </c>
      <c r="I35" s="259">
        <f t="shared" si="1"/>
        <v>100</v>
      </c>
      <c r="J35" s="260">
        <v>1</v>
      </c>
      <c r="K35" s="258">
        <v>1</v>
      </c>
      <c r="L35" s="259">
        <f t="shared" si="2"/>
        <v>1</v>
      </c>
      <c r="M35" s="260">
        <v>50</v>
      </c>
      <c r="N35" s="258">
        <v>50</v>
      </c>
      <c r="O35" s="259">
        <f t="shared" si="3"/>
        <v>50</v>
      </c>
      <c r="P35" s="260">
        <v>4</v>
      </c>
      <c r="Q35" s="258">
        <v>5</v>
      </c>
      <c r="R35" s="259">
        <f t="shared" si="4"/>
        <v>4.5</v>
      </c>
      <c r="S35" s="260">
        <v>1</v>
      </c>
      <c r="T35" s="258">
        <v>1</v>
      </c>
      <c r="U35" s="259">
        <f t="shared" si="5"/>
        <v>1</v>
      </c>
      <c r="V35" s="260">
        <v>1</v>
      </c>
      <c r="W35" s="258">
        <v>1</v>
      </c>
      <c r="X35" s="259">
        <f t="shared" si="6"/>
        <v>1</v>
      </c>
      <c r="Y35" s="258">
        <v>1</v>
      </c>
      <c r="Z35" s="304">
        <f t="shared" si="7"/>
        <v>40.4</v>
      </c>
      <c r="AA35" s="304">
        <f>W35/100*E35*2+(1-W35/100)*E35</f>
        <v>70.7</v>
      </c>
      <c r="AB35" s="304">
        <f t="shared" si="8"/>
        <v>55.55</v>
      </c>
      <c r="AC35" s="304">
        <f t="shared" si="9"/>
        <v>5</v>
      </c>
      <c r="AD35" s="304">
        <f>T35/K35+Q35</f>
        <v>6</v>
      </c>
      <c r="AE35" s="304">
        <f t="shared" si="10"/>
        <v>5.5</v>
      </c>
      <c r="AF35" s="304">
        <f t="shared" si="11"/>
        <v>40.4</v>
      </c>
      <c r="AG35" s="304">
        <f>T35*AA35*$Y35</f>
        <v>70.7</v>
      </c>
      <c r="AH35" s="304">
        <f>U35*AB35*$Y35</f>
        <v>55.55</v>
      </c>
      <c r="AI35" s="307">
        <f t="shared" si="12"/>
        <v>8.08</v>
      </c>
      <c r="AJ35" s="307">
        <f>AG35/AD35</f>
        <v>11.7833333333333</v>
      </c>
      <c r="AK35" s="308">
        <f t="shared" si="13"/>
        <v>9.93166666666667</v>
      </c>
      <c r="AL35" s="308">
        <f t="shared" si="15"/>
        <v>10</v>
      </c>
      <c r="AM35">
        <f t="shared" si="14"/>
        <v>55</v>
      </c>
    </row>
    <row r="36" spans="1:39">
      <c r="A36" s="250"/>
      <c r="B36" s="250"/>
      <c r="C36" s="261" t="s">
        <v>59</v>
      </c>
      <c r="D36" s="262">
        <v>7</v>
      </c>
      <c r="E36" s="263">
        <v>14</v>
      </c>
      <c r="F36" s="264">
        <f t="shared" si="0"/>
        <v>10.5</v>
      </c>
      <c r="G36" s="265">
        <v>100</v>
      </c>
      <c r="H36" s="263">
        <v>100</v>
      </c>
      <c r="I36" s="264">
        <f t="shared" si="1"/>
        <v>100</v>
      </c>
      <c r="J36" s="265">
        <v>1</v>
      </c>
      <c r="K36" s="263">
        <v>1</v>
      </c>
      <c r="L36" s="264">
        <f t="shared" si="2"/>
        <v>1</v>
      </c>
      <c r="M36" s="265">
        <v>50</v>
      </c>
      <c r="N36" s="263">
        <v>50</v>
      </c>
      <c r="O36" s="264">
        <f t="shared" si="3"/>
        <v>50</v>
      </c>
      <c r="P36" s="265">
        <v>4</v>
      </c>
      <c r="Q36" s="263">
        <v>5</v>
      </c>
      <c r="R36" s="264">
        <f t="shared" si="4"/>
        <v>4.5</v>
      </c>
      <c r="S36" s="265">
        <v>1</v>
      </c>
      <c r="T36" s="263">
        <v>1</v>
      </c>
      <c r="U36" s="264">
        <f t="shared" si="5"/>
        <v>1</v>
      </c>
      <c r="V36" s="265">
        <v>1</v>
      </c>
      <c r="W36" s="263">
        <v>1</v>
      </c>
      <c r="X36" s="264">
        <f t="shared" si="6"/>
        <v>1</v>
      </c>
      <c r="Y36" s="263">
        <v>1</v>
      </c>
      <c r="Z36" s="304">
        <f t="shared" si="7"/>
        <v>7.07</v>
      </c>
      <c r="AA36" s="304">
        <f>W36/100*E36*2+(1-W36/100)*E36</f>
        <v>14.14</v>
      </c>
      <c r="AB36" s="304">
        <f t="shared" si="8"/>
        <v>10.605</v>
      </c>
      <c r="AC36" s="304">
        <f t="shared" si="9"/>
        <v>5</v>
      </c>
      <c r="AD36" s="304">
        <f>T36/K36+Q36</f>
        <v>6</v>
      </c>
      <c r="AE36" s="304">
        <f t="shared" si="10"/>
        <v>5.5</v>
      </c>
      <c r="AF36" s="304">
        <f t="shared" si="11"/>
        <v>7.07</v>
      </c>
      <c r="AG36" s="304">
        <f>T36*AA36*$Y36</f>
        <v>14.14</v>
      </c>
      <c r="AH36" s="304">
        <f>U36*AB36*$Y36</f>
        <v>10.605</v>
      </c>
      <c r="AI36" s="307">
        <f t="shared" si="12"/>
        <v>1.414</v>
      </c>
      <c r="AJ36" s="307">
        <f>AG36/AD36</f>
        <v>2.35666666666667</v>
      </c>
      <c r="AK36" s="308">
        <f t="shared" si="13"/>
        <v>1.88533333333333</v>
      </c>
      <c r="AL36" s="308">
        <f t="shared" si="15"/>
        <v>15</v>
      </c>
      <c r="AM36">
        <f t="shared" si="14"/>
        <v>10.5</v>
      </c>
    </row>
    <row r="37" spans="1:39">
      <c r="A37" s="250"/>
      <c r="B37" s="250"/>
      <c r="C37" s="266" t="s">
        <v>60</v>
      </c>
      <c r="D37" s="267">
        <v>8</v>
      </c>
      <c r="E37" s="268">
        <v>15</v>
      </c>
      <c r="F37" s="269">
        <f t="shared" si="0"/>
        <v>11.5</v>
      </c>
      <c r="G37" s="270">
        <v>100</v>
      </c>
      <c r="H37" s="268">
        <v>100</v>
      </c>
      <c r="I37" s="269">
        <f t="shared" si="1"/>
        <v>100</v>
      </c>
      <c r="J37" s="270">
        <v>1</v>
      </c>
      <c r="K37" s="268">
        <v>1</v>
      </c>
      <c r="L37" s="269">
        <f t="shared" si="2"/>
        <v>1</v>
      </c>
      <c r="M37" s="270">
        <v>50</v>
      </c>
      <c r="N37" s="268">
        <v>50</v>
      </c>
      <c r="O37" s="269">
        <f t="shared" si="3"/>
        <v>50</v>
      </c>
      <c r="P37" s="270">
        <v>4</v>
      </c>
      <c r="Q37" s="268">
        <v>5</v>
      </c>
      <c r="R37" s="269">
        <f t="shared" si="4"/>
        <v>4.5</v>
      </c>
      <c r="S37" s="270">
        <v>1</v>
      </c>
      <c r="T37" s="268">
        <v>1</v>
      </c>
      <c r="U37" s="269">
        <f t="shared" si="5"/>
        <v>1</v>
      </c>
      <c r="V37" s="270">
        <v>1</v>
      </c>
      <c r="W37" s="268">
        <v>1</v>
      </c>
      <c r="X37" s="269">
        <f t="shared" si="6"/>
        <v>1</v>
      </c>
      <c r="Y37" s="268">
        <v>1</v>
      </c>
      <c r="Z37" s="304">
        <f t="shared" si="7"/>
        <v>8.08</v>
      </c>
      <c r="AA37" s="304">
        <f>W37/100*E37*2+(1-W37/100)*E37</f>
        <v>15.15</v>
      </c>
      <c r="AB37" s="304">
        <f t="shared" si="8"/>
        <v>11.615</v>
      </c>
      <c r="AC37" s="304">
        <f t="shared" si="9"/>
        <v>5</v>
      </c>
      <c r="AD37" s="304">
        <f>T37/K37+Q37</f>
        <v>6</v>
      </c>
      <c r="AE37" s="304">
        <f t="shared" si="10"/>
        <v>5.5</v>
      </c>
      <c r="AF37" s="304">
        <f t="shared" si="11"/>
        <v>8.08</v>
      </c>
      <c r="AG37" s="304">
        <f>T37*AA37*$Y37</f>
        <v>15.15</v>
      </c>
      <c r="AH37" s="304">
        <f>U37*AB37*$Y37</f>
        <v>11.615</v>
      </c>
      <c r="AI37" s="307">
        <f t="shared" si="12"/>
        <v>1.616</v>
      </c>
      <c r="AJ37" s="307">
        <f>AG37/AD37</f>
        <v>2.525</v>
      </c>
      <c r="AK37" s="308">
        <f t="shared" si="13"/>
        <v>2.0705</v>
      </c>
      <c r="AL37" s="308">
        <f t="shared" si="15"/>
        <v>20</v>
      </c>
      <c r="AM37">
        <f t="shared" si="14"/>
        <v>11.5</v>
      </c>
    </row>
    <row r="38" spans="1:39">
      <c r="A38" s="250"/>
      <c r="B38" s="250"/>
      <c r="C38" s="271" t="s">
        <v>61</v>
      </c>
      <c r="D38" s="272">
        <v>9</v>
      </c>
      <c r="E38" s="273">
        <v>16</v>
      </c>
      <c r="F38" s="274">
        <f t="shared" si="0"/>
        <v>12.5</v>
      </c>
      <c r="G38" s="275">
        <v>100</v>
      </c>
      <c r="H38" s="273">
        <v>100</v>
      </c>
      <c r="I38" s="274">
        <f t="shared" si="1"/>
        <v>100</v>
      </c>
      <c r="J38" s="275">
        <v>1</v>
      </c>
      <c r="K38" s="273">
        <v>1</v>
      </c>
      <c r="L38" s="274">
        <f t="shared" si="2"/>
        <v>1</v>
      </c>
      <c r="M38" s="275">
        <v>50</v>
      </c>
      <c r="N38" s="273">
        <v>50</v>
      </c>
      <c r="O38" s="274">
        <f t="shared" si="3"/>
        <v>50</v>
      </c>
      <c r="P38" s="275">
        <v>4</v>
      </c>
      <c r="Q38" s="273">
        <v>5</v>
      </c>
      <c r="R38" s="274">
        <f t="shared" si="4"/>
        <v>4.5</v>
      </c>
      <c r="S38" s="275">
        <v>1</v>
      </c>
      <c r="T38" s="273">
        <v>1</v>
      </c>
      <c r="U38" s="274">
        <f t="shared" si="5"/>
        <v>1</v>
      </c>
      <c r="V38" s="275">
        <v>1</v>
      </c>
      <c r="W38" s="273">
        <v>1</v>
      </c>
      <c r="X38" s="274">
        <f t="shared" si="6"/>
        <v>1</v>
      </c>
      <c r="Y38" s="273">
        <v>1</v>
      </c>
      <c r="Z38" s="304">
        <f t="shared" si="7"/>
        <v>9.09</v>
      </c>
      <c r="AA38" s="304">
        <f>W38/100*E38*2+(1-W38/100)*E38</f>
        <v>16.16</v>
      </c>
      <c r="AB38" s="304">
        <f t="shared" si="8"/>
        <v>12.625</v>
      </c>
      <c r="AC38" s="304">
        <f t="shared" si="9"/>
        <v>5</v>
      </c>
      <c r="AD38" s="304">
        <f>T38/K38+Q38</f>
        <v>6</v>
      </c>
      <c r="AE38" s="304">
        <f t="shared" si="10"/>
        <v>5.5</v>
      </c>
      <c r="AF38" s="304">
        <f t="shared" si="11"/>
        <v>9.09</v>
      </c>
      <c r="AG38" s="304">
        <f>T38*AA38*$Y38</f>
        <v>16.16</v>
      </c>
      <c r="AH38" s="304">
        <f>U38*AB38*$Y38</f>
        <v>12.625</v>
      </c>
      <c r="AI38" s="307">
        <f t="shared" si="12"/>
        <v>1.818</v>
      </c>
      <c r="AJ38" s="307">
        <f>AG38/AD38</f>
        <v>2.69333333333333</v>
      </c>
      <c r="AK38" s="308">
        <f t="shared" si="13"/>
        <v>2.25566666666667</v>
      </c>
      <c r="AL38" s="308">
        <f t="shared" si="15"/>
        <v>25</v>
      </c>
      <c r="AM38">
        <f t="shared" si="14"/>
        <v>12.5</v>
      </c>
    </row>
    <row r="39" spans="6:38">
      <c r="F39" s="293"/>
      <c r="AI39" s="309"/>
      <c r="AJ39" s="309"/>
      <c r="AK39" s="309"/>
      <c r="AL39" s="309"/>
    </row>
    <row r="40" spans="2:2">
      <c r="B40" t="s">
        <v>62</v>
      </c>
    </row>
    <row r="41" spans="2:11">
      <c r="B41" t="s">
        <v>63</v>
      </c>
      <c r="D41" t="s">
        <v>20</v>
      </c>
      <c r="E41" t="s">
        <v>28</v>
      </c>
      <c r="G41" t="s">
        <v>35</v>
      </c>
      <c r="H41" t="s">
        <v>42</v>
      </c>
      <c r="J41" t="s">
        <v>49</v>
      </c>
      <c r="K41" t="s">
        <v>56</v>
      </c>
    </row>
    <row r="42" spans="3:12">
      <c r="C42" t="s">
        <v>20</v>
      </c>
      <c r="D42" s="294"/>
      <c r="E42" s="294"/>
      <c r="F42" s="294"/>
      <c r="G42" s="294"/>
      <c r="H42" s="294"/>
      <c r="I42" s="294"/>
      <c r="J42" s="294"/>
      <c r="K42" s="294"/>
      <c r="L42" s="294"/>
    </row>
    <row r="43" spans="3:12">
      <c r="C43" t="s">
        <v>28</v>
      </c>
      <c r="D43" t="e">
        <f>#REF!/#REF!</f>
        <v>#REF!</v>
      </c>
      <c r="E43" s="294"/>
      <c r="F43" s="294"/>
      <c r="G43" s="294"/>
      <c r="H43" s="294"/>
      <c r="I43" s="294"/>
      <c r="J43" s="294"/>
      <c r="K43" s="294"/>
      <c r="L43" s="294"/>
    </row>
    <row r="44" spans="3:12">
      <c r="C44" t="s">
        <v>35</v>
      </c>
      <c r="D44" t="e">
        <f>#REF!/#REF!</f>
        <v>#REF!</v>
      </c>
      <c r="G44" s="294"/>
      <c r="H44" s="294"/>
      <c r="I44" s="294"/>
      <c r="J44" s="294"/>
      <c r="K44" s="294"/>
      <c r="L44" s="294"/>
    </row>
    <row r="45" spans="3:12">
      <c r="C45" t="s">
        <v>42</v>
      </c>
      <c r="D45" t="e">
        <f>#REF!/#REF!</f>
        <v>#REF!</v>
      </c>
      <c r="H45" s="294"/>
      <c r="I45" s="294"/>
      <c r="J45" s="294"/>
      <c r="K45" s="294"/>
      <c r="L45" s="294"/>
    </row>
    <row r="46" spans="3:12">
      <c r="C46" t="s">
        <v>49</v>
      </c>
      <c r="D46" t="e">
        <f>#REF!/#REF!</f>
        <v>#REF!</v>
      </c>
      <c r="J46" s="294"/>
      <c r="K46" s="294"/>
      <c r="L46" s="294"/>
    </row>
    <row r="47" spans="3:12">
      <c r="C47" t="s">
        <v>56</v>
      </c>
      <c r="D47" t="e">
        <f>#REF!/#REF!</f>
        <v>#REF!</v>
      </c>
      <c r="K47" s="294"/>
      <c r="L47" s="294"/>
    </row>
    <row r="48" spans="2:11">
      <c r="B48" t="s">
        <v>64</v>
      </c>
      <c r="D48" t="s">
        <v>20</v>
      </c>
      <c r="E48" t="s">
        <v>28</v>
      </c>
      <c r="G48" t="s">
        <v>35</v>
      </c>
      <c r="H48" t="s">
        <v>42</v>
      </c>
      <c r="J48" t="s">
        <v>49</v>
      </c>
      <c r="K48" t="s">
        <v>56</v>
      </c>
    </row>
    <row r="49" spans="3:3">
      <c r="C49" t="s">
        <v>20</v>
      </c>
    </row>
    <row r="50" spans="3:3">
      <c r="C50" t="s">
        <v>28</v>
      </c>
    </row>
    <row r="51" spans="3:3">
      <c r="C51" t="s">
        <v>35</v>
      </c>
    </row>
    <row r="52" spans="3:3">
      <c r="C52" t="s">
        <v>42</v>
      </c>
    </row>
    <row r="53" spans="3:3">
      <c r="C53" t="s">
        <v>49</v>
      </c>
    </row>
    <row r="54" spans="3:3">
      <c r="C54" t="s">
        <v>56</v>
      </c>
    </row>
    <row r="55" spans="2:11">
      <c r="B55" t="s">
        <v>65</v>
      </c>
      <c r="D55" t="s">
        <v>20</v>
      </c>
      <c r="E55" t="s">
        <v>28</v>
      </c>
      <c r="G55" t="s">
        <v>35</v>
      </c>
      <c r="H55" t="s">
        <v>42</v>
      </c>
      <c r="J55" t="s">
        <v>49</v>
      </c>
      <c r="K55" t="s">
        <v>56</v>
      </c>
    </row>
    <row r="56" spans="3:3">
      <c r="C56" t="s">
        <v>20</v>
      </c>
    </row>
    <row r="57" spans="3:3">
      <c r="C57" t="s">
        <v>28</v>
      </c>
    </row>
    <row r="58" spans="3:3">
      <c r="C58" t="s">
        <v>35</v>
      </c>
    </row>
    <row r="59" spans="3:3">
      <c r="C59" t="s">
        <v>42</v>
      </c>
    </row>
    <row r="60" spans="3:3">
      <c r="C60" t="s">
        <v>49</v>
      </c>
    </row>
    <row r="61" spans="3:3">
      <c r="C61" t="s">
        <v>56</v>
      </c>
    </row>
    <row r="62" spans="2:11">
      <c r="B62" t="s">
        <v>66</v>
      </c>
      <c r="D62" t="s">
        <v>20</v>
      </c>
      <c r="E62" t="s">
        <v>28</v>
      </c>
      <c r="G62" t="s">
        <v>35</v>
      </c>
      <c r="H62" t="s">
        <v>42</v>
      </c>
      <c r="J62" t="s">
        <v>49</v>
      </c>
      <c r="K62" t="s">
        <v>56</v>
      </c>
    </row>
    <row r="63" spans="3:3">
      <c r="C63" t="s">
        <v>20</v>
      </c>
    </row>
    <row r="64" spans="3:3">
      <c r="C64" t="s">
        <v>28</v>
      </c>
    </row>
    <row r="65" spans="3:3">
      <c r="C65" t="s">
        <v>35</v>
      </c>
    </row>
    <row r="66" spans="3:3">
      <c r="C66" t="s">
        <v>42</v>
      </c>
    </row>
    <row r="67" spans="3:3">
      <c r="C67" t="s">
        <v>49</v>
      </c>
    </row>
    <row r="68" spans="3:3">
      <c r="C68" t="s">
        <v>56</v>
      </c>
    </row>
    <row r="69" spans="2:11">
      <c r="B69" t="s">
        <v>67</v>
      </c>
      <c r="D69" t="s">
        <v>20</v>
      </c>
      <c r="E69" t="s">
        <v>28</v>
      </c>
      <c r="G69" t="s">
        <v>35</v>
      </c>
      <c r="H69" t="s">
        <v>42</v>
      </c>
      <c r="J69" t="s">
        <v>49</v>
      </c>
      <c r="K69" t="s">
        <v>56</v>
      </c>
    </row>
    <row r="70" spans="3:3">
      <c r="C70" t="s">
        <v>20</v>
      </c>
    </row>
    <row r="71" spans="3:3">
      <c r="C71" t="s">
        <v>28</v>
      </c>
    </row>
    <row r="72" spans="3:3">
      <c r="C72" t="s">
        <v>35</v>
      </c>
    </row>
    <row r="73" spans="3:3">
      <c r="C73" t="s">
        <v>42</v>
      </c>
    </row>
    <row r="74" spans="3:3">
      <c r="C74" t="s">
        <v>49</v>
      </c>
    </row>
    <row r="75" spans="3:3">
      <c r="C75" t="s">
        <v>56</v>
      </c>
    </row>
  </sheetData>
  <mergeCells count="24">
    <mergeCell ref="D1:F1"/>
    <mergeCell ref="G1:I1"/>
    <mergeCell ref="J1:L1"/>
    <mergeCell ref="M1:O1"/>
    <mergeCell ref="P1:R1"/>
    <mergeCell ref="S1:U1"/>
    <mergeCell ref="V1:X1"/>
    <mergeCell ref="Z1:AB1"/>
    <mergeCell ref="AC1:AE1"/>
    <mergeCell ref="AF1:AH1"/>
    <mergeCell ref="AI1:AK1"/>
    <mergeCell ref="S3:U3"/>
    <mergeCell ref="AI3:AL3"/>
    <mergeCell ref="J9:L9"/>
    <mergeCell ref="AI9:AL9"/>
    <mergeCell ref="G15:H15"/>
    <mergeCell ref="V15:X15"/>
    <mergeCell ref="AI15:AL15"/>
    <mergeCell ref="D21:E21"/>
    <mergeCell ref="G21:I21"/>
    <mergeCell ref="AI21:AL21"/>
    <mergeCell ref="M27:O27"/>
    <mergeCell ref="AI27:AL27"/>
    <mergeCell ref="AI33:AL3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8"/>
  <sheetViews>
    <sheetView workbookViewId="0">
      <selection activeCell="AC3" sqref="AC3"/>
    </sheetView>
  </sheetViews>
  <sheetFormatPr defaultColWidth="9.14285714285714" defaultRowHeight="15"/>
  <cols>
    <col min="2" max="2" width="11.1428571428571" customWidth="1"/>
    <col min="3" max="3" width="10.2857142857143" customWidth="1"/>
    <col min="4" max="4" width="8.71428571428571" customWidth="1"/>
    <col min="5" max="5" width="9.71428571428571" customWidth="1"/>
    <col min="6" max="7" width="9.42857142857143" customWidth="1"/>
    <col min="8" max="8" width="14.1428571428571" customWidth="1"/>
    <col min="9" max="9" width="15.1428571428571" customWidth="1"/>
    <col min="10" max="10" width="9" customWidth="1"/>
    <col min="11" max="11" width="7.71428571428571" customWidth="1"/>
    <col min="12" max="12" width="8.71428571428571" customWidth="1"/>
    <col min="13" max="13" width="9.71428571428571" customWidth="1"/>
    <col min="14" max="15" width="9.42857142857143" customWidth="1"/>
    <col min="16" max="16" width="14.1428571428571" customWidth="1"/>
    <col min="17" max="17" width="15.1428571428571" customWidth="1"/>
    <col min="18" max="18" width="13.5714285714286" customWidth="1"/>
    <col min="19" max="19" width="15.4285714285714" customWidth="1"/>
    <col min="20" max="20" width="15.1428571428571" customWidth="1"/>
    <col min="21" max="21" width="16.7142857142857" customWidth="1"/>
    <col min="22" max="22" width="18" customWidth="1"/>
    <col min="23" max="23" width="9.14285714285714" customWidth="1"/>
    <col min="24" max="24" width="9.71428571428571" customWidth="1"/>
    <col min="25" max="25" width="14" customWidth="1"/>
    <col min="27" max="28" width="13.5714285714286" customWidth="1"/>
    <col min="29" max="29" width="10.5714285714286"/>
    <col min="30" max="30" width="9" customWidth="1"/>
    <col min="31" max="31" width="10.1428571428571" customWidth="1"/>
    <col min="32" max="32" width="11" customWidth="1"/>
    <col min="33" max="33" width="12.2857142857143" customWidth="1"/>
    <col min="34" max="34" width="14" customWidth="1"/>
    <col min="35" max="35" width="15.2857142857143" customWidth="1"/>
    <col min="36" max="36" width="13.8571428571429" customWidth="1"/>
    <col min="37" max="37" width="15" customWidth="1"/>
    <col min="38" max="39" width="16.8571428571429" customWidth="1"/>
    <col min="40" max="40" width="12.2857142857143" customWidth="1"/>
  </cols>
  <sheetData>
    <row r="1" customFormat="1" spans="1:33">
      <c r="A1" s="109"/>
      <c r="B1" s="157" t="s">
        <v>1</v>
      </c>
      <c r="C1" s="157" t="s">
        <v>68</v>
      </c>
      <c r="D1" s="164" t="s">
        <v>3</v>
      </c>
      <c r="E1" s="164"/>
      <c r="F1" s="164"/>
      <c r="G1" s="157"/>
      <c r="H1" s="164" t="s">
        <v>4</v>
      </c>
      <c r="I1" s="164"/>
      <c r="J1" s="164"/>
      <c r="K1" s="157"/>
      <c r="L1" s="164" t="s">
        <v>5</v>
      </c>
      <c r="M1" s="164"/>
      <c r="N1" s="164"/>
      <c r="O1" s="157"/>
      <c r="P1" s="164" t="s">
        <v>6</v>
      </c>
      <c r="Q1" s="164"/>
      <c r="R1" s="164"/>
      <c r="S1" s="246"/>
      <c r="T1" s="164" t="s">
        <v>7</v>
      </c>
      <c r="U1" s="164"/>
      <c r="V1" s="164"/>
      <c r="W1" s="246"/>
      <c r="X1" s="164" t="s">
        <v>9</v>
      </c>
      <c r="Y1" s="164"/>
      <c r="Z1" s="164"/>
      <c r="AA1" s="157"/>
      <c r="AB1" s="164" t="s">
        <v>11</v>
      </c>
      <c r="AC1" s="164" t="s">
        <v>69</v>
      </c>
      <c r="AD1" s="194" t="s">
        <v>70</v>
      </c>
      <c r="AE1" s="247" t="s">
        <v>68</v>
      </c>
      <c r="AF1" s="85"/>
      <c r="AG1" s="240"/>
    </row>
    <row r="2" customFormat="1" spans="1:31">
      <c r="A2" s="159"/>
      <c r="B2" s="160"/>
      <c r="C2" s="160"/>
      <c r="D2" s="189" t="s">
        <v>71</v>
      </c>
      <c r="E2" s="189" t="s">
        <v>72</v>
      </c>
      <c r="F2" s="189" t="s">
        <v>73</v>
      </c>
      <c r="G2" s="239" t="s">
        <v>74</v>
      </c>
      <c r="H2" s="189" t="s">
        <v>71</v>
      </c>
      <c r="I2" s="189" t="s">
        <v>72</v>
      </c>
      <c r="J2" s="189" t="s">
        <v>73</v>
      </c>
      <c r="K2" s="239" t="s">
        <v>74</v>
      </c>
      <c r="L2" s="242" t="s">
        <v>71</v>
      </c>
      <c r="M2" s="189" t="s">
        <v>72</v>
      </c>
      <c r="N2" s="189" t="s">
        <v>73</v>
      </c>
      <c r="O2" s="160" t="s">
        <v>74</v>
      </c>
      <c r="P2" s="189" t="s">
        <v>71</v>
      </c>
      <c r="Q2" s="189" t="s">
        <v>72</v>
      </c>
      <c r="R2" s="189" t="s">
        <v>73</v>
      </c>
      <c r="S2" s="160" t="s">
        <v>74</v>
      </c>
      <c r="T2" s="189" t="s">
        <v>71</v>
      </c>
      <c r="U2" s="189" t="s">
        <v>72</v>
      </c>
      <c r="V2" s="189" t="s">
        <v>73</v>
      </c>
      <c r="W2" s="160" t="s">
        <v>74</v>
      </c>
      <c r="X2" s="189" t="s">
        <v>71</v>
      </c>
      <c r="Y2" s="189" t="s">
        <v>72</v>
      </c>
      <c r="Z2" s="189" t="s">
        <v>73</v>
      </c>
      <c r="AA2" s="160" t="s">
        <v>74</v>
      </c>
      <c r="AB2" s="189"/>
      <c r="AC2" s="189"/>
      <c r="AD2" s="195"/>
      <c r="AE2" s="161"/>
    </row>
    <row r="3" customFormat="1" spans="1:31">
      <c r="A3" s="166" t="s">
        <v>20</v>
      </c>
      <c r="B3" s="166" t="b">
        <v>1</v>
      </c>
      <c r="C3" s="12">
        <v>0</v>
      </c>
      <c r="D3" s="2">
        <v>3.5</v>
      </c>
      <c r="E3" s="22">
        <v>4</v>
      </c>
      <c r="F3" s="22">
        <v>35</v>
      </c>
      <c r="G3" s="240">
        <f>$C3*E3+F3</f>
        <v>35</v>
      </c>
      <c r="H3">
        <v>55</v>
      </c>
      <c r="I3" s="22">
        <v>1</v>
      </c>
      <c r="J3" s="22">
        <v>55</v>
      </c>
      <c r="K3" s="240">
        <f>$C3*I3+J3</f>
        <v>55</v>
      </c>
      <c r="L3">
        <v>2</v>
      </c>
      <c r="M3" s="22">
        <v>0.1</v>
      </c>
      <c r="N3" s="22">
        <v>2</v>
      </c>
      <c r="O3" s="240">
        <f>$C3*M3+N3</f>
        <v>2</v>
      </c>
      <c r="P3">
        <v>70</v>
      </c>
      <c r="Q3" s="22">
        <v>1</v>
      </c>
      <c r="R3" s="22">
        <v>70</v>
      </c>
      <c r="S3" s="240">
        <f>$C3*Q3+R3</f>
        <v>70</v>
      </c>
      <c r="T3">
        <v>1.5</v>
      </c>
      <c r="U3" s="22">
        <v>-0.05</v>
      </c>
      <c r="V3" s="22">
        <v>1.5</v>
      </c>
      <c r="W3" s="240">
        <f>$C3*U3+V3</f>
        <v>1.5</v>
      </c>
      <c r="X3">
        <v>3</v>
      </c>
      <c r="Y3" s="22">
        <v>0.2</v>
      </c>
      <c r="Z3" s="22">
        <v>3</v>
      </c>
      <c r="AA3" s="240">
        <f>$C3*Y3+Z3</f>
        <v>3</v>
      </c>
      <c r="AB3" s="85">
        <f t="shared" ref="AB3:AB17" si="0">AA3/100*G3*2+(1-AA3/100)*G3</f>
        <v>36.05</v>
      </c>
      <c r="AC3" s="132">
        <f t="shared" ref="AC3:AC17" si="1">AB3*O3</f>
        <v>72.1</v>
      </c>
      <c r="AD3">
        <f>AC3*(K3/100)</f>
        <v>39.655</v>
      </c>
      <c r="AE3" s="12">
        <v>0</v>
      </c>
    </row>
    <row r="4" customFormat="1" spans="1:31">
      <c r="A4" s="166"/>
      <c r="B4" s="166"/>
      <c r="C4" s="12">
        <v>10</v>
      </c>
      <c r="D4" s="2">
        <v>8.5</v>
      </c>
      <c r="E4" s="22"/>
      <c r="F4" s="22"/>
      <c r="G4" s="240">
        <f>$C4*E3+F3</f>
        <v>75</v>
      </c>
      <c r="H4">
        <v>65</v>
      </c>
      <c r="I4" s="22"/>
      <c r="J4" s="22"/>
      <c r="K4" s="240">
        <f>$C4*I3+J3</f>
        <v>65</v>
      </c>
      <c r="L4">
        <v>3</v>
      </c>
      <c r="M4" s="22"/>
      <c r="N4" s="22"/>
      <c r="O4" s="240">
        <f>$C4*M3+N3</f>
        <v>3</v>
      </c>
      <c r="P4">
        <v>80</v>
      </c>
      <c r="Q4" s="22"/>
      <c r="R4" s="22"/>
      <c r="S4" s="240">
        <f>$C4*Q3+R3</f>
        <v>80</v>
      </c>
      <c r="T4">
        <v>1</v>
      </c>
      <c r="U4" s="22"/>
      <c r="V4" s="22"/>
      <c r="W4" s="240">
        <f>$C4*U3+V3</f>
        <v>1</v>
      </c>
      <c r="X4">
        <v>5</v>
      </c>
      <c r="Y4" s="22"/>
      <c r="Z4" s="22"/>
      <c r="AA4" s="240">
        <f>$C4*Y3+Z3</f>
        <v>5</v>
      </c>
      <c r="AB4" s="85">
        <f t="shared" si="0"/>
        <v>78.75</v>
      </c>
      <c r="AC4" s="132">
        <f t="shared" si="1"/>
        <v>236.25</v>
      </c>
      <c r="AD4">
        <f t="shared" ref="AD4:AD17" si="2">AC4*(K4/100)</f>
        <v>153.5625</v>
      </c>
      <c r="AE4" s="12">
        <v>10</v>
      </c>
    </row>
    <row r="5" s="2" customFormat="1" spans="1:31">
      <c r="A5" s="182"/>
      <c r="B5" s="182"/>
      <c r="C5" s="121">
        <v>20</v>
      </c>
      <c r="D5" s="96">
        <v>11.5</v>
      </c>
      <c r="E5" s="181"/>
      <c r="F5" s="181"/>
      <c r="G5" s="99">
        <f>$C5*E3+F3</f>
        <v>115</v>
      </c>
      <c r="H5" s="96">
        <v>75</v>
      </c>
      <c r="I5" s="181"/>
      <c r="J5" s="181"/>
      <c r="K5" s="99">
        <f>$C5*I3+J3</f>
        <v>75</v>
      </c>
      <c r="L5" s="96">
        <v>4</v>
      </c>
      <c r="M5" s="181"/>
      <c r="N5" s="181"/>
      <c r="O5" s="99">
        <f>$C5*M3+N3</f>
        <v>4</v>
      </c>
      <c r="P5" s="96">
        <v>90</v>
      </c>
      <c r="Q5" s="181"/>
      <c r="R5" s="181"/>
      <c r="S5" s="99">
        <f>$C5*Q3+R3</f>
        <v>90</v>
      </c>
      <c r="T5" s="96">
        <v>0.5</v>
      </c>
      <c r="U5" s="181"/>
      <c r="V5" s="181"/>
      <c r="W5" s="99">
        <f>$C5*U3+V3</f>
        <v>0.5</v>
      </c>
      <c r="X5" s="96">
        <v>7</v>
      </c>
      <c r="Y5" s="181"/>
      <c r="Z5" s="181"/>
      <c r="AA5" s="99">
        <f>$C5*Y3+Z3</f>
        <v>7</v>
      </c>
      <c r="AB5" s="3">
        <f t="shared" si="0"/>
        <v>123.05</v>
      </c>
      <c r="AC5" s="3">
        <f t="shared" si="1"/>
        <v>492.2</v>
      </c>
      <c r="AD5" s="96">
        <f t="shared" si="2"/>
        <v>369.15</v>
      </c>
      <c r="AE5" s="121">
        <v>20</v>
      </c>
    </row>
    <row r="6" customFormat="1" spans="1:31">
      <c r="A6" s="166" t="s">
        <v>28</v>
      </c>
      <c r="B6" s="166" t="b">
        <v>1</v>
      </c>
      <c r="C6" s="12">
        <v>0</v>
      </c>
      <c r="D6" s="2">
        <v>12.5</v>
      </c>
      <c r="E6" s="22">
        <v>10</v>
      </c>
      <c r="F6" s="22">
        <v>60</v>
      </c>
      <c r="G6" s="240">
        <f>$C6*E$6+F$6</f>
        <v>60</v>
      </c>
      <c r="H6">
        <v>70</v>
      </c>
      <c r="I6" s="22">
        <v>1</v>
      </c>
      <c r="J6" s="22">
        <v>70</v>
      </c>
      <c r="K6" s="240">
        <f>$C6*I$6+J$6</f>
        <v>70</v>
      </c>
      <c r="L6">
        <v>0.6</v>
      </c>
      <c r="M6" s="22">
        <v>0.04</v>
      </c>
      <c r="N6" s="22">
        <v>0.6</v>
      </c>
      <c r="O6" s="240">
        <f>$C6*M$6+N$6</f>
        <v>0.6</v>
      </c>
      <c r="P6">
        <v>35</v>
      </c>
      <c r="Q6" s="22">
        <v>1</v>
      </c>
      <c r="R6" s="22">
        <v>35</v>
      </c>
      <c r="S6" s="240">
        <f>$C6*Q$6+R$6</f>
        <v>35</v>
      </c>
      <c r="T6">
        <v>2.75</v>
      </c>
      <c r="U6" s="22">
        <v>-0.025</v>
      </c>
      <c r="V6" s="22">
        <v>2.75</v>
      </c>
      <c r="W6" s="240">
        <f>$C6*U$6+V$6</f>
        <v>2.75</v>
      </c>
      <c r="X6">
        <v>10</v>
      </c>
      <c r="Y6" s="22">
        <v>2.5</v>
      </c>
      <c r="Z6" s="22">
        <v>10</v>
      </c>
      <c r="AA6" s="240">
        <f>$C6*Y$6+Z$6</f>
        <v>10</v>
      </c>
      <c r="AB6" s="85">
        <f t="shared" si="0"/>
        <v>66</v>
      </c>
      <c r="AC6" s="132">
        <f t="shared" si="1"/>
        <v>39.6</v>
      </c>
      <c r="AD6">
        <f t="shared" si="2"/>
        <v>27.72</v>
      </c>
      <c r="AE6" s="12">
        <v>0</v>
      </c>
    </row>
    <row r="7" customFormat="1" spans="1:31">
      <c r="A7" s="166"/>
      <c r="B7" s="166"/>
      <c r="C7" s="12">
        <v>10</v>
      </c>
      <c r="D7" s="2">
        <v>37.5</v>
      </c>
      <c r="E7" s="22"/>
      <c r="F7" s="22"/>
      <c r="G7" s="240">
        <f>$C7*E$6+F$6</f>
        <v>160</v>
      </c>
      <c r="H7">
        <v>80</v>
      </c>
      <c r="I7" s="22"/>
      <c r="J7" s="22"/>
      <c r="K7" s="240">
        <f>$C7*I$6+J$6</f>
        <v>80</v>
      </c>
      <c r="L7">
        <v>1</v>
      </c>
      <c r="M7" s="22"/>
      <c r="N7" s="22"/>
      <c r="O7" s="240">
        <f>$C7*M$6+N$6</f>
        <v>1</v>
      </c>
      <c r="P7">
        <v>45</v>
      </c>
      <c r="Q7" s="22"/>
      <c r="R7" s="22"/>
      <c r="S7" s="240">
        <f>$C7*Q$6+R$6</f>
        <v>45</v>
      </c>
      <c r="T7">
        <v>2.5</v>
      </c>
      <c r="U7" s="22"/>
      <c r="V7" s="22"/>
      <c r="W7" s="240">
        <f>$C7*U$6+V$6</f>
        <v>2.5</v>
      </c>
      <c r="X7">
        <v>30</v>
      </c>
      <c r="Y7" s="22"/>
      <c r="Z7" s="22"/>
      <c r="AA7" s="240">
        <f>$C7*Y$6+Z$6</f>
        <v>35</v>
      </c>
      <c r="AB7" s="85">
        <f t="shared" si="0"/>
        <v>216</v>
      </c>
      <c r="AC7" s="132">
        <f t="shared" si="1"/>
        <v>216</v>
      </c>
      <c r="AD7">
        <f t="shared" si="2"/>
        <v>172.8</v>
      </c>
      <c r="AE7" s="12">
        <v>10</v>
      </c>
    </row>
    <row r="8" customFormat="1" spans="1:31">
      <c r="A8" s="166"/>
      <c r="B8" s="166"/>
      <c r="C8" s="12">
        <v>20</v>
      </c>
      <c r="D8" s="2">
        <v>62.5</v>
      </c>
      <c r="E8" s="22"/>
      <c r="F8" s="22"/>
      <c r="G8" s="240">
        <f>$C8*E$6+F$6</f>
        <v>260</v>
      </c>
      <c r="H8">
        <v>90</v>
      </c>
      <c r="I8" s="22"/>
      <c r="J8" s="22"/>
      <c r="K8" s="240">
        <f>$C8*I$6+J$6</f>
        <v>90</v>
      </c>
      <c r="L8">
        <v>1.4</v>
      </c>
      <c r="M8" s="22"/>
      <c r="N8" s="22"/>
      <c r="O8" s="240">
        <f>$C8*M$6+N$6</f>
        <v>1.4</v>
      </c>
      <c r="P8">
        <v>55</v>
      </c>
      <c r="Q8" s="22"/>
      <c r="R8" s="22"/>
      <c r="S8" s="240">
        <f>$C8*Q$6+R$6</f>
        <v>55</v>
      </c>
      <c r="T8">
        <v>2.25</v>
      </c>
      <c r="U8" s="22"/>
      <c r="V8" s="22"/>
      <c r="W8" s="240">
        <f>$C8*U$6+V$6</f>
        <v>2.25</v>
      </c>
      <c r="X8">
        <v>60</v>
      </c>
      <c r="Y8" s="22"/>
      <c r="Z8" s="22"/>
      <c r="AA8" s="240">
        <f>$C8*Y$6+Z$6</f>
        <v>60</v>
      </c>
      <c r="AB8" s="85">
        <f t="shared" si="0"/>
        <v>416</v>
      </c>
      <c r="AC8" s="132">
        <f t="shared" si="1"/>
        <v>582.4</v>
      </c>
      <c r="AD8" s="96">
        <f t="shared" si="2"/>
        <v>524.16</v>
      </c>
      <c r="AE8" s="121">
        <v>20</v>
      </c>
    </row>
    <row r="9" s="2" customFormat="1" spans="1:31">
      <c r="A9" s="175" t="s">
        <v>35</v>
      </c>
      <c r="B9" s="175" t="b">
        <v>0</v>
      </c>
      <c r="C9" s="127">
        <v>0</v>
      </c>
      <c r="D9" s="95">
        <v>1</v>
      </c>
      <c r="E9" s="174">
        <v>0.6</v>
      </c>
      <c r="F9" s="174">
        <v>10</v>
      </c>
      <c r="G9" s="241">
        <f>$C9*E$9+F$9</f>
        <v>10</v>
      </c>
      <c r="H9" s="95">
        <v>10</v>
      </c>
      <c r="I9" s="174">
        <v>0.5</v>
      </c>
      <c r="J9" s="174">
        <v>10</v>
      </c>
      <c r="K9" s="241">
        <f>$C9*I$9+J$9</f>
        <v>10</v>
      </c>
      <c r="L9" s="95">
        <v>0.75</v>
      </c>
      <c r="M9" s="174">
        <v>0.025</v>
      </c>
      <c r="N9" s="174">
        <v>0.75</v>
      </c>
      <c r="O9" s="241">
        <f>$C9*M$9+N$9</f>
        <v>0.75</v>
      </c>
      <c r="P9" s="95">
        <v>40</v>
      </c>
      <c r="Q9" s="174">
        <v>1</v>
      </c>
      <c r="R9" s="174">
        <v>40</v>
      </c>
      <c r="S9" s="241">
        <f>$C9*Q$9+R$9</f>
        <v>40</v>
      </c>
      <c r="T9" s="95">
        <v>3.5</v>
      </c>
      <c r="U9" s="174">
        <v>-0.05</v>
      </c>
      <c r="V9" s="174">
        <v>3.5</v>
      </c>
      <c r="W9" s="241">
        <f>$C9*U$9+V$9</f>
        <v>3.5</v>
      </c>
      <c r="X9" s="95">
        <v>2</v>
      </c>
      <c r="Y9" s="174">
        <v>0</v>
      </c>
      <c r="Z9" s="174">
        <v>2</v>
      </c>
      <c r="AA9" s="241">
        <f>Z9</f>
        <v>2</v>
      </c>
      <c r="AB9" s="248">
        <f t="shared" si="0"/>
        <v>10.2</v>
      </c>
      <c r="AC9" s="248">
        <f t="shared" si="1"/>
        <v>7.65</v>
      </c>
      <c r="AD9" s="2">
        <f t="shared" si="2"/>
        <v>0.765</v>
      </c>
      <c r="AE9" s="12">
        <v>0</v>
      </c>
    </row>
    <row r="10" customFormat="1" spans="1:31">
      <c r="A10" s="166"/>
      <c r="B10" s="166"/>
      <c r="C10" s="12">
        <v>10</v>
      </c>
      <c r="D10" s="2">
        <v>1.85</v>
      </c>
      <c r="E10" s="22"/>
      <c r="F10" s="22"/>
      <c r="G10" s="240">
        <f>$C10*E$9+F$9</f>
        <v>16</v>
      </c>
      <c r="H10">
        <v>15</v>
      </c>
      <c r="I10" s="22"/>
      <c r="J10" s="22"/>
      <c r="K10" s="240">
        <f>$C10*I$9+J$9</f>
        <v>15</v>
      </c>
      <c r="L10">
        <v>1</v>
      </c>
      <c r="M10" s="22"/>
      <c r="N10" s="22"/>
      <c r="O10" s="240">
        <f>$C10*M$9+N$9</f>
        <v>1</v>
      </c>
      <c r="P10">
        <v>50</v>
      </c>
      <c r="Q10" s="22"/>
      <c r="R10" s="22"/>
      <c r="S10" s="240">
        <f>$C10*Q$9+R$9</f>
        <v>50</v>
      </c>
      <c r="T10">
        <v>3</v>
      </c>
      <c r="U10" s="22"/>
      <c r="V10" s="22"/>
      <c r="W10" s="240">
        <f>$C10*U$9+V$9</f>
        <v>3</v>
      </c>
      <c r="X10">
        <v>2</v>
      </c>
      <c r="Y10" s="22"/>
      <c r="Z10" s="22"/>
      <c r="AA10" s="240">
        <f>Z9</f>
        <v>2</v>
      </c>
      <c r="AB10" s="85">
        <f t="shared" si="0"/>
        <v>16.32</v>
      </c>
      <c r="AC10" s="132">
        <f t="shared" si="1"/>
        <v>16.32</v>
      </c>
      <c r="AD10">
        <f t="shared" si="2"/>
        <v>2.448</v>
      </c>
      <c r="AE10" s="12">
        <v>10</v>
      </c>
    </row>
    <row r="11" s="2" customFormat="1" spans="1:31">
      <c r="A11" s="182"/>
      <c r="B11" s="182"/>
      <c r="C11" s="121">
        <v>20</v>
      </c>
      <c r="D11" s="96">
        <v>2.05</v>
      </c>
      <c r="E11" s="181"/>
      <c r="F11" s="181"/>
      <c r="G11" s="99">
        <f>$C11*E$9+F$9</f>
        <v>22</v>
      </c>
      <c r="H11" s="96">
        <v>20</v>
      </c>
      <c r="I11" s="181"/>
      <c r="J11" s="181"/>
      <c r="K11" s="99">
        <f>$C11*I$9+J$9</f>
        <v>20</v>
      </c>
      <c r="L11" s="96">
        <v>1.25</v>
      </c>
      <c r="M11" s="181"/>
      <c r="N11" s="181"/>
      <c r="O11" s="99">
        <f>$C11*M$9+N$9</f>
        <v>1.25</v>
      </c>
      <c r="P11" s="96">
        <v>60</v>
      </c>
      <c r="Q11" s="181"/>
      <c r="R11" s="181"/>
      <c r="S11" s="99">
        <f>$C11*Q$9+R$9</f>
        <v>60</v>
      </c>
      <c r="T11" s="96">
        <v>2.5</v>
      </c>
      <c r="U11" s="181"/>
      <c r="V11" s="181"/>
      <c r="W11" s="99">
        <f>$C11*U$9+V$9</f>
        <v>2.5</v>
      </c>
      <c r="X11" s="96">
        <v>2</v>
      </c>
      <c r="Y11" s="181"/>
      <c r="Z11" s="181"/>
      <c r="AA11" s="99">
        <f>Z9</f>
        <v>2</v>
      </c>
      <c r="AB11" s="3">
        <f t="shared" si="0"/>
        <v>22.44</v>
      </c>
      <c r="AC11" s="3">
        <f t="shared" si="1"/>
        <v>28.05</v>
      </c>
      <c r="AD11" s="96">
        <f t="shared" si="2"/>
        <v>5.61</v>
      </c>
      <c r="AE11" s="121">
        <v>20</v>
      </c>
    </row>
    <row r="12" customFormat="1" spans="1:31">
      <c r="A12" s="166" t="s">
        <v>42</v>
      </c>
      <c r="B12" s="166" t="b">
        <v>0</v>
      </c>
      <c r="C12" s="12">
        <v>0</v>
      </c>
      <c r="D12" s="2">
        <v>3.3</v>
      </c>
      <c r="E12" s="22">
        <v>1</v>
      </c>
      <c r="F12" s="22">
        <v>21</v>
      </c>
      <c r="G12" s="240">
        <f>$C12*E$12+F$12</f>
        <v>21</v>
      </c>
      <c r="H12">
        <v>60</v>
      </c>
      <c r="I12" s="22">
        <v>0.5</v>
      </c>
      <c r="J12" s="22">
        <v>60</v>
      </c>
      <c r="K12" s="240">
        <f>$C12*I$12+J$12</f>
        <v>60</v>
      </c>
      <c r="L12">
        <v>5.5</v>
      </c>
      <c r="M12" s="22">
        <v>0.2</v>
      </c>
      <c r="N12" s="22">
        <v>5.5</v>
      </c>
      <c r="O12" s="240">
        <f>$C12*M$12+N$12</f>
        <v>5.5</v>
      </c>
      <c r="P12">
        <v>57.5</v>
      </c>
      <c r="Q12" s="22">
        <v>1</v>
      </c>
      <c r="R12" s="22">
        <v>57.5</v>
      </c>
      <c r="S12" s="240">
        <f>$C12*Q$12+R$12</f>
        <v>57.5</v>
      </c>
      <c r="T12">
        <v>2.5</v>
      </c>
      <c r="U12" s="22">
        <v>-0.05</v>
      </c>
      <c r="V12" s="22">
        <v>2.5</v>
      </c>
      <c r="W12" s="240">
        <f>$C12*U$12+V$12</f>
        <v>2.5</v>
      </c>
      <c r="X12">
        <v>1</v>
      </c>
      <c r="Y12" s="22">
        <v>0.05</v>
      </c>
      <c r="Z12" s="22">
        <v>1</v>
      </c>
      <c r="AA12" s="240">
        <f>$C12*Y$12+Z$12</f>
        <v>1</v>
      </c>
      <c r="AB12" s="85">
        <f t="shared" si="0"/>
        <v>21.21</v>
      </c>
      <c r="AC12" s="132">
        <f t="shared" si="1"/>
        <v>116.655</v>
      </c>
      <c r="AD12">
        <f t="shared" si="2"/>
        <v>69.993</v>
      </c>
      <c r="AE12" s="12">
        <v>0</v>
      </c>
    </row>
    <row r="13" customFormat="1" spans="1:31">
      <c r="A13" s="166"/>
      <c r="B13" s="166"/>
      <c r="C13" s="12">
        <v>10</v>
      </c>
      <c r="D13" s="2">
        <v>6.2</v>
      </c>
      <c r="E13" s="22"/>
      <c r="F13" s="22"/>
      <c r="G13" s="240">
        <f>$C13*E$12+F$12</f>
        <v>31</v>
      </c>
      <c r="H13">
        <v>65</v>
      </c>
      <c r="I13" s="22"/>
      <c r="J13" s="22"/>
      <c r="K13" s="240">
        <f>$C13*I$12+J$12</f>
        <v>65</v>
      </c>
      <c r="L13">
        <v>7.5</v>
      </c>
      <c r="M13" s="22"/>
      <c r="N13" s="22"/>
      <c r="O13" s="240">
        <f>$C13*M$12+N$12</f>
        <v>7.5</v>
      </c>
      <c r="P13">
        <v>67.5</v>
      </c>
      <c r="Q13" s="22"/>
      <c r="R13" s="22"/>
      <c r="S13" s="240">
        <f>$C13*Q$12+R$12</f>
        <v>67.5</v>
      </c>
      <c r="T13">
        <v>2</v>
      </c>
      <c r="U13" s="22"/>
      <c r="V13" s="22"/>
      <c r="W13" s="240">
        <f>$C13*U$12+V$12</f>
        <v>2</v>
      </c>
      <c r="X13">
        <v>1.5</v>
      </c>
      <c r="Y13" s="22"/>
      <c r="Z13" s="22"/>
      <c r="AA13" s="240">
        <f>$C13*Y$12+Z$12</f>
        <v>1.5</v>
      </c>
      <c r="AB13" s="85">
        <f t="shared" si="0"/>
        <v>31.465</v>
      </c>
      <c r="AC13" s="132">
        <f t="shared" si="1"/>
        <v>235.9875</v>
      </c>
      <c r="AD13">
        <f t="shared" si="2"/>
        <v>153.391875</v>
      </c>
      <c r="AE13" s="12">
        <v>10</v>
      </c>
    </row>
    <row r="14" customFormat="1" spans="1:31">
      <c r="A14" s="182"/>
      <c r="B14" s="182"/>
      <c r="C14" s="121">
        <v>20</v>
      </c>
      <c r="D14" s="96">
        <v>9.1</v>
      </c>
      <c r="E14" s="181"/>
      <c r="F14" s="181"/>
      <c r="G14" s="99">
        <f>$C14*E$12+F$12</f>
        <v>41</v>
      </c>
      <c r="H14" s="96">
        <v>70</v>
      </c>
      <c r="I14" s="181"/>
      <c r="J14" s="181"/>
      <c r="K14" s="99">
        <f>$C14*I$12+J$12</f>
        <v>70</v>
      </c>
      <c r="L14" s="96">
        <v>9.5</v>
      </c>
      <c r="M14" s="181"/>
      <c r="N14" s="181"/>
      <c r="O14" s="99">
        <f>$C14*M$12+N$12</f>
        <v>9.5</v>
      </c>
      <c r="P14" s="96">
        <v>77.5</v>
      </c>
      <c r="Q14" s="181"/>
      <c r="R14" s="181"/>
      <c r="S14" s="99">
        <f>$C14*Q$12+R$12</f>
        <v>77.5</v>
      </c>
      <c r="T14" s="96">
        <v>1.5</v>
      </c>
      <c r="U14" s="181"/>
      <c r="V14" s="181"/>
      <c r="W14" s="99">
        <f>$C14*U$12+V$12</f>
        <v>1.5</v>
      </c>
      <c r="X14" s="96">
        <v>2</v>
      </c>
      <c r="Y14" s="181"/>
      <c r="Z14" s="181"/>
      <c r="AA14" s="99">
        <f>$C14*Y$12+Z$12</f>
        <v>2</v>
      </c>
      <c r="AB14" s="3">
        <f t="shared" si="0"/>
        <v>41.82</v>
      </c>
      <c r="AC14" s="3">
        <f t="shared" si="1"/>
        <v>397.29</v>
      </c>
      <c r="AD14" s="96">
        <f t="shared" si="2"/>
        <v>278.103</v>
      </c>
      <c r="AE14" s="121">
        <v>20</v>
      </c>
    </row>
    <row r="15" s="2" customFormat="1" spans="1:31">
      <c r="A15" s="166" t="s">
        <v>49</v>
      </c>
      <c r="B15" s="166" t="b">
        <v>0</v>
      </c>
      <c r="C15" s="12">
        <v>0</v>
      </c>
      <c r="D15" s="2">
        <v>2.75</v>
      </c>
      <c r="E15" s="192">
        <v>4.25</v>
      </c>
      <c r="F15" s="192">
        <v>30</v>
      </c>
      <c r="G15" s="240">
        <f>$C15*E$15+F$15</f>
        <v>30</v>
      </c>
      <c r="H15" s="2">
        <v>30</v>
      </c>
      <c r="I15" s="192">
        <v>0.5</v>
      </c>
      <c r="J15" s="192">
        <v>30</v>
      </c>
      <c r="K15" s="240">
        <f>$C15*I$15+J$15</f>
        <v>30</v>
      </c>
      <c r="L15" s="2">
        <v>2.75</v>
      </c>
      <c r="M15" s="192">
        <v>0.0125</v>
      </c>
      <c r="N15" s="192">
        <v>2.75</v>
      </c>
      <c r="O15" s="240">
        <f>$C15*M$15+N$15</f>
        <v>2.75</v>
      </c>
      <c r="P15" s="2">
        <v>10</v>
      </c>
      <c r="Q15" s="192">
        <v>1</v>
      </c>
      <c r="R15" s="192">
        <v>10</v>
      </c>
      <c r="S15" s="240">
        <f>$C15*Q$15+R$15</f>
        <v>10</v>
      </c>
      <c r="T15" s="2">
        <v>5</v>
      </c>
      <c r="U15" s="192">
        <v>0</v>
      </c>
      <c r="V15" s="192">
        <v>5</v>
      </c>
      <c r="W15" s="240">
        <f>$C15*U$15+V$15</f>
        <v>5</v>
      </c>
      <c r="X15" s="2">
        <v>2</v>
      </c>
      <c r="Y15" s="192">
        <v>0.4</v>
      </c>
      <c r="Z15" s="192">
        <v>2</v>
      </c>
      <c r="AA15" s="240">
        <f>$C15*Y$15+Z$15</f>
        <v>2</v>
      </c>
      <c r="AB15" s="132">
        <f t="shared" si="0"/>
        <v>30.6</v>
      </c>
      <c r="AC15" s="132">
        <f t="shared" si="1"/>
        <v>84.15</v>
      </c>
      <c r="AD15" s="2">
        <f t="shared" si="2"/>
        <v>25.245</v>
      </c>
      <c r="AE15" s="12">
        <v>0</v>
      </c>
    </row>
    <row r="16" customFormat="1" spans="1:31">
      <c r="A16" s="166"/>
      <c r="B16" s="166"/>
      <c r="C16" s="12">
        <v>10</v>
      </c>
      <c r="D16" s="2">
        <v>7.5</v>
      </c>
      <c r="E16" s="22"/>
      <c r="F16" s="22"/>
      <c r="G16" s="240">
        <f>$C16*E$15+F$15</f>
        <v>72.5</v>
      </c>
      <c r="H16">
        <v>35</v>
      </c>
      <c r="I16" s="22"/>
      <c r="J16" s="22"/>
      <c r="K16" s="240">
        <f>$C16*I$15+J$15</f>
        <v>35</v>
      </c>
      <c r="L16">
        <v>2.88</v>
      </c>
      <c r="M16" s="22"/>
      <c r="N16" s="22"/>
      <c r="O16" s="240">
        <f>$C16*M$15+N$15</f>
        <v>2.875</v>
      </c>
      <c r="P16">
        <v>20</v>
      </c>
      <c r="Q16" s="22"/>
      <c r="R16" s="22"/>
      <c r="S16" s="240">
        <f>$C16*Q$15+R$15</f>
        <v>20</v>
      </c>
      <c r="T16">
        <v>5</v>
      </c>
      <c r="U16" s="22"/>
      <c r="V16" s="22"/>
      <c r="W16" s="240">
        <f>$C16*U$15+V$15</f>
        <v>5</v>
      </c>
      <c r="X16">
        <v>6</v>
      </c>
      <c r="Y16" s="22"/>
      <c r="Z16" s="22"/>
      <c r="AA16" s="240">
        <f>$C16*Y$15+Z$15</f>
        <v>6</v>
      </c>
      <c r="AB16" s="85">
        <f t="shared" si="0"/>
        <v>76.85</v>
      </c>
      <c r="AC16" s="132">
        <f t="shared" si="1"/>
        <v>220.94375</v>
      </c>
      <c r="AD16">
        <f t="shared" si="2"/>
        <v>77.3303125</v>
      </c>
      <c r="AE16" s="12">
        <v>10</v>
      </c>
    </row>
    <row r="17" s="2" customFormat="1" spans="1:31">
      <c r="A17" s="160"/>
      <c r="B17" s="160"/>
      <c r="C17" s="239">
        <v>20</v>
      </c>
      <c r="D17" s="242">
        <v>11.25</v>
      </c>
      <c r="E17" s="189"/>
      <c r="F17" s="189"/>
      <c r="G17" s="243">
        <f>$C17*E$15+F$15</f>
        <v>115</v>
      </c>
      <c r="H17" s="242">
        <v>40</v>
      </c>
      <c r="I17" s="189"/>
      <c r="J17" s="189"/>
      <c r="K17" s="243">
        <f>$C17*I$15+J$15</f>
        <v>40</v>
      </c>
      <c r="L17" s="242">
        <v>3</v>
      </c>
      <c r="M17" s="189"/>
      <c r="N17" s="189"/>
      <c r="O17" s="243">
        <f>$C17*M$15+N$15</f>
        <v>3</v>
      </c>
      <c r="P17" s="242">
        <v>30</v>
      </c>
      <c r="Q17" s="189"/>
      <c r="R17" s="189"/>
      <c r="S17" s="243">
        <f>$C17*Q$15+R$15</f>
        <v>30</v>
      </c>
      <c r="T17" s="242">
        <v>5</v>
      </c>
      <c r="U17" s="189"/>
      <c r="V17" s="189"/>
      <c r="W17" s="243">
        <f>$C17*U$15+V$15</f>
        <v>5</v>
      </c>
      <c r="X17" s="242">
        <v>10</v>
      </c>
      <c r="Y17" s="189"/>
      <c r="Z17" s="189"/>
      <c r="AA17" s="243">
        <f>$C17*Y$15+Z$15</f>
        <v>10</v>
      </c>
      <c r="AB17" s="249">
        <f t="shared" si="0"/>
        <v>126.5</v>
      </c>
      <c r="AC17" s="249">
        <f t="shared" si="1"/>
        <v>379.5</v>
      </c>
      <c r="AD17" s="242">
        <f t="shared" si="2"/>
        <v>151.8</v>
      </c>
      <c r="AE17" s="239">
        <v>20</v>
      </c>
    </row>
    <row r="18" customFormat="1" spans="1:34">
      <c r="A18" s="22"/>
      <c r="D18" s="22"/>
      <c r="E18" s="22"/>
      <c r="F18" s="22"/>
      <c r="G18" s="85"/>
      <c r="I18" s="22"/>
      <c r="J18" s="22"/>
      <c r="K18" s="22"/>
      <c r="L18" s="85"/>
      <c r="N18" s="22"/>
      <c r="O18" s="22"/>
      <c r="P18" s="22"/>
      <c r="Q18" s="85"/>
      <c r="S18" s="22"/>
      <c r="T18" s="22"/>
      <c r="U18" s="22"/>
      <c r="V18" s="85"/>
      <c r="X18" s="22"/>
      <c r="Y18" s="22"/>
      <c r="Z18" s="22"/>
      <c r="AA18" s="85"/>
      <c r="AC18" s="22"/>
      <c r="AD18" s="22"/>
      <c r="AE18" s="22"/>
      <c r="AF18" s="85"/>
      <c r="AG18" s="85"/>
      <c r="AH18" s="85"/>
    </row>
    <row r="19" customFormat="1" spans="1:26">
      <c r="A19" s="109" t="s">
        <v>0</v>
      </c>
      <c r="B19" s="164" t="s">
        <v>75</v>
      </c>
      <c r="C19" s="157"/>
      <c r="D19" s="165" t="s">
        <v>76</v>
      </c>
      <c r="E19" s="165"/>
      <c r="F19" s="165"/>
      <c r="G19" s="165"/>
      <c r="H19" s="165"/>
      <c r="I19" s="165"/>
      <c r="J19" s="196" t="s">
        <v>8</v>
      </c>
      <c r="K19" s="197" t="s">
        <v>10</v>
      </c>
      <c r="L19" s="196" t="s">
        <v>3</v>
      </c>
      <c r="M19" s="196" t="s">
        <v>4</v>
      </c>
      <c r="N19" s="196" t="s">
        <v>5</v>
      </c>
      <c r="O19" s="196" t="s">
        <v>6</v>
      </c>
      <c r="P19" s="196" t="s">
        <v>7</v>
      </c>
      <c r="Q19" s="196" t="s">
        <v>9</v>
      </c>
      <c r="R19" s="220" t="s">
        <v>77</v>
      </c>
      <c r="S19" s="220" t="s">
        <v>11</v>
      </c>
      <c r="T19" s="221" t="s">
        <v>78</v>
      </c>
      <c r="U19" s="220" t="s">
        <v>79</v>
      </c>
      <c r="V19" s="220" t="s">
        <v>80</v>
      </c>
      <c r="W19" s="225" t="s">
        <v>81</v>
      </c>
      <c r="X19" s="226" t="s">
        <v>69</v>
      </c>
      <c r="Y19" s="227" t="s">
        <v>70</v>
      </c>
      <c r="Z19" s="228" t="s">
        <v>82</v>
      </c>
    </row>
    <row r="20" customFormat="1" spans="1:26">
      <c r="A20" s="115"/>
      <c r="B20" s="22"/>
      <c r="C20" s="166"/>
      <c r="D20" s="141" t="s">
        <v>3</v>
      </c>
      <c r="E20" s="167" t="s">
        <v>4</v>
      </c>
      <c r="F20" s="28" t="s">
        <v>5</v>
      </c>
      <c r="G20" s="167" t="s">
        <v>6</v>
      </c>
      <c r="H20" s="28" t="s">
        <v>7</v>
      </c>
      <c r="I20" s="167" t="s">
        <v>9</v>
      </c>
      <c r="J20" s="199"/>
      <c r="K20" s="200"/>
      <c r="L20" s="201"/>
      <c r="M20" s="201"/>
      <c r="N20" s="201"/>
      <c r="O20" s="201"/>
      <c r="P20" s="201"/>
      <c r="Q20" s="201"/>
      <c r="R20" s="222"/>
      <c r="S20" s="222"/>
      <c r="T20" s="223"/>
      <c r="U20" s="222"/>
      <c r="V20" s="222"/>
      <c r="W20" s="229"/>
      <c r="X20" s="230"/>
      <c r="Y20" s="231"/>
      <c r="Z20" s="232"/>
    </row>
    <row r="21" customFormat="1" spans="1:26">
      <c r="A21" s="109" t="s">
        <v>20</v>
      </c>
      <c r="B21" s="164" t="s">
        <v>23</v>
      </c>
      <c r="C21" s="157"/>
      <c r="D21" s="140">
        <v>1</v>
      </c>
      <c r="E21" s="168">
        <v>1</v>
      </c>
      <c r="F21" s="169">
        <v>1.3</v>
      </c>
      <c r="G21" s="244">
        <v>1</v>
      </c>
      <c r="H21" s="169">
        <v>1.5</v>
      </c>
      <c r="I21" s="170">
        <v>1</v>
      </c>
      <c r="J21" s="204">
        <v>10</v>
      </c>
      <c r="K21" s="205">
        <v>1</v>
      </c>
      <c r="L21" s="206">
        <f>G$5*D21</f>
        <v>115</v>
      </c>
      <c r="M21" s="206">
        <f>$K$5*E21</f>
        <v>75</v>
      </c>
      <c r="N21" s="206">
        <f>O$5*F21</f>
        <v>5.2</v>
      </c>
      <c r="O21" s="206">
        <f>S$5*G21</f>
        <v>90</v>
      </c>
      <c r="P21" s="206">
        <f>W$5*H21</f>
        <v>0.75</v>
      </c>
      <c r="Q21" s="206">
        <f>AA$5*I21</f>
        <v>7</v>
      </c>
      <c r="R21" s="150">
        <f t="shared" ref="R21:R45" si="3">Q21/100*L21*2+(1-Q21/100)*L21</f>
        <v>123.05</v>
      </c>
      <c r="S21" s="150">
        <f>R21*K21</f>
        <v>123.05</v>
      </c>
      <c r="T21" s="150">
        <f>J21/N21</f>
        <v>1.92307692307692</v>
      </c>
      <c r="U21" s="150">
        <f t="shared" ref="U21:U45" si="4">J21/N21+P21</f>
        <v>2.67307692307692</v>
      </c>
      <c r="V21" s="150">
        <f t="shared" ref="V21:V45" si="5">R21*K21*J21</f>
        <v>1230.5</v>
      </c>
      <c r="W21" s="150">
        <f t="shared" ref="W21:W45" si="6">V21*M21/100</f>
        <v>922.875</v>
      </c>
      <c r="X21" s="233">
        <f>W21/T21</f>
        <v>479.895</v>
      </c>
      <c r="Y21" s="234">
        <f t="shared" ref="Y21:Y45" si="7">W21/U21</f>
        <v>345.248201438849</v>
      </c>
      <c r="Z21" s="234">
        <f>100/X21*Y21-100</f>
        <v>-28.0575539568345</v>
      </c>
    </row>
    <row r="22" customFormat="1" spans="1:26">
      <c r="A22" s="115"/>
      <c r="B22" s="22" t="s">
        <v>24</v>
      </c>
      <c r="C22" s="166"/>
      <c r="D22" s="141">
        <v>1.7</v>
      </c>
      <c r="E22" s="171">
        <v>0.8</v>
      </c>
      <c r="F22" s="28">
        <v>1</v>
      </c>
      <c r="G22" s="167">
        <v>1</v>
      </c>
      <c r="H22" s="28">
        <v>1</v>
      </c>
      <c r="I22" s="172">
        <v>1</v>
      </c>
      <c r="J22" s="206">
        <v>6</v>
      </c>
      <c r="K22" s="208">
        <v>1</v>
      </c>
      <c r="L22" s="206">
        <f>G$5*D22</f>
        <v>195.5</v>
      </c>
      <c r="M22" s="206">
        <f>$K$5*E22</f>
        <v>60</v>
      </c>
      <c r="N22" s="206">
        <f>O$5*F22</f>
        <v>4</v>
      </c>
      <c r="O22" s="206">
        <f>S$5*G22</f>
        <v>90</v>
      </c>
      <c r="P22" s="206">
        <f>W$5*H22</f>
        <v>0.5</v>
      </c>
      <c r="Q22" s="206">
        <f>AA$5*I22</f>
        <v>7</v>
      </c>
      <c r="R22" s="150">
        <f t="shared" si="3"/>
        <v>209.185</v>
      </c>
      <c r="S22" s="150">
        <f t="shared" ref="S22:S45" si="8">R22*K22</f>
        <v>209.185</v>
      </c>
      <c r="T22" s="150">
        <f t="shared" ref="T22:T45" si="9">J22/N22</f>
        <v>1.5</v>
      </c>
      <c r="U22" s="150">
        <f t="shared" si="4"/>
        <v>2</v>
      </c>
      <c r="V22" s="150">
        <f t="shared" si="5"/>
        <v>1255.11</v>
      </c>
      <c r="W22" s="150">
        <f t="shared" si="6"/>
        <v>753.066</v>
      </c>
      <c r="X22" s="233">
        <f t="shared" ref="X22:X45" si="10">W22/T22</f>
        <v>502.044</v>
      </c>
      <c r="Y22" s="234">
        <f t="shared" si="7"/>
        <v>376.533</v>
      </c>
      <c r="Z22" s="234">
        <f t="shared" ref="Z22:Z45" si="11">100/X22*Y22-100</f>
        <v>-25</v>
      </c>
    </row>
    <row r="23" customFormat="1" spans="1:37">
      <c r="A23" s="115"/>
      <c r="B23" s="22" t="s">
        <v>25</v>
      </c>
      <c r="C23" s="166"/>
      <c r="D23" s="141">
        <v>1</v>
      </c>
      <c r="E23" s="171">
        <v>1</v>
      </c>
      <c r="F23" s="28">
        <v>1</v>
      </c>
      <c r="G23" s="167">
        <v>0.6</v>
      </c>
      <c r="H23" s="28">
        <v>0.2</v>
      </c>
      <c r="I23" s="172">
        <v>1</v>
      </c>
      <c r="J23" s="206">
        <v>12</v>
      </c>
      <c r="K23" s="208">
        <v>1</v>
      </c>
      <c r="L23" s="206">
        <f>G$5*D23</f>
        <v>115</v>
      </c>
      <c r="M23" s="206">
        <f>$K$5*E23</f>
        <v>75</v>
      </c>
      <c r="N23" s="206">
        <f>O$5*F23</f>
        <v>4</v>
      </c>
      <c r="O23" s="206">
        <f>S$5*G23</f>
        <v>54</v>
      </c>
      <c r="P23" s="206">
        <f>W$5*H23</f>
        <v>0.1</v>
      </c>
      <c r="Q23" s="206">
        <f>AA$5*I23</f>
        <v>7</v>
      </c>
      <c r="R23" s="150">
        <f t="shared" si="3"/>
        <v>123.05</v>
      </c>
      <c r="S23" s="150">
        <f t="shared" si="8"/>
        <v>123.05</v>
      </c>
      <c r="T23" s="150">
        <f t="shared" si="9"/>
        <v>3</v>
      </c>
      <c r="U23" s="150">
        <f t="shared" si="4"/>
        <v>3.1</v>
      </c>
      <c r="V23" s="150">
        <f t="shared" si="5"/>
        <v>1476.6</v>
      </c>
      <c r="W23" s="150">
        <f t="shared" si="6"/>
        <v>1107.45</v>
      </c>
      <c r="X23" s="233">
        <f t="shared" si="10"/>
        <v>369.15</v>
      </c>
      <c r="Y23" s="234">
        <f t="shared" si="7"/>
        <v>357.241935483871</v>
      </c>
      <c r="Z23" s="234">
        <f t="shared" si="11"/>
        <v>-3.2258064516129</v>
      </c>
      <c r="AG23" s="156" t="s">
        <v>20</v>
      </c>
      <c r="AH23" s="132" t="s">
        <v>28</v>
      </c>
      <c r="AI23" s="132" t="s">
        <v>42</v>
      </c>
      <c r="AJ23" s="132" t="s">
        <v>35</v>
      </c>
      <c r="AK23" s="132" t="s">
        <v>49</v>
      </c>
    </row>
    <row r="24" customFormat="1" spans="1:37">
      <c r="A24" s="115"/>
      <c r="B24" s="22" t="s">
        <v>26</v>
      </c>
      <c r="C24" s="166"/>
      <c r="D24" s="141">
        <v>1</v>
      </c>
      <c r="E24" s="171">
        <v>1.35</v>
      </c>
      <c r="F24" s="28">
        <v>0.85</v>
      </c>
      <c r="G24" s="167">
        <v>1</v>
      </c>
      <c r="H24" s="28">
        <v>1</v>
      </c>
      <c r="I24" s="172">
        <v>1</v>
      </c>
      <c r="J24" s="206">
        <v>8</v>
      </c>
      <c r="K24" s="208">
        <v>1</v>
      </c>
      <c r="L24" s="206">
        <f>G$5*D24</f>
        <v>115</v>
      </c>
      <c r="M24" s="206">
        <f>$K$5*E24</f>
        <v>101.25</v>
      </c>
      <c r="N24" s="206">
        <f>O$5*F24</f>
        <v>3.4</v>
      </c>
      <c r="O24" s="206">
        <f>S$5*G24</f>
        <v>90</v>
      </c>
      <c r="P24" s="206">
        <f>W$5*H24</f>
        <v>0.5</v>
      </c>
      <c r="Q24" s="206">
        <f>AA$5*I24</f>
        <v>7</v>
      </c>
      <c r="R24" s="150">
        <f t="shared" si="3"/>
        <v>123.05</v>
      </c>
      <c r="S24" s="150">
        <f t="shared" si="8"/>
        <v>123.05</v>
      </c>
      <c r="T24" s="150">
        <f t="shared" si="9"/>
        <v>2.35294117647059</v>
      </c>
      <c r="U24" s="150">
        <f t="shared" si="4"/>
        <v>2.85294117647059</v>
      </c>
      <c r="V24" s="150">
        <f t="shared" si="5"/>
        <v>984.4</v>
      </c>
      <c r="W24" s="150">
        <f t="shared" si="6"/>
        <v>996.705</v>
      </c>
      <c r="X24" s="233">
        <f t="shared" si="10"/>
        <v>423.599625</v>
      </c>
      <c r="Y24" s="234">
        <f t="shared" si="7"/>
        <v>349.360515463917</v>
      </c>
      <c r="Z24" s="234">
        <f t="shared" si="11"/>
        <v>-17.5257731958763</v>
      </c>
      <c r="AF24" s="132">
        <v>0</v>
      </c>
      <c r="AG24" s="85">
        <v>39.655</v>
      </c>
      <c r="AH24" s="85">
        <v>27.72</v>
      </c>
      <c r="AI24" s="85">
        <v>69.993</v>
      </c>
      <c r="AJ24" s="132">
        <f>AD9*10</f>
        <v>7.65</v>
      </c>
      <c r="AK24" s="132">
        <v>25.245</v>
      </c>
    </row>
    <row r="25" customFormat="1" spans="1:37">
      <c r="A25" s="115"/>
      <c r="B25" s="22" t="s">
        <v>27</v>
      </c>
      <c r="C25" s="166"/>
      <c r="D25" s="141">
        <v>1.4</v>
      </c>
      <c r="E25" s="171">
        <v>1</v>
      </c>
      <c r="F25" s="28">
        <v>1</v>
      </c>
      <c r="G25" s="167">
        <v>0.4</v>
      </c>
      <c r="H25" s="28">
        <v>1</v>
      </c>
      <c r="I25" s="172">
        <v>1</v>
      </c>
      <c r="J25" s="206">
        <v>6</v>
      </c>
      <c r="K25" s="208">
        <v>1</v>
      </c>
      <c r="L25" s="206">
        <f>G$5*D25</f>
        <v>161</v>
      </c>
      <c r="M25" s="206">
        <f>$K$5*E25</f>
        <v>75</v>
      </c>
      <c r="N25" s="206">
        <f>O$5*F25</f>
        <v>4</v>
      </c>
      <c r="O25" s="206">
        <f>S$5*G25</f>
        <v>36</v>
      </c>
      <c r="P25" s="206">
        <f>W$5*H25</f>
        <v>0.5</v>
      </c>
      <c r="Q25" s="206">
        <f>AA$5*I25</f>
        <v>7</v>
      </c>
      <c r="R25" s="150">
        <f t="shared" si="3"/>
        <v>172.27</v>
      </c>
      <c r="S25" s="150">
        <f t="shared" si="8"/>
        <v>172.27</v>
      </c>
      <c r="T25" s="152">
        <f t="shared" si="9"/>
        <v>1.5</v>
      </c>
      <c r="U25" s="152">
        <f t="shared" si="4"/>
        <v>2</v>
      </c>
      <c r="V25" s="150">
        <f t="shared" si="5"/>
        <v>1033.62</v>
      </c>
      <c r="W25" s="152">
        <f t="shared" si="6"/>
        <v>775.215</v>
      </c>
      <c r="X25" s="235">
        <f t="shared" si="10"/>
        <v>516.81</v>
      </c>
      <c r="Y25" s="236">
        <f t="shared" si="7"/>
        <v>387.6075</v>
      </c>
      <c r="Z25" s="234">
        <f t="shared" si="11"/>
        <v>-25</v>
      </c>
      <c r="AF25" s="132">
        <v>10</v>
      </c>
      <c r="AG25" s="85">
        <v>153.5625</v>
      </c>
      <c r="AH25" s="85">
        <v>172.8</v>
      </c>
      <c r="AI25" s="85">
        <v>153.391875</v>
      </c>
      <c r="AJ25" s="132">
        <f>AD10*10</f>
        <v>24.48</v>
      </c>
      <c r="AK25" s="85">
        <v>77.3303125</v>
      </c>
    </row>
    <row r="26" customFormat="1" spans="1:37">
      <c r="A26" s="173" t="s">
        <v>28</v>
      </c>
      <c r="B26" s="174" t="s">
        <v>30</v>
      </c>
      <c r="C26" s="175"/>
      <c r="D26" s="176">
        <v>1</v>
      </c>
      <c r="E26" s="177">
        <v>1</v>
      </c>
      <c r="F26" s="178">
        <v>1.5</v>
      </c>
      <c r="G26" s="177">
        <v>1</v>
      </c>
      <c r="H26" s="179">
        <v>1</v>
      </c>
      <c r="I26" s="177">
        <v>0.3</v>
      </c>
      <c r="J26" s="210">
        <v>5</v>
      </c>
      <c r="K26" s="211">
        <v>1</v>
      </c>
      <c r="L26" s="210">
        <f t="shared" ref="L26:L30" si="12">G$8*D26</f>
        <v>260</v>
      </c>
      <c r="M26" s="210">
        <f t="shared" ref="M26:M30" si="13">K$8*E26</f>
        <v>90</v>
      </c>
      <c r="N26" s="210">
        <f t="shared" ref="N26:N30" si="14">O$8*F26</f>
        <v>2.1</v>
      </c>
      <c r="O26" s="210">
        <f t="shared" ref="O26:O30" si="15">S$8*G26</f>
        <v>55</v>
      </c>
      <c r="P26" s="210">
        <f t="shared" ref="P26:P30" si="16">W$8</f>
        <v>2.25</v>
      </c>
      <c r="Q26" s="210">
        <f t="shared" ref="Q26:Q30" si="17">AA$8*I26</f>
        <v>18</v>
      </c>
      <c r="R26" s="224">
        <f t="shared" si="3"/>
        <v>306.8</v>
      </c>
      <c r="S26" s="224">
        <f t="shared" si="8"/>
        <v>306.8</v>
      </c>
      <c r="T26" s="150">
        <f t="shared" si="9"/>
        <v>2.38095238095238</v>
      </c>
      <c r="U26" s="150">
        <f t="shared" si="4"/>
        <v>4.63095238095238</v>
      </c>
      <c r="V26" s="224">
        <f t="shared" si="5"/>
        <v>1534</v>
      </c>
      <c r="W26" s="150">
        <f t="shared" si="6"/>
        <v>1380.6</v>
      </c>
      <c r="X26" s="233">
        <f t="shared" si="10"/>
        <v>579.852</v>
      </c>
      <c r="Y26" s="234">
        <f t="shared" si="7"/>
        <v>298.12442159383</v>
      </c>
      <c r="Z26" s="234">
        <f t="shared" si="11"/>
        <v>-48.586118251928</v>
      </c>
      <c r="AF26" s="132">
        <v>20</v>
      </c>
      <c r="AG26" s="132">
        <v>369.15</v>
      </c>
      <c r="AH26" s="132">
        <v>524.16</v>
      </c>
      <c r="AI26" s="132">
        <v>278.103</v>
      </c>
      <c r="AJ26" s="132">
        <f>AD11*10</f>
        <v>56.1</v>
      </c>
      <c r="AK26" s="132">
        <v>151.8</v>
      </c>
    </row>
    <row r="27" customFormat="1" spans="1:26">
      <c r="A27" s="115"/>
      <c r="B27" s="22" t="s">
        <v>31</v>
      </c>
      <c r="C27" s="166"/>
      <c r="D27" s="141">
        <v>0.8</v>
      </c>
      <c r="E27" s="167">
        <v>1.2</v>
      </c>
      <c r="F27" s="28">
        <v>1</v>
      </c>
      <c r="G27" s="167">
        <v>1</v>
      </c>
      <c r="H27" s="180">
        <v>1</v>
      </c>
      <c r="I27" s="167">
        <v>1</v>
      </c>
      <c r="J27" s="206">
        <v>4</v>
      </c>
      <c r="K27" s="208">
        <v>1</v>
      </c>
      <c r="L27" s="206">
        <f t="shared" si="12"/>
        <v>208</v>
      </c>
      <c r="M27" s="206">
        <f t="shared" si="13"/>
        <v>108</v>
      </c>
      <c r="N27" s="206">
        <f t="shared" si="14"/>
        <v>1.4</v>
      </c>
      <c r="O27" s="206">
        <f t="shared" si="15"/>
        <v>55</v>
      </c>
      <c r="P27" s="206">
        <f t="shared" si="16"/>
        <v>2.25</v>
      </c>
      <c r="Q27" s="206">
        <f t="shared" si="17"/>
        <v>60</v>
      </c>
      <c r="R27" s="150">
        <f t="shared" si="3"/>
        <v>332.8</v>
      </c>
      <c r="S27" s="150">
        <f t="shared" si="8"/>
        <v>332.8</v>
      </c>
      <c r="T27" s="150">
        <f t="shared" si="9"/>
        <v>2.85714285714286</v>
      </c>
      <c r="U27" s="150">
        <f t="shared" si="4"/>
        <v>5.10714285714286</v>
      </c>
      <c r="V27" s="150">
        <f t="shared" si="5"/>
        <v>1331.2</v>
      </c>
      <c r="W27" s="150">
        <f t="shared" si="6"/>
        <v>1437.696</v>
      </c>
      <c r="X27" s="233">
        <f t="shared" si="10"/>
        <v>503.1936</v>
      </c>
      <c r="Y27" s="234">
        <f t="shared" si="7"/>
        <v>281.506909090909</v>
      </c>
      <c r="Z27" s="234">
        <f t="shared" si="11"/>
        <v>-44.0559440559441</v>
      </c>
    </row>
    <row r="28" customFormat="1" spans="1:36">
      <c r="A28" s="115"/>
      <c r="B28" s="22" t="s">
        <v>32</v>
      </c>
      <c r="C28" s="166"/>
      <c r="D28" s="141">
        <v>1</v>
      </c>
      <c r="E28" s="167">
        <v>0.7</v>
      </c>
      <c r="F28" s="28">
        <v>1</v>
      </c>
      <c r="G28" s="167">
        <v>1</v>
      </c>
      <c r="H28" s="180">
        <v>1</v>
      </c>
      <c r="I28" s="167">
        <v>1.4</v>
      </c>
      <c r="J28" s="206">
        <v>8</v>
      </c>
      <c r="K28" s="208">
        <v>1</v>
      </c>
      <c r="L28" s="206">
        <f t="shared" si="12"/>
        <v>260</v>
      </c>
      <c r="M28" s="206">
        <f t="shared" si="13"/>
        <v>63</v>
      </c>
      <c r="N28" s="206">
        <f t="shared" si="14"/>
        <v>1.4</v>
      </c>
      <c r="O28" s="206">
        <f t="shared" si="15"/>
        <v>55</v>
      </c>
      <c r="P28" s="206">
        <f t="shared" si="16"/>
        <v>2.25</v>
      </c>
      <c r="Q28" s="206">
        <f t="shared" si="17"/>
        <v>84</v>
      </c>
      <c r="R28" s="150">
        <f t="shared" si="3"/>
        <v>478.4</v>
      </c>
      <c r="S28" s="150">
        <f t="shared" si="8"/>
        <v>478.4</v>
      </c>
      <c r="T28" s="150">
        <f t="shared" si="9"/>
        <v>5.71428571428571</v>
      </c>
      <c r="U28" s="150">
        <f t="shared" si="4"/>
        <v>7.96428571428571</v>
      </c>
      <c r="V28" s="150">
        <f t="shared" si="5"/>
        <v>3827.2</v>
      </c>
      <c r="W28" s="150">
        <f t="shared" si="6"/>
        <v>2411.136</v>
      </c>
      <c r="X28" s="233">
        <f t="shared" si="10"/>
        <v>421.9488</v>
      </c>
      <c r="Y28" s="234">
        <f t="shared" si="7"/>
        <v>302.743533632287</v>
      </c>
      <c r="Z28" s="234">
        <f t="shared" si="11"/>
        <v>-28.2511210762332</v>
      </c>
      <c r="AH28" s="132"/>
      <c r="AJ28" s="132"/>
    </row>
    <row r="29" customFormat="1" spans="1:36">
      <c r="A29" s="115"/>
      <c r="B29" s="22" t="s">
        <v>33</v>
      </c>
      <c r="C29" s="166"/>
      <c r="D29" s="141">
        <v>1.5</v>
      </c>
      <c r="E29" s="167">
        <v>1</v>
      </c>
      <c r="F29" s="28">
        <v>1</v>
      </c>
      <c r="G29" s="167">
        <v>0.4</v>
      </c>
      <c r="H29" s="180">
        <v>1</v>
      </c>
      <c r="I29" s="167">
        <v>1</v>
      </c>
      <c r="J29" s="206">
        <v>3</v>
      </c>
      <c r="K29" s="208">
        <v>1</v>
      </c>
      <c r="L29" s="206">
        <f t="shared" si="12"/>
        <v>390</v>
      </c>
      <c r="M29" s="206">
        <f t="shared" si="13"/>
        <v>90</v>
      </c>
      <c r="N29" s="206">
        <f t="shared" si="14"/>
        <v>1.4</v>
      </c>
      <c r="O29" s="206">
        <f t="shared" si="15"/>
        <v>22</v>
      </c>
      <c r="P29" s="206">
        <f t="shared" si="16"/>
        <v>2.25</v>
      </c>
      <c r="Q29" s="206">
        <f t="shared" si="17"/>
        <v>60</v>
      </c>
      <c r="R29" s="150">
        <f t="shared" si="3"/>
        <v>624</v>
      </c>
      <c r="S29" s="150">
        <f t="shared" si="8"/>
        <v>624</v>
      </c>
      <c r="T29" s="150">
        <f t="shared" si="9"/>
        <v>2.14285714285714</v>
      </c>
      <c r="U29" s="150">
        <f t="shared" si="4"/>
        <v>4.39285714285714</v>
      </c>
      <c r="V29" s="150">
        <f t="shared" si="5"/>
        <v>1872</v>
      </c>
      <c r="W29" s="150">
        <f t="shared" si="6"/>
        <v>1684.8</v>
      </c>
      <c r="X29" s="233">
        <f t="shared" si="10"/>
        <v>786.24</v>
      </c>
      <c r="Y29" s="234">
        <f t="shared" si="7"/>
        <v>383.531707317073</v>
      </c>
      <c r="Z29" s="234">
        <f t="shared" si="11"/>
        <v>-51.219512195122</v>
      </c>
      <c r="AC29" s="85"/>
      <c r="AD29" s="156"/>
      <c r="AH29" s="132"/>
      <c r="AJ29" s="132"/>
    </row>
    <row r="30" customFormat="1" spans="1:36">
      <c r="A30" s="120"/>
      <c r="B30" s="181" t="s">
        <v>34</v>
      </c>
      <c r="C30" s="182"/>
      <c r="D30" s="142">
        <v>1</v>
      </c>
      <c r="E30" s="183">
        <v>1</v>
      </c>
      <c r="F30" s="184">
        <v>1</v>
      </c>
      <c r="G30" s="183">
        <v>2</v>
      </c>
      <c r="H30" s="185">
        <v>1</v>
      </c>
      <c r="I30" s="183">
        <v>0.5</v>
      </c>
      <c r="J30" s="213">
        <v>8</v>
      </c>
      <c r="K30" s="214">
        <v>1</v>
      </c>
      <c r="L30" s="213">
        <f t="shared" si="12"/>
        <v>260</v>
      </c>
      <c r="M30" s="213">
        <f t="shared" si="13"/>
        <v>90</v>
      </c>
      <c r="N30" s="213">
        <f t="shared" si="14"/>
        <v>1.4</v>
      </c>
      <c r="O30" s="213">
        <f t="shared" si="15"/>
        <v>110</v>
      </c>
      <c r="P30" s="213">
        <f t="shared" si="16"/>
        <v>2.25</v>
      </c>
      <c r="Q30" s="213">
        <f t="shared" si="17"/>
        <v>30</v>
      </c>
      <c r="R30" s="152">
        <f t="shared" si="3"/>
        <v>338</v>
      </c>
      <c r="S30" s="152">
        <f t="shared" si="8"/>
        <v>338</v>
      </c>
      <c r="T30" s="152">
        <f t="shared" si="9"/>
        <v>5.71428571428571</v>
      </c>
      <c r="U30" s="152">
        <f t="shared" si="4"/>
        <v>7.96428571428571</v>
      </c>
      <c r="V30" s="152">
        <f t="shared" si="5"/>
        <v>2704</v>
      </c>
      <c r="W30" s="152">
        <f t="shared" si="6"/>
        <v>2433.6</v>
      </c>
      <c r="X30" s="235">
        <f t="shared" si="10"/>
        <v>425.88</v>
      </c>
      <c r="Y30" s="236">
        <f t="shared" si="7"/>
        <v>305.564125560538</v>
      </c>
      <c r="Z30" s="234">
        <f t="shared" si="11"/>
        <v>-28.2511210762332</v>
      </c>
      <c r="AC30" s="85"/>
      <c r="AH30" s="132"/>
      <c r="AJ30" s="132"/>
    </row>
    <row r="31" customFormat="1" spans="1:29">
      <c r="A31" s="115" t="s">
        <v>35</v>
      </c>
      <c r="B31" s="22" t="s">
        <v>37</v>
      </c>
      <c r="C31" s="166"/>
      <c r="D31" s="141">
        <v>1</v>
      </c>
      <c r="E31" s="172">
        <v>1</v>
      </c>
      <c r="F31" s="28">
        <v>1</v>
      </c>
      <c r="G31" s="167">
        <v>1</v>
      </c>
      <c r="H31" s="28">
        <v>0.5</v>
      </c>
      <c r="I31" s="171">
        <v>0.8</v>
      </c>
      <c r="J31" s="206">
        <v>14</v>
      </c>
      <c r="K31" s="208">
        <v>20</v>
      </c>
      <c r="L31" s="206">
        <f t="shared" ref="L31:L35" si="18">G$11*D31</f>
        <v>22</v>
      </c>
      <c r="M31" s="206">
        <f t="shared" ref="M31:M35" si="19">K$11*E31</f>
        <v>20</v>
      </c>
      <c r="N31" s="206">
        <f t="shared" ref="N31:N35" si="20">O$11*F31</f>
        <v>1.25</v>
      </c>
      <c r="O31" s="206">
        <f t="shared" ref="O31:O35" si="21">S$11*G31</f>
        <v>60</v>
      </c>
      <c r="P31" s="206">
        <f t="shared" ref="P31:P35" si="22">W$11*H31</f>
        <v>1.25</v>
      </c>
      <c r="Q31" s="206">
        <f t="shared" ref="Q31:Q35" si="23">AA$11*I31</f>
        <v>1.6</v>
      </c>
      <c r="R31" s="150">
        <f t="shared" si="3"/>
        <v>22.352</v>
      </c>
      <c r="S31" s="150">
        <f t="shared" si="8"/>
        <v>447.04</v>
      </c>
      <c r="T31" s="150">
        <f t="shared" si="9"/>
        <v>11.2</v>
      </c>
      <c r="U31" s="150">
        <f t="shared" si="4"/>
        <v>12.45</v>
      </c>
      <c r="V31" s="150">
        <f t="shared" si="5"/>
        <v>6258.56</v>
      </c>
      <c r="W31" s="150">
        <f t="shared" si="6"/>
        <v>1251.712</v>
      </c>
      <c r="X31" s="233">
        <f t="shared" si="10"/>
        <v>111.76</v>
      </c>
      <c r="Y31" s="234">
        <f t="shared" si="7"/>
        <v>100.539116465863</v>
      </c>
      <c r="Z31" s="234">
        <f t="shared" si="11"/>
        <v>-10.0401606425703</v>
      </c>
      <c r="AC31" s="132"/>
    </row>
    <row r="32" customFormat="1" spans="1:34">
      <c r="A32" s="115"/>
      <c r="B32" s="22" t="s">
        <v>38</v>
      </c>
      <c r="C32" s="166"/>
      <c r="D32" s="141">
        <v>0.7</v>
      </c>
      <c r="E32" s="172">
        <v>1</v>
      </c>
      <c r="F32" s="28">
        <v>2</v>
      </c>
      <c r="G32" s="167">
        <v>1</v>
      </c>
      <c r="H32" s="28">
        <v>1</v>
      </c>
      <c r="I32" s="171">
        <v>1</v>
      </c>
      <c r="J32" s="206">
        <v>10</v>
      </c>
      <c r="K32" s="208">
        <v>20</v>
      </c>
      <c r="L32" s="206">
        <f t="shared" si="18"/>
        <v>15.4</v>
      </c>
      <c r="M32" s="206">
        <f t="shared" si="19"/>
        <v>20</v>
      </c>
      <c r="N32" s="206">
        <f t="shared" si="20"/>
        <v>2.5</v>
      </c>
      <c r="O32" s="206">
        <f t="shared" si="21"/>
        <v>60</v>
      </c>
      <c r="P32" s="206">
        <f t="shared" si="22"/>
        <v>2.5</v>
      </c>
      <c r="Q32" s="206">
        <f t="shared" si="23"/>
        <v>2</v>
      </c>
      <c r="R32" s="150">
        <f t="shared" si="3"/>
        <v>15.708</v>
      </c>
      <c r="S32" s="150">
        <f t="shared" si="8"/>
        <v>314.16</v>
      </c>
      <c r="T32" s="150">
        <f t="shared" si="9"/>
        <v>4</v>
      </c>
      <c r="U32" s="150">
        <f t="shared" si="4"/>
        <v>6.5</v>
      </c>
      <c r="V32" s="150">
        <f t="shared" si="5"/>
        <v>3141.6</v>
      </c>
      <c r="W32" s="150">
        <f t="shared" si="6"/>
        <v>628.32</v>
      </c>
      <c r="X32" s="233">
        <f t="shared" si="10"/>
        <v>157.08</v>
      </c>
      <c r="Y32" s="234">
        <f t="shared" si="7"/>
        <v>96.6646153846154</v>
      </c>
      <c r="Z32" s="234">
        <f t="shared" si="11"/>
        <v>-38.4615384615385</v>
      </c>
      <c r="AC32" s="132"/>
      <c r="AH32" s="132"/>
    </row>
    <row r="33" customFormat="1" spans="1:34">
      <c r="A33" s="115"/>
      <c r="B33" s="22" t="s">
        <v>39</v>
      </c>
      <c r="C33" s="166"/>
      <c r="D33" s="141">
        <v>1.75</v>
      </c>
      <c r="E33" s="172">
        <v>1</v>
      </c>
      <c r="F33" s="28">
        <v>1</v>
      </c>
      <c r="G33" s="167">
        <v>1</v>
      </c>
      <c r="H33" s="28">
        <v>2</v>
      </c>
      <c r="I33" s="171">
        <v>1</v>
      </c>
      <c r="J33" s="206">
        <v>12</v>
      </c>
      <c r="K33" s="208">
        <v>15</v>
      </c>
      <c r="L33" s="206">
        <f t="shared" si="18"/>
        <v>38.5</v>
      </c>
      <c r="M33" s="206">
        <f t="shared" si="19"/>
        <v>20</v>
      </c>
      <c r="N33" s="206">
        <f t="shared" si="20"/>
        <v>1.25</v>
      </c>
      <c r="O33" s="206">
        <f t="shared" si="21"/>
        <v>60</v>
      </c>
      <c r="P33" s="206">
        <f t="shared" si="22"/>
        <v>5</v>
      </c>
      <c r="Q33" s="206">
        <f t="shared" si="23"/>
        <v>2</v>
      </c>
      <c r="R33" s="150">
        <f t="shared" si="3"/>
        <v>39.27</v>
      </c>
      <c r="S33" s="150">
        <f t="shared" si="8"/>
        <v>589.05</v>
      </c>
      <c r="T33" s="150">
        <f t="shared" si="9"/>
        <v>9.6</v>
      </c>
      <c r="U33" s="150">
        <f t="shared" si="4"/>
        <v>14.6</v>
      </c>
      <c r="V33" s="150">
        <f t="shared" si="5"/>
        <v>7068.6</v>
      </c>
      <c r="W33" s="150">
        <f t="shared" si="6"/>
        <v>1413.72</v>
      </c>
      <c r="X33" s="233">
        <f t="shared" si="10"/>
        <v>147.2625</v>
      </c>
      <c r="Y33" s="234">
        <f t="shared" si="7"/>
        <v>96.8301369863014</v>
      </c>
      <c r="Z33" s="234">
        <f t="shared" si="11"/>
        <v>-34.2465753424658</v>
      </c>
      <c r="AC33" s="132"/>
      <c r="AH33" s="132"/>
    </row>
    <row r="34" customFormat="1" spans="1:34">
      <c r="A34" s="115"/>
      <c r="B34" s="22" t="s">
        <v>40</v>
      </c>
      <c r="C34" s="166"/>
      <c r="D34" s="141">
        <v>1</v>
      </c>
      <c r="E34" s="172">
        <v>1</v>
      </c>
      <c r="F34" s="28">
        <v>1</v>
      </c>
      <c r="G34" s="167">
        <v>0.5</v>
      </c>
      <c r="H34" s="28">
        <v>1</v>
      </c>
      <c r="I34" s="171">
        <v>1.2</v>
      </c>
      <c r="J34" s="206">
        <v>8</v>
      </c>
      <c r="K34" s="208">
        <v>24</v>
      </c>
      <c r="L34" s="206">
        <f t="shared" si="18"/>
        <v>22</v>
      </c>
      <c r="M34" s="206">
        <f t="shared" si="19"/>
        <v>20</v>
      </c>
      <c r="N34" s="206">
        <f t="shared" si="20"/>
        <v>1.25</v>
      </c>
      <c r="O34" s="206">
        <f t="shared" si="21"/>
        <v>30</v>
      </c>
      <c r="P34" s="206">
        <f t="shared" si="22"/>
        <v>2.5</v>
      </c>
      <c r="Q34" s="206">
        <f t="shared" si="23"/>
        <v>2.4</v>
      </c>
      <c r="R34" s="150">
        <f t="shared" si="3"/>
        <v>22.528</v>
      </c>
      <c r="S34" s="150">
        <f t="shared" si="8"/>
        <v>540.672</v>
      </c>
      <c r="T34" s="150">
        <f t="shared" si="9"/>
        <v>6.4</v>
      </c>
      <c r="U34" s="150">
        <f t="shared" si="4"/>
        <v>8.9</v>
      </c>
      <c r="V34" s="150">
        <f t="shared" si="5"/>
        <v>4325.376</v>
      </c>
      <c r="W34" s="150">
        <f t="shared" si="6"/>
        <v>865.0752</v>
      </c>
      <c r="X34" s="233">
        <f t="shared" si="10"/>
        <v>135.168</v>
      </c>
      <c r="Y34" s="234">
        <f t="shared" si="7"/>
        <v>97.1994606741573</v>
      </c>
      <c r="Z34" s="234">
        <f t="shared" si="11"/>
        <v>-28.0898876404494</v>
      </c>
      <c r="AH34" s="132"/>
    </row>
    <row r="35" customFormat="1" spans="1:29">
      <c r="A35" s="115"/>
      <c r="B35" s="22" t="s">
        <v>41</v>
      </c>
      <c r="C35" s="166"/>
      <c r="D35" s="141">
        <v>1</v>
      </c>
      <c r="E35" s="172">
        <v>1</v>
      </c>
      <c r="F35" s="28">
        <v>0.6</v>
      </c>
      <c r="G35" s="167">
        <v>2</v>
      </c>
      <c r="H35" s="28">
        <v>1</v>
      </c>
      <c r="I35" s="171">
        <v>1</v>
      </c>
      <c r="J35" s="206">
        <v>20</v>
      </c>
      <c r="K35" s="208">
        <v>30</v>
      </c>
      <c r="L35" s="206">
        <f t="shared" si="18"/>
        <v>22</v>
      </c>
      <c r="M35" s="206">
        <f t="shared" si="19"/>
        <v>20</v>
      </c>
      <c r="N35" s="206">
        <f t="shared" si="20"/>
        <v>0.75</v>
      </c>
      <c r="O35" s="206">
        <f t="shared" si="21"/>
        <v>120</v>
      </c>
      <c r="P35" s="206">
        <f t="shared" si="22"/>
        <v>2.5</v>
      </c>
      <c r="Q35" s="206">
        <f t="shared" si="23"/>
        <v>2</v>
      </c>
      <c r="R35" s="150">
        <f t="shared" si="3"/>
        <v>22.44</v>
      </c>
      <c r="S35" s="150">
        <f t="shared" si="8"/>
        <v>673.2</v>
      </c>
      <c r="T35" s="152">
        <f t="shared" si="9"/>
        <v>26.6666666666667</v>
      </c>
      <c r="U35" s="152">
        <f t="shared" si="4"/>
        <v>29.1666666666667</v>
      </c>
      <c r="V35" s="150">
        <f t="shared" si="5"/>
        <v>13464</v>
      </c>
      <c r="W35" s="152">
        <f t="shared" si="6"/>
        <v>2692.8</v>
      </c>
      <c r="X35" s="235">
        <f t="shared" si="10"/>
        <v>100.98</v>
      </c>
      <c r="Y35" s="236">
        <f t="shared" si="7"/>
        <v>92.3245714285714</v>
      </c>
      <c r="Z35" s="234">
        <f t="shared" si="11"/>
        <v>-8.57142857142857</v>
      </c>
      <c r="AC35" s="132"/>
    </row>
    <row r="36" customFormat="1" spans="1:29">
      <c r="A36" s="173" t="s">
        <v>42</v>
      </c>
      <c r="B36" s="174" t="s">
        <v>51</v>
      </c>
      <c r="C36" s="175"/>
      <c r="D36" s="186">
        <v>1</v>
      </c>
      <c r="E36" s="177">
        <v>1.5</v>
      </c>
      <c r="F36" s="178">
        <v>1</v>
      </c>
      <c r="G36" s="177">
        <v>1</v>
      </c>
      <c r="H36" s="178">
        <v>1.5</v>
      </c>
      <c r="I36" s="177">
        <v>1</v>
      </c>
      <c r="J36" s="210">
        <v>30</v>
      </c>
      <c r="K36" s="211">
        <v>1</v>
      </c>
      <c r="L36" s="210">
        <f t="shared" ref="L36:L40" si="24">G$14*D36</f>
        <v>41</v>
      </c>
      <c r="M36" s="210">
        <f t="shared" ref="M36:M40" si="25">K$14*E36</f>
        <v>105</v>
      </c>
      <c r="N36" s="210">
        <f t="shared" ref="N36:N40" si="26">O$14*F36</f>
        <v>9.5</v>
      </c>
      <c r="O36" s="210">
        <f t="shared" ref="O36:O40" si="27">S$14*G36</f>
        <v>77.5</v>
      </c>
      <c r="P36" s="210">
        <f t="shared" ref="P36:P40" si="28">W$14*H36</f>
        <v>2.25</v>
      </c>
      <c r="Q36" s="210">
        <f t="shared" ref="Q36:Q40" si="29">AA$14*I36</f>
        <v>2</v>
      </c>
      <c r="R36" s="224">
        <f t="shared" si="3"/>
        <v>41.82</v>
      </c>
      <c r="S36" s="224">
        <f t="shared" si="8"/>
        <v>41.82</v>
      </c>
      <c r="T36" s="150">
        <f t="shared" si="9"/>
        <v>3.15789473684211</v>
      </c>
      <c r="U36" s="150">
        <f t="shared" si="4"/>
        <v>5.40789473684211</v>
      </c>
      <c r="V36" s="224">
        <f t="shared" si="5"/>
        <v>1254.6</v>
      </c>
      <c r="W36" s="150">
        <f t="shared" si="6"/>
        <v>1317.33</v>
      </c>
      <c r="X36" s="233">
        <f t="shared" si="10"/>
        <v>417.1545</v>
      </c>
      <c r="Y36" s="234">
        <f t="shared" si="7"/>
        <v>243.593868613139</v>
      </c>
      <c r="Z36" s="234">
        <f t="shared" si="11"/>
        <v>-41.6058394160584</v>
      </c>
      <c r="AC36" s="132"/>
    </row>
    <row r="37" customFormat="1" spans="1:26">
      <c r="A37" s="115"/>
      <c r="B37" s="22" t="s">
        <v>45</v>
      </c>
      <c r="C37" s="166"/>
      <c r="D37" s="187">
        <v>1</v>
      </c>
      <c r="E37" s="167">
        <v>1</v>
      </c>
      <c r="F37" s="28">
        <v>1.4</v>
      </c>
      <c r="G37" s="167">
        <v>0.5</v>
      </c>
      <c r="H37" s="28">
        <v>1</v>
      </c>
      <c r="I37" s="167">
        <v>1</v>
      </c>
      <c r="J37" s="206">
        <v>40</v>
      </c>
      <c r="K37" s="208">
        <v>1</v>
      </c>
      <c r="L37" s="206">
        <f t="shared" si="24"/>
        <v>41</v>
      </c>
      <c r="M37" s="206">
        <f t="shared" si="25"/>
        <v>70</v>
      </c>
      <c r="N37" s="206">
        <f t="shared" si="26"/>
        <v>13.3</v>
      </c>
      <c r="O37" s="206">
        <f t="shared" si="27"/>
        <v>38.75</v>
      </c>
      <c r="P37" s="206">
        <f t="shared" si="28"/>
        <v>1.5</v>
      </c>
      <c r="Q37" s="206">
        <f t="shared" si="29"/>
        <v>2</v>
      </c>
      <c r="R37" s="150">
        <f t="shared" si="3"/>
        <v>41.82</v>
      </c>
      <c r="S37" s="150">
        <f t="shared" si="8"/>
        <v>41.82</v>
      </c>
      <c r="T37" s="150">
        <f t="shared" si="9"/>
        <v>3.00751879699248</v>
      </c>
      <c r="U37" s="150">
        <f t="shared" si="4"/>
        <v>4.50751879699248</v>
      </c>
      <c r="V37" s="150">
        <f t="shared" si="5"/>
        <v>1672.8</v>
      </c>
      <c r="W37" s="150">
        <f t="shared" si="6"/>
        <v>1170.96</v>
      </c>
      <c r="X37" s="233">
        <f t="shared" si="10"/>
        <v>389.3442</v>
      </c>
      <c r="Y37" s="234">
        <f t="shared" si="7"/>
        <v>259.779282735613</v>
      </c>
      <c r="Z37" s="234">
        <f t="shared" si="11"/>
        <v>-33.2777314428691</v>
      </c>
    </row>
    <row r="38" customFormat="1" spans="1:29">
      <c r="A38" s="115"/>
      <c r="B38" s="22" t="s">
        <v>46</v>
      </c>
      <c r="C38" s="166"/>
      <c r="D38" s="187">
        <v>1</v>
      </c>
      <c r="E38" s="167">
        <v>1</v>
      </c>
      <c r="F38" s="28">
        <v>0.8</v>
      </c>
      <c r="G38" s="167">
        <v>1</v>
      </c>
      <c r="H38" s="28">
        <v>1</v>
      </c>
      <c r="I38" s="167">
        <v>25</v>
      </c>
      <c r="J38" s="206">
        <v>35</v>
      </c>
      <c r="K38" s="208">
        <v>1</v>
      </c>
      <c r="L38" s="206">
        <f t="shared" si="24"/>
        <v>41</v>
      </c>
      <c r="M38" s="206">
        <f t="shared" si="25"/>
        <v>70</v>
      </c>
      <c r="N38" s="206">
        <f t="shared" si="26"/>
        <v>7.6</v>
      </c>
      <c r="O38" s="206">
        <f t="shared" si="27"/>
        <v>77.5</v>
      </c>
      <c r="P38" s="206">
        <f t="shared" si="28"/>
        <v>1.5</v>
      </c>
      <c r="Q38" s="206">
        <f t="shared" si="29"/>
        <v>50</v>
      </c>
      <c r="R38" s="150">
        <f t="shared" si="3"/>
        <v>61.5</v>
      </c>
      <c r="S38" s="150">
        <f t="shared" si="8"/>
        <v>61.5</v>
      </c>
      <c r="T38" s="150">
        <f t="shared" si="9"/>
        <v>4.60526315789474</v>
      </c>
      <c r="U38" s="150">
        <f t="shared" si="4"/>
        <v>6.10526315789474</v>
      </c>
      <c r="V38" s="150">
        <f t="shared" si="5"/>
        <v>2152.5</v>
      </c>
      <c r="W38" s="150">
        <f t="shared" si="6"/>
        <v>1506.75</v>
      </c>
      <c r="X38" s="233">
        <f t="shared" si="10"/>
        <v>327.18</v>
      </c>
      <c r="Y38" s="234">
        <f t="shared" si="7"/>
        <v>246.79525862069</v>
      </c>
      <c r="Z38" s="234">
        <f t="shared" si="11"/>
        <v>-24.5689655172414</v>
      </c>
      <c r="AC38" s="132"/>
    </row>
    <row r="39" customFormat="1" spans="1:29">
      <c r="A39" s="115"/>
      <c r="B39" s="22" t="s">
        <v>47</v>
      </c>
      <c r="C39" s="166"/>
      <c r="D39" s="187">
        <v>1</v>
      </c>
      <c r="E39" s="167">
        <v>0.6</v>
      </c>
      <c r="F39" s="28">
        <v>1</v>
      </c>
      <c r="G39" s="167">
        <v>1</v>
      </c>
      <c r="H39" s="28">
        <v>0.5</v>
      </c>
      <c r="I39" s="167">
        <v>1</v>
      </c>
      <c r="J39" s="206">
        <v>20</v>
      </c>
      <c r="K39" s="208">
        <v>2</v>
      </c>
      <c r="L39" s="206">
        <f t="shared" si="24"/>
        <v>41</v>
      </c>
      <c r="M39" s="206">
        <f t="shared" si="25"/>
        <v>42</v>
      </c>
      <c r="N39" s="206">
        <f t="shared" si="26"/>
        <v>9.5</v>
      </c>
      <c r="O39" s="206">
        <f t="shared" si="27"/>
        <v>77.5</v>
      </c>
      <c r="P39" s="206">
        <f t="shared" si="28"/>
        <v>0.75</v>
      </c>
      <c r="Q39" s="206">
        <f t="shared" si="29"/>
        <v>2</v>
      </c>
      <c r="R39" s="150">
        <f t="shared" si="3"/>
        <v>41.82</v>
      </c>
      <c r="S39" s="150">
        <f t="shared" si="8"/>
        <v>83.64</v>
      </c>
      <c r="T39" s="150">
        <f t="shared" si="9"/>
        <v>2.10526315789474</v>
      </c>
      <c r="U39" s="150">
        <f t="shared" si="4"/>
        <v>2.85526315789474</v>
      </c>
      <c r="V39" s="150">
        <f t="shared" si="5"/>
        <v>1672.8</v>
      </c>
      <c r="W39" s="150">
        <f t="shared" si="6"/>
        <v>702.576</v>
      </c>
      <c r="X39" s="233">
        <f t="shared" si="10"/>
        <v>333.7236</v>
      </c>
      <c r="Y39" s="234">
        <f t="shared" si="7"/>
        <v>246.063483870968</v>
      </c>
      <c r="Z39" s="234">
        <f t="shared" si="11"/>
        <v>-26.2672811059908</v>
      </c>
      <c r="AC39" s="132"/>
    </row>
    <row r="40" customFormat="1" spans="1:26">
      <c r="A40" s="120"/>
      <c r="B40" s="181" t="s">
        <v>48</v>
      </c>
      <c r="C40" s="182"/>
      <c r="D40" s="188">
        <v>1</v>
      </c>
      <c r="E40" s="183">
        <v>1</v>
      </c>
      <c r="F40" s="184">
        <v>1</v>
      </c>
      <c r="G40" s="183">
        <v>2</v>
      </c>
      <c r="H40" s="184">
        <v>1</v>
      </c>
      <c r="I40" s="183">
        <v>0</v>
      </c>
      <c r="J40" s="213">
        <v>80</v>
      </c>
      <c r="K40" s="214">
        <v>1</v>
      </c>
      <c r="L40" s="213">
        <f t="shared" si="24"/>
        <v>41</v>
      </c>
      <c r="M40" s="213">
        <f t="shared" si="25"/>
        <v>70</v>
      </c>
      <c r="N40" s="213">
        <f t="shared" si="26"/>
        <v>9.5</v>
      </c>
      <c r="O40" s="213">
        <f t="shared" si="27"/>
        <v>155</v>
      </c>
      <c r="P40" s="213">
        <f t="shared" si="28"/>
        <v>1.5</v>
      </c>
      <c r="Q40" s="213">
        <f t="shared" si="29"/>
        <v>0</v>
      </c>
      <c r="R40" s="152">
        <f t="shared" si="3"/>
        <v>41</v>
      </c>
      <c r="S40" s="152">
        <f t="shared" si="8"/>
        <v>41</v>
      </c>
      <c r="T40" s="152">
        <f t="shared" si="9"/>
        <v>8.42105263157895</v>
      </c>
      <c r="U40" s="152">
        <f t="shared" si="4"/>
        <v>9.92105263157895</v>
      </c>
      <c r="V40" s="152">
        <f t="shared" si="5"/>
        <v>3280</v>
      </c>
      <c r="W40" s="152">
        <f t="shared" si="6"/>
        <v>2296</v>
      </c>
      <c r="X40" s="235">
        <f t="shared" si="10"/>
        <v>272.65</v>
      </c>
      <c r="Y40" s="236">
        <f t="shared" si="7"/>
        <v>231.427055702918</v>
      </c>
      <c r="Z40" s="234">
        <f t="shared" si="11"/>
        <v>-15.1193633952255</v>
      </c>
    </row>
    <row r="41" customFormat="1" spans="1:29">
      <c r="A41" s="115" t="s">
        <v>49</v>
      </c>
      <c r="B41" s="22" t="s">
        <v>58</v>
      </c>
      <c r="C41" s="166"/>
      <c r="D41" s="141">
        <v>1</v>
      </c>
      <c r="E41" s="167">
        <v>1</v>
      </c>
      <c r="F41" s="28">
        <v>1</v>
      </c>
      <c r="G41" s="172">
        <v>1</v>
      </c>
      <c r="H41" s="28">
        <v>1.3</v>
      </c>
      <c r="I41" s="167">
        <v>5</v>
      </c>
      <c r="J41" s="206">
        <v>70</v>
      </c>
      <c r="K41" s="208">
        <v>1</v>
      </c>
      <c r="L41" s="206">
        <f t="shared" ref="L41:L45" si="30">G$17*D41</f>
        <v>115</v>
      </c>
      <c r="M41" s="206">
        <f t="shared" ref="M41:M45" si="31">K$17*E41</f>
        <v>40</v>
      </c>
      <c r="N41" s="206">
        <f t="shared" ref="N41:N45" si="32">O$17*F41</f>
        <v>3</v>
      </c>
      <c r="O41" s="206">
        <f t="shared" ref="O41:O45" si="33">S$17*G41</f>
        <v>30</v>
      </c>
      <c r="P41" s="206">
        <f t="shared" ref="P41:P45" si="34">W$17*H41</f>
        <v>6.5</v>
      </c>
      <c r="Q41" s="206">
        <f t="shared" ref="Q41:Q45" si="35">AA$17*I41</f>
        <v>50</v>
      </c>
      <c r="R41" s="150">
        <f t="shared" si="3"/>
        <v>172.5</v>
      </c>
      <c r="S41" s="150">
        <f t="shared" si="8"/>
        <v>172.5</v>
      </c>
      <c r="T41" s="150">
        <f t="shared" si="9"/>
        <v>23.3333333333333</v>
      </c>
      <c r="U41" s="150">
        <f t="shared" si="4"/>
        <v>29.8333333333333</v>
      </c>
      <c r="V41" s="150">
        <f t="shared" si="5"/>
        <v>12075</v>
      </c>
      <c r="W41" s="150">
        <f t="shared" si="6"/>
        <v>4830</v>
      </c>
      <c r="X41" s="233">
        <f t="shared" si="10"/>
        <v>207</v>
      </c>
      <c r="Y41" s="234">
        <f t="shared" si="7"/>
        <v>161.899441340782</v>
      </c>
      <c r="Z41" s="234">
        <f t="shared" si="11"/>
        <v>-21.7877094972067</v>
      </c>
      <c r="AC41" s="132"/>
    </row>
    <row r="42" customFormat="1" spans="1:29">
      <c r="A42" s="115"/>
      <c r="B42" s="22" t="s">
        <v>52</v>
      </c>
      <c r="C42" s="166"/>
      <c r="D42" s="141">
        <v>0.8</v>
      </c>
      <c r="E42" s="167">
        <v>1</v>
      </c>
      <c r="F42" s="28">
        <v>3</v>
      </c>
      <c r="G42" s="172">
        <v>1</v>
      </c>
      <c r="H42" s="28">
        <v>1</v>
      </c>
      <c r="I42" s="167">
        <v>1</v>
      </c>
      <c r="J42" s="206">
        <v>60</v>
      </c>
      <c r="K42" s="208">
        <v>1</v>
      </c>
      <c r="L42" s="206">
        <f t="shared" si="30"/>
        <v>92</v>
      </c>
      <c r="M42" s="206">
        <f t="shared" si="31"/>
        <v>40</v>
      </c>
      <c r="N42" s="206">
        <f t="shared" si="32"/>
        <v>9</v>
      </c>
      <c r="O42" s="206">
        <f t="shared" si="33"/>
        <v>30</v>
      </c>
      <c r="P42" s="206">
        <f t="shared" si="34"/>
        <v>5</v>
      </c>
      <c r="Q42" s="206">
        <f t="shared" si="35"/>
        <v>10</v>
      </c>
      <c r="R42" s="150">
        <f t="shared" si="3"/>
        <v>101.2</v>
      </c>
      <c r="S42" s="150">
        <f t="shared" si="8"/>
        <v>101.2</v>
      </c>
      <c r="T42" s="150">
        <f t="shared" si="9"/>
        <v>6.66666666666667</v>
      </c>
      <c r="U42" s="150">
        <f t="shared" si="4"/>
        <v>11.6666666666667</v>
      </c>
      <c r="V42" s="150">
        <f t="shared" si="5"/>
        <v>6072</v>
      </c>
      <c r="W42" s="150">
        <f t="shared" si="6"/>
        <v>2428.8</v>
      </c>
      <c r="X42" s="233">
        <f t="shared" si="10"/>
        <v>364.32</v>
      </c>
      <c r="Y42" s="234">
        <f t="shared" si="7"/>
        <v>208.182857142857</v>
      </c>
      <c r="Z42" s="234">
        <f t="shared" si="11"/>
        <v>-42.8571428571429</v>
      </c>
      <c r="AC42" s="132"/>
    </row>
    <row r="43" customFormat="1" spans="1:26">
      <c r="A43" s="115"/>
      <c r="B43" s="22" t="s">
        <v>53</v>
      </c>
      <c r="C43" s="166"/>
      <c r="D43" s="141">
        <v>1</v>
      </c>
      <c r="E43" s="167">
        <v>1.6</v>
      </c>
      <c r="F43" s="28">
        <v>0.8</v>
      </c>
      <c r="G43" s="172">
        <v>1</v>
      </c>
      <c r="H43" s="28">
        <v>1</v>
      </c>
      <c r="I43" s="167">
        <v>1</v>
      </c>
      <c r="J43" s="206">
        <v>60</v>
      </c>
      <c r="K43" s="208">
        <v>1</v>
      </c>
      <c r="L43" s="206">
        <f t="shared" si="30"/>
        <v>115</v>
      </c>
      <c r="M43" s="206">
        <f t="shared" si="31"/>
        <v>64</v>
      </c>
      <c r="N43" s="206">
        <f t="shared" si="32"/>
        <v>2.4</v>
      </c>
      <c r="O43" s="206">
        <f t="shared" si="33"/>
        <v>30</v>
      </c>
      <c r="P43" s="206">
        <f t="shared" si="34"/>
        <v>5</v>
      </c>
      <c r="Q43" s="206">
        <f t="shared" si="35"/>
        <v>10</v>
      </c>
      <c r="R43" s="150">
        <f t="shared" si="3"/>
        <v>126.5</v>
      </c>
      <c r="S43" s="150">
        <f t="shared" si="8"/>
        <v>126.5</v>
      </c>
      <c r="T43" s="150">
        <f t="shared" si="9"/>
        <v>25</v>
      </c>
      <c r="U43" s="150">
        <f t="shared" si="4"/>
        <v>30</v>
      </c>
      <c r="V43" s="150">
        <f t="shared" si="5"/>
        <v>7590</v>
      </c>
      <c r="W43" s="150">
        <f t="shared" si="6"/>
        <v>4857.6</v>
      </c>
      <c r="X43" s="233">
        <f t="shared" si="10"/>
        <v>194.304</v>
      </c>
      <c r="Y43" s="234">
        <f t="shared" si="7"/>
        <v>161.92</v>
      </c>
      <c r="Z43" s="234">
        <f t="shared" si="11"/>
        <v>-16.6666666666667</v>
      </c>
    </row>
    <row r="44" customFormat="1" spans="1:29">
      <c r="A44" s="115"/>
      <c r="B44" s="22" t="s">
        <v>54</v>
      </c>
      <c r="C44" s="166"/>
      <c r="D44" s="141">
        <v>1.6</v>
      </c>
      <c r="E44" s="167">
        <v>1</v>
      </c>
      <c r="F44" s="28">
        <v>1</v>
      </c>
      <c r="G44" s="172">
        <v>1</v>
      </c>
      <c r="H44" s="28">
        <v>1</v>
      </c>
      <c r="I44" s="167">
        <v>0.2</v>
      </c>
      <c r="J44" s="206">
        <v>50</v>
      </c>
      <c r="K44" s="208">
        <v>1</v>
      </c>
      <c r="L44" s="206">
        <f t="shared" si="30"/>
        <v>184</v>
      </c>
      <c r="M44" s="206">
        <f t="shared" si="31"/>
        <v>40</v>
      </c>
      <c r="N44" s="206">
        <f t="shared" si="32"/>
        <v>3</v>
      </c>
      <c r="O44" s="206">
        <f t="shared" si="33"/>
        <v>30</v>
      </c>
      <c r="P44" s="206">
        <f t="shared" si="34"/>
        <v>5</v>
      </c>
      <c r="Q44" s="206">
        <f t="shared" si="35"/>
        <v>2</v>
      </c>
      <c r="R44" s="150">
        <f t="shared" si="3"/>
        <v>187.68</v>
      </c>
      <c r="S44" s="150">
        <f t="shared" si="8"/>
        <v>187.68</v>
      </c>
      <c r="T44" s="150">
        <f t="shared" si="9"/>
        <v>16.6666666666667</v>
      </c>
      <c r="U44" s="150">
        <f t="shared" si="4"/>
        <v>21.6666666666667</v>
      </c>
      <c r="V44" s="150">
        <f t="shared" si="5"/>
        <v>9384</v>
      </c>
      <c r="W44" s="150">
        <f t="shared" si="6"/>
        <v>3753.6</v>
      </c>
      <c r="X44" s="233">
        <f t="shared" si="10"/>
        <v>225.216</v>
      </c>
      <c r="Y44" s="234">
        <f t="shared" si="7"/>
        <v>173.243076923077</v>
      </c>
      <c r="Z44" s="234">
        <f t="shared" si="11"/>
        <v>-23.0769230769231</v>
      </c>
      <c r="AC44" s="132"/>
    </row>
    <row r="45" customFormat="1" spans="1:29">
      <c r="A45" s="159"/>
      <c r="B45" s="189" t="s">
        <v>55</v>
      </c>
      <c r="C45" s="160"/>
      <c r="D45" s="143">
        <v>1</v>
      </c>
      <c r="E45" s="190">
        <v>0.7</v>
      </c>
      <c r="F45" s="191">
        <v>1</v>
      </c>
      <c r="G45" s="245">
        <v>1</v>
      </c>
      <c r="H45" s="191">
        <v>0.6</v>
      </c>
      <c r="I45" s="190">
        <v>1</v>
      </c>
      <c r="J45" s="218">
        <v>40</v>
      </c>
      <c r="K45" s="219">
        <v>2</v>
      </c>
      <c r="L45" s="218">
        <f t="shared" si="30"/>
        <v>115</v>
      </c>
      <c r="M45" s="218">
        <f t="shared" si="31"/>
        <v>28</v>
      </c>
      <c r="N45" s="218">
        <f t="shared" si="32"/>
        <v>3</v>
      </c>
      <c r="O45" s="218">
        <f t="shared" si="33"/>
        <v>30</v>
      </c>
      <c r="P45" s="218">
        <f t="shared" si="34"/>
        <v>3</v>
      </c>
      <c r="Q45" s="218">
        <f t="shared" si="35"/>
        <v>10</v>
      </c>
      <c r="R45" s="154">
        <f t="shared" si="3"/>
        <v>126.5</v>
      </c>
      <c r="S45" s="154">
        <f t="shared" si="8"/>
        <v>253</v>
      </c>
      <c r="T45" s="154">
        <f t="shared" si="9"/>
        <v>13.3333333333333</v>
      </c>
      <c r="U45" s="154">
        <f t="shared" si="4"/>
        <v>16.3333333333333</v>
      </c>
      <c r="V45" s="154">
        <f t="shared" si="5"/>
        <v>10120</v>
      </c>
      <c r="W45" s="154">
        <f t="shared" si="6"/>
        <v>2833.6</v>
      </c>
      <c r="X45" s="237">
        <f t="shared" si="10"/>
        <v>212.52</v>
      </c>
      <c r="Y45" s="238">
        <f t="shared" si="7"/>
        <v>173.485714285714</v>
      </c>
      <c r="Z45" s="234">
        <f t="shared" si="11"/>
        <v>-18.3673469387755</v>
      </c>
      <c r="AC45" s="132"/>
    </row>
    <row r="46" spans="1:11">
      <c r="A46" s="22" t="s">
        <v>83</v>
      </c>
      <c r="B46" s="166" t="s">
        <v>84</v>
      </c>
      <c r="C46" s="115"/>
      <c r="D46" s="28">
        <v>1.2</v>
      </c>
      <c r="E46" s="28">
        <v>0.8</v>
      </c>
      <c r="F46" s="28"/>
      <c r="G46" s="28"/>
      <c r="H46" s="28"/>
      <c r="I46" s="28"/>
      <c r="J46" s="206"/>
      <c r="K46" s="206"/>
    </row>
    <row r="47" spans="1:11">
      <c r="A47" s="22"/>
      <c r="B47" s="166" t="s">
        <v>85</v>
      </c>
      <c r="C47" s="115"/>
      <c r="D47" s="28"/>
      <c r="E47" s="28"/>
      <c r="F47" s="28"/>
      <c r="G47" s="28"/>
      <c r="H47" s="28"/>
      <c r="I47" s="28"/>
      <c r="J47" s="206">
        <v>1.25</v>
      </c>
      <c r="K47" s="206"/>
    </row>
    <row r="48" spans="1:11">
      <c r="A48" s="22"/>
      <c r="B48" s="166" t="s">
        <v>86</v>
      </c>
      <c r="C48" s="115"/>
      <c r="D48" s="28"/>
      <c r="E48" s="28">
        <v>1.2</v>
      </c>
      <c r="F48" s="28"/>
      <c r="G48" s="28"/>
      <c r="H48" s="28"/>
      <c r="I48" s="28"/>
      <c r="J48" s="206">
        <v>0.75</v>
      </c>
      <c r="K48" s="206"/>
    </row>
    <row r="49" spans="1:11">
      <c r="A49" s="22"/>
      <c r="B49" s="166" t="s">
        <v>87</v>
      </c>
      <c r="C49" s="115"/>
      <c r="D49" s="28"/>
      <c r="E49" s="28"/>
      <c r="F49" s="28"/>
      <c r="G49" s="28">
        <v>0.75</v>
      </c>
      <c r="H49" s="28"/>
      <c r="I49" s="28">
        <v>1.5</v>
      </c>
      <c r="J49" s="206"/>
      <c r="K49" s="206"/>
    </row>
    <row r="50" spans="1:11">
      <c r="A50" s="22"/>
      <c r="B50" s="166" t="s">
        <v>88</v>
      </c>
      <c r="C50" s="115"/>
      <c r="D50" s="28"/>
      <c r="E50" s="28"/>
      <c r="F50" s="28">
        <v>1.25</v>
      </c>
      <c r="G50" s="28"/>
      <c r="H50" s="28"/>
      <c r="I50" s="28">
        <v>0.8</v>
      </c>
      <c r="J50" s="206"/>
      <c r="K50" s="206"/>
    </row>
    <row r="51" spans="1:11">
      <c r="A51" s="22"/>
      <c r="B51" s="166" t="s">
        <v>89</v>
      </c>
      <c r="C51" s="115"/>
      <c r="D51" s="28"/>
      <c r="E51" s="28"/>
      <c r="F51" s="28"/>
      <c r="G51" s="28"/>
      <c r="H51" s="28">
        <v>0.6</v>
      </c>
      <c r="I51" s="28"/>
      <c r="J51" s="206">
        <v>0.75</v>
      </c>
      <c r="K51" s="206"/>
    </row>
    <row r="52" spans="1:11">
      <c r="A52" s="22"/>
      <c r="B52" s="166" t="s">
        <v>90</v>
      </c>
      <c r="C52" s="115"/>
      <c r="D52" s="28">
        <v>0.9</v>
      </c>
      <c r="E52" s="28"/>
      <c r="F52" s="28"/>
      <c r="G52" s="28">
        <v>1.5</v>
      </c>
      <c r="H52" s="28"/>
      <c r="I52" s="28"/>
      <c r="J52" s="206"/>
      <c r="K52" s="206"/>
    </row>
    <row r="53" spans="1:11">
      <c r="A53" s="22"/>
      <c r="B53" s="166" t="s">
        <v>91</v>
      </c>
      <c r="C53" s="115"/>
      <c r="D53" s="28"/>
      <c r="E53" s="28">
        <v>0.75</v>
      </c>
      <c r="F53" s="28"/>
      <c r="G53" s="28"/>
      <c r="H53" s="28"/>
      <c r="I53" s="28"/>
      <c r="J53" s="206"/>
      <c r="K53" s="206">
        <v>2</v>
      </c>
    </row>
    <row r="54" spans="1:11">
      <c r="A54" s="22"/>
      <c r="B54" s="22" t="s">
        <v>92</v>
      </c>
      <c r="C54" s="22"/>
      <c r="D54" s="28"/>
      <c r="E54" s="28"/>
      <c r="F54" s="28">
        <v>1.5</v>
      </c>
      <c r="G54" s="28">
        <v>0.5</v>
      </c>
      <c r="H54" s="28">
        <v>0.5</v>
      </c>
      <c r="I54" s="28">
        <v>0.1</v>
      </c>
      <c r="J54" s="206">
        <v>1.5</v>
      </c>
      <c r="K54" s="206"/>
    </row>
    <row r="55" spans="1:11">
      <c r="A55" s="22"/>
      <c r="B55" s="192" t="s">
        <v>93</v>
      </c>
      <c r="C55" s="192"/>
      <c r="D55" s="28">
        <v>1.5</v>
      </c>
      <c r="E55" s="28"/>
      <c r="F55" s="28">
        <v>0.8</v>
      </c>
      <c r="G55" s="28"/>
      <c r="H55" s="28"/>
      <c r="I55" s="28">
        <v>1.5</v>
      </c>
      <c r="J55" s="206">
        <v>0.8</v>
      </c>
      <c r="K55" s="206"/>
    </row>
    <row r="56" spans="1:11">
      <c r="A56" s="22"/>
      <c r="B56" s="166" t="s">
        <v>94</v>
      </c>
      <c r="C56" s="115"/>
      <c r="D56" s="28"/>
      <c r="E56" s="28">
        <v>1.5</v>
      </c>
      <c r="F56" s="28">
        <v>0.3</v>
      </c>
      <c r="G56" s="28"/>
      <c r="H56" s="28"/>
      <c r="I56" s="28">
        <v>1.5</v>
      </c>
      <c r="J56" s="206"/>
      <c r="K56" s="206"/>
    </row>
    <row r="57" spans="1:11">
      <c r="A57" s="22"/>
      <c r="B57" s="166" t="s">
        <v>95</v>
      </c>
      <c r="C57" s="115"/>
      <c r="D57" s="28">
        <v>2</v>
      </c>
      <c r="E57" s="28">
        <v>1.2</v>
      </c>
      <c r="F57" s="28">
        <v>0.8</v>
      </c>
      <c r="G57" s="28"/>
      <c r="H57" s="28">
        <v>2</v>
      </c>
      <c r="I57" s="28">
        <v>1.2</v>
      </c>
      <c r="J57" s="206">
        <v>1.2</v>
      </c>
      <c r="K57" s="206"/>
    </row>
    <row r="58" spans="1:11">
      <c r="A58" s="22"/>
      <c r="B58" s="166" t="s">
        <v>96</v>
      </c>
      <c r="C58" s="115"/>
      <c r="D58" s="28"/>
      <c r="E58" s="28">
        <v>0.1</v>
      </c>
      <c r="F58" s="28"/>
      <c r="G58" s="28"/>
      <c r="H58" s="28"/>
      <c r="I58" s="28"/>
      <c r="J58" s="206"/>
      <c r="K58" s="206">
        <v>10</v>
      </c>
    </row>
  </sheetData>
  <mergeCells count="147">
    <mergeCell ref="D1:G1"/>
    <mergeCell ref="H1:K1"/>
    <mergeCell ref="L1:O1"/>
    <mergeCell ref="P1:S1"/>
    <mergeCell ref="T1:W1"/>
    <mergeCell ref="X1:AA1"/>
    <mergeCell ref="D19:I19"/>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A1:A2"/>
    <mergeCell ref="A3:A5"/>
    <mergeCell ref="A6:A8"/>
    <mergeCell ref="A9:A11"/>
    <mergeCell ref="A12:A14"/>
    <mergeCell ref="A15:A17"/>
    <mergeCell ref="A19:A20"/>
    <mergeCell ref="A21:A25"/>
    <mergeCell ref="A26:A30"/>
    <mergeCell ref="A31:A35"/>
    <mergeCell ref="A36:A40"/>
    <mergeCell ref="A41:A45"/>
    <mergeCell ref="A46:A58"/>
    <mergeCell ref="B1:B2"/>
    <mergeCell ref="B3:B5"/>
    <mergeCell ref="B6:B8"/>
    <mergeCell ref="B9:B11"/>
    <mergeCell ref="B12:B14"/>
    <mergeCell ref="B15:B17"/>
    <mergeCell ref="C1:C2"/>
    <mergeCell ref="E3:E5"/>
    <mergeCell ref="E6:E8"/>
    <mergeCell ref="E9:E11"/>
    <mergeCell ref="E12:E14"/>
    <mergeCell ref="E15:E17"/>
    <mergeCell ref="F3:F5"/>
    <mergeCell ref="F6:F8"/>
    <mergeCell ref="F9:F11"/>
    <mergeCell ref="F12:F14"/>
    <mergeCell ref="F15:F17"/>
    <mergeCell ref="I3:I5"/>
    <mergeCell ref="I6:I8"/>
    <mergeCell ref="I9:I11"/>
    <mergeCell ref="I12:I14"/>
    <mergeCell ref="I15:I17"/>
    <mergeCell ref="J3:J5"/>
    <mergeCell ref="J6:J8"/>
    <mergeCell ref="J9:J11"/>
    <mergeCell ref="J12:J14"/>
    <mergeCell ref="J15:J17"/>
    <mergeCell ref="J19:J20"/>
    <mergeCell ref="K19:K20"/>
    <mergeCell ref="L19:L20"/>
    <mergeCell ref="M3:M5"/>
    <mergeCell ref="M6:M8"/>
    <mergeCell ref="M9:M11"/>
    <mergeCell ref="M12:M14"/>
    <mergeCell ref="M15:M17"/>
    <mergeCell ref="M19:M20"/>
    <mergeCell ref="N3:N5"/>
    <mergeCell ref="N6:N8"/>
    <mergeCell ref="N9:N11"/>
    <mergeCell ref="N12:N14"/>
    <mergeCell ref="N15:N17"/>
    <mergeCell ref="N19:N20"/>
    <mergeCell ref="O19:O20"/>
    <mergeCell ref="P19:P20"/>
    <mergeCell ref="Q3:Q5"/>
    <mergeCell ref="Q6:Q8"/>
    <mergeCell ref="Q9:Q11"/>
    <mergeCell ref="Q12:Q14"/>
    <mergeCell ref="Q15:Q17"/>
    <mergeCell ref="Q19:Q20"/>
    <mergeCell ref="R3:R5"/>
    <mergeCell ref="R6:R8"/>
    <mergeCell ref="R9:R11"/>
    <mergeCell ref="R12:R14"/>
    <mergeCell ref="R15:R17"/>
    <mergeCell ref="R19:R20"/>
    <mergeCell ref="S19:S20"/>
    <mergeCell ref="T19:T20"/>
    <mergeCell ref="U3:U5"/>
    <mergeCell ref="U6:U8"/>
    <mergeCell ref="U9:U11"/>
    <mergeCell ref="U12:U14"/>
    <mergeCell ref="U15:U17"/>
    <mergeCell ref="U19:U20"/>
    <mergeCell ref="V3:V5"/>
    <mergeCell ref="V6:V8"/>
    <mergeCell ref="V9:V11"/>
    <mergeCell ref="V12:V14"/>
    <mergeCell ref="V15:V17"/>
    <mergeCell ref="V19:V20"/>
    <mergeCell ref="W19:W20"/>
    <mergeCell ref="X19:X20"/>
    <mergeCell ref="Y3:Y5"/>
    <mergeCell ref="Y6:Y8"/>
    <mergeCell ref="Y9:Y11"/>
    <mergeCell ref="Y12:Y14"/>
    <mergeCell ref="Y15:Y17"/>
    <mergeCell ref="Y19:Y20"/>
    <mergeCell ref="Z3:Z5"/>
    <mergeCell ref="Z6:Z8"/>
    <mergeCell ref="Z9:Z11"/>
    <mergeCell ref="Z12:Z14"/>
    <mergeCell ref="Z15:Z17"/>
    <mergeCell ref="Z19:Z20"/>
    <mergeCell ref="AB1:AB2"/>
    <mergeCell ref="AC1:AC2"/>
    <mergeCell ref="AD1:AD2"/>
    <mergeCell ref="AE1:AE2"/>
    <mergeCell ref="B19:C20"/>
  </mergeCell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56"/>
  <sheetViews>
    <sheetView workbookViewId="0">
      <selection activeCell="F45" sqref="F45"/>
    </sheetView>
  </sheetViews>
  <sheetFormatPr defaultColWidth="9.14285714285714" defaultRowHeight="15"/>
  <cols>
    <col min="2" max="2" width="11.1428571428571" customWidth="1"/>
    <col min="3" max="3" width="10.2857142857143" customWidth="1"/>
    <col min="4" max="4" width="8.71428571428571" customWidth="1"/>
    <col min="5" max="5" width="9.28571428571429" customWidth="1"/>
    <col min="6" max="6" width="9.42857142857143" customWidth="1"/>
    <col min="7" max="7" width="14.1428571428571" customWidth="1"/>
    <col min="8" max="8" width="15.1428571428571" customWidth="1"/>
    <col min="9" max="9" width="14.4285714285714" customWidth="1"/>
    <col min="10" max="10" width="14" customWidth="1"/>
    <col min="11" max="11" width="12.8571428571429" customWidth="1"/>
    <col min="12" max="12" width="16.5714285714286" customWidth="1"/>
    <col min="13" max="14" width="9.42857142857143" customWidth="1"/>
    <col min="15" max="15" width="5.28571428571429" customWidth="1"/>
    <col min="16" max="16" width="7.71428571428571" customWidth="1"/>
    <col min="17" max="17" width="6.14285714285714" customWidth="1"/>
    <col min="18" max="18" width="6" customWidth="1"/>
    <col min="19" max="19" width="7.28571428571429" customWidth="1"/>
    <col min="20" max="20" width="6.42857142857143" customWidth="1"/>
    <col min="21" max="21" width="8.71428571428571" customWidth="1"/>
    <col min="22" max="22" width="6" customWidth="1"/>
    <col min="23" max="23" width="6.42857142857143" customWidth="1"/>
    <col min="24" max="24" width="11.2857142857143" customWidth="1"/>
    <col min="25" max="25" width="8.57142857142857" customWidth="1"/>
    <col min="26" max="26" width="7.42857142857143" customWidth="1"/>
    <col min="27" max="27" width="10.5714285714286"/>
    <col min="28" max="28" width="9" customWidth="1"/>
    <col min="29" max="29" width="10.1428571428571" customWidth="1"/>
    <col min="30" max="30" width="11" customWidth="1"/>
    <col min="31" max="31" width="12.2857142857143" customWidth="1"/>
    <col min="32" max="32" width="14" customWidth="1"/>
    <col min="33" max="33" width="15.2857142857143" customWidth="1"/>
    <col min="34" max="34" width="13.8571428571429" customWidth="1"/>
    <col min="35" max="35" width="15" customWidth="1"/>
    <col min="36" max="37" width="16.8571428571429" customWidth="1"/>
    <col min="38" max="38" width="12.2857142857143" customWidth="1"/>
    <col min="39" max="39" width="11.7142857142857"/>
  </cols>
  <sheetData>
    <row r="1" customFormat="1" spans="1:14">
      <c r="A1" s="109"/>
      <c r="B1" s="157" t="s">
        <v>1</v>
      </c>
      <c r="C1" s="157" t="s">
        <v>68</v>
      </c>
      <c r="D1" s="157" t="s">
        <v>3</v>
      </c>
      <c r="E1" s="157" t="s">
        <v>4</v>
      </c>
      <c r="F1" s="157" t="s">
        <v>5</v>
      </c>
      <c r="G1" s="158" t="s">
        <v>7</v>
      </c>
      <c r="H1" s="158" t="s">
        <v>9</v>
      </c>
      <c r="I1" s="193" t="s">
        <v>11</v>
      </c>
      <c r="J1" s="164" t="s">
        <v>69</v>
      </c>
      <c r="K1" s="194" t="s">
        <v>70</v>
      </c>
      <c r="L1" s="131"/>
      <c r="M1" s="85" t="s">
        <v>97</v>
      </c>
      <c r="N1" s="132"/>
    </row>
    <row r="2" customFormat="1" spans="1:12">
      <c r="A2" s="159"/>
      <c r="B2" s="160"/>
      <c r="C2" s="160"/>
      <c r="D2" s="160"/>
      <c r="E2" s="160"/>
      <c r="F2" s="160"/>
      <c r="G2" s="161"/>
      <c r="H2" s="161"/>
      <c r="I2" s="195"/>
      <c r="J2" s="189"/>
      <c r="K2" s="195"/>
      <c r="L2" s="131"/>
    </row>
    <row r="3" s="2" customFormat="1" spans="1:13">
      <c r="A3" s="99" t="s">
        <v>20</v>
      </c>
      <c r="B3" s="3" t="b">
        <v>1</v>
      </c>
      <c r="C3" s="20">
        <v>20</v>
      </c>
      <c r="D3" s="99">
        <v>13</v>
      </c>
      <c r="E3" s="99">
        <v>60</v>
      </c>
      <c r="F3" s="99">
        <v>3</v>
      </c>
      <c r="G3" s="99">
        <v>0.5</v>
      </c>
      <c r="H3" s="99">
        <v>25</v>
      </c>
      <c r="I3" s="135">
        <f>H3/100*D3*2+(1-H3/100)*D3</f>
        <v>16.25</v>
      </c>
      <c r="J3" s="3">
        <f>I3*F3</f>
        <v>48.75</v>
      </c>
      <c r="K3" s="3">
        <f>J3*(E3/100)</f>
        <v>29.25</v>
      </c>
      <c r="L3" s="131"/>
      <c r="M3" s="2">
        <v>10</v>
      </c>
    </row>
    <row r="4" customFormat="1" spans="1:13">
      <c r="A4" s="100" t="s">
        <v>28</v>
      </c>
      <c r="B4" s="162" t="b">
        <v>1</v>
      </c>
      <c r="C4" s="101">
        <v>20</v>
      </c>
      <c r="D4" s="100">
        <v>40</v>
      </c>
      <c r="E4" s="100">
        <v>70</v>
      </c>
      <c r="F4" s="100">
        <v>1</v>
      </c>
      <c r="G4" s="100">
        <v>2.5</v>
      </c>
      <c r="H4" s="100">
        <v>50</v>
      </c>
      <c r="I4" s="136">
        <f>H4/100*D4*2+(1-H4/100)*D4</f>
        <v>60</v>
      </c>
      <c r="J4" s="162">
        <f>I4*F4</f>
        <v>60</v>
      </c>
      <c r="K4" s="162">
        <f>J4*(E4/100)</f>
        <v>42</v>
      </c>
      <c r="L4" s="131"/>
      <c r="M4" s="2">
        <v>20</v>
      </c>
    </row>
    <row r="5" s="2" customFormat="1" spans="1:13">
      <c r="A5" s="100" t="s">
        <v>35</v>
      </c>
      <c r="B5" s="162" t="b">
        <v>0</v>
      </c>
      <c r="C5" s="101">
        <v>20</v>
      </c>
      <c r="D5" s="100">
        <v>8</v>
      </c>
      <c r="E5" s="100">
        <v>25</v>
      </c>
      <c r="F5" s="100">
        <v>1.5</v>
      </c>
      <c r="G5" s="100">
        <v>2.5</v>
      </c>
      <c r="H5" s="100">
        <v>5</v>
      </c>
      <c r="I5" s="136">
        <f>H5/100*D5*2+(1-H5/100)*D5</f>
        <v>8.4</v>
      </c>
      <c r="J5" s="162">
        <f>I5*F5*10</f>
        <v>126</v>
      </c>
      <c r="K5" s="162">
        <f>J5*(E5/100)</f>
        <v>31.5</v>
      </c>
      <c r="L5" s="131"/>
      <c r="M5" s="2">
        <v>20</v>
      </c>
    </row>
    <row r="6" customFormat="1" spans="1:13">
      <c r="A6" s="100" t="s">
        <v>42</v>
      </c>
      <c r="B6" s="162" t="b">
        <v>0</v>
      </c>
      <c r="C6" s="101">
        <v>20</v>
      </c>
      <c r="D6" s="100">
        <v>4</v>
      </c>
      <c r="E6" s="100">
        <v>40</v>
      </c>
      <c r="F6" s="100">
        <v>20</v>
      </c>
      <c r="G6" s="100">
        <v>1</v>
      </c>
      <c r="H6" s="100">
        <v>5</v>
      </c>
      <c r="I6" s="136">
        <f>H6/100*D6*2+(1-H6/100)*D6</f>
        <v>4.2</v>
      </c>
      <c r="J6" s="162">
        <f>I6*F6</f>
        <v>84</v>
      </c>
      <c r="K6" s="162">
        <f>J6*(E6/100)</f>
        <v>33.6</v>
      </c>
      <c r="L6" s="131"/>
      <c r="M6" s="2">
        <v>30</v>
      </c>
    </row>
    <row r="7" s="2" customFormat="1" spans="1:13">
      <c r="A7" s="102" t="s">
        <v>49</v>
      </c>
      <c r="B7" s="163" t="b">
        <v>0</v>
      </c>
      <c r="C7" s="103">
        <v>20</v>
      </c>
      <c r="D7" s="102">
        <v>12</v>
      </c>
      <c r="E7" s="102">
        <v>50</v>
      </c>
      <c r="F7" s="102">
        <v>5</v>
      </c>
      <c r="G7" s="102">
        <v>5</v>
      </c>
      <c r="H7" s="102">
        <v>10</v>
      </c>
      <c r="I7" s="137">
        <f>H7/100*D7*2+(1-H7/100)*D7</f>
        <v>13.2</v>
      </c>
      <c r="J7" s="163">
        <f>I7*F7</f>
        <v>66</v>
      </c>
      <c r="K7" s="163">
        <f>J7*(E7/100)</f>
        <v>33</v>
      </c>
      <c r="L7" s="131"/>
      <c r="M7" s="2">
        <v>15</v>
      </c>
    </row>
    <row r="8" customFormat="1" spans="1:32">
      <c r="A8" s="22"/>
      <c r="D8" s="22"/>
      <c r="E8" s="22"/>
      <c r="F8" s="22"/>
      <c r="H8" s="22"/>
      <c r="I8" s="22"/>
      <c r="J8" s="22"/>
      <c r="K8" s="85"/>
      <c r="M8" s="22"/>
      <c r="N8" s="22"/>
      <c r="O8" s="22"/>
      <c r="P8" s="85"/>
      <c r="R8" s="22"/>
      <c r="S8" s="22"/>
      <c r="T8" s="85"/>
      <c r="V8" s="22"/>
      <c r="W8" s="22"/>
      <c r="X8" s="22"/>
      <c r="Y8" s="85"/>
      <c r="AA8" s="22"/>
      <c r="AB8" s="22"/>
      <c r="AC8" s="22"/>
      <c r="AD8" s="85"/>
      <c r="AE8" s="85"/>
      <c r="AF8" s="85"/>
    </row>
    <row r="9" customFormat="1" spans="1:28">
      <c r="A9" s="109" t="s">
        <v>0</v>
      </c>
      <c r="B9" s="164" t="s">
        <v>75</v>
      </c>
      <c r="C9" s="157"/>
      <c r="D9" s="165" t="s">
        <v>76</v>
      </c>
      <c r="E9" s="165"/>
      <c r="F9" s="165"/>
      <c r="G9" s="165"/>
      <c r="H9" s="165"/>
      <c r="I9" s="165"/>
      <c r="J9" s="165"/>
      <c r="K9" s="165"/>
      <c r="L9" s="165"/>
      <c r="M9" s="196" t="s">
        <v>8</v>
      </c>
      <c r="N9" s="197" t="s">
        <v>10</v>
      </c>
      <c r="O9" s="196" t="s">
        <v>3</v>
      </c>
      <c r="P9" s="196" t="s">
        <v>4</v>
      </c>
      <c r="Q9" s="196" t="s">
        <v>5</v>
      </c>
      <c r="R9" s="196" t="s">
        <v>7</v>
      </c>
      <c r="S9" s="196" t="s">
        <v>9</v>
      </c>
      <c r="T9" s="220" t="s">
        <v>77</v>
      </c>
      <c r="U9" s="220" t="s">
        <v>11</v>
      </c>
      <c r="V9" s="221" t="s">
        <v>78</v>
      </c>
      <c r="W9" s="220" t="s">
        <v>79</v>
      </c>
      <c r="X9" s="220" t="s">
        <v>80</v>
      </c>
      <c r="Y9" s="225" t="s">
        <v>81</v>
      </c>
      <c r="Z9" s="226" t="s">
        <v>69</v>
      </c>
      <c r="AA9" s="227" t="s">
        <v>70</v>
      </c>
      <c r="AB9" s="228" t="s">
        <v>82</v>
      </c>
    </row>
    <row r="10" customFormat="1" spans="1:28">
      <c r="A10" s="115"/>
      <c r="B10" s="22"/>
      <c r="C10" s="166"/>
      <c r="D10" s="141" t="s">
        <v>3</v>
      </c>
      <c r="E10" s="167" t="s">
        <v>4</v>
      </c>
      <c r="F10" s="28" t="s">
        <v>5</v>
      </c>
      <c r="G10" s="28" t="s">
        <v>7</v>
      </c>
      <c r="H10" s="167" t="s">
        <v>9</v>
      </c>
      <c r="I10" s="28" t="s">
        <v>98</v>
      </c>
      <c r="J10" s="28" t="s">
        <v>99</v>
      </c>
      <c r="K10" s="28" t="s">
        <v>100</v>
      </c>
      <c r="L10" s="198" t="s">
        <v>101</v>
      </c>
      <c r="M10" s="199"/>
      <c r="N10" s="200"/>
      <c r="O10" s="201"/>
      <c r="P10" s="201"/>
      <c r="Q10" s="201"/>
      <c r="R10" s="201"/>
      <c r="S10" s="201"/>
      <c r="T10" s="222"/>
      <c r="U10" s="222"/>
      <c r="V10" s="223"/>
      <c r="W10" s="222"/>
      <c r="X10" s="222"/>
      <c r="Y10" s="229"/>
      <c r="Z10" s="230"/>
      <c r="AA10" s="231"/>
      <c r="AB10" s="232"/>
    </row>
    <row r="11" customFormat="1" spans="1:28">
      <c r="A11" s="109" t="s">
        <v>20</v>
      </c>
      <c r="B11" s="164" t="s">
        <v>23</v>
      </c>
      <c r="C11" s="157"/>
      <c r="D11" s="140">
        <v>1</v>
      </c>
      <c r="E11" s="168">
        <v>1.5</v>
      </c>
      <c r="F11" s="169">
        <v>1</v>
      </c>
      <c r="G11" s="169">
        <v>2</v>
      </c>
      <c r="H11" s="170">
        <v>1</v>
      </c>
      <c r="I11" s="202"/>
      <c r="J11" s="202"/>
      <c r="K11" s="202"/>
      <c r="L11" s="203"/>
      <c r="M11" s="204">
        <v>10</v>
      </c>
      <c r="N11" s="205">
        <v>1</v>
      </c>
      <c r="O11" s="206">
        <f>D$3*D11</f>
        <v>13</v>
      </c>
      <c r="P11" s="206">
        <f>$E$3*E11</f>
        <v>90</v>
      </c>
      <c r="Q11" s="206">
        <f>F$3*F11</f>
        <v>3</v>
      </c>
      <c r="R11" s="206">
        <f>G$3*G11</f>
        <v>1</v>
      </c>
      <c r="S11" s="206">
        <f>H$3*H11</f>
        <v>25</v>
      </c>
      <c r="T11" s="150">
        <f t="shared" ref="T11:T35" si="0">S11/100*O11*2+(1-S11/100)*O11</f>
        <v>16.25</v>
      </c>
      <c r="U11" s="150">
        <f t="shared" ref="U11:U35" si="1">T11*N11</f>
        <v>16.25</v>
      </c>
      <c r="V11" s="150">
        <f t="shared" ref="V11:V35" si="2">M11/Q11</f>
        <v>3.33333333333333</v>
      </c>
      <c r="W11" s="150">
        <f t="shared" ref="W11:W35" si="3">M11/Q11+R11</f>
        <v>4.33333333333333</v>
      </c>
      <c r="X11" s="150">
        <f t="shared" ref="X11:X35" si="4">T11*N11*M11</f>
        <v>162.5</v>
      </c>
      <c r="Y11" s="150">
        <f t="shared" ref="Y11:Y35" si="5">X11*P11/100</f>
        <v>146.25</v>
      </c>
      <c r="Z11" s="233">
        <f>X11/V11</f>
        <v>48.75</v>
      </c>
      <c r="AA11" s="234">
        <f t="shared" ref="AA11:AA35" si="6">Y11/W11</f>
        <v>33.75</v>
      </c>
      <c r="AB11" s="234">
        <f t="shared" ref="AB11:AB35" si="7">100/Z11*AA11-100</f>
        <v>-30.7692307692308</v>
      </c>
    </row>
    <row r="12" customFormat="1" spans="1:28">
      <c r="A12" s="115"/>
      <c r="B12" s="22" t="s">
        <v>24</v>
      </c>
      <c r="C12" s="166"/>
      <c r="D12" s="141">
        <v>1.7</v>
      </c>
      <c r="E12" s="171">
        <v>0.8</v>
      </c>
      <c r="F12" s="28">
        <v>1</v>
      </c>
      <c r="G12" s="28">
        <v>1</v>
      </c>
      <c r="H12" s="172">
        <v>1</v>
      </c>
      <c r="I12" s="180"/>
      <c r="J12" s="180"/>
      <c r="K12" s="180"/>
      <c r="L12" s="207"/>
      <c r="M12" s="206">
        <v>6</v>
      </c>
      <c r="N12" s="208">
        <v>1</v>
      </c>
      <c r="O12" s="206">
        <f>D$3*D12</f>
        <v>22.1</v>
      </c>
      <c r="P12" s="206">
        <f>$E$3*E12</f>
        <v>48</v>
      </c>
      <c r="Q12" s="206">
        <f>F$3*F12</f>
        <v>3</v>
      </c>
      <c r="R12" s="206">
        <f>G$3*G12</f>
        <v>0.5</v>
      </c>
      <c r="S12" s="206">
        <f>H$3*H12</f>
        <v>25</v>
      </c>
      <c r="T12" s="150">
        <f t="shared" si="0"/>
        <v>27.625</v>
      </c>
      <c r="U12" s="150">
        <f t="shared" si="1"/>
        <v>27.625</v>
      </c>
      <c r="V12" s="150">
        <f t="shared" si="2"/>
        <v>2</v>
      </c>
      <c r="W12" s="150">
        <f t="shared" si="3"/>
        <v>2.5</v>
      </c>
      <c r="X12" s="150">
        <f t="shared" si="4"/>
        <v>165.75</v>
      </c>
      <c r="Y12" s="150">
        <f t="shared" si="5"/>
        <v>79.56</v>
      </c>
      <c r="Z12" s="233">
        <f t="shared" ref="Z12:Z35" si="8">X12/V12</f>
        <v>82.875</v>
      </c>
      <c r="AA12" s="234">
        <f t="shared" si="6"/>
        <v>31.824</v>
      </c>
      <c r="AB12" s="234">
        <f t="shared" si="7"/>
        <v>-61.6</v>
      </c>
    </row>
    <row r="13" customFormat="1" spans="1:39">
      <c r="A13" s="115"/>
      <c r="B13" s="22" t="s">
        <v>25</v>
      </c>
      <c r="C13" s="166"/>
      <c r="D13" s="141">
        <v>1</v>
      </c>
      <c r="E13" s="171">
        <v>1</v>
      </c>
      <c r="F13" s="28">
        <v>1.25</v>
      </c>
      <c r="G13" s="28">
        <v>0.75</v>
      </c>
      <c r="H13" s="172">
        <v>1</v>
      </c>
      <c r="I13" s="180"/>
      <c r="J13" s="180"/>
      <c r="K13" s="180"/>
      <c r="L13" s="207"/>
      <c r="M13" s="206">
        <v>10</v>
      </c>
      <c r="N13" s="208">
        <v>1</v>
      </c>
      <c r="O13" s="206">
        <f>D$3*D13</f>
        <v>13</v>
      </c>
      <c r="P13" s="206">
        <f>$E$3*E13</f>
        <v>60</v>
      </c>
      <c r="Q13" s="206">
        <f>F$3*F13</f>
        <v>3.75</v>
      </c>
      <c r="R13" s="206">
        <f>G$3*G13</f>
        <v>0.375</v>
      </c>
      <c r="S13" s="206">
        <f>H$3*H13</f>
        <v>25</v>
      </c>
      <c r="T13" s="150">
        <f t="shared" si="0"/>
        <v>16.25</v>
      </c>
      <c r="U13" s="150">
        <f t="shared" si="1"/>
        <v>16.25</v>
      </c>
      <c r="V13" s="150">
        <f t="shared" si="2"/>
        <v>2.66666666666667</v>
      </c>
      <c r="W13" s="150">
        <f t="shared" si="3"/>
        <v>3.04166666666667</v>
      </c>
      <c r="X13" s="150">
        <f t="shared" si="4"/>
        <v>162.5</v>
      </c>
      <c r="Y13" s="150">
        <f t="shared" si="5"/>
        <v>97.5</v>
      </c>
      <c r="Z13" s="233">
        <f t="shared" si="8"/>
        <v>60.9375</v>
      </c>
      <c r="AA13" s="234">
        <f t="shared" si="6"/>
        <v>32.0547945205479</v>
      </c>
      <c r="AB13" s="234">
        <f t="shared" si="7"/>
        <v>-47.3972602739726</v>
      </c>
      <c r="AI13" s="156" t="s">
        <v>20</v>
      </c>
      <c r="AJ13" s="132" t="s">
        <v>28</v>
      </c>
      <c r="AK13" s="132" t="s">
        <v>42</v>
      </c>
      <c r="AL13" s="132" t="s">
        <v>35</v>
      </c>
      <c r="AM13" s="132" t="s">
        <v>49</v>
      </c>
    </row>
    <row r="14" customFormat="1" spans="1:39">
      <c r="A14" s="115"/>
      <c r="B14" s="22" t="s">
        <v>26</v>
      </c>
      <c r="C14" s="166"/>
      <c r="D14" s="141">
        <v>1</v>
      </c>
      <c r="E14" s="171">
        <v>1.25</v>
      </c>
      <c r="F14" s="28">
        <v>1</v>
      </c>
      <c r="G14" s="28">
        <v>0.75</v>
      </c>
      <c r="H14" s="172">
        <v>1</v>
      </c>
      <c r="I14" s="180"/>
      <c r="J14" s="180"/>
      <c r="K14" s="180"/>
      <c r="L14" s="207"/>
      <c r="M14" s="206">
        <v>8</v>
      </c>
      <c r="N14" s="208">
        <v>1</v>
      </c>
      <c r="O14" s="206">
        <f>D$3*D14</f>
        <v>13</v>
      </c>
      <c r="P14" s="206">
        <f>$E$3*E14</f>
        <v>75</v>
      </c>
      <c r="Q14" s="206">
        <f>F$3*F14</f>
        <v>3</v>
      </c>
      <c r="R14" s="206">
        <f>G$3*G14</f>
        <v>0.375</v>
      </c>
      <c r="S14" s="206">
        <f>H$3*H14</f>
        <v>25</v>
      </c>
      <c r="T14" s="150">
        <f t="shared" si="0"/>
        <v>16.25</v>
      </c>
      <c r="U14" s="150">
        <f t="shared" si="1"/>
        <v>16.25</v>
      </c>
      <c r="V14" s="150">
        <f t="shared" si="2"/>
        <v>2.66666666666667</v>
      </c>
      <c r="W14" s="150">
        <f t="shared" si="3"/>
        <v>3.04166666666667</v>
      </c>
      <c r="X14" s="150">
        <f t="shared" si="4"/>
        <v>130</v>
      </c>
      <c r="Y14" s="150">
        <f t="shared" si="5"/>
        <v>97.5</v>
      </c>
      <c r="Z14" s="233">
        <f t="shared" si="8"/>
        <v>48.75</v>
      </c>
      <c r="AA14" s="234">
        <f t="shared" si="6"/>
        <v>32.0547945205479</v>
      </c>
      <c r="AB14" s="234">
        <f t="shared" si="7"/>
        <v>-34.2465753424658</v>
      </c>
      <c r="AH14" s="132">
        <v>0</v>
      </c>
      <c r="AI14" s="85">
        <v>39.655</v>
      </c>
      <c r="AJ14" s="85">
        <v>27.72</v>
      </c>
      <c r="AK14" s="85">
        <v>69.993</v>
      </c>
      <c r="AL14" s="132" t="e">
        <f>#REF!*10</f>
        <v>#REF!</v>
      </c>
      <c r="AM14" s="132">
        <v>25.245</v>
      </c>
    </row>
    <row r="15" customFormat="1" spans="1:39">
      <c r="A15" s="115"/>
      <c r="B15" s="22" t="s">
        <v>27</v>
      </c>
      <c r="C15" s="166"/>
      <c r="D15" s="141">
        <v>1.4</v>
      </c>
      <c r="E15" s="171">
        <v>1</v>
      </c>
      <c r="F15" s="28">
        <v>1</v>
      </c>
      <c r="G15" s="28">
        <v>1.25</v>
      </c>
      <c r="H15" s="172">
        <v>1</v>
      </c>
      <c r="I15" s="180"/>
      <c r="J15" s="180"/>
      <c r="K15" s="180"/>
      <c r="L15" s="207"/>
      <c r="M15" s="206">
        <v>6</v>
      </c>
      <c r="N15" s="208">
        <v>1</v>
      </c>
      <c r="O15" s="206">
        <f>D$3*D15</f>
        <v>18.2</v>
      </c>
      <c r="P15" s="206">
        <f>$E$3*E15</f>
        <v>60</v>
      </c>
      <c r="Q15" s="206">
        <f>F$3*F15</f>
        <v>3</v>
      </c>
      <c r="R15" s="206">
        <f>G$3*G15</f>
        <v>0.625</v>
      </c>
      <c r="S15" s="206">
        <f>H$3*H15</f>
        <v>25</v>
      </c>
      <c r="T15" s="150">
        <f t="shared" si="0"/>
        <v>22.75</v>
      </c>
      <c r="U15" s="150">
        <f t="shared" si="1"/>
        <v>22.75</v>
      </c>
      <c r="V15" s="152">
        <f t="shared" si="2"/>
        <v>2</v>
      </c>
      <c r="W15" s="152">
        <f t="shared" si="3"/>
        <v>2.625</v>
      </c>
      <c r="X15" s="150">
        <f t="shared" si="4"/>
        <v>136.5</v>
      </c>
      <c r="Y15" s="152">
        <f t="shared" si="5"/>
        <v>81.9</v>
      </c>
      <c r="Z15" s="235">
        <f t="shared" si="8"/>
        <v>68.25</v>
      </c>
      <c r="AA15" s="236">
        <f t="shared" si="6"/>
        <v>31.2</v>
      </c>
      <c r="AB15" s="234">
        <f t="shared" si="7"/>
        <v>-54.2857142857143</v>
      </c>
      <c r="AH15" s="132">
        <v>10</v>
      </c>
      <c r="AI15" s="85">
        <v>153.5625</v>
      </c>
      <c r="AJ15" s="85">
        <v>172.8</v>
      </c>
      <c r="AK15" s="85">
        <v>153.391875</v>
      </c>
      <c r="AL15" s="132" t="e">
        <f>#REF!*10</f>
        <v>#REF!</v>
      </c>
      <c r="AM15" s="85">
        <v>77.3303125</v>
      </c>
    </row>
    <row r="16" customFormat="1" spans="1:39">
      <c r="A16" s="173" t="s">
        <v>28</v>
      </c>
      <c r="B16" s="174" t="s">
        <v>30</v>
      </c>
      <c r="C16" s="175"/>
      <c r="D16" s="176">
        <v>0.6</v>
      </c>
      <c r="E16" s="177">
        <v>1</v>
      </c>
      <c r="F16" s="178">
        <v>2</v>
      </c>
      <c r="G16" s="179">
        <v>1</v>
      </c>
      <c r="H16" s="177">
        <v>1</v>
      </c>
      <c r="I16" s="178"/>
      <c r="J16" s="178"/>
      <c r="K16" s="178"/>
      <c r="L16" s="209"/>
      <c r="M16" s="210">
        <v>8</v>
      </c>
      <c r="N16" s="211">
        <v>1</v>
      </c>
      <c r="O16" s="210">
        <f t="shared" ref="O16:O20" si="9">D$4*D16</f>
        <v>24</v>
      </c>
      <c r="P16" s="210">
        <f t="shared" ref="P16:P20" si="10">E$4*E16</f>
        <v>70</v>
      </c>
      <c r="Q16" s="210">
        <f t="shared" ref="Q16:Q20" si="11">F$4*F16</f>
        <v>2</v>
      </c>
      <c r="R16" s="210">
        <f t="shared" ref="R16:R20" si="12">G$4</f>
        <v>2.5</v>
      </c>
      <c r="S16" s="210">
        <f t="shared" ref="S16:S20" si="13">H$4*H16</f>
        <v>50</v>
      </c>
      <c r="T16" s="224">
        <f t="shared" si="0"/>
        <v>36</v>
      </c>
      <c r="U16" s="224">
        <f t="shared" si="1"/>
        <v>36</v>
      </c>
      <c r="V16" s="150">
        <f t="shared" si="2"/>
        <v>4</v>
      </c>
      <c r="W16" s="150">
        <f t="shared" si="3"/>
        <v>6.5</v>
      </c>
      <c r="X16" s="224">
        <f t="shared" si="4"/>
        <v>288</v>
      </c>
      <c r="Y16" s="150">
        <f t="shared" si="5"/>
        <v>201.6</v>
      </c>
      <c r="Z16" s="233">
        <f t="shared" si="8"/>
        <v>72</v>
      </c>
      <c r="AA16" s="234">
        <f t="shared" si="6"/>
        <v>31.0153846153846</v>
      </c>
      <c r="AB16" s="234">
        <f t="shared" si="7"/>
        <v>-56.9230769230769</v>
      </c>
      <c r="AH16" s="132">
        <v>20</v>
      </c>
      <c r="AI16" s="132">
        <v>369.15</v>
      </c>
      <c r="AJ16" s="132">
        <v>524.16</v>
      </c>
      <c r="AK16" s="132">
        <v>278.103</v>
      </c>
      <c r="AL16" s="132">
        <f>K5*10</f>
        <v>315</v>
      </c>
      <c r="AM16" s="132">
        <v>151.8</v>
      </c>
    </row>
    <row r="17" customFormat="1" spans="1:28">
      <c r="A17" s="115"/>
      <c r="B17" s="22" t="s">
        <v>31</v>
      </c>
      <c r="C17" s="166"/>
      <c r="D17" s="141">
        <v>1</v>
      </c>
      <c r="E17" s="167">
        <v>1.25</v>
      </c>
      <c r="F17" s="28">
        <v>1</v>
      </c>
      <c r="G17" s="180">
        <v>1</v>
      </c>
      <c r="H17" s="167">
        <v>0.75</v>
      </c>
      <c r="I17" s="28"/>
      <c r="J17" s="28"/>
      <c r="K17" s="28"/>
      <c r="L17" s="198"/>
      <c r="M17" s="206">
        <v>4</v>
      </c>
      <c r="N17" s="208">
        <v>1</v>
      </c>
      <c r="O17" s="206">
        <f t="shared" si="9"/>
        <v>40</v>
      </c>
      <c r="P17" s="206">
        <f t="shared" si="10"/>
        <v>87.5</v>
      </c>
      <c r="Q17" s="206">
        <f t="shared" si="11"/>
        <v>1</v>
      </c>
      <c r="R17" s="206">
        <f t="shared" si="12"/>
        <v>2.5</v>
      </c>
      <c r="S17" s="206">
        <f t="shared" si="13"/>
        <v>37.5</v>
      </c>
      <c r="T17" s="150">
        <f t="shared" si="0"/>
        <v>55</v>
      </c>
      <c r="U17" s="150">
        <f t="shared" si="1"/>
        <v>55</v>
      </c>
      <c r="V17" s="150">
        <f t="shared" si="2"/>
        <v>4</v>
      </c>
      <c r="W17" s="150">
        <f t="shared" si="3"/>
        <v>6.5</v>
      </c>
      <c r="X17" s="150">
        <f t="shared" si="4"/>
        <v>220</v>
      </c>
      <c r="Y17" s="150">
        <f t="shared" si="5"/>
        <v>192.5</v>
      </c>
      <c r="Z17" s="233">
        <f t="shared" si="8"/>
        <v>55</v>
      </c>
      <c r="AA17" s="234">
        <f t="shared" si="6"/>
        <v>29.6153846153846</v>
      </c>
      <c r="AB17" s="234">
        <f t="shared" si="7"/>
        <v>-46.1538461538462</v>
      </c>
    </row>
    <row r="18" customFormat="1" spans="1:38">
      <c r="A18" s="115"/>
      <c r="B18" s="22" t="s">
        <v>32</v>
      </c>
      <c r="C18" s="166"/>
      <c r="D18" s="141">
        <v>1</v>
      </c>
      <c r="E18" s="167">
        <v>1</v>
      </c>
      <c r="F18" s="28">
        <v>0.8</v>
      </c>
      <c r="G18" s="180">
        <v>1</v>
      </c>
      <c r="H18" s="167">
        <v>2</v>
      </c>
      <c r="I18" s="28"/>
      <c r="J18" s="28"/>
      <c r="K18" s="28"/>
      <c r="L18" s="198"/>
      <c r="M18" s="206">
        <v>4</v>
      </c>
      <c r="N18" s="208">
        <v>1</v>
      </c>
      <c r="O18" s="206">
        <f t="shared" si="9"/>
        <v>40</v>
      </c>
      <c r="P18" s="206">
        <f t="shared" si="10"/>
        <v>70</v>
      </c>
      <c r="Q18" s="206">
        <f t="shared" si="11"/>
        <v>0.8</v>
      </c>
      <c r="R18" s="206">
        <f t="shared" si="12"/>
        <v>2.5</v>
      </c>
      <c r="S18" s="206">
        <f t="shared" si="13"/>
        <v>100</v>
      </c>
      <c r="T18" s="150">
        <f t="shared" si="0"/>
        <v>80</v>
      </c>
      <c r="U18" s="150">
        <f t="shared" si="1"/>
        <v>80</v>
      </c>
      <c r="V18" s="150">
        <f t="shared" si="2"/>
        <v>5</v>
      </c>
      <c r="W18" s="150">
        <f t="shared" si="3"/>
        <v>7.5</v>
      </c>
      <c r="X18" s="150">
        <f t="shared" si="4"/>
        <v>320</v>
      </c>
      <c r="Y18" s="150">
        <f t="shared" si="5"/>
        <v>224</v>
      </c>
      <c r="Z18" s="233">
        <f t="shared" si="8"/>
        <v>64</v>
      </c>
      <c r="AA18" s="234">
        <f t="shared" si="6"/>
        <v>29.8666666666667</v>
      </c>
      <c r="AB18" s="234">
        <f t="shared" si="7"/>
        <v>-53.3333333333333</v>
      </c>
      <c r="AJ18" s="132"/>
      <c r="AL18" s="132"/>
    </row>
    <row r="19" customFormat="1" spans="1:38">
      <c r="A19" s="115"/>
      <c r="B19" s="22" t="s">
        <v>33</v>
      </c>
      <c r="C19" s="166"/>
      <c r="D19" s="141">
        <v>2.1</v>
      </c>
      <c r="E19" s="167">
        <v>0.8</v>
      </c>
      <c r="F19" s="28">
        <v>1</v>
      </c>
      <c r="G19" s="180">
        <v>1</v>
      </c>
      <c r="H19" s="167">
        <v>1</v>
      </c>
      <c r="I19" s="28"/>
      <c r="J19" s="28"/>
      <c r="K19" s="28"/>
      <c r="L19" s="198"/>
      <c r="M19" s="206">
        <v>2</v>
      </c>
      <c r="N19" s="208">
        <v>1</v>
      </c>
      <c r="O19" s="206">
        <f t="shared" si="9"/>
        <v>84</v>
      </c>
      <c r="P19" s="206">
        <f t="shared" si="10"/>
        <v>56</v>
      </c>
      <c r="Q19" s="206">
        <f t="shared" si="11"/>
        <v>1</v>
      </c>
      <c r="R19" s="206">
        <f t="shared" si="12"/>
        <v>2.5</v>
      </c>
      <c r="S19" s="206">
        <f t="shared" si="13"/>
        <v>50</v>
      </c>
      <c r="T19" s="150">
        <f t="shared" si="0"/>
        <v>126</v>
      </c>
      <c r="U19" s="150">
        <f t="shared" si="1"/>
        <v>126</v>
      </c>
      <c r="V19" s="150">
        <f t="shared" si="2"/>
        <v>2</v>
      </c>
      <c r="W19" s="150">
        <f t="shared" si="3"/>
        <v>4.5</v>
      </c>
      <c r="X19" s="150">
        <f t="shared" si="4"/>
        <v>252</v>
      </c>
      <c r="Y19" s="150">
        <f t="shared" si="5"/>
        <v>141.12</v>
      </c>
      <c r="Z19" s="233">
        <f t="shared" si="8"/>
        <v>126</v>
      </c>
      <c r="AA19" s="234">
        <f t="shared" si="6"/>
        <v>31.36</v>
      </c>
      <c r="AB19" s="234">
        <f t="shared" si="7"/>
        <v>-75.1111111111111</v>
      </c>
      <c r="AE19" s="85"/>
      <c r="AF19" s="156"/>
      <c r="AJ19" s="132"/>
      <c r="AL19" s="132"/>
    </row>
    <row r="20" customFormat="1" spans="1:38">
      <c r="A20" s="120"/>
      <c r="B20" s="181" t="s">
        <v>34</v>
      </c>
      <c r="C20" s="182"/>
      <c r="D20" s="142">
        <v>1</v>
      </c>
      <c r="E20" s="183">
        <v>1.25</v>
      </c>
      <c r="F20" s="184">
        <v>1.25</v>
      </c>
      <c r="G20" s="185">
        <v>1</v>
      </c>
      <c r="H20" s="183">
        <v>0</v>
      </c>
      <c r="I20" s="184"/>
      <c r="J20" s="184"/>
      <c r="K20" s="184"/>
      <c r="L20" s="212"/>
      <c r="M20" s="213">
        <v>8</v>
      </c>
      <c r="N20" s="214">
        <v>1</v>
      </c>
      <c r="O20" s="213">
        <f t="shared" si="9"/>
        <v>40</v>
      </c>
      <c r="P20" s="213">
        <f t="shared" si="10"/>
        <v>87.5</v>
      </c>
      <c r="Q20" s="213">
        <f t="shared" si="11"/>
        <v>1.25</v>
      </c>
      <c r="R20" s="213">
        <f t="shared" si="12"/>
        <v>2.5</v>
      </c>
      <c r="S20" s="213">
        <f t="shared" si="13"/>
        <v>0</v>
      </c>
      <c r="T20" s="152">
        <f t="shared" si="0"/>
        <v>40</v>
      </c>
      <c r="U20" s="152">
        <f t="shared" si="1"/>
        <v>40</v>
      </c>
      <c r="V20" s="152">
        <f t="shared" si="2"/>
        <v>6.4</v>
      </c>
      <c r="W20" s="152">
        <f t="shared" si="3"/>
        <v>8.9</v>
      </c>
      <c r="X20" s="152">
        <f t="shared" si="4"/>
        <v>320</v>
      </c>
      <c r="Y20" s="152">
        <f t="shared" si="5"/>
        <v>280</v>
      </c>
      <c r="Z20" s="235">
        <f t="shared" si="8"/>
        <v>50</v>
      </c>
      <c r="AA20" s="236">
        <f t="shared" si="6"/>
        <v>31.4606741573034</v>
      </c>
      <c r="AB20" s="234">
        <f t="shared" si="7"/>
        <v>-37.0786516853933</v>
      </c>
      <c r="AE20" s="85"/>
      <c r="AJ20" s="132"/>
      <c r="AL20" s="132"/>
    </row>
    <row r="21" customFormat="1" spans="1:31">
      <c r="A21" s="115" t="s">
        <v>35</v>
      </c>
      <c r="B21" s="22" t="s">
        <v>37</v>
      </c>
      <c r="C21" s="166"/>
      <c r="D21" s="141">
        <v>0.75</v>
      </c>
      <c r="E21" s="172">
        <v>1</v>
      </c>
      <c r="F21" s="28">
        <v>1.25</v>
      </c>
      <c r="G21" s="28">
        <v>1</v>
      </c>
      <c r="H21" s="171">
        <v>1</v>
      </c>
      <c r="I21" s="215"/>
      <c r="J21" s="215"/>
      <c r="K21" s="215"/>
      <c r="L21" s="216"/>
      <c r="M21" s="206">
        <v>5</v>
      </c>
      <c r="N21" s="208">
        <v>20</v>
      </c>
      <c r="O21" s="206">
        <f t="shared" ref="O21:O25" si="14">D$5*D21</f>
        <v>6</v>
      </c>
      <c r="P21" s="206">
        <f t="shared" ref="P21:P25" si="15">E$5*E21</f>
        <v>25</v>
      </c>
      <c r="Q21" s="206">
        <f t="shared" ref="Q21:Q25" si="16">F$5*F21</f>
        <v>1.875</v>
      </c>
      <c r="R21" s="206">
        <f t="shared" ref="R21:R25" si="17">G$5*G21</f>
        <v>2.5</v>
      </c>
      <c r="S21" s="206">
        <f t="shared" ref="S21:S25" si="18">H$5*H21</f>
        <v>5</v>
      </c>
      <c r="T21" s="150">
        <f t="shared" si="0"/>
        <v>6.3</v>
      </c>
      <c r="U21" s="150">
        <f t="shared" si="1"/>
        <v>126</v>
      </c>
      <c r="V21" s="150">
        <f t="shared" si="2"/>
        <v>2.66666666666667</v>
      </c>
      <c r="W21" s="150">
        <f t="shared" si="3"/>
        <v>5.16666666666667</v>
      </c>
      <c r="X21" s="150">
        <f t="shared" si="4"/>
        <v>630</v>
      </c>
      <c r="Y21" s="150">
        <f t="shared" si="5"/>
        <v>157.5</v>
      </c>
      <c r="Z21" s="233">
        <f t="shared" si="8"/>
        <v>236.25</v>
      </c>
      <c r="AA21" s="234">
        <f t="shared" si="6"/>
        <v>30.4838709677419</v>
      </c>
      <c r="AB21" s="234">
        <f t="shared" si="7"/>
        <v>-87.0967741935484</v>
      </c>
      <c r="AE21" s="132"/>
    </row>
    <row r="22" customFormat="1" spans="1:36">
      <c r="A22" s="115"/>
      <c r="B22" s="22" t="s">
        <v>38</v>
      </c>
      <c r="C22" s="166"/>
      <c r="D22" s="141">
        <v>1</v>
      </c>
      <c r="E22" s="172">
        <v>1</v>
      </c>
      <c r="F22" s="28">
        <v>2</v>
      </c>
      <c r="G22" s="28">
        <v>2</v>
      </c>
      <c r="H22" s="171">
        <v>1</v>
      </c>
      <c r="I22" s="215"/>
      <c r="J22" s="215"/>
      <c r="K22" s="215"/>
      <c r="L22" s="216"/>
      <c r="M22" s="206">
        <v>15</v>
      </c>
      <c r="N22" s="208">
        <v>10</v>
      </c>
      <c r="O22" s="206">
        <f t="shared" si="14"/>
        <v>8</v>
      </c>
      <c r="P22" s="206">
        <f t="shared" si="15"/>
        <v>25</v>
      </c>
      <c r="Q22" s="206">
        <f t="shared" si="16"/>
        <v>3</v>
      </c>
      <c r="R22" s="206">
        <f t="shared" si="17"/>
        <v>5</v>
      </c>
      <c r="S22" s="206">
        <f t="shared" si="18"/>
        <v>5</v>
      </c>
      <c r="T22" s="150">
        <f t="shared" si="0"/>
        <v>8.4</v>
      </c>
      <c r="U22" s="150">
        <f t="shared" si="1"/>
        <v>84</v>
      </c>
      <c r="V22" s="150">
        <f t="shared" si="2"/>
        <v>5</v>
      </c>
      <c r="W22" s="150">
        <f t="shared" si="3"/>
        <v>10</v>
      </c>
      <c r="X22" s="150">
        <f t="shared" si="4"/>
        <v>1260</v>
      </c>
      <c r="Y22" s="150">
        <f t="shared" si="5"/>
        <v>315</v>
      </c>
      <c r="Z22" s="233">
        <f t="shared" si="8"/>
        <v>252</v>
      </c>
      <c r="AA22" s="234">
        <f t="shared" si="6"/>
        <v>31.5</v>
      </c>
      <c r="AB22" s="234">
        <f t="shared" si="7"/>
        <v>-87.5</v>
      </c>
      <c r="AE22" s="132"/>
      <c r="AJ22" s="132"/>
    </row>
    <row r="23" customFormat="1" spans="1:36">
      <c r="A23" s="115"/>
      <c r="B23" s="22" t="s">
        <v>39</v>
      </c>
      <c r="C23" s="166"/>
      <c r="D23" s="141">
        <v>2.5</v>
      </c>
      <c r="E23" s="172">
        <v>1</v>
      </c>
      <c r="F23" s="28">
        <v>1</v>
      </c>
      <c r="G23" s="28">
        <v>1</v>
      </c>
      <c r="H23" s="171">
        <v>2</v>
      </c>
      <c r="I23" s="215"/>
      <c r="J23" s="215"/>
      <c r="K23" s="215"/>
      <c r="L23" s="216"/>
      <c r="M23" s="206">
        <v>10</v>
      </c>
      <c r="N23" s="208">
        <v>5</v>
      </c>
      <c r="O23" s="206">
        <f t="shared" si="14"/>
        <v>20</v>
      </c>
      <c r="P23" s="206">
        <f t="shared" si="15"/>
        <v>25</v>
      </c>
      <c r="Q23" s="206">
        <f t="shared" si="16"/>
        <v>1.5</v>
      </c>
      <c r="R23" s="206">
        <f t="shared" si="17"/>
        <v>2.5</v>
      </c>
      <c r="S23" s="206">
        <f t="shared" si="18"/>
        <v>10</v>
      </c>
      <c r="T23" s="150">
        <f t="shared" si="0"/>
        <v>22</v>
      </c>
      <c r="U23" s="150">
        <f t="shared" si="1"/>
        <v>110</v>
      </c>
      <c r="V23" s="150">
        <f t="shared" si="2"/>
        <v>6.66666666666667</v>
      </c>
      <c r="W23" s="150">
        <f t="shared" si="3"/>
        <v>9.16666666666667</v>
      </c>
      <c r="X23" s="150">
        <f t="shared" si="4"/>
        <v>1100</v>
      </c>
      <c r="Y23" s="150">
        <f t="shared" si="5"/>
        <v>275</v>
      </c>
      <c r="Z23" s="233">
        <f t="shared" si="8"/>
        <v>165</v>
      </c>
      <c r="AA23" s="234">
        <f t="shared" si="6"/>
        <v>30</v>
      </c>
      <c r="AB23" s="234">
        <f t="shared" si="7"/>
        <v>-81.8181818181818</v>
      </c>
      <c r="AE23" s="132"/>
      <c r="AJ23" s="132"/>
    </row>
    <row r="24" customFormat="1" spans="1:36">
      <c r="A24" s="115"/>
      <c r="B24" s="22" t="s">
        <v>40</v>
      </c>
      <c r="C24" s="166"/>
      <c r="D24" s="141">
        <v>2</v>
      </c>
      <c r="E24" s="172">
        <v>1</v>
      </c>
      <c r="F24" s="28">
        <v>0.5</v>
      </c>
      <c r="G24" s="28">
        <v>1</v>
      </c>
      <c r="H24" s="171">
        <v>4</v>
      </c>
      <c r="I24" s="215"/>
      <c r="J24" s="215"/>
      <c r="K24" s="215"/>
      <c r="L24" s="216"/>
      <c r="M24" s="206">
        <v>10</v>
      </c>
      <c r="N24" s="208">
        <v>10</v>
      </c>
      <c r="O24" s="206">
        <f t="shared" si="14"/>
        <v>16</v>
      </c>
      <c r="P24" s="206">
        <f t="shared" si="15"/>
        <v>25</v>
      </c>
      <c r="Q24" s="206">
        <f t="shared" si="16"/>
        <v>0.75</v>
      </c>
      <c r="R24" s="206">
        <f t="shared" si="17"/>
        <v>2.5</v>
      </c>
      <c r="S24" s="206">
        <f t="shared" si="18"/>
        <v>20</v>
      </c>
      <c r="T24" s="150">
        <f t="shared" si="0"/>
        <v>19.2</v>
      </c>
      <c r="U24" s="150">
        <f t="shared" si="1"/>
        <v>192</v>
      </c>
      <c r="V24" s="150">
        <f t="shared" si="2"/>
        <v>13.3333333333333</v>
      </c>
      <c r="W24" s="150">
        <f t="shared" si="3"/>
        <v>15.8333333333333</v>
      </c>
      <c r="X24" s="150">
        <f t="shared" si="4"/>
        <v>1920</v>
      </c>
      <c r="Y24" s="150">
        <f t="shared" si="5"/>
        <v>480</v>
      </c>
      <c r="Z24" s="233">
        <f t="shared" si="8"/>
        <v>144</v>
      </c>
      <c r="AA24" s="234">
        <f t="shared" si="6"/>
        <v>30.3157894736842</v>
      </c>
      <c r="AB24" s="234">
        <f t="shared" si="7"/>
        <v>-78.9473684210526</v>
      </c>
      <c r="AJ24" s="132"/>
    </row>
    <row r="25" customFormat="1" spans="1:31">
      <c r="A25" s="115"/>
      <c r="B25" s="22" t="s">
        <v>41</v>
      </c>
      <c r="C25" s="166"/>
      <c r="D25" s="141">
        <v>1.1</v>
      </c>
      <c r="E25" s="172">
        <v>1</v>
      </c>
      <c r="F25" s="28">
        <v>1</v>
      </c>
      <c r="G25" s="28">
        <v>0.25</v>
      </c>
      <c r="H25" s="171">
        <v>1</v>
      </c>
      <c r="I25" s="215"/>
      <c r="J25" s="215"/>
      <c r="K25" s="215"/>
      <c r="L25" s="216"/>
      <c r="M25" s="206">
        <v>10</v>
      </c>
      <c r="N25" s="208">
        <v>10</v>
      </c>
      <c r="O25" s="206">
        <f t="shared" si="14"/>
        <v>8.8</v>
      </c>
      <c r="P25" s="206">
        <f t="shared" si="15"/>
        <v>25</v>
      </c>
      <c r="Q25" s="206">
        <f t="shared" si="16"/>
        <v>1.5</v>
      </c>
      <c r="R25" s="206">
        <f t="shared" si="17"/>
        <v>0.625</v>
      </c>
      <c r="S25" s="206">
        <f t="shared" si="18"/>
        <v>5</v>
      </c>
      <c r="T25" s="150">
        <f t="shared" si="0"/>
        <v>9.24</v>
      </c>
      <c r="U25" s="150">
        <f t="shared" si="1"/>
        <v>92.4</v>
      </c>
      <c r="V25" s="152">
        <f t="shared" si="2"/>
        <v>6.66666666666667</v>
      </c>
      <c r="W25" s="152">
        <f t="shared" si="3"/>
        <v>7.29166666666667</v>
      </c>
      <c r="X25" s="150">
        <f t="shared" si="4"/>
        <v>924</v>
      </c>
      <c r="Y25" s="152">
        <f t="shared" si="5"/>
        <v>231</v>
      </c>
      <c r="Z25" s="235">
        <f t="shared" si="8"/>
        <v>138.6</v>
      </c>
      <c r="AA25" s="236">
        <f t="shared" si="6"/>
        <v>31.68</v>
      </c>
      <c r="AB25" s="234">
        <f t="shared" si="7"/>
        <v>-77.1428571428571</v>
      </c>
      <c r="AE25" s="132"/>
    </row>
    <row r="26" customFormat="1" spans="1:31">
      <c r="A26" s="173" t="s">
        <v>42</v>
      </c>
      <c r="B26" s="174" t="s">
        <v>51</v>
      </c>
      <c r="C26" s="175"/>
      <c r="D26" s="186">
        <v>1</v>
      </c>
      <c r="E26" s="177">
        <v>1.75</v>
      </c>
      <c r="F26" s="178">
        <v>1</v>
      </c>
      <c r="G26" s="178">
        <v>1.5</v>
      </c>
      <c r="H26" s="177">
        <v>1</v>
      </c>
      <c r="I26" s="178"/>
      <c r="J26" s="178"/>
      <c r="K26" s="178"/>
      <c r="L26" s="209"/>
      <c r="M26" s="210">
        <v>30</v>
      </c>
      <c r="N26" s="211">
        <v>1</v>
      </c>
      <c r="O26" s="210">
        <f t="shared" ref="O26:O30" si="19">D$6*D26</f>
        <v>4</v>
      </c>
      <c r="P26" s="210">
        <f t="shared" ref="P26:P30" si="20">E$6*E26</f>
        <v>70</v>
      </c>
      <c r="Q26" s="210">
        <f t="shared" ref="Q26:Q30" si="21">F$6*F26</f>
        <v>20</v>
      </c>
      <c r="R26" s="210">
        <f t="shared" ref="R26:R30" si="22">G$6*G26</f>
        <v>1.5</v>
      </c>
      <c r="S26" s="210">
        <f t="shared" ref="S26:S30" si="23">H$6*H26</f>
        <v>5</v>
      </c>
      <c r="T26" s="224">
        <f t="shared" si="0"/>
        <v>4.2</v>
      </c>
      <c r="U26" s="224">
        <f t="shared" si="1"/>
        <v>4.2</v>
      </c>
      <c r="V26" s="150">
        <f t="shared" si="2"/>
        <v>1.5</v>
      </c>
      <c r="W26" s="150">
        <f t="shared" si="3"/>
        <v>3</v>
      </c>
      <c r="X26" s="224">
        <f t="shared" si="4"/>
        <v>126</v>
      </c>
      <c r="Y26" s="150">
        <f t="shared" si="5"/>
        <v>88.2</v>
      </c>
      <c r="Z26" s="233">
        <f t="shared" si="8"/>
        <v>84</v>
      </c>
      <c r="AA26" s="234">
        <f t="shared" si="6"/>
        <v>29.4</v>
      </c>
      <c r="AB26" s="234">
        <f t="shared" si="7"/>
        <v>-65</v>
      </c>
      <c r="AE26" s="132"/>
    </row>
    <row r="27" customFormat="1" spans="1:28">
      <c r="A27" s="115"/>
      <c r="B27" s="22" t="s">
        <v>45</v>
      </c>
      <c r="C27" s="166"/>
      <c r="D27" s="187">
        <v>1</v>
      </c>
      <c r="E27" s="167">
        <v>0.8</v>
      </c>
      <c r="F27" s="28">
        <v>1.5</v>
      </c>
      <c r="G27" s="28">
        <v>0.5</v>
      </c>
      <c r="H27" s="167">
        <v>1</v>
      </c>
      <c r="I27" s="28"/>
      <c r="J27" s="28"/>
      <c r="K27" s="28"/>
      <c r="L27" s="198"/>
      <c r="M27" s="206">
        <v>40</v>
      </c>
      <c r="N27" s="208">
        <v>1</v>
      </c>
      <c r="O27" s="206">
        <f t="shared" si="19"/>
        <v>4</v>
      </c>
      <c r="P27" s="206">
        <f t="shared" si="20"/>
        <v>32</v>
      </c>
      <c r="Q27" s="206">
        <f t="shared" si="21"/>
        <v>30</v>
      </c>
      <c r="R27" s="206">
        <f t="shared" si="22"/>
        <v>0.5</v>
      </c>
      <c r="S27" s="206">
        <f t="shared" si="23"/>
        <v>5</v>
      </c>
      <c r="T27" s="150">
        <f t="shared" si="0"/>
        <v>4.2</v>
      </c>
      <c r="U27" s="150">
        <f t="shared" si="1"/>
        <v>4.2</v>
      </c>
      <c r="V27" s="150">
        <f t="shared" si="2"/>
        <v>1.33333333333333</v>
      </c>
      <c r="W27" s="150">
        <f t="shared" si="3"/>
        <v>1.83333333333333</v>
      </c>
      <c r="X27" s="150">
        <f t="shared" si="4"/>
        <v>168</v>
      </c>
      <c r="Y27" s="150">
        <f t="shared" si="5"/>
        <v>53.76</v>
      </c>
      <c r="Z27" s="233">
        <f t="shared" si="8"/>
        <v>126</v>
      </c>
      <c r="AA27" s="234">
        <f t="shared" si="6"/>
        <v>29.3236363636364</v>
      </c>
      <c r="AB27" s="234">
        <f t="shared" si="7"/>
        <v>-76.7272727272727</v>
      </c>
    </row>
    <row r="28" customFormat="1" spans="1:31">
      <c r="A28" s="115"/>
      <c r="B28" s="22" t="s">
        <v>46</v>
      </c>
      <c r="C28" s="166"/>
      <c r="D28" s="187">
        <v>1</v>
      </c>
      <c r="E28" s="167">
        <v>1</v>
      </c>
      <c r="F28" s="28">
        <v>1</v>
      </c>
      <c r="G28" s="28">
        <v>0.25</v>
      </c>
      <c r="H28" s="167">
        <v>2.5</v>
      </c>
      <c r="I28" s="28"/>
      <c r="J28" s="28"/>
      <c r="K28" s="28"/>
      <c r="L28" s="198"/>
      <c r="M28" s="206">
        <v>30</v>
      </c>
      <c r="N28" s="208">
        <v>1</v>
      </c>
      <c r="O28" s="206">
        <f t="shared" si="19"/>
        <v>4</v>
      </c>
      <c r="P28" s="206">
        <f t="shared" si="20"/>
        <v>40</v>
      </c>
      <c r="Q28" s="206">
        <f t="shared" si="21"/>
        <v>20</v>
      </c>
      <c r="R28" s="206">
        <f t="shared" si="22"/>
        <v>0.25</v>
      </c>
      <c r="S28" s="206">
        <f t="shared" si="23"/>
        <v>12.5</v>
      </c>
      <c r="T28" s="150">
        <f t="shared" si="0"/>
        <v>4.5</v>
      </c>
      <c r="U28" s="150">
        <f t="shared" si="1"/>
        <v>4.5</v>
      </c>
      <c r="V28" s="150">
        <f t="shared" si="2"/>
        <v>1.5</v>
      </c>
      <c r="W28" s="150">
        <f t="shared" si="3"/>
        <v>1.75</v>
      </c>
      <c r="X28" s="150">
        <f t="shared" si="4"/>
        <v>135</v>
      </c>
      <c r="Y28" s="150">
        <f t="shared" si="5"/>
        <v>54</v>
      </c>
      <c r="Z28" s="233">
        <f t="shared" si="8"/>
        <v>90</v>
      </c>
      <c r="AA28" s="234">
        <f t="shared" si="6"/>
        <v>30.8571428571429</v>
      </c>
      <c r="AB28" s="234">
        <f t="shared" si="7"/>
        <v>-65.7142857142857</v>
      </c>
      <c r="AE28" s="132"/>
    </row>
    <row r="29" customFormat="1" spans="1:31">
      <c r="A29" s="115"/>
      <c r="B29" s="22" t="s">
        <v>47</v>
      </c>
      <c r="C29" s="166"/>
      <c r="D29" s="187">
        <v>1</v>
      </c>
      <c r="E29" s="167">
        <v>0.7</v>
      </c>
      <c r="F29" s="28">
        <v>1</v>
      </c>
      <c r="G29" s="28">
        <v>1</v>
      </c>
      <c r="H29" s="167">
        <v>3</v>
      </c>
      <c r="I29" s="28"/>
      <c r="J29" s="28"/>
      <c r="K29" s="28"/>
      <c r="L29" s="198"/>
      <c r="M29" s="206">
        <v>30</v>
      </c>
      <c r="N29" s="208">
        <v>2</v>
      </c>
      <c r="O29" s="206">
        <f t="shared" si="19"/>
        <v>4</v>
      </c>
      <c r="P29" s="206">
        <f t="shared" si="20"/>
        <v>28</v>
      </c>
      <c r="Q29" s="206">
        <f t="shared" si="21"/>
        <v>20</v>
      </c>
      <c r="R29" s="206">
        <f t="shared" si="22"/>
        <v>1</v>
      </c>
      <c r="S29" s="206">
        <f t="shared" si="23"/>
        <v>15</v>
      </c>
      <c r="T29" s="150">
        <f t="shared" si="0"/>
        <v>4.6</v>
      </c>
      <c r="U29" s="150">
        <f t="shared" si="1"/>
        <v>9.2</v>
      </c>
      <c r="V29" s="150">
        <f t="shared" si="2"/>
        <v>1.5</v>
      </c>
      <c r="W29" s="150">
        <f t="shared" si="3"/>
        <v>2.5</v>
      </c>
      <c r="X29" s="150">
        <f t="shared" si="4"/>
        <v>276</v>
      </c>
      <c r="Y29" s="150">
        <f t="shared" si="5"/>
        <v>77.28</v>
      </c>
      <c r="Z29" s="233">
        <f t="shared" si="8"/>
        <v>184</v>
      </c>
      <c r="AA29" s="234">
        <f t="shared" si="6"/>
        <v>30.912</v>
      </c>
      <c r="AB29" s="234">
        <f t="shared" si="7"/>
        <v>-83.2</v>
      </c>
      <c r="AE29" s="132"/>
    </row>
    <row r="30" customFormat="1" spans="1:28">
      <c r="A30" s="120"/>
      <c r="B30" s="181" t="s">
        <v>48</v>
      </c>
      <c r="C30" s="182"/>
      <c r="D30" s="188">
        <v>1</v>
      </c>
      <c r="E30" s="183">
        <v>1.5</v>
      </c>
      <c r="F30" s="184">
        <v>0.5</v>
      </c>
      <c r="G30" s="184">
        <v>1</v>
      </c>
      <c r="H30" s="183">
        <v>20</v>
      </c>
      <c r="I30" s="184"/>
      <c r="J30" s="184"/>
      <c r="K30" s="184"/>
      <c r="L30" s="212"/>
      <c r="M30" s="213">
        <v>20</v>
      </c>
      <c r="N30" s="214">
        <v>1</v>
      </c>
      <c r="O30" s="213">
        <f t="shared" si="19"/>
        <v>4</v>
      </c>
      <c r="P30" s="213">
        <f t="shared" si="20"/>
        <v>60</v>
      </c>
      <c r="Q30" s="213">
        <f t="shared" si="21"/>
        <v>10</v>
      </c>
      <c r="R30" s="213">
        <f t="shared" si="22"/>
        <v>1</v>
      </c>
      <c r="S30" s="213">
        <f t="shared" si="23"/>
        <v>100</v>
      </c>
      <c r="T30" s="152">
        <f t="shared" si="0"/>
        <v>8</v>
      </c>
      <c r="U30" s="152">
        <f t="shared" si="1"/>
        <v>8</v>
      </c>
      <c r="V30" s="152">
        <f t="shared" si="2"/>
        <v>2</v>
      </c>
      <c r="W30" s="152">
        <f t="shared" si="3"/>
        <v>3</v>
      </c>
      <c r="X30" s="152">
        <f t="shared" si="4"/>
        <v>160</v>
      </c>
      <c r="Y30" s="152">
        <f t="shared" si="5"/>
        <v>96</v>
      </c>
      <c r="Z30" s="235">
        <f t="shared" si="8"/>
        <v>80</v>
      </c>
      <c r="AA30" s="236">
        <f t="shared" si="6"/>
        <v>32</v>
      </c>
      <c r="AB30" s="234">
        <f t="shared" si="7"/>
        <v>-60</v>
      </c>
    </row>
    <row r="31" customFormat="1" spans="1:31">
      <c r="A31" s="115" t="s">
        <v>49</v>
      </c>
      <c r="B31" s="22" t="s">
        <v>58</v>
      </c>
      <c r="C31" s="166"/>
      <c r="D31" s="141">
        <v>1</v>
      </c>
      <c r="E31" s="167">
        <v>1</v>
      </c>
      <c r="F31" s="28">
        <v>1</v>
      </c>
      <c r="G31" s="28">
        <v>1.3</v>
      </c>
      <c r="H31" s="167">
        <v>5</v>
      </c>
      <c r="I31" s="28"/>
      <c r="J31" s="28"/>
      <c r="K31" s="28"/>
      <c r="L31" s="198"/>
      <c r="M31" s="206">
        <v>70</v>
      </c>
      <c r="N31" s="208">
        <v>1</v>
      </c>
      <c r="O31" s="206">
        <f t="shared" ref="O31:O35" si="24">D$7*D31</f>
        <v>12</v>
      </c>
      <c r="P31" s="206">
        <f t="shared" ref="P31:P35" si="25">E$7*E31</f>
        <v>50</v>
      </c>
      <c r="Q31" s="206">
        <f t="shared" ref="Q31:Q35" si="26">F$7*F31</f>
        <v>5</v>
      </c>
      <c r="R31" s="206">
        <f t="shared" ref="R31:R35" si="27">G$7*G31</f>
        <v>6.5</v>
      </c>
      <c r="S31" s="206">
        <f t="shared" ref="S31:S35" si="28">H$7*H31</f>
        <v>50</v>
      </c>
      <c r="T31" s="150">
        <f t="shared" si="0"/>
        <v>18</v>
      </c>
      <c r="U31" s="150">
        <f t="shared" si="1"/>
        <v>18</v>
      </c>
      <c r="V31" s="150">
        <f t="shared" si="2"/>
        <v>14</v>
      </c>
      <c r="W31" s="150">
        <f t="shared" si="3"/>
        <v>20.5</v>
      </c>
      <c r="X31" s="150">
        <f t="shared" si="4"/>
        <v>1260</v>
      </c>
      <c r="Y31" s="150">
        <f t="shared" si="5"/>
        <v>630</v>
      </c>
      <c r="Z31" s="233">
        <f t="shared" si="8"/>
        <v>90</v>
      </c>
      <c r="AA31" s="234">
        <f t="shared" si="6"/>
        <v>30.7317073170732</v>
      </c>
      <c r="AB31" s="234">
        <f t="shared" si="7"/>
        <v>-65.8536585365854</v>
      </c>
      <c r="AE31" s="132"/>
    </row>
    <row r="32" customFormat="1" spans="1:31">
      <c r="A32" s="115"/>
      <c r="B32" s="22" t="s">
        <v>52</v>
      </c>
      <c r="C32" s="166"/>
      <c r="D32" s="141">
        <v>0.8</v>
      </c>
      <c r="E32" s="167">
        <v>1</v>
      </c>
      <c r="F32" s="28">
        <v>3</v>
      </c>
      <c r="G32" s="28">
        <v>1</v>
      </c>
      <c r="H32" s="167">
        <v>1</v>
      </c>
      <c r="I32" s="28"/>
      <c r="J32" s="28"/>
      <c r="K32" s="28"/>
      <c r="L32" s="198"/>
      <c r="M32" s="206">
        <v>60</v>
      </c>
      <c r="N32" s="208">
        <v>1</v>
      </c>
      <c r="O32" s="206">
        <f t="shared" si="24"/>
        <v>9.6</v>
      </c>
      <c r="P32" s="206">
        <f t="shared" si="25"/>
        <v>50</v>
      </c>
      <c r="Q32" s="206">
        <f t="shared" si="26"/>
        <v>15</v>
      </c>
      <c r="R32" s="206">
        <f t="shared" si="27"/>
        <v>5</v>
      </c>
      <c r="S32" s="206">
        <f t="shared" si="28"/>
        <v>10</v>
      </c>
      <c r="T32" s="150">
        <f t="shared" si="0"/>
        <v>10.56</v>
      </c>
      <c r="U32" s="150">
        <f t="shared" si="1"/>
        <v>10.56</v>
      </c>
      <c r="V32" s="150">
        <f t="shared" si="2"/>
        <v>4</v>
      </c>
      <c r="W32" s="150">
        <f t="shared" si="3"/>
        <v>9</v>
      </c>
      <c r="X32" s="150">
        <f t="shared" si="4"/>
        <v>633.6</v>
      </c>
      <c r="Y32" s="150">
        <f t="shared" si="5"/>
        <v>316.8</v>
      </c>
      <c r="Z32" s="233">
        <f t="shared" si="8"/>
        <v>158.4</v>
      </c>
      <c r="AA32" s="234">
        <f t="shared" si="6"/>
        <v>35.2</v>
      </c>
      <c r="AB32" s="234">
        <f t="shared" si="7"/>
        <v>-77.7777777777778</v>
      </c>
      <c r="AE32" s="132"/>
    </row>
    <row r="33" customFormat="1" spans="1:28">
      <c r="A33" s="115"/>
      <c r="B33" s="22" t="s">
        <v>53</v>
      </c>
      <c r="C33" s="166"/>
      <c r="D33" s="141">
        <v>1</v>
      </c>
      <c r="E33" s="167">
        <v>1.6</v>
      </c>
      <c r="F33" s="28">
        <v>0.8</v>
      </c>
      <c r="G33" s="28">
        <v>1</v>
      </c>
      <c r="H33" s="167">
        <v>1</v>
      </c>
      <c r="I33" s="28"/>
      <c r="J33" s="28"/>
      <c r="K33" s="28"/>
      <c r="L33" s="198"/>
      <c r="M33" s="206">
        <v>60</v>
      </c>
      <c r="N33" s="208">
        <v>1</v>
      </c>
      <c r="O33" s="206">
        <f t="shared" si="24"/>
        <v>12</v>
      </c>
      <c r="P33" s="206">
        <f t="shared" si="25"/>
        <v>80</v>
      </c>
      <c r="Q33" s="206">
        <f t="shared" si="26"/>
        <v>4</v>
      </c>
      <c r="R33" s="206">
        <f t="shared" si="27"/>
        <v>5</v>
      </c>
      <c r="S33" s="206">
        <f t="shared" si="28"/>
        <v>10</v>
      </c>
      <c r="T33" s="150">
        <f t="shared" si="0"/>
        <v>13.2</v>
      </c>
      <c r="U33" s="150">
        <f t="shared" si="1"/>
        <v>13.2</v>
      </c>
      <c r="V33" s="150">
        <f t="shared" si="2"/>
        <v>15</v>
      </c>
      <c r="W33" s="150">
        <f t="shared" si="3"/>
        <v>20</v>
      </c>
      <c r="X33" s="150">
        <f t="shared" si="4"/>
        <v>792</v>
      </c>
      <c r="Y33" s="150">
        <f t="shared" si="5"/>
        <v>633.6</v>
      </c>
      <c r="Z33" s="233">
        <f t="shared" si="8"/>
        <v>52.8</v>
      </c>
      <c r="AA33" s="234">
        <f t="shared" si="6"/>
        <v>31.68</v>
      </c>
      <c r="AB33" s="234">
        <f t="shared" si="7"/>
        <v>-40</v>
      </c>
    </row>
    <row r="34" customFormat="1" spans="1:31">
      <c r="A34" s="115"/>
      <c r="B34" s="22" t="s">
        <v>54</v>
      </c>
      <c r="C34" s="166"/>
      <c r="D34" s="141">
        <v>1.6</v>
      </c>
      <c r="E34" s="167">
        <v>1</v>
      </c>
      <c r="F34" s="28">
        <v>1</v>
      </c>
      <c r="G34" s="28">
        <v>1</v>
      </c>
      <c r="H34" s="167">
        <v>0.2</v>
      </c>
      <c r="I34" s="28"/>
      <c r="J34" s="28"/>
      <c r="K34" s="28"/>
      <c r="L34" s="198"/>
      <c r="M34" s="206">
        <v>50</v>
      </c>
      <c r="N34" s="208">
        <v>1</v>
      </c>
      <c r="O34" s="206">
        <f t="shared" si="24"/>
        <v>19.2</v>
      </c>
      <c r="P34" s="206">
        <f t="shared" si="25"/>
        <v>50</v>
      </c>
      <c r="Q34" s="206">
        <f t="shared" si="26"/>
        <v>5</v>
      </c>
      <c r="R34" s="206">
        <f t="shared" si="27"/>
        <v>5</v>
      </c>
      <c r="S34" s="206">
        <f t="shared" si="28"/>
        <v>2</v>
      </c>
      <c r="T34" s="150">
        <f t="shared" si="0"/>
        <v>19.584</v>
      </c>
      <c r="U34" s="150">
        <f t="shared" si="1"/>
        <v>19.584</v>
      </c>
      <c r="V34" s="150">
        <f t="shared" si="2"/>
        <v>10</v>
      </c>
      <c r="W34" s="150">
        <f t="shared" si="3"/>
        <v>15</v>
      </c>
      <c r="X34" s="150">
        <f t="shared" si="4"/>
        <v>979.2</v>
      </c>
      <c r="Y34" s="150">
        <f t="shared" si="5"/>
        <v>489.6</v>
      </c>
      <c r="Z34" s="233">
        <f t="shared" si="8"/>
        <v>97.92</v>
      </c>
      <c r="AA34" s="234">
        <f t="shared" si="6"/>
        <v>32.64</v>
      </c>
      <c r="AB34" s="234">
        <f t="shared" si="7"/>
        <v>-66.6666666666667</v>
      </c>
      <c r="AE34" s="132"/>
    </row>
    <row r="35" customFormat="1" spans="1:31">
      <c r="A35" s="159"/>
      <c r="B35" s="189" t="s">
        <v>55</v>
      </c>
      <c r="C35" s="160"/>
      <c r="D35" s="143">
        <v>1</v>
      </c>
      <c r="E35" s="190">
        <v>0.7</v>
      </c>
      <c r="F35" s="191">
        <v>1</v>
      </c>
      <c r="G35" s="191">
        <v>0.6</v>
      </c>
      <c r="H35" s="190">
        <v>1</v>
      </c>
      <c r="I35" s="191"/>
      <c r="J35" s="191"/>
      <c r="K35" s="191"/>
      <c r="L35" s="217"/>
      <c r="M35" s="218">
        <v>40</v>
      </c>
      <c r="N35" s="219">
        <v>2</v>
      </c>
      <c r="O35" s="218">
        <f t="shared" si="24"/>
        <v>12</v>
      </c>
      <c r="P35" s="218">
        <f t="shared" si="25"/>
        <v>35</v>
      </c>
      <c r="Q35" s="218">
        <f t="shared" si="26"/>
        <v>5</v>
      </c>
      <c r="R35" s="218">
        <f t="shared" si="27"/>
        <v>3</v>
      </c>
      <c r="S35" s="218">
        <f t="shared" si="28"/>
        <v>10</v>
      </c>
      <c r="T35" s="154">
        <f t="shared" si="0"/>
        <v>13.2</v>
      </c>
      <c r="U35" s="154">
        <f t="shared" si="1"/>
        <v>26.4</v>
      </c>
      <c r="V35" s="154">
        <f t="shared" si="2"/>
        <v>8</v>
      </c>
      <c r="W35" s="154">
        <f t="shared" si="3"/>
        <v>11</v>
      </c>
      <c r="X35" s="154">
        <f t="shared" si="4"/>
        <v>1056</v>
      </c>
      <c r="Y35" s="154">
        <f t="shared" si="5"/>
        <v>369.6</v>
      </c>
      <c r="Z35" s="237">
        <f t="shared" si="8"/>
        <v>132</v>
      </c>
      <c r="AA35" s="238">
        <f t="shared" si="6"/>
        <v>33.6</v>
      </c>
      <c r="AB35" s="234">
        <f t="shared" si="7"/>
        <v>-74.5454545454545</v>
      </c>
      <c r="AE35" s="132"/>
    </row>
    <row r="36" spans="1:14">
      <c r="A36" s="22" t="s">
        <v>83</v>
      </c>
      <c r="B36" s="166" t="s">
        <v>84</v>
      </c>
      <c r="C36" s="115"/>
      <c r="D36" s="28">
        <v>1.2</v>
      </c>
      <c r="E36" s="28">
        <v>0.8</v>
      </c>
      <c r="F36" s="28"/>
      <c r="G36" s="28"/>
      <c r="H36" s="28"/>
      <c r="I36" s="28"/>
      <c r="J36" s="28"/>
      <c r="K36" s="28"/>
      <c r="L36" s="28"/>
      <c r="M36" s="206"/>
      <c r="N36" s="206"/>
    </row>
    <row r="37" spans="1:14">
      <c r="A37" s="22"/>
      <c r="B37" s="166" t="s">
        <v>85</v>
      </c>
      <c r="C37" s="115"/>
      <c r="D37" s="28"/>
      <c r="E37" s="28"/>
      <c r="F37" s="28"/>
      <c r="G37" s="28"/>
      <c r="H37" s="28"/>
      <c r="I37" s="28"/>
      <c r="J37" s="28"/>
      <c r="K37" s="28"/>
      <c r="L37" s="28"/>
      <c r="M37" s="206">
        <v>1.25</v>
      </c>
      <c r="N37" s="206"/>
    </row>
    <row r="38" spans="1:14">
      <c r="A38" s="22"/>
      <c r="B38" s="166" t="s">
        <v>86</v>
      </c>
      <c r="C38" s="115"/>
      <c r="D38" s="28"/>
      <c r="E38" s="28">
        <v>1.2</v>
      </c>
      <c r="F38" s="28"/>
      <c r="G38" s="28"/>
      <c r="H38" s="28"/>
      <c r="I38" s="28"/>
      <c r="J38" s="28"/>
      <c r="K38" s="28"/>
      <c r="L38" s="28"/>
      <c r="M38" s="206">
        <v>0.75</v>
      </c>
      <c r="N38" s="206"/>
    </row>
    <row r="39" spans="1:14">
      <c r="A39" s="22"/>
      <c r="B39" s="166" t="s">
        <v>87</v>
      </c>
      <c r="C39" s="115"/>
      <c r="D39" s="28"/>
      <c r="E39" s="28"/>
      <c r="F39" s="28"/>
      <c r="G39" s="28"/>
      <c r="H39" s="28">
        <v>1.5</v>
      </c>
      <c r="I39" s="28"/>
      <c r="J39" s="28"/>
      <c r="K39" s="28"/>
      <c r="L39" s="28"/>
      <c r="M39" s="206"/>
      <c r="N39" s="206"/>
    </row>
    <row r="40" spans="1:14">
      <c r="A40" s="22"/>
      <c r="B40" s="166" t="s">
        <v>88</v>
      </c>
      <c r="C40" s="115"/>
      <c r="D40" s="28"/>
      <c r="E40" s="28"/>
      <c r="F40" s="28">
        <v>1.25</v>
      </c>
      <c r="G40" s="28"/>
      <c r="H40" s="28">
        <v>0.8</v>
      </c>
      <c r="I40" s="28"/>
      <c r="J40" s="28"/>
      <c r="K40" s="28"/>
      <c r="L40" s="28"/>
      <c r="M40" s="206"/>
      <c r="N40" s="206"/>
    </row>
    <row r="41" spans="1:14">
      <c r="A41" s="22"/>
      <c r="B41" s="166" t="s">
        <v>89</v>
      </c>
      <c r="C41" s="115"/>
      <c r="D41" s="28"/>
      <c r="E41" s="28"/>
      <c r="F41" s="28"/>
      <c r="G41" s="28">
        <v>0.6</v>
      </c>
      <c r="H41" s="28"/>
      <c r="I41" s="28"/>
      <c r="J41" s="28"/>
      <c r="K41" s="28"/>
      <c r="L41" s="28"/>
      <c r="M41" s="206">
        <v>0.75</v>
      </c>
      <c r="N41" s="206"/>
    </row>
    <row r="42" spans="1:14">
      <c r="A42" s="22"/>
      <c r="B42" s="166" t="s">
        <v>90</v>
      </c>
      <c r="C42" s="115"/>
      <c r="D42" s="28">
        <v>0.9</v>
      </c>
      <c r="E42" s="28"/>
      <c r="F42" s="28"/>
      <c r="G42" s="28"/>
      <c r="H42" s="28"/>
      <c r="I42" s="28"/>
      <c r="J42" s="28"/>
      <c r="K42" s="28"/>
      <c r="L42" s="28"/>
      <c r="M42" s="206"/>
      <c r="N42" s="206"/>
    </row>
    <row r="43" spans="1:14">
      <c r="A43" s="22"/>
      <c r="B43" s="166" t="s">
        <v>91</v>
      </c>
      <c r="C43" s="115"/>
      <c r="D43" s="28"/>
      <c r="E43" s="28">
        <v>0.5</v>
      </c>
      <c r="F43" s="28"/>
      <c r="G43" s="28"/>
      <c r="H43" s="28"/>
      <c r="I43" s="28"/>
      <c r="J43" s="28"/>
      <c r="K43" s="28"/>
      <c r="L43" s="28"/>
      <c r="M43" s="206"/>
      <c r="N43" s="206">
        <v>2</v>
      </c>
    </row>
    <row r="44" spans="1:14">
      <c r="A44" s="22"/>
      <c r="B44" s="22" t="s">
        <v>92</v>
      </c>
      <c r="C44" s="22"/>
      <c r="D44" s="28"/>
      <c r="E44" s="28"/>
      <c r="F44" s="28">
        <v>1.25</v>
      </c>
      <c r="G44" s="28">
        <v>1.5</v>
      </c>
      <c r="H44" s="28">
        <v>0.1</v>
      </c>
      <c r="I44" s="28"/>
      <c r="J44" s="28"/>
      <c r="K44" s="28"/>
      <c r="L44" s="28"/>
      <c r="M44" s="206">
        <v>1.5</v>
      </c>
      <c r="N44" s="206"/>
    </row>
    <row r="45" spans="1:14">
      <c r="A45" s="22"/>
      <c r="B45" s="192" t="s">
        <v>93</v>
      </c>
      <c r="C45" s="192"/>
      <c r="D45" s="28">
        <v>1.25</v>
      </c>
      <c r="E45" s="28"/>
      <c r="F45" s="28">
        <v>0.8</v>
      </c>
      <c r="G45" s="28"/>
      <c r="H45" s="28">
        <v>1.5</v>
      </c>
      <c r="I45" s="28"/>
      <c r="J45" s="28"/>
      <c r="K45" s="28"/>
      <c r="L45" s="28"/>
      <c r="M45" s="206">
        <v>0.8</v>
      </c>
      <c r="N45" s="206"/>
    </row>
    <row r="46" spans="1:14">
      <c r="A46" s="22"/>
      <c r="B46" s="166" t="s">
        <v>94</v>
      </c>
      <c r="C46" s="115"/>
      <c r="D46" s="28"/>
      <c r="E46" s="28">
        <v>1.5</v>
      </c>
      <c r="F46" s="28">
        <v>0.75</v>
      </c>
      <c r="G46" s="28"/>
      <c r="H46" s="28">
        <v>1.5</v>
      </c>
      <c r="I46" s="28"/>
      <c r="J46" s="28"/>
      <c r="K46" s="28"/>
      <c r="L46" s="28"/>
      <c r="M46" s="206"/>
      <c r="N46" s="206"/>
    </row>
    <row r="47" spans="1:14">
      <c r="A47" s="22"/>
      <c r="B47" s="166" t="s">
        <v>95</v>
      </c>
      <c r="C47" s="115"/>
      <c r="D47" s="28">
        <v>2</v>
      </c>
      <c r="E47" s="28">
        <v>1.2</v>
      </c>
      <c r="F47" s="28">
        <v>0.5</v>
      </c>
      <c r="G47" s="28">
        <v>2</v>
      </c>
      <c r="H47" s="28"/>
      <c r="I47" s="28"/>
      <c r="J47" s="28"/>
      <c r="K47" s="28"/>
      <c r="L47" s="28"/>
      <c r="M47" s="206">
        <v>1.2</v>
      </c>
      <c r="N47" s="206"/>
    </row>
    <row r="48" spans="1:14">
      <c r="A48" s="22"/>
      <c r="B48" s="166" t="s">
        <v>96</v>
      </c>
      <c r="C48" s="115"/>
      <c r="D48" s="28">
        <v>0.1</v>
      </c>
      <c r="E48" s="28"/>
      <c r="F48" s="28"/>
      <c r="G48" s="28"/>
      <c r="H48" s="28"/>
      <c r="I48" s="28"/>
      <c r="J48" s="28"/>
      <c r="K48" s="28"/>
      <c r="L48" s="28"/>
      <c r="M48" s="206"/>
      <c r="N48" s="206">
        <v>10</v>
      </c>
    </row>
    <row r="49" spans="1:14">
      <c r="A49" s="22"/>
      <c r="B49" s="22" t="s">
        <v>102</v>
      </c>
      <c r="C49" s="22"/>
      <c r="D49" s="28"/>
      <c r="E49" s="28"/>
      <c r="F49" s="28"/>
      <c r="G49" s="28"/>
      <c r="H49" s="28"/>
      <c r="I49" s="28"/>
      <c r="J49" s="28"/>
      <c r="K49" s="28"/>
      <c r="L49" s="28">
        <v>0.25</v>
      </c>
      <c r="M49" s="206"/>
      <c r="N49" s="206"/>
    </row>
    <row r="50" spans="1:14">
      <c r="A50" s="22"/>
      <c r="B50" s="22" t="s">
        <v>103</v>
      </c>
      <c r="C50" s="22"/>
      <c r="D50" s="28"/>
      <c r="E50" s="28"/>
      <c r="F50" s="28"/>
      <c r="G50" s="28"/>
      <c r="H50" s="28"/>
      <c r="I50" s="28"/>
      <c r="J50" s="28"/>
      <c r="K50" s="28"/>
      <c r="L50" s="28">
        <v>0.5</v>
      </c>
      <c r="M50" s="206"/>
      <c r="N50" s="206"/>
    </row>
    <row r="51" spans="1:14">
      <c r="A51" s="22"/>
      <c r="B51" s="22" t="s">
        <v>104</v>
      </c>
      <c r="C51" s="22"/>
      <c r="D51" s="28"/>
      <c r="E51" s="28"/>
      <c r="F51" s="28"/>
      <c r="G51" s="28"/>
      <c r="H51" s="28"/>
      <c r="I51" s="28"/>
      <c r="J51" s="28"/>
      <c r="K51" s="28">
        <v>0.25</v>
      </c>
      <c r="L51" s="28"/>
      <c r="M51" s="206"/>
      <c r="N51" s="206"/>
    </row>
    <row r="52" spans="1:14">
      <c r="A52" s="22"/>
      <c r="B52" s="22" t="s">
        <v>105</v>
      </c>
      <c r="C52" s="22"/>
      <c r="D52" s="28"/>
      <c r="E52" s="28"/>
      <c r="F52" s="28"/>
      <c r="G52" s="28"/>
      <c r="H52" s="28"/>
      <c r="I52" s="28"/>
      <c r="J52" s="28"/>
      <c r="K52" s="28">
        <v>0.5</v>
      </c>
      <c r="L52" s="28"/>
      <c r="M52" s="206"/>
      <c r="N52" s="206"/>
    </row>
    <row r="53" spans="1:14">
      <c r="A53" s="22"/>
      <c r="B53" s="22" t="s">
        <v>106</v>
      </c>
      <c r="C53" s="22"/>
      <c r="D53" s="28"/>
      <c r="E53" s="28"/>
      <c r="F53" s="28"/>
      <c r="G53" s="28"/>
      <c r="H53" s="28"/>
      <c r="I53" s="28"/>
      <c r="J53" s="28">
        <v>0.25</v>
      </c>
      <c r="K53" s="28"/>
      <c r="L53" s="28"/>
      <c r="M53" s="206"/>
      <c r="N53" s="206"/>
    </row>
    <row r="54" spans="1:14">
      <c r="A54" s="22"/>
      <c r="B54" s="22" t="s">
        <v>107</v>
      </c>
      <c r="C54" s="22"/>
      <c r="D54" s="28"/>
      <c r="E54" s="28"/>
      <c r="F54" s="28"/>
      <c r="G54" s="28"/>
      <c r="H54" s="28"/>
      <c r="I54" s="28"/>
      <c r="J54" s="28">
        <v>0.5</v>
      </c>
      <c r="K54" s="28"/>
      <c r="L54" s="28"/>
      <c r="M54" s="206"/>
      <c r="N54" s="206"/>
    </row>
    <row r="55" spans="1:14">
      <c r="A55" s="22"/>
      <c r="B55" s="22" t="s">
        <v>108</v>
      </c>
      <c r="C55" s="22"/>
      <c r="D55" s="28"/>
      <c r="E55" s="28"/>
      <c r="F55" s="28"/>
      <c r="G55" s="28"/>
      <c r="H55" s="28"/>
      <c r="I55" s="28">
        <v>0.25</v>
      </c>
      <c r="J55" s="28"/>
      <c r="K55" s="28"/>
      <c r="L55" s="28"/>
      <c r="M55" s="206"/>
      <c r="N55" s="206"/>
    </row>
    <row r="56" spans="1:14">
      <c r="A56" s="22"/>
      <c r="B56" s="22" t="s">
        <v>109</v>
      </c>
      <c r="C56" s="22"/>
      <c r="D56" s="28"/>
      <c r="E56" s="28"/>
      <c r="F56" s="28"/>
      <c r="G56" s="28"/>
      <c r="H56" s="28"/>
      <c r="I56" s="28">
        <v>0.5</v>
      </c>
      <c r="J56" s="28"/>
      <c r="K56" s="28"/>
      <c r="L56" s="28"/>
      <c r="M56" s="206"/>
      <c r="N56" s="206"/>
    </row>
  </sheetData>
  <mergeCells count="82">
    <mergeCell ref="D9:L9"/>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A1:A2"/>
    <mergeCell ref="A9:A10"/>
    <mergeCell ref="A11:A15"/>
    <mergeCell ref="A16:A20"/>
    <mergeCell ref="A21:A25"/>
    <mergeCell ref="A26:A30"/>
    <mergeCell ref="A31:A35"/>
    <mergeCell ref="A36:A56"/>
    <mergeCell ref="B1:B2"/>
    <mergeCell ref="C1:C2"/>
    <mergeCell ref="D1:D2"/>
    <mergeCell ref="E1:E2"/>
    <mergeCell ref="F1:F2"/>
    <mergeCell ref="G1:G2"/>
    <mergeCell ref="H1:H2"/>
    <mergeCell ref="I1:I2"/>
    <mergeCell ref="J1:J2"/>
    <mergeCell ref="K1:K2"/>
    <mergeCell ref="M9:M10"/>
    <mergeCell ref="N9:N10"/>
    <mergeCell ref="O9:O10"/>
    <mergeCell ref="P9:P10"/>
    <mergeCell ref="Q9:Q10"/>
    <mergeCell ref="R9:R10"/>
    <mergeCell ref="S9:S10"/>
    <mergeCell ref="T9:T10"/>
    <mergeCell ref="U9:U10"/>
    <mergeCell ref="V9:V10"/>
    <mergeCell ref="W9:W10"/>
    <mergeCell ref="X9:X10"/>
    <mergeCell ref="Y9:Y10"/>
    <mergeCell ref="Z9:Z10"/>
    <mergeCell ref="AA9:AA10"/>
    <mergeCell ref="AB9:AB10"/>
    <mergeCell ref="B9:C10"/>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6"/>
  <sheetViews>
    <sheetView workbookViewId="0">
      <selection activeCell="M28" sqref="M28"/>
    </sheetView>
  </sheetViews>
  <sheetFormatPr defaultColWidth="9.14285714285714" defaultRowHeight="15"/>
  <cols>
    <col min="2" max="2" width="11.1428571428571" customWidth="1"/>
    <col min="3" max="3" width="17.2857142857143" customWidth="1"/>
    <col min="4" max="4" width="8.71428571428571" customWidth="1"/>
    <col min="5" max="5" width="9.28571428571429" customWidth="1"/>
    <col min="6" max="6" width="9.42857142857143" customWidth="1"/>
    <col min="7" max="7" width="8.42857142857143" customWidth="1"/>
    <col min="8" max="8" width="10.1428571428571" customWidth="1"/>
    <col min="9" max="9" width="9.42857142857143" customWidth="1"/>
    <col min="10" max="10" width="9" customWidth="1"/>
    <col min="11" max="11" width="7.71428571428571" customWidth="1"/>
    <col min="12" max="12" width="9.57142857142857" customWidth="1"/>
    <col min="13" max="13" width="9.85714285714286" customWidth="1"/>
    <col min="14" max="14" width="9.57142857142857" customWidth="1"/>
    <col min="15" max="15" width="9" customWidth="1"/>
    <col min="16" max="16" width="10.4285714285714" customWidth="1"/>
    <col min="17" max="17" width="9.14285714285714" customWidth="1"/>
    <col min="18" max="18" width="10.2857142857143" customWidth="1"/>
    <col min="19" max="19" width="10.4285714285714" customWidth="1"/>
    <col min="20" max="20" width="10.2857142857143" customWidth="1"/>
    <col min="21" max="21" width="17" customWidth="1"/>
    <col min="22" max="22" width="9" customWidth="1"/>
    <col min="23" max="23" width="7.85714285714286" customWidth="1"/>
    <col min="24" max="24" width="8.57142857142857" customWidth="1"/>
    <col min="25" max="25" width="7.42857142857143" customWidth="1"/>
    <col min="26" max="26" width="10.5714285714286"/>
    <col min="27" max="27" width="9" customWidth="1"/>
    <col min="28" max="28" width="10.1428571428571" customWidth="1"/>
    <col min="29" max="29" width="11" customWidth="1"/>
    <col min="30" max="30" width="12.2857142857143" customWidth="1"/>
    <col min="31" max="31" width="14" customWidth="1"/>
    <col min="32" max="32" width="15.2857142857143" customWidth="1"/>
    <col min="33" max="33" width="13.8571428571429" customWidth="1"/>
    <col min="34" max="34" width="15" customWidth="1"/>
    <col min="35" max="36" width="16.8571428571429" customWidth="1"/>
    <col min="37" max="37" width="12.2857142857143" customWidth="1"/>
    <col min="38" max="38" width="11.7142857142857"/>
  </cols>
  <sheetData>
    <row r="1" customFormat="1" spans="1:13">
      <c r="A1" s="5"/>
      <c r="B1" s="4" t="s">
        <v>68</v>
      </c>
      <c r="C1" s="4" t="s">
        <v>3</v>
      </c>
      <c r="D1" s="4" t="s">
        <v>5</v>
      </c>
      <c r="E1" s="97" t="s">
        <v>110</v>
      </c>
      <c r="F1" s="97" t="s">
        <v>4</v>
      </c>
      <c r="G1" s="97" t="s">
        <v>6</v>
      </c>
      <c r="H1" s="7" t="s">
        <v>8</v>
      </c>
      <c r="I1" s="129" t="s">
        <v>10</v>
      </c>
      <c r="J1" s="130" t="s">
        <v>70</v>
      </c>
      <c r="K1" s="131"/>
      <c r="L1" s="85" t="s">
        <v>111</v>
      </c>
      <c r="M1" s="132"/>
    </row>
    <row r="2" customFormat="1" spans="1:11">
      <c r="A2" s="9"/>
      <c r="B2" s="8"/>
      <c r="C2" s="8"/>
      <c r="D2" s="8"/>
      <c r="E2" s="98"/>
      <c r="F2" s="98"/>
      <c r="G2" s="98"/>
      <c r="H2" s="11"/>
      <c r="I2" s="133"/>
      <c r="J2" s="134"/>
      <c r="K2" s="131"/>
    </row>
    <row r="3" s="2" customFormat="1" spans="1:12">
      <c r="A3" s="99" t="s">
        <v>20</v>
      </c>
      <c r="B3" s="20">
        <v>20</v>
      </c>
      <c r="C3" s="99">
        <v>13</v>
      </c>
      <c r="D3" s="99">
        <v>3</v>
      </c>
      <c r="E3" s="99">
        <v>0.5</v>
      </c>
      <c r="F3" s="99">
        <v>50</v>
      </c>
      <c r="G3" s="99">
        <v>80</v>
      </c>
      <c r="H3" s="20">
        <v>10</v>
      </c>
      <c r="I3" s="135">
        <v>1</v>
      </c>
      <c r="J3" s="3" t="e">
        <f>#REF!*D3</f>
        <v>#REF!</v>
      </c>
      <c r="K3" s="131"/>
      <c r="L3" s="2">
        <v>10</v>
      </c>
    </row>
    <row r="4" customFormat="1" spans="1:12">
      <c r="A4" s="100" t="s">
        <v>28</v>
      </c>
      <c r="B4" s="101">
        <v>20</v>
      </c>
      <c r="C4" s="100">
        <v>40</v>
      </c>
      <c r="D4" s="100">
        <v>1</v>
      </c>
      <c r="E4" s="100">
        <v>3</v>
      </c>
      <c r="F4" s="100">
        <v>90</v>
      </c>
      <c r="G4" s="100">
        <v>20</v>
      </c>
      <c r="H4" s="101">
        <v>8</v>
      </c>
      <c r="I4" s="136">
        <v>1</v>
      </c>
      <c r="J4" s="3" t="e">
        <f>#REF!*D4</f>
        <v>#REF!</v>
      </c>
      <c r="K4" s="131"/>
      <c r="L4" s="2">
        <v>20</v>
      </c>
    </row>
    <row r="5" s="2" customFormat="1" spans="1:12">
      <c r="A5" s="100" t="s">
        <v>35</v>
      </c>
      <c r="B5" s="101">
        <v>20</v>
      </c>
      <c r="C5" s="100">
        <v>8</v>
      </c>
      <c r="D5" s="100">
        <v>1.5</v>
      </c>
      <c r="E5" s="100">
        <v>2.5</v>
      </c>
      <c r="F5" s="100">
        <v>20</v>
      </c>
      <c r="G5" s="100">
        <v>50</v>
      </c>
      <c r="H5" s="101">
        <v>5</v>
      </c>
      <c r="I5" s="136">
        <v>5</v>
      </c>
      <c r="J5" s="3" t="e">
        <f>#REF!*D5</f>
        <v>#REF!</v>
      </c>
      <c r="K5" s="131"/>
      <c r="L5" s="2">
        <v>20</v>
      </c>
    </row>
    <row r="6" customFormat="1" spans="1:12">
      <c r="A6" s="100" t="s">
        <v>42</v>
      </c>
      <c r="B6" s="101">
        <v>20</v>
      </c>
      <c r="C6" s="100">
        <v>4</v>
      </c>
      <c r="D6" s="100">
        <v>10</v>
      </c>
      <c r="E6" s="100">
        <v>1</v>
      </c>
      <c r="F6" s="100">
        <v>30</v>
      </c>
      <c r="G6" s="100">
        <v>98</v>
      </c>
      <c r="H6" s="101">
        <v>30</v>
      </c>
      <c r="I6" s="136">
        <v>1</v>
      </c>
      <c r="J6" s="3" t="e">
        <f>#REF!*D6</f>
        <v>#REF!</v>
      </c>
      <c r="K6" s="131"/>
      <c r="L6" s="2">
        <v>30</v>
      </c>
    </row>
    <row r="7" s="2" customFormat="1" spans="1:12">
      <c r="A7" s="102" t="s">
        <v>49</v>
      </c>
      <c r="B7" s="103">
        <v>20</v>
      </c>
      <c r="C7" s="102">
        <v>12</v>
      </c>
      <c r="D7" s="102">
        <v>5</v>
      </c>
      <c r="E7" s="102">
        <v>5</v>
      </c>
      <c r="F7" s="102">
        <v>40</v>
      </c>
      <c r="G7" s="102">
        <v>90</v>
      </c>
      <c r="H7" s="103">
        <v>60</v>
      </c>
      <c r="I7" s="137">
        <v>1</v>
      </c>
      <c r="J7" s="3" t="e">
        <f>#REF!*D7</f>
        <v>#REF!</v>
      </c>
      <c r="K7" s="131"/>
      <c r="L7" s="2">
        <v>15</v>
      </c>
    </row>
    <row r="8" customFormat="1" spans="1:31">
      <c r="A8" s="22"/>
      <c r="D8" s="22"/>
      <c r="E8" s="22"/>
      <c r="F8" s="22"/>
      <c r="H8" s="22"/>
      <c r="I8" s="22"/>
      <c r="J8" s="22"/>
      <c r="K8" s="85"/>
      <c r="M8" s="22"/>
      <c r="N8" s="22"/>
      <c r="O8" s="22"/>
      <c r="P8" s="85"/>
      <c r="R8" s="22"/>
      <c r="S8" s="22"/>
      <c r="U8" s="22"/>
      <c r="V8" s="22"/>
      <c r="W8" s="22"/>
      <c r="X8" s="85"/>
      <c r="Z8" s="22"/>
      <c r="AA8" s="22"/>
      <c r="AB8" s="22"/>
      <c r="AC8" s="85"/>
      <c r="AD8" s="85"/>
      <c r="AE8" s="85"/>
    </row>
    <row r="9" customFormat="1" spans="1:22">
      <c r="A9" s="5" t="s">
        <v>0</v>
      </c>
      <c r="B9" s="4" t="s">
        <v>112</v>
      </c>
      <c r="C9" s="5" t="s">
        <v>75</v>
      </c>
      <c r="D9" s="104" t="s">
        <v>76</v>
      </c>
      <c r="E9" s="104"/>
      <c r="F9" s="104"/>
      <c r="G9" s="104"/>
      <c r="H9" s="104"/>
      <c r="I9" s="104"/>
      <c r="J9" s="138"/>
      <c r="K9" s="138" t="s">
        <v>3</v>
      </c>
      <c r="L9" s="138" t="s">
        <v>5</v>
      </c>
      <c r="M9" s="138" t="s">
        <v>110</v>
      </c>
      <c r="N9" s="138" t="s">
        <v>4</v>
      </c>
      <c r="O9" s="138" t="s">
        <v>6</v>
      </c>
      <c r="P9" s="138" t="s">
        <v>8</v>
      </c>
      <c r="Q9" s="138" t="s">
        <v>10</v>
      </c>
      <c r="R9" s="144" t="s">
        <v>113</v>
      </c>
      <c r="S9" s="145" t="s">
        <v>12</v>
      </c>
      <c r="T9" s="144" t="s">
        <v>114</v>
      </c>
      <c r="U9" s="144" t="s">
        <v>13</v>
      </c>
      <c r="V9" s="146" t="s">
        <v>14</v>
      </c>
    </row>
    <row r="10" customFormat="1" spans="1:22">
      <c r="A10" s="105"/>
      <c r="B10" s="8"/>
      <c r="C10" s="105"/>
      <c r="D10" s="106" t="s">
        <v>3</v>
      </c>
      <c r="E10" s="107" t="s">
        <v>5</v>
      </c>
      <c r="F10" s="107" t="s">
        <v>110</v>
      </c>
      <c r="G10" s="108" t="s">
        <v>4</v>
      </c>
      <c r="H10" s="108" t="s">
        <v>6</v>
      </c>
      <c r="I10" s="107" t="s">
        <v>8</v>
      </c>
      <c r="J10" s="106" t="s">
        <v>10</v>
      </c>
      <c r="K10" s="139"/>
      <c r="L10" s="139"/>
      <c r="M10" s="139"/>
      <c r="N10" s="139"/>
      <c r="O10" s="139"/>
      <c r="P10" s="139"/>
      <c r="Q10" s="139"/>
      <c r="R10" s="147"/>
      <c r="S10" s="148"/>
      <c r="T10" s="147"/>
      <c r="U10" s="147"/>
      <c r="V10" s="149"/>
    </row>
    <row r="11" customFormat="1" spans="1:22">
      <c r="A11" s="109" t="s">
        <v>20</v>
      </c>
      <c r="B11" s="110" t="b">
        <v>1</v>
      </c>
      <c r="C11" s="109" t="s">
        <v>23</v>
      </c>
      <c r="D11" s="111">
        <v>-6</v>
      </c>
      <c r="E11" s="112">
        <v>3</v>
      </c>
      <c r="F11" s="112"/>
      <c r="G11" s="113"/>
      <c r="H11" s="114">
        <v>-10</v>
      </c>
      <c r="I11" s="112">
        <v>10</v>
      </c>
      <c r="J11" s="140"/>
      <c r="K11" s="141">
        <f>C$3+D11</f>
        <v>7</v>
      </c>
      <c r="L11" s="141">
        <f t="shared" ref="L11:Q11" si="0">D$3+E11</f>
        <v>6</v>
      </c>
      <c r="M11" s="141">
        <f t="shared" si="0"/>
        <v>0.5</v>
      </c>
      <c r="N11" s="141">
        <f t="shared" si="0"/>
        <v>50</v>
      </c>
      <c r="O11" s="141">
        <f t="shared" si="0"/>
        <v>70</v>
      </c>
      <c r="P11" s="141">
        <f t="shared" si="0"/>
        <v>20</v>
      </c>
      <c r="Q11" s="141">
        <f t="shared" si="0"/>
        <v>1</v>
      </c>
      <c r="R11" s="150">
        <f>K11*Q11</f>
        <v>7</v>
      </c>
      <c r="S11" s="150">
        <f>P11/L11</f>
        <v>3.33333333333333</v>
      </c>
      <c r="T11" s="150">
        <f>S11+M11</f>
        <v>3.83333333333333</v>
      </c>
      <c r="U11" s="150">
        <f>R11*P11</f>
        <v>140</v>
      </c>
      <c r="V11" s="151">
        <f>U11/T11</f>
        <v>36.5217391304348</v>
      </c>
    </row>
    <row r="12" customFormat="1" spans="1:22">
      <c r="A12" s="115"/>
      <c r="B12" s="12" t="b">
        <v>0</v>
      </c>
      <c r="C12" s="115" t="s">
        <v>24</v>
      </c>
      <c r="D12" s="116">
        <v>5</v>
      </c>
      <c r="E12" s="117"/>
      <c r="F12" s="117"/>
      <c r="G12" s="118"/>
      <c r="H12" s="119"/>
      <c r="I12" s="117">
        <v>-4</v>
      </c>
      <c r="J12" s="141"/>
      <c r="K12" s="141">
        <f>C$3+D12</f>
        <v>18</v>
      </c>
      <c r="L12" s="141">
        <f t="shared" ref="L12:Q12" si="1">D$3+E12</f>
        <v>3</v>
      </c>
      <c r="M12" s="141">
        <f t="shared" si="1"/>
        <v>0.5</v>
      </c>
      <c r="N12" s="141">
        <f t="shared" si="1"/>
        <v>50</v>
      </c>
      <c r="O12" s="141">
        <f t="shared" si="1"/>
        <v>80</v>
      </c>
      <c r="P12" s="141">
        <f t="shared" si="1"/>
        <v>6</v>
      </c>
      <c r="Q12" s="141">
        <f t="shared" si="1"/>
        <v>1</v>
      </c>
      <c r="R12" s="150">
        <f t="shared" ref="R12:R25" si="2">K12*Q12</f>
        <v>18</v>
      </c>
      <c r="S12" s="150">
        <f t="shared" ref="S12:S25" si="3">P12/L12</f>
        <v>2</v>
      </c>
      <c r="T12" s="150">
        <f t="shared" ref="T12:T25" si="4">S12+M12</f>
        <v>2.5</v>
      </c>
      <c r="U12" s="150">
        <f t="shared" ref="U12:U25" si="5">R12*P12</f>
        <v>108</v>
      </c>
      <c r="V12" s="151">
        <f t="shared" ref="V12:V25" si="6">U12/T12</f>
        <v>43.2</v>
      </c>
    </row>
    <row r="13" customFormat="1" customHeight="1" spans="1:33">
      <c r="A13" s="120"/>
      <c r="B13" s="121" t="b">
        <v>0</v>
      </c>
      <c r="C13" s="120" t="s">
        <v>32</v>
      </c>
      <c r="D13" s="122"/>
      <c r="E13" s="123"/>
      <c r="F13" s="123">
        <v>1.5</v>
      </c>
      <c r="G13" s="124"/>
      <c r="H13" s="125">
        <v>10</v>
      </c>
      <c r="I13" s="123"/>
      <c r="J13" s="142"/>
      <c r="K13" s="142">
        <f>C$3+D13</f>
        <v>13</v>
      </c>
      <c r="L13" s="142">
        <f t="shared" ref="L13:Q13" si="7">D$3+E13</f>
        <v>3</v>
      </c>
      <c r="M13" s="142">
        <f t="shared" si="7"/>
        <v>2</v>
      </c>
      <c r="N13" s="142">
        <f t="shared" si="7"/>
        <v>50</v>
      </c>
      <c r="O13" s="142">
        <f t="shared" si="7"/>
        <v>90</v>
      </c>
      <c r="P13" s="142">
        <f t="shared" si="7"/>
        <v>10</v>
      </c>
      <c r="Q13" s="142">
        <f t="shared" si="7"/>
        <v>1</v>
      </c>
      <c r="R13" s="152">
        <f t="shared" si="2"/>
        <v>13</v>
      </c>
      <c r="S13" s="152">
        <f t="shared" si="3"/>
        <v>3.33333333333333</v>
      </c>
      <c r="T13" s="152">
        <f t="shared" si="4"/>
        <v>5.33333333333333</v>
      </c>
      <c r="U13" s="152">
        <f t="shared" si="5"/>
        <v>130</v>
      </c>
      <c r="V13" s="153">
        <f t="shared" si="6"/>
        <v>24.375</v>
      </c>
      <c r="AC13" s="156"/>
      <c r="AD13" s="132"/>
      <c r="AE13" s="132"/>
      <c r="AF13" s="132"/>
      <c r="AG13" s="132"/>
    </row>
    <row r="14" customFormat="1" spans="1:33">
      <c r="A14" s="115" t="s">
        <v>28</v>
      </c>
      <c r="B14" s="12" t="b">
        <v>0</v>
      </c>
      <c r="C14" s="115" t="s">
        <v>30</v>
      </c>
      <c r="D14" s="116"/>
      <c r="E14" s="117"/>
      <c r="F14" s="117"/>
      <c r="G14" s="126"/>
      <c r="H14" s="119"/>
      <c r="I14" s="117"/>
      <c r="J14" s="141"/>
      <c r="K14" s="141">
        <f>C$4+D14</f>
        <v>40</v>
      </c>
      <c r="L14" s="141">
        <f t="shared" ref="L14:Q14" si="8">D$4+E14</f>
        <v>1</v>
      </c>
      <c r="M14" s="141">
        <f t="shared" si="8"/>
        <v>3</v>
      </c>
      <c r="N14" s="141">
        <f t="shared" si="8"/>
        <v>90</v>
      </c>
      <c r="O14" s="141">
        <f t="shared" si="8"/>
        <v>20</v>
      </c>
      <c r="P14" s="141">
        <f t="shared" si="8"/>
        <v>8</v>
      </c>
      <c r="Q14" s="141">
        <f t="shared" si="8"/>
        <v>1</v>
      </c>
      <c r="R14" s="150">
        <f t="shared" si="2"/>
        <v>40</v>
      </c>
      <c r="S14" s="150">
        <f t="shared" si="3"/>
        <v>8</v>
      </c>
      <c r="T14" s="150">
        <f t="shared" si="4"/>
        <v>11</v>
      </c>
      <c r="U14" s="150">
        <f t="shared" si="5"/>
        <v>320</v>
      </c>
      <c r="V14" s="151">
        <f t="shared" si="6"/>
        <v>29.0909090909091</v>
      </c>
      <c r="AB14" s="132"/>
      <c r="AC14" s="132"/>
      <c r="AD14" s="132"/>
      <c r="AE14" s="132"/>
      <c r="AF14" s="132"/>
      <c r="AG14" s="132"/>
    </row>
    <row r="15" customFormat="1" spans="1:32">
      <c r="A15" s="115"/>
      <c r="B15" s="12" t="b">
        <v>0</v>
      </c>
      <c r="C15" s="115" t="s">
        <v>33</v>
      </c>
      <c r="D15" s="116">
        <v>40</v>
      </c>
      <c r="E15" s="117"/>
      <c r="F15" s="117"/>
      <c r="G15" s="118"/>
      <c r="H15" s="119">
        <v>-20</v>
      </c>
      <c r="I15" s="117">
        <v>-6</v>
      </c>
      <c r="J15" s="141"/>
      <c r="K15" s="141">
        <f>C$4+D15</f>
        <v>80</v>
      </c>
      <c r="L15" s="141">
        <f t="shared" ref="L15:Q15" si="9">D$4+E15</f>
        <v>1</v>
      </c>
      <c r="M15" s="141">
        <f t="shared" si="9"/>
        <v>3</v>
      </c>
      <c r="N15" s="141">
        <f t="shared" si="9"/>
        <v>90</v>
      </c>
      <c r="O15" s="141">
        <f t="shared" si="9"/>
        <v>0</v>
      </c>
      <c r="P15" s="141">
        <f t="shared" si="9"/>
        <v>2</v>
      </c>
      <c r="Q15" s="141">
        <f t="shared" si="9"/>
        <v>1</v>
      </c>
      <c r="R15" s="150">
        <f t="shared" si="2"/>
        <v>80</v>
      </c>
      <c r="S15" s="150">
        <f t="shared" si="3"/>
        <v>2</v>
      </c>
      <c r="T15" s="150">
        <f t="shared" si="4"/>
        <v>5</v>
      </c>
      <c r="U15" s="150">
        <f t="shared" si="5"/>
        <v>160</v>
      </c>
      <c r="V15" s="151">
        <f t="shared" si="6"/>
        <v>32</v>
      </c>
      <c r="Y15" s="85"/>
      <c r="Z15" s="156"/>
      <c r="AD15" s="132"/>
      <c r="AF15" s="132"/>
    </row>
    <row r="16" customFormat="1" spans="1:32">
      <c r="A16" s="120"/>
      <c r="B16" s="121" t="b">
        <v>1</v>
      </c>
      <c r="C16" s="120" t="s">
        <v>34</v>
      </c>
      <c r="D16" s="122"/>
      <c r="E16" s="123"/>
      <c r="F16" s="123"/>
      <c r="G16" s="124"/>
      <c r="H16" s="125"/>
      <c r="I16" s="123"/>
      <c r="J16" s="142"/>
      <c r="K16" s="142">
        <f>C$4+D16</f>
        <v>40</v>
      </c>
      <c r="L16" s="142">
        <f t="shared" ref="L16:Q16" si="10">D$4+E16</f>
        <v>1</v>
      </c>
      <c r="M16" s="142">
        <f t="shared" si="10"/>
        <v>3</v>
      </c>
      <c r="N16" s="142">
        <f t="shared" si="10"/>
        <v>90</v>
      </c>
      <c r="O16" s="142">
        <f t="shared" si="10"/>
        <v>20</v>
      </c>
      <c r="P16" s="142">
        <f t="shared" si="10"/>
        <v>8</v>
      </c>
      <c r="Q16" s="142">
        <f t="shared" si="10"/>
        <v>1</v>
      </c>
      <c r="R16" s="152">
        <f t="shared" si="2"/>
        <v>40</v>
      </c>
      <c r="S16" s="152">
        <f t="shared" si="3"/>
        <v>8</v>
      </c>
      <c r="T16" s="152">
        <f t="shared" si="4"/>
        <v>11</v>
      </c>
      <c r="U16" s="152">
        <f t="shared" si="5"/>
        <v>320</v>
      </c>
      <c r="V16" s="153">
        <f t="shared" si="6"/>
        <v>29.0909090909091</v>
      </c>
      <c r="Y16" s="85"/>
      <c r="AD16" s="132"/>
      <c r="AF16" s="132"/>
    </row>
    <row r="17" customFormat="1" spans="1:25">
      <c r="A17" s="115" t="s">
        <v>35</v>
      </c>
      <c r="B17" s="12" t="b">
        <v>0</v>
      </c>
      <c r="C17" s="115" t="s">
        <v>37</v>
      </c>
      <c r="D17" s="116">
        <v>-4</v>
      </c>
      <c r="E17" s="117"/>
      <c r="F17" s="117"/>
      <c r="G17" s="118"/>
      <c r="H17" s="119"/>
      <c r="I17" s="117"/>
      <c r="J17" s="141">
        <v>15</v>
      </c>
      <c r="K17" s="141">
        <f>C$5+D17</f>
        <v>4</v>
      </c>
      <c r="L17" s="141">
        <f t="shared" ref="L17:Q17" si="11">D$5+E17</f>
        <v>1.5</v>
      </c>
      <c r="M17" s="141">
        <f t="shared" si="11"/>
        <v>2.5</v>
      </c>
      <c r="N17" s="141">
        <f t="shared" si="11"/>
        <v>20</v>
      </c>
      <c r="O17" s="141">
        <f t="shared" si="11"/>
        <v>50</v>
      </c>
      <c r="P17" s="141">
        <f t="shared" si="11"/>
        <v>5</v>
      </c>
      <c r="Q17" s="141">
        <f t="shared" si="11"/>
        <v>20</v>
      </c>
      <c r="R17" s="150">
        <f t="shared" si="2"/>
        <v>80</v>
      </c>
      <c r="S17" s="150">
        <f t="shared" si="3"/>
        <v>3.33333333333333</v>
      </c>
      <c r="T17" s="150">
        <f t="shared" si="4"/>
        <v>5.83333333333333</v>
      </c>
      <c r="U17" s="150">
        <f t="shared" si="5"/>
        <v>400</v>
      </c>
      <c r="V17" s="151">
        <f t="shared" si="6"/>
        <v>68.5714285714286</v>
      </c>
      <c r="Y17" s="132"/>
    </row>
    <row r="18" customFormat="1" spans="1:30">
      <c r="A18" s="115"/>
      <c r="B18" s="12" t="b">
        <v>1</v>
      </c>
      <c r="C18" s="115" t="s">
        <v>39</v>
      </c>
      <c r="D18" s="116">
        <v>5</v>
      </c>
      <c r="E18" s="117"/>
      <c r="F18" s="117"/>
      <c r="G18" s="118"/>
      <c r="H18" s="119">
        <v>-25</v>
      </c>
      <c r="I18" s="117">
        <v>5</v>
      </c>
      <c r="J18" s="141"/>
      <c r="K18" s="141">
        <f>C$5+D18</f>
        <v>13</v>
      </c>
      <c r="L18" s="141">
        <f t="shared" ref="L18:Q18" si="12">D$5+E18</f>
        <v>1.5</v>
      </c>
      <c r="M18" s="141">
        <f t="shared" si="12"/>
        <v>2.5</v>
      </c>
      <c r="N18" s="141">
        <f t="shared" si="12"/>
        <v>20</v>
      </c>
      <c r="O18" s="141">
        <f t="shared" si="12"/>
        <v>25</v>
      </c>
      <c r="P18" s="141">
        <f t="shared" si="12"/>
        <v>10</v>
      </c>
      <c r="Q18" s="141">
        <f t="shared" si="12"/>
        <v>5</v>
      </c>
      <c r="R18" s="150">
        <f t="shared" si="2"/>
        <v>65</v>
      </c>
      <c r="S18" s="150">
        <f t="shared" si="3"/>
        <v>6.66666666666667</v>
      </c>
      <c r="T18" s="150">
        <f t="shared" si="4"/>
        <v>9.16666666666667</v>
      </c>
      <c r="U18" s="150">
        <f t="shared" si="5"/>
        <v>650</v>
      </c>
      <c r="V18" s="151">
        <f t="shared" si="6"/>
        <v>70.9090909090909</v>
      </c>
      <c r="Y18" s="132"/>
      <c r="AD18" s="132"/>
    </row>
    <row r="19" customFormat="1" spans="1:30">
      <c r="A19" s="120"/>
      <c r="B19" s="121" t="b">
        <v>1</v>
      </c>
      <c r="C19" s="120" t="s">
        <v>40</v>
      </c>
      <c r="D19" s="122"/>
      <c r="E19" s="123">
        <v>1.5</v>
      </c>
      <c r="F19" s="123"/>
      <c r="G19" s="124"/>
      <c r="H19" s="125"/>
      <c r="I19" s="123"/>
      <c r="J19" s="142">
        <v>3</v>
      </c>
      <c r="K19" s="142">
        <f>C$5+D19</f>
        <v>8</v>
      </c>
      <c r="L19" s="142">
        <f t="shared" ref="L19:Q19" si="13">D$5+E19</f>
        <v>3</v>
      </c>
      <c r="M19" s="142">
        <f t="shared" si="13"/>
        <v>2.5</v>
      </c>
      <c r="N19" s="142">
        <f t="shared" si="13"/>
        <v>20</v>
      </c>
      <c r="O19" s="142">
        <f t="shared" si="13"/>
        <v>50</v>
      </c>
      <c r="P19" s="142">
        <f t="shared" si="13"/>
        <v>5</v>
      </c>
      <c r="Q19" s="142">
        <f t="shared" si="13"/>
        <v>8</v>
      </c>
      <c r="R19" s="152">
        <f t="shared" si="2"/>
        <v>64</v>
      </c>
      <c r="S19" s="152">
        <f t="shared" si="3"/>
        <v>1.66666666666667</v>
      </c>
      <c r="T19" s="152">
        <f t="shared" si="4"/>
        <v>4.16666666666667</v>
      </c>
      <c r="U19" s="152">
        <f t="shared" si="5"/>
        <v>320</v>
      </c>
      <c r="V19" s="153">
        <f t="shared" si="6"/>
        <v>76.8</v>
      </c>
      <c r="AD19" s="132"/>
    </row>
    <row r="20" customFormat="1" spans="1:25">
      <c r="A20" s="115" t="s">
        <v>42</v>
      </c>
      <c r="B20" s="12" t="b">
        <v>1</v>
      </c>
      <c r="C20" s="115" t="s">
        <v>51</v>
      </c>
      <c r="D20" s="116">
        <v>2</v>
      </c>
      <c r="E20" s="117"/>
      <c r="F20" s="117"/>
      <c r="G20" s="126"/>
      <c r="H20" s="119"/>
      <c r="I20" s="117"/>
      <c r="J20" s="141"/>
      <c r="K20" s="141">
        <f>C$6+D20</f>
        <v>6</v>
      </c>
      <c r="L20" s="141">
        <f t="shared" ref="L20:Q20" si="14">D$6+E20</f>
        <v>10</v>
      </c>
      <c r="M20" s="141">
        <f t="shared" si="14"/>
        <v>1</v>
      </c>
      <c r="N20" s="141">
        <f t="shared" si="14"/>
        <v>30</v>
      </c>
      <c r="O20" s="141">
        <f t="shared" si="14"/>
        <v>98</v>
      </c>
      <c r="P20" s="141">
        <f t="shared" si="14"/>
        <v>30</v>
      </c>
      <c r="Q20" s="141">
        <f t="shared" si="14"/>
        <v>1</v>
      </c>
      <c r="R20" s="150">
        <f t="shared" si="2"/>
        <v>6</v>
      </c>
      <c r="S20" s="150">
        <f t="shared" si="3"/>
        <v>3</v>
      </c>
      <c r="T20" s="150">
        <f t="shared" si="4"/>
        <v>4</v>
      </c>
      <c r="U20" s="150">
        <f t="shared" si="5"/>
        <v>180</v>
      </c>
      <c r="V20" s="151">
        <f t="shared" si="6"/>
        <v>45</v>
      </c>
      <c r="Y20" s="132"/>
    </row>
    <row r="21" customFormat="1" spans="1:22">
      <c r="A21" s="115"/>
      <c r="B21" s="127" t="b">
        <v>1</v>
      </c>
      <c r="C21" s="115" t="s">
        <v>45</v>
      </c>
      <c r="D21" s="116"/>
      <c r="E21" s="117">
        <v>7</v>
      </c>
      <c r="F21" s="117"/>
      <c r="G21" s="118"/>
      <c r="H21" s="119">
        <v>-3</v>
      </c>
      <c r="I21" s="117">
        <v>10</v>
      </c>
      <c r="J21" s="141"/>
      <c r="K21" s="141">
        <f>C$6+D21</f>
        <v>4</v>
      </c>
      <c r="L21" s="141">
        <f t="shared" ref="L21:Q21" si="15">D$6+E21</f>
        <v>17</v>
      </c>
      <c r="M21" s="141">
        <f t="shared" si="15"/>
        <v>1</v>
      </c>
      <c r="N21" s="141">
        <f t="shared" si="15"/>
        <v>30</v>
      </c>
      <c r="O21" s="141">
        <f t="shared" si="15"/>
        <v>95</v>
      </c>
      <c r="P21" s="141">
        <f t="shared" si="15"/>
        <v>40</v>
      </c>
      <c r="Q21" s="141">
        <f t="shared" si="15"/>
        <v>1</v>
      </c>
      <c r="R21" s="150">
        <f t="shared" si="2"/>
        <v>4</v>
      </c>
      <c r="S21" s="150">
        <f t="shared" si="3"/>
        <v>2.35294117647059</v>
      </c>
      <c r="T21" s="150">
        <f t="shared" si="4"/>
        <v>3.35294117647059</v>
      </c>
      <c r="U21" s="150">
        <f t="shared" si="5"/>
        <v>160</v>
      </c>
      <c r="V21" s="151">
        <f t="shared" si="6"/>
        <v>47.719298245614</v>
      </c>
    </row>
    <row r="22" customFormat="1" spans="1:25">
      <c r="A22" s="120"/>
      <c r="B22" s="128" t="b">
        <v>1</v>
      </c>
      <c r="C22" s="120" t="s">
        <v>52</v>
      </c>
      <c r="D22" s="122"/>
      <c r="E22" s="123"/>
      <c r="F22" s="123"/>
      <c r="G22" s="124"/>
      <c r="H22" s="125"/>
      <c r="I22" s="123">
        <v>-10</v>
      </c>
      <c r="J22" s="142">
        <v>1</v>
      </c>
      <c r="K22" s="142">
        <f>C$6+D22</f>
        <v>4</v>
      </c>
      <c r="L22" s="142">
        <f t="shared" ref="L22:Q22" si="16">D$6+E22</f>
        <v>10</v>
      </c>
      <c r="M22" s="142">
        <f t="shared" si="16"/>
        <v>1</v>
      </c>
      <c r="N22" s="142">
        <f t="shared" si="16"/>
        <v>30</v>
      </c>
      <c r="O22" s="142">
        <f t="shared" si="16"/>
        <v>98</v>
      </c>
      <c r="P22" s="142">
        <f t="shared" si="16"/>
        <v>20</v>
      </c>
      <c r="Q22" s="142">
        <f t="shared" si="16"/>
        <v>2</v>
      </c>
      <c r="R22" s="152">
        <f t="shared" si="2"/>
        <v>8</v>
      </c>
      <c r="S22" s="152">
        <f t="shared" si="3"/>
        <v>2</v>
      </c>
      <c r="T22" s="152">
        <f t="shared" si="4"/>
        <v>3</v>
      </c>
      <c r="U22" s="152">
        <f t="shared" si="5"/>
        <v>160</v>
      </c>
      <c r="V22" s="153">
        <f t="shared" si="6"/>
        <v>53.3333333333333</v>
      </c>
      <c r="Y22" s="132"/>
    </row>
    <row r="23" s="95" customFormat="1" spans="1:33">
      <c r="A23" s="115" t="s">
        <v>49</v>
      </c>
      <c r="B23" s="12" t="b">
        <v>1</v>
      </c>
      <c r="C23" s="115" t="s">
        <v>58</v>
      </c>
      <c r="D23" s="116"/>
      <c r="E23" s="117"/>
      <c r="F23" s="117"/>
      <c r="G23" s="126"/>
      <c r="H23" s="119">
        <v>5</v>
      </c>
      <c r="I23" s="117">
        <v>10</v>
      </c>
      <c r="J23" s="141"/>
      <c r="K23" s="141">
        <f>C$7+D23</f>
        <v>12</v>
      </c>
      <c r="L23" s="141">
        <f t="shared" ref="L23:Q23" si="17">D$7+E23</f>
        <v>5</v>
      </c>
      <c r="M23" s="141">
        <f t="shared" si="17"/>
        <v>5</v>
      </c>
      <c r="N23" s="141">
        <f t="shared" si="17"/>
        <v>40</v>
      </c>
      <c r="O23" s="141">
        <f t="shared" si="17"/>
        <v>95</v>
      </c>
      <c r="P23" s="141">
        <f t="shared" si="17"/>
        <v>70</v>
      </c>
      <c r="Q23" s="141">
        <f t="shared" si="17"/>
        <v>1</v>
      </c>
      <c r="R23" s="150">
        <f t="shared" si="2"/>
        <v>12</v>
      </c>
      <c r="S23" s="150">
        <f t="shared" si="3"/>
        <v>14</v>
      </c>
      <c r="T23" s="150">
        <f t="shared" si="4"/>
        <v>19</v>
      </c>
      <c r="U23" s="150">
        <f t="shared" si="5"/>
        <v>840</v>
      </c>
      <c r="V23" s="151">
        <f t="shared" si="6"/>
        <v>44.2105263157895</v>
      </c>
      <c r="W23" s="2"/>
      <c r="X23" s="2"/>
      <c r="Y23" s="132"/>
      <c r="Z23" s="2"/>
      <c r="AA23" s="2"/>
      <c r="AB23" s="2"/>
      <c r="AC23" s="2"/>
      <c r="AD23" s="2"/>
      <c r="AE23" s="2"/>
      <c r="AF23" s="2"/>
      <c r="AG23" s="2"/>
    </row>
    <row r="24" customFormat="1" spans="1:22">
      <c r="A24" s="115"/>
      <c r="B24" s="127" t="b">
        <v>1</v>
      </c>
      <c r="C24" s="115" t="s">
        <v>53</v>
      </c>
      <c r="D24" s="116">
        <v>6</v>
      </c>
      <c r="E24" s="117"/>
      <c r="F24" s="117">
        <v>2</v>
      </c>
      <c r="G24" s="118"/>
      <c r="H24" s="119"/>
      <c r="I24" s="117"/>
      <c r="J24" s="141"/>
      <c r="K24" s="141">
        <f>C$7+D24</f>
        <v>18</v>
      </c>
      <c r="L24" s="141">
        <f t="shared" ref="L24:Q24" si="18">D$7+E24</f>
        <v>5</v>
      </c>
      <c r="M24" s="141">
        <f t="shared" si="18"/>
        <v>7</v>
      </c>
      <c r="N24" s="141">
        <f t="shared" si="18"/>
        <v>40</v>
      </c>
      <c r="O24" s="141">
        <f t="shared" si="18"/>
        <v>90</v>
      </c>
      <c r="P24" s="141">
        <f t="shared" si="18"/>
        <v>60</v>
      </c>
      <c r="Q24" s="141">
        <f t="shared" si="18"/>
        <v>1</v>
      </c>
      <c r="R24" s="150">
        <f t="shared" si="2"/>
        <v>18</v>
      </c>
      <c r="S24" s="150">
        <f t="shared" si="3"/>
        <v>12</v>
      </c>
      <c r="T24" s="150">
        <f t="shared" si="4"/>
        <v>19</v>
      </c>
      <c r="U24" s="150">
        <f t="shared" si="5"/>
        <v>1080</v>
      </c>
      <c r="V24" s="151">
        <f t="shared" si="6"/>
        <v>56.8421052631579</v>
      </c>
    </row>
    <row r="25" s="96" customFormat="1" spans="1:33">
      <c r="A25" s="115"/>
      <c r="B25" s="127" t="b">
        <v>1</v>
      </c>
      <c r="C25" s="115" t="s">
        <v>54</v>
      </c>
      <c r="D25" s="116"/>
      <c r="E25" s="117">
        <v>5</v>
      </c>
      <c r="F25" s="117"/>
      <c r="G25" s="126"/>
      <c r="H25" s="119"/>
      <c r="I25" s="117">
        <v>-10</v>
      </c>
      <c r="J25" s="141"/>
      <c r="K25" s="141">
        <f>C$7+D25</f>
        <v>12</v>
      </c>
      <c r="L25" s="141">
        <f t="shared" ref="L25:Q25" si="19">D$7+E25</f>
        <v>10</v>
      </c>
      <c r="M25" s="141">
        <f t="shared" si="19"/>
        <v>5</v>
      </c>
      <c r="N25" s="143">
        <f t="shared" si="19"/>
        <v>40</v>
      </c>
      <c r="O25" s="143">
        <f t="shared" si="19"/>
        <v>90</v>
      </c>
      <c r="P25" s="143">
        <f t="shared" si="19"/>
        <v>50</v>
      </c>
      <c r="Q25" s="143">
        <f t="shared" si="19"/>
        <v>1</v>
      </c>
      <c r="R25" s="154">
        <f t="shared" si="2"/>
        <v>12</v>
      </c>
      <c r="S25" s="154">
        <f t="shared" si="3"/>
        <v>5</v>
      </c>
      <c r="T25" s="154">
        <f t="shared" si="4"/>
        <v>10</v>
      </c>
      <c r="U25" s="154">
        <f t="shared" si="5"/>
        <v>600</v>
      </c>
      <c r="V25" s="155">
        <f t="shared" si="6"/>
        <v>60</v>
      </c>
      <c r="W25" s="2"/>
      <c r="X25" s="2"/>
      <c r="Y25" s="132"/>
      <c r="Z25" s="2"/>
      <c r="AA25" s="2"/>
      <c r="AB25" s="2"/>
      <c r="AC25" s="2"/>
      <c r="AD25" s="2"/>
      <c r="AE25" s="2"/>
      <c r="AF25" s="2"/>
      <c r="AG25" s="2"/>
    </row>
    <row r="26" customFormat="1" spans="2:2">
      <c r="B26" s="85"/>
    </row>
    <row r="33" spans="3:3">
      <c r="C33" t="s">
        <v>115</v>
      </c>
    </row>
    <row r="34" spans="4:4">
      <c r="D34" t="s">
        <v>116</v>
      </c>
    </row>
    <row r="35" spans="4:4">
      <c r="D35" t="s">
        <v>117</v>
      </c>
    </row>
    <row r="36" spans="4:4">
      <c r="D36" t="s">
        <v>118</v>
      </c>
    </row>
    <row r="38" spans="3:3">
      <c r="C38" t="s">
        <v>119</v>
      </c>
    </row>
    <row r="39" spans="4:4">
      <c r="D39" t="s">
        <v>120</v>
      </c>
    </row>
    <row r="40" spans="4:4">
      <c r="D40" t="s">
        <v>121</v>
      </c>
    </row>
    <row r="41" spans="4:4">
      <c r="D41" t="s">
        <v>122</v>
      </c>
    </row>
    <row r="43" spans="3:3">
      <c r="C43" t="s">
        <v>123</v>
      </c>
    </row>
    <row r="44" spans="4:4">
      <c r="D44" t="s">
        <v>124</v>
      </c>
    </row>
    <row r="45" spans="4:4">
      <c r="D45" t="s">
        <v>122</v>
      </c>
    </row>
    <row r="46" spans="4:4">
      <c r="D46" t="s">
        <v>125</v>
      </c>
    </row>
    <row r="48" spans="3:3">
      <c r="C48" t="s">
        <v>126</v>
      </c>
    </row>
    <row r="49" spans="4:4">
      <c r="D49" t="s">
        <v>127</v>
      </c>
    </row>
    <row r="50" spans="4:4">
      <c r="D50" t="s">
        <v>128</v>
      </c>
    </row>
    <row r="51" spans="4:4">
      <c r="D51" t="s">
        <v>129</v>
      </c>
    </row>
    <row r="53" spans="3:3">
      <c r="C53" t="s">
        <v>130</v>
      </c>
    </row>
    <row r="54" spans="4:4">
      <c r="D54" t="s">
        <v>131</v>
      </c>
    </row>
    <row r="55" spans="4:4">
      <c r="D55" t="s">
        <v>122</v>
      </c>
    </row>
    <row r="56" spans="4:4">
      <c r="D56" t="s">
        <v>132</v>
      </c>
    </row>
  </sheetData>
  <mergeCells count="31">
    <mergeCell ref="D9:J9"/>
    <mergeCell ref="A1:A2"/>
    <mergeCell ref="A9:A10"/>
    <mergeCell ref="A11:A13"/>
    <mergeCell ref="A14:A16"/>
    <mergeCell ref="A17:A19"/>
    <mergeCell ref="A20:A22"/>
    <mergeCell ref="A23:A25"/>
    <mergeCell ref="B1:B2"/>
    <mergeCell ref="B9:B10"/>
    <mergeCell ref="C1:C2"/>
    <mergeCell ref="C9:C10"/>
    <mergeCell ref="D1:D2"/>
    <mergeCell ref="E1:E2"/>
    <mergeCell ref="F1:F2"/>
    <mergeCell ref="G1:G2"/>
    <mergeCell ref="H1:H2"/>
    <mergeCell ref="I1:I2"/>
    <mergeCell ref="J1:J2"/>
    <mergeCell ref="K9:K10"/>
    <mergeCell ref="L9:L10"/>
    <mergeCell ref="M9:M10"/>
    <mergeCell ref="N9:N10"/>
    <mergeCell ref="O9:O10"/>
    <mergeCell ref="P9:P10"/>
    <mergeCell ref="Q9:Q10"/>
    <mergeCell ref="R9:R10"/>
    <mergeCell ref="S9:S10"/>
    <mergeCell ref="T9:T10"/>
    <mergeCell ref="U9:U10"/>
    <mergeCell ref="V9:V10"/>
  </mergeCell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workbookViewId="0">
      <selection activeCell="I42" sqref="I42"/>
    </sheetView>
  </sheetViews>
  <sheetFormatPr defaultColWidth="9.14285714285714" defaultRowHeight="15"/>
  <cols>
    <col min="1" max="3" width="12.7142857142857" customWidth="1"/>
    <col min="4" max="4" width="13.5714285714286" customWidth="1"/>
    <col min="5" max="5" width="9.42857142857143" customWidth="1"/>
    <col min="6" max="6" width="7.14285714285714" customWidth="1"/>
    <col min="20" max="20" width="16.7142857142857" customWidth="1"/>
  </cols>
  <sheetData>
    <row r="1" spans="1:13">
      <c r="A1" s="86" t="s">
        <v>133</v>
      </c>
      <c r="B1" s="76" t="s">
        <v>134</v>
      </c>
      <c r="C1" s="76" t="s">
        <v>0</v>
      </c>
      <c r="D1" s="76" t="s">
        <v>135</v>
      </c>
      <c r="E1" s="76" t="s">
        <v>136</v>
      </c>
      <c r="F1" s="76" t="s">
        <v>137</v>
      </c>
      <c r="G1" s="76" t="s">
        <v>138</v>
      </c>
      <c r="H1" s="76" t="s">
        <v>139</v>
      </c>
      <c r="I1" s="76" t="s">
        <v>140</v>
      </c>
      <c r="J1" s="76"/>
      <c r="K1" s="76"/>
      <c r="L1" s="76"/>
      <c r="M1" s="76"/>
    </row>
    <row r="2" spans="1:13">
      <c r="A2" s="86"/>
      <c r="B2" s="86"/>
      <c r="C2" s="86"/>
      <c r="D2" s="76"/>
      <c r="E2" s="76"/>
      <c r="F2" s="76"/>
      <c r="G2" s="76"/>
      <c r="H2" s="76"/>
      <c r="I2" s="76" t="s">
        <v>141</v>
      </c>
      <c r="J2" s="76" t="s">
        <v>142</v>
      </c>
      <c r="K2" s="76" t="s">
        <v>143</v>
      </c>
      <c r="L2" s="76" t="s">
        <v>144</v>
      </c>
      <c r="M2" s="76" t="s">
        <v>145</v>
      </c>
    </row>
    <row r="3" spans="1:13">
      <c r="A3" s="87" t="s">
        <v>146</v>
      </c>
      <c r="B3" s="88"/>
      <c r="C3" s="88" t="s">
        <v>147</v>
      </c>
      <c r="D3" s="89">
        <v>-5</v>
      </c>
      <c r="E3" s="89">
        <v>-1</v>
      </c>
      <c r="F3" s="89">
        <v>1</v>
      </c>
      <c r="G3" s="89">
        <v>0</v>
      </c>
      <c r="H3" s="89">
        <v>2</v>
      </c>
      <c r="I3" s="94">
        <v>0.3</v>
      </c>
      <c r="J3" s="94"/>
      <c r="K3" s="94"/>
      <c r="L3" s="94"/>
      <c r="M3" s="94">
        <v>1</v>
      </c>
    </row>
    <row r="4" spans="1:13">
      <c r="A4" s="87" t="s">
        <v>141</v>
      </c>
      <c r="B4" s="88"/>
      <c r="C4" s="88" t="s">
        <v>147</v>
      </c>
      <c r="D4" s="89">
        <v>-5</v>
      </c>
      <c r="E4" s="89">
        <v>-2</v>
      </c>
      <c r="F4" s="89">
        <v>2</v>
      </c>
      <c r="G4" s="89">
        <v>0</v>
      </c>
      <c r="H4" s="89">
        <v>2</v>
      </c>
      <c r="I4" s="94">
        <v>0.7</v>
      </c>
      <c r="J4" s="94"/>
      <c r="K4" s="94"/>
      <c r="L4" s="94"/>
      <c r="M4" s="94">
        <v>0.8</v>
      </c>
    </row>
    <row r="5" spans="1:13">
      <c r="A5" s="87" t="s">
        <v>148</v>
      </c>
      <c r="B5" s="88"/>
      <c r="C5" s="88" t="s">
        <v>147</v>
      </c>
      <c r="D5" s="89">
        <v>-5</v>
      </c>
      <c r="E5" s="89">
        <v>-3</v>
      </c>
      <c r="F5" s="89">
        <v>3</v>
      </c>
      <c r="G5" s="89">
        <v>0</v>
      </c>
      <c r="H5" s="89">
        <v>2</v>
      </c>
      <c r="I5" s="94">
        <v>1</v>
      </c>
      <c r="J5" s="94"/>
      <c r="K5" s="94"/>
      <c r="L5" s="94"/>
      <c r="M5" s="94">
        <v>0.6</v>
      </c>
    </row>
    <row r="6" spans="1:13">
      <c r="A6" s="87" t="s">
        <v>149</v>
      </c>
      <c r="B6" s="88"/>
      <c r="C6" s="88" t="s">
        <v>147</v>
      </c>
      <c r="D6" s="89">
        <v>0</v>
      </c>
      <c r="E6" s="89">
        <v>-2</v>
      </c>
      <c r="F6" s="89">
        <v>0</v>
      </c>
      <c r="G6" s="89">
        <v>0</v>
      </c>
      <c r="H6" s="89">
        <v>2</v>
      </c>
      <c r="I6" s="94"/>
      <c r="J6" s="94">
        <v>0.3</v>
      </c>
      <c r="K6" s="94"/>
      <c r="L6" s="94"/>
      <c r="M6" s="94">
        <v>1</v>
      </c>
    </row>
    <row r="7" spans="1:13">
      <c r="A7" s="87" t="s">
        <v>150</v>
      </c>
      <c r="B7" s="88"/>
      <c r="C7" s="88" t="s">
        <v>147</v>
      </c>
      <c r="D7" s="89">
        <v>-5</v>
      </c>
      <c r="E7" s="89">
        <v>-3</v>
      </c>
      <c r="F7" s="89">
        <v>0</v>
      </c>
      <c r="G7" s="89">
        <v>0</v>
      </c>
      <c r="H7" s="89">
        <v>2</v>
      </c>
      <c r="I7" s="94"/>
      <c r="J7" s="94">
        <v>0.7</v>
      </c>
      <c r="K7" s="94"/>
      <c r="L7" s="94"/>
      <c r="M7" s="94">
        <v>0.8</v>
      </c>
    </row>
    <row r="8" customHeight="1" spans="1:13">
      <c r="A8" s="87" t="s">
        <v>142</v>
      </c>
      <c r="B8" s="88"/>
      <c r="C8" s="88" t="s">
        <v>147</v>
      </c>
      <c r="D8" s="89">
        <v>-5</v>
      </c>
      <c r="E8" s="89">
        <v>-4</v>
      </c>
      <c r="F8" s="89">
        <v>1</v>
      </c>
      <c r="G8" s="89">
        <v>0</v>
      </c>
      <c r="H8" s="89">
        <v>2</v>
      </c>
      <c r="I8" s="94"/>
      <c r="J8" s="94">
        <v>1</v>
      </c>
      <c r="K8" s="94"/>
      <c r="L8" s="94"/>
      <c r="M8" s="94">
        <v>0.6</v>
      </c>
    </row>
    <row r="9" spans="1:13">
      <c r="A9" s="87" t="s">
        <v>151</v>
      </c>
      <c r="B9" s="88"/>
      <c r="C9" s="88" t="s">
        <v>147</v>
      </c>
      <c r="D9" s="89">
        <v>5</v>
      </c>
      <c r="E9" s="89">
        <v>0</v>
      </c>
      <c r="F9" s="89">
        <v>0</v>
      </c>
      <c r="G9" s="89">
        <v>1</v>
      </c>
      <c r="H9" s="89">
        <v>2</v>
      </c>
      <c r="I9" s="94"/>
      <c r="J9" s="94"/>
      <c r="K9" s="94"/>
      <c r="L9" s="94"/>
      <c r="M9" s="94">
        <v>1</v>
      </c>
    </row>
    <row r="10" spans="1:13">
      <c r="A10" s="87" t="s">
        <v>152</v>
      </c>
      <c r="B10" s="88"/>
      <c r="C10" s="88" t="s">
        <v>147</v>
      </c>
      <c r="D10" s="89">
        <v>0</v>
      </c>
      <c r="E10" s="89">
        <v>0</v>
      </c>
      <c r="F10" s="89">
        <v>0</v>
      </c>
      <c r="G10" s="89">
        <v>1</v>
      </c>
      <c r="H10" s="89">
        <v>2</v>
      </c>
      <c r="I10" s="94"/>
      <c r="J10" s="94"/>
      <c r="K10" s="94">
        <v>0.2</v>
      </c>
      <c r="L10" s="94"/>
      <c r="M10" s="94">
        <v>0.8</v>
      </c>
    </row>
    <row r="11" spans="1:13">
      <c r="A11" s="87" t="s">
        <v>153</v>
      </c>
      <c r="B11" s="88"/>
      <c r="C11" s="88" t="s">
        <v>147</v>
      </c>
      <c r="D11" s="89">
        <v>0</v>
      </c>
      <c r="E11" s="89">
        <v>0</v>
      </c>
      <c r="F11" s="89">
        <v>0</v>
      </c>
      <c r="G11" s="89">
        <v>1</v>
      </c>
      <c r="H11" s="89">
        <v>2</v>
      </c>
      <c r="I11" s="94"/>
      <c r="J11" s="94"/>
      <c r="K11" s="94">
        <v>0.4</v>
      </c>
      <c r="L11" s="94"/>
      <c r="M11" s="94">
        <v>0.6</v>
      </c>
    </row>
    <row r="12" spans="1:13">
      <c r="A12" s="87" t="s">
        <v>144</v>
      </c>
      <c r="B12" s="88"/>
      <c r="C12" s="88" t="s">
        <v>147</v>
      </c>
      <c r="D12" s="89">
        <v>-10</v>
      </c>
      <c r="E12" s="89">
        <v>-1</v>
      </c>
      <c r="F12" s="89">
        <v>1</v>
      </c>
      <c r="G12" s="89">
        <v>0</v>
      </c>
      <c r="H12" s="89">
        <v>1</v>
      </c>
      <c r="I12" s="94"/>
      <c r="J12" s="94"/>
      <c r="K12" s="94"/>
      <c r="L12" s="94">
        <v>1</v>
      </c>
      <c r="M12" s="94">
        <v>0.6</v>
      </c>
    </row>
    <row r="13" customHeight="1" spans="1:14">
      <c r="A13" s="87" t="s">
        <v>154</v>
      </c>
      <c r="B13" s="88"/>
      <c r="C13" s="88" t="s">
        <v>155</v>
      </c>
      <c r="D13" s="89">
        <v>5</v>
      </c>
      <c r="E13" s="89">
        <v>-4</v>
      </c>
      <c r="F13" s="89">
        <v>0</v>
      </c>
      <c r="G13" s="89">
        <v>-1</v>
      </c>
      <c r="H13" s="89">
        <v>6</v>
      </c>
      <c r="I13" s="94"/>
      <c r="J13" s="94"/>
      <c r="K13" s="94">
        <v>1</v>
      </c>
      <c r="L13" s="94"/>
      <c r="M13" s="94">
        <v>0.4</v>
      </c>
      <c r="N13" s="32"/>
    </row>
    <row r="14" spans="1:14">
      <c r="A14" s="87" t="s">
        <v>156</v>
      </c>
      <c r="B14" s="88"/>
      <c r="C14" s="88" t="s">
        <v>155</v>
      </c>
      <c r="D14" s="89">
        <v>0</v>
      </c>
      <c r="E14" s="89">
        <v>0</v>
      </c>
      <c r="F14" s="89">
        <v>0</v>
      </c>
      <c r="G14" s="89">
        <v>0</v>
      </c>
      <c r="H14" s="89">
        <v>1</v>
      </c>
      <c r="I14" s="94">
        <v>0.5</v>
      </c>
      <c r="J14" s="94"/>
      <c r="K14" s="94"/>
      <c r="L14" s="94">
        <v>0.2</v>
      </c>
      <c r="M14" s="94">
        <v>0.4</v>
      </c>
      <c r="N14" s="32"/>
    </row>
    <row r="15" spans="1:14">
      <c r="A15" s="87" t="s">
        <v>157</v>
      </c>
      <c r="B15" s="88"/>
      <c r="C15" s="88" t="s">
        <v>155</v>
      </c>
      <c r="D15" s="89">
        <v>10</v>
      </c>
      <c r="E15" s="89">
        <v>0</v>
      </c>
      <c r="F15" s="89">
        <v>-2</v>
      </c>
      <c r="G15" s="89">
        <v>0</v>
      </c>
      <c r="H15" s="89">
        <v>3</v>
      </c>
      <c r="I15" s="94"/>
      <c r="J15" s="94"/>
      <c r="K15" s="94">
        <v>0.5</v>
      </c>
      <c r="L15" s="94"/>
      <c r="M15" s="94">
        <v>1</v>
      </c>
      <c r="N15" s="32"/>
    </row>
    <row r="16" spans="1:14">
      <c r="A16" s="87" t="s">
        <v>158</v>
      </c>
      <c r="B16" s="88"/>
      <c r="C16" s="88" t="s">
        <v>155</v>
      </c>
      <c r="D16" s="89">
        <v>20</v>
      </c>
      <c r="E16" s="89">
        <v>0</v>
      </c>
      <c r="F16" s="89">
        <v>-3</v>
      </c>
      <c r="G16" s="89">
        <v>-2</v>
      </c>
      <c r="H16" s="89">
        <v>3</v>
      </c>
      <c r="I16" s="94"/>
      <c r="J16" s="94"/>
      <c r="K16" s="94">
        <v>0.4</v>
      </c>
      <c r="L16" s="94"/>
      <c r="M16" s="94">
        <v>1</v>
      </c>
      <c r="N16" s="32"/>
    </row>
    <row r="17" spans="1:14">
      <c r="A17" s="87" t="s">
        <v>159</v>
      </c>
      <c r="B17" s="88"/>
      <c r="C17" s="88" t="s">
        <v>155</v>
      </c>
      <c r="D17" s="89">
        <v>-20</v>
      </c>
      <c r="E17" s="89">
        <v>-1</v>
      </c>
      <c r="F17" s="89">
        <v>0</v>
      </c>
      <c r="G17" s="89">
        <v>-2</v>
      </c>
      <c r="H17" s="89">
        <v>3</v>
      </c>
      <c r="I17" s="94"/>
      <c r="J17" s="94"/>
      <c r="K17" s="94"/>
      <c r="L17" s="94">
        <v>1</v>
      </c>
      <c r="M17" s="94">
        <v>0.6</v>
      </c>
      <c r="N17" s="32"/>
    </row>
    <row r="18" spans="1:14">
      <c r="A18" s="87" t="s">
        <v>160</v>
      </c>
      <c r="B18" s="88"/>
      <c r="C18" s="88" t="s">
        <v>155</v>
      </c>
      <c r="D18" s="89">
        <v>-5</v>
      </c>
      <c r="E18" s="89">
        <v>-2</v>
      </c>
      <c r="F18" s="89">
        <v>2</v>
      </c>
      <c r="G18" s="89">
        <v>-3</v>
      </c>
      <c r="H18" s="89">
        <v>2</v>
      </c>
      <c r="I18" s="94">
        <v>0.5</v>
      </c>
      <c r="J18" s="94"/>
      <c r="K18" s="94"/>
      <c r="L18" s="94">
        <v>0.2</v>
      </c>
      <c r="M18" s="94">
        <v>0.4</v>
      </c>
      <c r="N18" s="32"/>
    </row>
    <row r="20" spans="1:11">
      <c r="A20" s="90"/>
      <c r="B20" s="90" t="s">
        <v>146</v>
      </c>
      <c r="C20" s="90" t="s">
        <v>141</v>
      </c>
      <c r="D20" s="90" t="s">
        <v>148</v>
      </c>
      <c r="E20" s="90" t="s">
        <v>149</v>
      </c>
      <c r="F20" s="90" t="s">
        <v>150</v>
      </c>
      <c r="G20" s="90" t="s">
        <v>142</v>
      </c>
      <c r="H20" s="90" t="s">
        <v>151</v>
      </c>
      <c r="I20" s="90" t="s">
        <v>152</v>
      </c>
      <c r="J20" s="90" t="s">
        <v>153</v>
      </c>
      <c r="K20" s="90" t="s">
        <v>144</v>
      </c>
    </row>
    <row r="21" spans="1:11">
      <c r="A21" s="91" t="s">
        <v>146</v>
      </c>
      <c r="B21" s="92">
        <v>0</v>
      </c>
      <c r="C21" s="93">
        <v>0.25</v>
      </c>
      <c r="D21" s="93">
        <v>0.15</v>
      </c>
      <c r="E21" s="93">
        <v>0.1</v>
      </c>
      <c r="F21" s="93">
        <v>0.1</v>
      </c>
      <c r="G21" s="93">
        <v>0.05</v>
      </c>
      <c r="H21" s="93">
        <v>0.1</v>
      </c>
      <c r="I21" s="93">
        <v>0.1</v>
      </c>
      <c r="J21" s="93">
        <v>0.1</v>
      </c>
      <c r="K21" s="93">
        <v>0.05</v>
      </c>
    </row>
    <row r="22" spans="1:11">
      <c r="A22" s="91" t="s">
        <v>141</v>
      </c>
      <c r="B22" s="92">
        <v>0.15</v>
      </c>
      <c r="C22" s="93">
        <v>0</v>
      </c>
      <c r="D22" s="93">
        <v>0.1</v>
      </c>
      <c r="E22" s="93">
        <v>0</v>
      </c>
      <c r="F22" s="93">
        <v>0.1</v>
      </c>
      <c r="G22" s="93">
        <v>0.05</v>
      </c>
      <c r="H22" s="93">
        <v>0.15</v>
      </c>
      <c r="I22" s="93">
        <v>0.15</v>
      </c>
      <c r="J22" s="93">
        <v>0.2</v>
      </c>
      <c r="K22" s="93">
        <v>0.1</v>
      </c>
    </row>
    <row r="23" spans="1:11">
      <c r="A23" s="91" t="s">
        <v>148</v>
      </c>
      <c r="B23" s="92">
        <v>0.2</v>
      </c>
      <c r="C23" s="93">
        <v>0.15</v>
      </c>
      <c r="D23" s="93">
        <v>0</v>
      </c>
      <c r="E23" s="93">
        <v>0</v>
      </c>
      <c r="F23" s="93">
        <v>0.05</v>
      </c>
      <c r="G23" s="93">
        <v>0.1</v>
      </c>
      <c r="H23" s="93">
        <v>0.1</v>
      </c>
      <c r="I23" s="93">
        <v>0.15</v>
      </c>
      <c r="J23" s="93">
        <v>0.1</v>
      </c>
      <c r="K23" s="93">
        <v>0.15</v>
      </c>
    </row>
    <row r="24" spans="1:11">
      <c r="A24" s="91" t="s">
        <v>149</v>
      </c>
      <c r="B24" s="92">
        <v>0.1</v>
      </c>
      <c r="C24" s="93">
        <v>0</v>
      </c>
      <c r="D24" s="93">
        <v>0</v>
      </c>
      <c r="E24" s="93">
        <v>0</v>
      </c>
      <c r="F24" s="93">
        <v>0.05</v>
      </c>
      <c r="G24" s="93">
        <v>0</v>
      </c>
      <c r="H24" s="93">
        <v>0.35</v>
      </c>
      <c r="I24" s="93">
        <v>0.3</v>
      </c>
      <c r="J24" s="93">
        <v>0.2</v>
      </c>
      <c r="K24" s="93">
        <v>0</v>
      </c>
    </row>
    <row r="25" spans="1:11">
      <c r="A25" s="91" t="s">
        <v>150</v>
      </c>
      <c r="B25" s="92">
        <v>0.2</v>
      </c>
      <c r="C25" s="93">
        <v>0.1</v>
      </c>
      <c r="D25" s="93">
        <v>0.05</v>
      </c>
      <c r="E25" s="93">
        <v>0</v>
      </c>
      <c r="F25" s="93">
        <v>0</v>
      </c>
      <c r="G25" s="93">
        <v>0.2</v>
      </c>
      <c r="H25" s="93">
        <v>0.15</v>
      </c>
      <c r="I25" s="93">
        <v>0.15</v>
      </c>
      <c r="J25" s="93">
        <v>0.15</v>
      </c>
      <c r="K25" s="93">
        <v>0</v>
      </c>
    </row>
    <row r="26" spans="1:11">
      <c r="A26" s="91" t="s">
        <v>142</v>
      </c>
      <c r="B26" s="92">
        <v>0.25</v>
      </c>
      <c r="C26" s="93">
        <v>0.15</v>
      </c>
      <c r="D26" s="93">
        <v>0.1</v>
      </c>
      <c r="E26" s="93">
        <v>0</v>
      </c>
      <c r="F26" s="93">
        <v>0.15</v>
      </c>
      <c r="G26" s="93">
        <v>0</v>
      </c>
      <c r="H26" s="93">
        <v>0.1</v>
      </c>
      <c r="I26" s="93">
        <v>0.1</v>
      </c>
      <c r="J26" s="93">
        <v>0.1</v>
      </c>
      <c r="K26" s="93">
        <v>0.05</v>
      </c>
    </row>
    <row r="27" spans="1:11">
      <c r="A27" s="91" t="s">
        <v>151</v>
      </c>
      <c r="B27" s="92">
        <v>0.15</v>
      </c>
      <c r="C27" s="93">
        <v>0.1</v>
      </c>
      <c r="D27" s="93">
        <v>0.05</v>
      </c>
      <c r="E27" s="93">
        <v>0.15</v>
      </c>
      <c r="F27" s="93">
        <v>0.1</v>
      </c>
      <c r="G27" s="93">
        <v>0.05</v>
      </c>
      <c r="H27" s="93">
        <v>0</v>
      </c>
      <c r="I27" s="93">
        <v>0.2</v>
      </c>
      <c r="J27" s="93">
        <v>0.2</v>
      </c>
      <c r="K27" s="93">
        <v>0</v>
      </c>
    </row>
    <row r="28" spans="1:11">
      <c r="A28" s="91" t="s">
        <v>152</v>
      </c>
      <c r="B28" s="92">
        <v>0.2</v>
      </c>
      <c r="C28" s="93">
        <v>0.15</v>
      </c>
      <c r="D28" s="93">
        <v>0.1</v>
      </c>
      <c r="E28" s="93">
        <v>0.1</v>
      </c>
      <c r="F28" s="93">
        <v>0.1</v>
      </c>
      <c r="G28" s="93">
        <v>0.05</v>
      </c>
      <c r="H28" s="93">
        <v>0.15</v>
      </c>
      <c r="I28" s="93">
        <v>0</v>
      </c>
      <c r="J28" s="93">
        <v>0.1</v>
      </c>
      <c r="K28" s="93">
        <v>0.05</v>
      </c>
    </row>
    <row r="29" spans="1:11">
      <c r="A29" s="91" t="s">
        <v>153</v>
      </c>
      <c r="B29" s="92">
        <v>0.25</v>
      </c>
      <c r="C29" s="93">
        <v>0.2</v>
      </c>
      <c r="D29" s="93">
        <v>0.1</v>
      </c>
      <c r="E29" s="93">
        <v>0.05</v>
      </c>
      <c r="F29" s="93">
        <v>0.1</v>
      </c>
      <c r="G29" s="93">
        <v>0.05</v>
      </c>
      <c r="H29" s="93">
        <v>0.1</v>
      </c>
      <c r="I29" s="93">
        <v>0.1</v>
      </c>
      <c r="J29" s="93">
        <v>0</v>
      </c>
      <c r="K29" s="93">
        <v>0.05</v>
      </c>
    </row>
    <row r="30" spans="1:11">
      <c r="A30" s="91" t="s">
        <v>144</v>
      </c>
      <c r="B30" s="92">
        <v>0.15</v>
      </c>
      <c r="C30" s="93">
        <v>0.25</v>
      </c>
      <c r="D30" s="93">
        <v>0.2</v>
      </c>
      <c r="E30" s="93">
        <v>0</v>
      </c>
      <c r="F30" s="93">
        <v>0</v>
      </c>
      <c r="G30" s="93">
        <v>0</v>
      </c>
      <c r="H30" s="93">
        <v>0.05</v>
      </c>
      <c r="I30" s="93">
        <v>0.15</v>
      </c>
      <c r="J30" s="93">
        <v>0.2</v>
      </c>
      <c r="K30" s="93">
        <v>0</v>
      </c>
    </row>
    <row r="31" spans="1:12">
      <c r="A31" t="s">
        <v>161</v>
      </c>
      <c r="B31">
        <v>29</v>
      </c>
      <c r="C31">
        <v>27</v>
      </c>
      <c r="D31">
        <v>13</v>
      </c>
      <c r="E31">
        <v>12</v>
      </c>
      <c r="F31">
        <v>15</v>
      </c>
      <c r="G31">
        <v>11</v>
      </c>
      <c r="H31">
        <v>23</v>
      </c>
      <c r="I31">
        <v>28</v>
      </c>
      <c r="J31">
        <v>30</v>
      </c>
      <c r="K31">
        <v>12</v>
      </c>
      <c r="L31">
        <f>SUM(B31:K31)</f>
        <v>200</v>
      </c>
    </row>
    <row r="32" spans="1:11">
      <c r="A32" t="s">
        <v>162</v>
      </c>
      <c r="B32">
        <f>100/$L31*B31</f>
        <v>14.5</v>
      </c>
      <c r="C32">
        <f t="shared" ref="C32:K32" si="0">100/$L31*C31</f>
        <v>13.5</v>
      </c>
      <c r="D32">
        <f t="shared" si="0"/>
        <v>6.5</v>
      </c>
      <c r="E32">
        <f t="shared" si="0"/>
        <v>6</v>
      </c>
      <c r="F32">
        <f t="shared" si="0"/>
        <v>7.5</v>
      </c>
      <c r="G32">
        <f t="shared" si="0"/>
        <v>5.5</v>
      </c>
      <c r="H32">
        <f t="shared" si="0"/>
        <v>11.5</v>
      </c>
      <c r="I32">
        <f t="shared" si="0"/>
        <v>14</v>
      </c>
      <c r="J32">
        <f t="shared" si="0"/>
        <v>15</v>
      </c>
      <c r="K32">
        <f t="shared" si="0"/>
        <v>6</v>
      </c>
    </row>
    <row r="34" spans="1:12">
      <c r="A34" t="s">
        <v>163</v>
      </c>
      <c r="B34">
        <v>268</v>
      </c>
      <c r="C34">
        <v>281</v>
      </c>
      <c r="D34">
        <v>180</v>
      </c>
      <c r="E34">
        <v>131</v>
      </c>
      <c r="F34">
        <v>164</v>
      </c>
      <c r="G34">
        <v>128</v>
      </c>
      <c r="H34">
        <v>229</v>
      </c>
      <c r="I34">
        <v>254</v>
      </c>
      <c r="J34">
        <v>255</v>
      </c>
      <c r="K34">
        <v>110</v>
      </c>
      <c r="L34">
        <f>SUM(B34:K34)</f>
        <v>2000</v>
      </c>
    </row>
    <row r="35" spans="1:11">
      <c r="A35" t="s">
        <v>162</v>
      </c>
      <c r="B35">
        <f t="shared" ref="B35:K35" si="1">100/$L34*B34</f>
        <v>13.4</v>
      </c>
      <c r="C35">
        <f t="shared" si="1"/>
        <v>14.05</v>
      </c>
      <c r="D35">
        <f t="shared" si="1"/>
        <v>9</v>
      </c>
      <c r="E35">
        <f t="shared" si="1"/>
        <v>6.55</v>
      </c>
      <c r="F35">
        <f t="shared" si="1"/>
        <v>8.2</v>
      </c>
      <c r="G35">
        <f t="shared" si="1"/>
        <v>6.4</v>
      </c>
      <c r="H35">
        <f t="shared" si="1"/>
        <v>11.45</v>
      </c>
      <c r="I35">
        <f t="shared" si="1"/>
        <v>12.7</v>
      </c>
      <c r="J35">
        <f t="shared" si="1"/>
        <v>12.75</v>
      </c>
      <c r="K35">
        <f t="shared" si="1"/>
        <v>5.5</v>
      </c>
    </row>
  </sheetData>
  <mergeCells count="1">
    <mergeCell ref="I1:M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zoomScale="115" zoomScaleNormal="115" workbookViewId="0">
      <selection activeCell="P7" sqref="P7"/>
    </sheetView>
  </sheetViews>
  <sheetFormatPr defaultColWidth="9.14285714285714" defaultRowHeight="15"/>
  <cols>
    <col min="1" max="1" width="14.7142857142857" customWidth="1"/>
    <col min="2" max="2" width="13.7142857142857" customWidth="1"/>
    <col min="3" max="3" width="11.1428571428571" customWidth="1"/>
    <col min="4" max="6" width="12.4285714285714" customWidth="1"/>
    <col min="7" max="7" width="11" customWidth="1"/>
    <col min="8" max="8" width="14.1428571428571" customWidth="1"/>
    <col min="9" max="9" width="11.4285714285714" customWidth="1"/>
    <col min="10" max="10" width="11.552380952381" customWidth="1"/>
    <col min="11" max="12" width="11.9142857142857" customWidth="1"/>
    <col min="13" max="13" width="10.4285714285714" customWidth="1"/>
    <col min="14" max="14" width="10.6761904761905" hidden="1" customWidth="1"/>
    <col min="15" max="15" width="28.5714285714286" customWidth="1"/>
  </cols>
  <sheetData>
    <row r="1" spans="1:15">
      <c r="A1" s="22" t="s">
        <v>133</v>
      </c>
      <c r="B1" s="22"/>
      <c r="C1" s="22"/>
      <c r="D1" s="22" t="s">
        <v>164</v>
      </c>
      <c r="E1" s="22"/>
      <c r="F1" s="22"/>
      <c r="G1" s="22"/>
      <c r="H1" s="22" t="s">
        <v>165</v>
      </c>
      <c r="I1" s="22" t="s">
        <v>166</v>
      </c>
      <c r="J1" s="82" t="s">
        <v>167</v>
      </c>
      <c r="K1" s="82" t="s">
        <v>168</v>
      </c>
      <c r="L1" s="82" t="s">
        <v>169</v>
      </c>
      <c r="M1" s="82" t="s">
        <v>170</v>
      </c>
      <c r="N1" s="22" t="s">
        <v>171</v>
      </c>
      <c r="O1" s="22" t="s">
        <v>172</v>
      </c>
    </row>
    <row r="2" spans="1:15">
      <c r="A2" s="22"/>
      <c r="B2" s="22"/>
      <c r="C2" s="22"/>
      <c r="D2" s="34" t="s">
        <v>173</v>
      </c>
      <c r="E2" s="34" t="s">
        <v>174</v>
      </c>
      <c r="F2" s="34" t="s">
        <v>175</v>
      </c>
      <c r="G2" s="34" t="s">
        <v>176</v>
      </c>
      <c r="H2" s="22"/>
      <c r="I2" s="22"/>
      <c r="J2" s="82"/>
      <c r="K2" s="82"/>
      <c r="L2" s="82"/>
      <c r="M2" s="82"/>
      <c r="O2" s="22"/>
    </row>
    <row r="3" spans="1:14">
      <c r="A3" t="s">
        <v>177</v>
      </c>
      <c r="B3" t="s">
        <v>178</v>
      </c>
      <c r="C3" t="s">
        <v>179</v>
      </c>
      <c r="D3" s="22">
        <v>1</v>
      </c>
      <c r="E3" s="22">
        <v>3</v>
      </c>
      <c r="F3" s="22">
        <v>3</v>
      </c>
      <c r="G3" s="22">
        <v>3</v>
      </c>
      <c r="H3" s="22">
        <f>SUM(D3:G3)</f>
        <v>10</v>
      </c>
      <c r="I3" s="22">
        <f>E3*50</f>
        <v>150</v>
      </c>
      <c r="J3" s="83">
        <f>POWER(0.95,F3)</f>
        <v>0.857375</v>
      </c>
      <c r="K3" s="83">
        <f>POWER(1.05,G3)</f>
        <v>1.157625</v>
      </c>
      <c r="L3" s="83">
        <f>POWER(1.05,D3)</f>
        <v>1.05</v>
      </c>
      <c r="M3" s="83">
        <f>5+(D3-5)/2</f>
        <v>3</v>
      </c>
      <c r="N3" s="84" t="s">
        <v>180</v>
      </c>
    </row>
    <row r="4" spans="1:14">
      <c r="A4" t="s">
        <v>181</v>
      </c>
      <c r="B4" t="s">
        <v>182</v>
      </c>
      <c r="C4" t="s">
        <v>183</v>
      </c>
      <c r="D4" s="22">
        <v>3</v>
      </c>
      <c r="E4" s="22">
        <v>3</v>
      </c>
      <c r="F4" s="22">
        <v>2</v>
      </c>
      <c r="G4" s="22">
        <v>1</v>
      </c>
      <c r="H4" s="22">
        <f t="shared" ref="H4:H11" si="0">SUM(D4:G4)</f>
        <v>9</v>
      </c>
      <c r="I4" s="22">
        <f t="shared" ref="I4:I11" si="1">E4*50</f>
        <v>150</v>
      </c>
      <c r="J4" s="83">
        <f t="shared" ref="J4:J11" si="2">POWER(0.95,F4)</f>
        <v>0.9025</v>
      </c>
      <c r="K4" s="83">
        <f t="shared" ref="K4:K11" si="3">POWER(1.05,G4)</f>
        <v>1.05</v>
      </c>
      <c r="L4" s="83">
        <f t="shared" ref="L4:L11" si="4">POWER(1.05,D4)</f>
        <v>1.157625</v>
      </c>
      <c r="M4" s="83">
        <f t="shared" ref="M4:M11" si="5">5+(D4-5)/2</f>
        <v>4</v>
      </c>
      <c r="N4" s="85"/>
    </row>
    <row r="5" spans="1:15">
      <c r="A5" t="s">
        <v>184</v>
      </c>
      <c r="B5" t="s">
        <v>185</v>
      </c>
      <c r="C5" t="s">
        <v>186</v>
      </c>
      <c r="D5" s="22">
        <v>2</v>
      </c>
      <c r="E5" s="22">
        <v>4</v>
      </c>
      <c r="F5" s="22">
        <v>2</v>
      </c>
      <c r="G5" s="22">
        <v>1</v>
      </c>
      <c r="H5" s="22">
        <f t="shared" si="0"/>
        <v>9</v>
      </c>
      <c r="I5" s="22">
        <f t="shared" si="1"/>
        <v>200</v>
      </c>
      <c r="J5" s="83">
        <f t="shared" si="2"/>
        <v>0.9025</v>
      </c>
      <c r="K5" s="83">
        <f t="shared" si="3"/>
        <v>1.05</v>
      </c>
      <c r="L5" s="83">
        <f t="shared" si="4"/>
        <v>1.1025</v>
      </c>
      <c r="M5" s="83">
        <f t="shared" si="5"/>
        <v>3.5</v>
      </c>
      <c r="N5" s="84" t="s">
        <v>187</v>
      </c>
      <c r="O5" t="s">
        <v>188</v>
      </c>
    </row>
    <row r="6" spans="1:14">
      <c r="A6" t="s">
        <v>189</v>
      </c>
      <c r="B6" t="s">
        <v>190</v>
      </c>
      <c r="C6" t="s">
        <v>191</v>
      </c>
      <c r="D6" s="22">
        <v>1</v>
      </c>
      <c r="E6" s="22">
        <v>1</v>
      </c>
      <c r="F6" s="22">
        <v>4</v>
      </c>
      <c r="G6" s="22">
        <v>4</v>
      </c>
      <c r="H6" s="22">
        <f t="shared" si="0"/>
        <v>10</v>
      </c>
      <c r="I6" s="22">
        <f t="shared" si="1"/>
        <v>50</v>
      </c>
      <c r="J6" s="83">
        <f t="shared" si="2"/>
        <v>0.81450625</v>
      </c>
      <c r="K6" s="83">
        <f t="shared" si="3"/>
        <v>1.21550625</v>
      </c>
      <c r="L6" s="83">
        <f t="shared" si="4"/>
        <v>1.05</v>
      </c>
      <c r="M6" s="83">
        <f t="shared" si="5"/>
        <v>3</v>
      </c>
      <c r="N6" s="85"/>
    </row>
    <row r="7" spans="1:15">
      <c r="A7" t="s">
        <v>192</v>
      </c>
      <c r="B7" t="s">
        <v>193</v>
      </c>
      <c r="C7" t="s">
        <v>194</v>
      </c>
      <c r="D7" s="22">
        <v>4</v>
      </c>
      <c r="E7" s="22">
        <v>1</v>
      </c>
      <c r="F7" s="22">
        <v>1</v>
      </c>
      <c r="G7" s="22">
        <v>4</v>
      </c>
      <c r="H7" s="22">
        <f t="shared" si="0"/>
        <v>10</v>
      </c>
      <c r="I7" s="22">
        <f t="shared" si="1"/>
        <v>50</v>
      </c>
      <c r="J7" s="83">
        <f t="shared" si="2"/>
        <v>0.95</v>
      </c>
      <c r="K7" s="83">
        <f t="shared" si="3"/>
        <v>1.21550625</v>
      </c>
      <c r="L7" s="83">
        <f t="shared" si="4"/>
        <v>1.21550625</v>
      </c>
      <c r="M7" s="83">
        <f t="shared" si="5"/>
        <v>4.5</v>
      </c>
      <c r="N7" s="85"/>
      <c r="O7" t="s">
        <v>195</v>
      </c>
    </row>
    <row r="8" spans="1:15">
      <c r="A8" t="s">
        <v>196</v>
      </c>
      <c r="B8" t="s">
        <v>197</v>
      </c>
      <c r="C8" t="s">
        <v>198</v>
      </c>
      <c r="D8" s="22">
        <v>2</v>
      </c>
      <c r="E8" s="22">
        <v>4</v>
      </c>
      <c r="F8" s="22">
        <v>2</v>
      </c>
      <c r="G8" s="22">
        <v>2</v>
      </c>
      <c r="H8" s="22">
        <f t="shared" si="0"/>
        <v>10</v>
      </c>
      <c r="I8" s="22">
        <f t="shared" si="1"/>
        <v>200</v>
      </c>
      <c r="J8" s="83">
        <f t="shared" si="2"/>
        <v>0.9025</v>
      </c>
      <c r="K8" s="83">
        <f t="shared" si="3"/>
        <v>1.1025</v>
      </c>
      <c r="L8" s="83">
        <f t="shared" si="4"/>
        <v>1.1025</v>
      </c>
      <c r="M8" s="83">
        <f t="shared" si="5"/>
        <v>3.5</v>
      </c>
      <c r="N8" s="84" t="s">
        <v>199</v>
      </c>
      <c r="O8" t="s">
        <v>200</v>
      </c>
    </row>
    <row r="9" spans="1:15">
      <c r="A9" t="s">
        <v>201</v>
      </c>
      <c r="B9" t="s">
        <v>202</v>
      </c>
      <c r="C9" t="s">
        <v>203</v>
      </c>
      <c r="D9" s="22">
        <v>4</v>
      </c>
      <c r="E9" s="22">
        <v>2</v>
      </c>
      <c r="F9" s="22">
        <v>1</v>
      </c>
      <c r="G9" s="22">
        <v>3</v>
      </c>
      <c r="H9" s="22">
        <f t="shared" si="0"/>
        <v>10</v>
      </c>
      <c r="I9" s="22">
        <f t="shared" si="1"/>
        <v>100</v>
      </c>
      <c r="J9" s="83">
        <f t="shared" si="2"/>
        <v>0.95</v>
      </c>
      <c r="K9" s="83">
        <f t="shared" si="3"/>
        <v>1.157625</v>
      </c>
      <c r="L9" s="83">
        <f t="shared" si="4"/>
        <v>1.21550625</v>
      </c>
      <c r="M9" s="83">
        <f t="shared" si="5"/>
        <v>4.5</v>
      </c>
      <c r="N9" s="85"/>
      <c r="O9" t="s">
        <v>204</v>
      </c>
    </row>
    <row r="10" spans="1:14">
      <c r="A10" t="s">
        <v>205</v>
      </c>
      <c r="B10" t="s">
        <v>206</v>
      </c>
      <c r="D10" s="22">
        <v>3</v>
      </c>
      <c r="E10" s="22">
        <v>2</v>
      </c>
      <c r="F10" s="22">
        <v>3</v>
      </c>
      <c r="G10" s="22">
        <v>2</v>
      </c>
      <c r="H10" s="22">
        <f t="shared" si="0"/>
        <v>10</v>
      </c>
      <c r="I10" s="22">
        <f t="shared" si="1"/>
        <v>100</v>
      </c>
      <c r="J10" s="83">
        <f t="shared" si="2"/>
        <v>0.857375</v>
      </c>
      <c r="K10" s="83">
        <f t="shared" si="3"/>
        <v>1.1025</v>
      </c>
      <c r="L10" s="83">
        <f t="shared" si="4"/>
        <v>1.157625</v>
      </c>
      <c r="M10" s="83">
        <f t="shared" si="5"/>
        <v>4</v>
      </c>
      <c r="N10" s="85"/>
    </row>
    <row r="11" spans="1:15">
      <c r="A11" s="23" t="s">
        <v>207</v>
      </c>
      <c r="B11" s="23"/>
      <c r="C11" s="23"/>
      <c r="D11" s="34">
        <v>3</v>
      </c>
      <c r="E11" s="34">
        <v>3</v>
      </c>
      <c r="F11" s="34">
        <v>3</v>
      </c>
      <c r="G11" s="34">
        <v>3</v>
      </c>
      <c r="H11" s="22">
        <f t="shared" si="0"/>
        <v>12</v>
      </c>
      <c r="I11" s="22">
        <f t="shared" si="1"/>
        <v>150</v>
      </c>
      <c r="J11" s="83">
        <f t="shared" si="2"/>
        <v>0.857375</v>
      </c>
      <c r="K11" s="83">
        <f t="shared" si="3"/>
        <v>1.157625</v>
      </c>
      <c r="L11" s="83">
        <f t="shared" si="4"/>
        <v>1.157625</v>
      </c>
      <c r="M11" s="83">
        <f t="shared" si="5"/>
        <v>4</v>
      </c>
      <c r="N11" s="84" t="s">
        <v>208</v>
      </c>
      <c r="O11" t="s">
        <v>209</v>
      </c>
    </row>
    <row r="12" customFormat="1" spans="1:14">
      <c r="A12" s="23"/>
      <c r="B12" s="23"/>
      <c r="C12" s="23"/>
      <c r="D12" s="34"/>
      <c r="E12" s="34"/>
      <c r="F12" s="34"/>
      <c r="G12" s="34"/>
      <c r="H12" s="22"/>
      <c r="I12" s="34"/>
      <c r="J12" s="34"/>
      <c r="K12" s="34"/>
      <c r="L12" s="34"/>
      <c r="M12" s="34"/>
      <c r="N12" s="22"/>
    </row>
    <row r="13" s="23" customFormat="1" spans="1:14">
      <c r="A13"/>
      <c r="B13"/>
      <c r="C13"/>
      <c r="D13"/>
      <c r="E13"/>
      <c r="F13"/>
      <c r="G13"/>
      <c r="H13"/>
      <c r="I13" s="22"/>
      <c r="J13" s="22"/>
      <c r="K13" s="22"/>
      <c r="L13" s="22"/>
      <c r="M13" s="22"/>
      <c r="N13" s="22"/>
    </row>
    <row r="14" s="23" customFormat="1" spans="1:14">
      <c r="A14"/>
      <c r="B14"/>
      <c r="C14"/>
      <c r="D14"/>
      <c r="E14"/>
      <c r="F14"/>
      <c r="G14"/>
      <c r="H14"/>
      <c r="I14" s="22"/>
      <c r="J14" s="22"/>
      <c r="K14" s="22"/>
      <c r="L14" s="22"/>
      <c r="M14" s="22"/>
      <c r="N14" s="22"/>
    </row>
    <row r="15" spans="7:14">
      <c r="G15" s="22"/>
      <c r="H15" s="22"/>
      <c r="I15" s="22"/>
      <c r="J15" s="22"/>
      <c r="K15" s="22"/>
      <c r="L15" s="22"/>
      <c r="M15" s="22"/>
      <c r="N15" s="22"/>
    </row>
    <row r="16" spans="5:14">
      <c r="E16" s="22"/>
      <c r="F16" s="22"/>
      <c r="G16" s="22"/>
      <c r="H16" s="22"/>
      <c r="I16" s="22"/>
      <c r="J16" s="22"/>
      <c r="K16" s="22"/>
      <c r="L16" s="22"/>
      <c r="M16" s="22"/>
      <c r="N16" s="22"/>
    </row>
    <row r="17" spans="5:14">
      <c r="E17" s="22"/>
      <c r="F17" s="22"/>
      <c r="G17" s="22"/>
      <c r="H17" s="22"/>
      <c r="I17" s="22"/>
      <c r="J17" s="22"/>
      <c r="K17" s="22"/>
      <c r="L17" s="22"/>
      <c r="M17" s="22"/>
      <c r="N17" s="22"/>
    </row>
    <row r="18" spans="5:8">
      <c r="E18" s="22"/>
      <c r="F18" s="22"/>
      <c r="G18" s="22"/>
      <c r="H18" s="22"/>
    </row>
    <row r="19" spans="5:8">
      <c r="E19" s="22"/>
      <c r="F19" s="22"/>
      <c r="G19" s="22"/>
      <c r="H19" s="22"/>
    </row>
    <row r="20" spans="5:8">
      <c r="E20" s="22"/>
      <c r="F20" s="22"/>
      <c r="G20" s="22"/>
      <c r="H20" s="22"/>
    </row>
    <row r="21" spans="5:8">
      <c r="E21" s="22"/>
      <c r="F21" s="22"/>
      <c r="G21" s="22"/>
      <c r="H21" s="22"/>
    </row>
    <row r="22" spans="5:8">
      <c r="E22" s="22"/>
      <c r="F22" s="22"/>
      <c r="G22" s="22"/>
      <c r="H22" s="22"/>
    </row>
    <row r="23" spans="5:6">
      <c r="E23" s="22"/>
      <c r="F23" s="22"/>
    </row>
  </sheetData>
  <mergeCells count="10">
    <mergeCell ref="D1:G1"/>
    <mergeCell ref="A1:A2"/>
    <mergeCell ref="H1:H2"/>
    <mergeCell ref="I1:I2"/>
    <mergeCell ref="J1:J2"/>
    <mergeCell ref="K1:K2"/>
    <mergeCell ref="L1:L2"/>
    <mergeCell ref="M1:M2"/>
    <mergeCell ref="N1:N2"/>
    <mergeCell ref="O1:O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opLeftCell="A19" workbookViewId="0">
      <selection activeCell="C38" sqref="C38"/>
    </sheetView>
  </sheetViews>
  <sheetFormatPr defaultColWidth="9.14285714285714" defaultRowHeight="15" outlineLevelCol="2"/>
  <cols>
    <col min="1" max="1" width="15" style="32" customWidth="1"/>
    <col min="2" max="2" width="42" style="32" customWidth="1"/>
    <col min="3" max="3" width="38.2857142857143" style="32" customWidth="1"/>
    <col min="4" max="4" width="9.14285714285714" style="32"/>
    <col min="5" max="5" width="11.2857142857143" style="32" customWidth="1"/>
    <col min="6" max="6" width="14.7142857142857" style="32" customWidth="1"/>
    <col min="7" max="7" width="63.1428571428571" style="32" customWidth="1"/>
    <col min="8" max="16384" width="9.14285714285714" style="32"/>
  </cols>
  <sheetData>
    <row r="1" spans="1:3">
      <c r="A1" s="32" t="s">
        <v>133</v>
      </c>
      <c r="B1" s="32" t="s">
        <v>210</v>
      </c>
      <c r="C1" s="32" t="s">
        <v>211</v>
      </c>
    </row>
    <row r="2" spans="1:3">
      <c r="A2" s="32" t="s">
        <v>212</v>
      </c>
      <c r="B2" s="32" t="s">
        <v>213</v>
      </c>
      <c r="C2" s="32" t="s">
        <v>214</v>
      </c>
    </row>
    <row r="3" spans="1:3">
      <c r="A3" s="32" t="s">
        <v>215</v>
      </c>
      <c r="B3" s="32" t="s">
        <v>216</v>
      </c>
      <c r="C3" s="32" t="s">
        <v>217</v>
      </c>
    </row>
    <row r="4" spans="1:3">
      <c r="A4" s="32" t="s">
        <v>218</v>
      </c>
      <c r="B4" s="32" t="s">
        <v>219</v>
      </c>
      <c r="C4" s="32" t="s">
        <v>220</v>
      </c>
    </row>
    <row r="5" spans="1:3">
      <c r="A5" s="32" t="s">
        <v>221</v>
      </c>
      <c r="B5" s="32" t="s">
        <v>222</v>
      </c>
      <c r="C5" s="32" t="s">
        <v>223</v>
      </c>
    </row>
    <row r="6" spans="1:3">
      <c r="A6" s="32" t="s">
        <v>224</v>
      </c>
      <c r="B6" s="32" t="s">
        <v>225</v>
      </c>
      <c r="C6" s="32" t="s">
        <v>226</v>
      </c>
    </row>
    <row r="7" spans="1:3">
      <c r="A7" s="32" t="s">
        <v>227</v>
      </c>
      <c r="B7" s="32" t="s">
        <v>228</v>
      </c>
      <c r="C7" s="32" t="s">
        <v>229</v>
      </c>
    </row>
    <row r="8" spans="1:3">
      <c r="A8" s="32" t="s">
        <v>230</v>
      </c>
      <c r="B8" s="32" t="s">
        <v>231</v>
      </c>
      <c r="C8" s="32" t="s">
        <v>232</v>
      </c>
    </row>
    <row r="9" spans="1:3">
      <c r="A9" s="32" t="s">
        <v>233</v>
      </c>
      <c r="B9" s="32" t="s">
        <v>234</v>
      </c>
      <c r="C9" s="32" t="s">
        <v>235</v>
      </c>
    </row>
    <row r="10" spans="1:3">
      <c r="A10" s="32" t="s">
        <v>236</v>
      </c>
      <c r="B10" s="32" t="s">
        <v>237</v>
      </c>
      <c r="C10" s="32" t="s">
        <v>238</v>
      </c>
    </row>
    <row r="11" spans="1:3">
      <c r="A11" s="32" t="s">
        <v>239</v>
      </c>
      <c r="B11" s="32" t="s">
        <v>240</v>
      </c>
      <c r="C11" s="32" t="s">
        <v>241</v>
      </c>
    </row>
    <row r="12" spans="1:3">
      <c r="A12" s="32" t="s">
        <v>242</v>
      </c>
      <c r="B12" s="32" t="s">
        <v>243</v>
      </c>
      <c r="C12" s="32" t="s">
        <v>244</v>
      </c>
    </row>
    <row r="13" spans="1:3">
      <c r="A13" s="32" t="s">
        <v>245</v>
      </c>
      <c r="B13" s="32" t="s">
        <v>246</v>
      </c>
      <c r="C13" s="32" t="s">
        <v>247</v>
      </c>
    </row>
    <row r="14" spans="1:3">
      <c r="A14" s="32" t="s">
        <v>248</v>
      </c>
      <c r="B14" s="32" t="s">
        <v>249</v>
      </c>
      <c r="C14" s="32" t="s">
        <v>250</v>
      </c>
    </row>
    <row r="15" spans="1:3">
      <c r="A15" s="32" t="s">
        <v>251</v>
      </c>
      <c r="B15" s="32" t="s">
        <v>252</v>
      </c>
      <c r="C15" s="32" t="s">
        <v>253</v>
      </c>
    </row>
    <row r="16" spans="1:3">
      <c r="A16" s="32" t="s">
        <v>86</v>
      </c>
      <c r="B16" s="32" t="s">
        <v>254</v>
      </c>
      <c r="C16" s="32" t="s">
        <v>255</v>
      </c>
    </row>
    <row r="17" spans="1:3">
      <c r="A17" s="32" t="s">
        <v>256</v>
      </c>
      <c r="B17" s="32" t="s">
        <v>257</v>
      </c>
      <c r="C17" s="32" t="s">
        <v>258</v>
      </c>
    </row>
    <row r="18" spans="1:3">
      <c r="A18" s="32" t="s">
        <v>259</v>
      </c>
      <c r="B18" s="32" t="s">
        <v>260</v>
      </c>
      <c r="C18" s="32" t="s">
        <v>261</v>
      </c>
    </row>
    <row r="19" spans="1:3">
      <c r="A19" s="32" t="s">
        <v>262</v>
      </c>
      <c r="B19" s="32" t="s">
        <v>263</v>
      </c>
      <c r="C19" s="32" t="s">
        <v>264</v>
      </c>
    </row>
    <row r="20" spans="1:3">
      <c r="A20" s="32" t="s">
        <v>265</v>
      </c>
      <c r="B20" s="32" t="s">
        <v>266</v>
      </c>
      <c r="C20" s="32" t="s">
        <v>267</v>
      </c>
    </row>
    <row r="21" spans="1:3">
      <c r="A21" s="32" t="s">
        <v>268</v>
      </c>
      <c r="B21" s="32" t="s">
        <v>269</v>
      </c>
      <c r="C21" s="32" t="s">
        <v>270</v>
      </c>
    </row>
    <row r="22" spans="1:3">
      <c r="A22" s="32" t="s">
        <v>271</v>
      </c>
      <c r="B22" s="32" t="s">
        <v>272</v>
      </c>
      <c r="C22" s="32" t="s">
        <v>273</v>
      </c>
    </row>
    <row r="23" spans="1:3">
      <c r="A23" s="32" t="s">
        <v>274</v>
      </c>
      <c r="B23" s="32" t="s">
        <v>275</v>
      </c>
      <c r="C23" s="32" t="s">
        <v>276</v>
      </c>
    </row>
    <row r="24" spans="1:3">
      <c r="A24" s="32" t="s">
        <v>277</v>
      </c>
      <c r="B24" s="32" t="s">
        <v>278</v>
      </c>
      <c r="C24" s="32" t="s">
        <v>279</v>
      </c>
    </row>
    <row r="25" spans="1:3">
      <c r="A25" s="32" t="s">
        <v>280</v>
      </c>
      <c r="B25" s="32" t="s">
        <v>281</v>
      </c>
      <c r="C25" s="32" t="s">
        <v>282</v>
      </c>
    </row>
    <row r="26" spans="1:3">
      <c r="A26" s="32" t="s">
        <v>283</v>
      </c>
      <c r="B26" s="32" t="s">
        <v>284</v>
      </c>
      <c r="C26" s="32" t="s">
        <v>285</v>
      </c>
    </row>
    <row r="27" spans="1:3">
      <c r="A27" s="32" t="s">
        <v>286</v>
      </c>
      <c r="B27" s="32" t="s">
        <v>287</v>
      </c>
      <c r="C27" s="32" t="s">
        <v>288</v>
      </c>
    </row>
    <row r="28" spans="1:3">
      <c r="A28" s="32" t="s">
        <v>289</v>
      </c>
      <c r="B28" s="32" t="s">
        <v>290</v>
      </c>
      <c r="C28" s="32" t="s">
        <v>291</v>
      </c>
    </row>
    <row r="29" spans="1:3">
      <c r="A29" s="32" t="s">
        <v>292</v>
      </c>
      <c r="B29" s="32" t="s">
        <v>293</v>
      </c>
      <c r="C29" s="32" t="s">
        <v>294</v>
      </c>
    </row>
    <row r="30" spans="1:3">
      <c r="A30" s="32" t="s">
        <v>295</v>
      </c>
      <c r="B30" s="32" t="s">
        <v>296</v>
      </c>
      <c r="C30" s="32" t="s">
        <v>297</v>
      </c>
    </row>
    <row r="31" spans="1:3">
      <c r="A31" s="32" t="s">
        <v>298</v>
      </c>
      <c r="B31" s="32" t="s">
        <v>299</v>
      </c>
      <c r="C31" s="32" t="s">
        <v>300</v>
      </c>
    </row>
    <row r="32" spans="1:3">
      <c r="A32" s="32" t="s">
        <v>301</v>
      </c>
      <c r="B32" s="32" t="s">
        <v>302</v>
      </c>
      <c r="C32" s="32" t="s">
        <v>303</v>
      </c>
    </row>
    <row r="33" spans="1:3">
      <c r="A33" s="32" t="s">
        <v>304</v>
      </c>
      <c r="B33" s="32" t="s">
        <v>305</v>
      </c>
      <c r="C33" s="32" t="s">
        <v>306</v>
      </c>
    </row>
    <row r="34" spans="1:3">
      <c r="A34" s="32" t="s">
        <v>307</v>
      </c>
      <c r="B34" s="32" t="s">
        <v>308</v>
      </c>
      <c r="C34" s="32" t="s">
        <v>309</v>
      </c>
    </row>
    <row r="35" spans="1:3">
      <c r="A35" s="32" t="s">
        <v>310</v>
      </c>
      <c r="B35" s="32" t="s">
        <v>311</v>
      </c>
      <c r="C35" s="32" t="s">
        <v>312</v>
      </c>
    </row>
    <row r="36" spans="1:3">
      <c r="A36" s="32" t="s">
        <v>313</v>
      </c>
      <c r="B36" s="32" t="s">
        <v>314</v>
      </c>
      <c r="C36" s="32" t="s">
        <v>315</v>
      </c>
    </row>
    <row r="37" spans="1:3">
      <c r="A37" s="32" t="s">
        <v>316</v>
      </c>
      <c r="B37" s="32" t="s">
        <v>317</v>
      </c>
      <c r="C37" s="32" t="s">
        <v>318</v>
      </c>
    </row>
    <row r="38" spans="1:3">
      <c r="A38" s="32" t="s">
        <v>319</v>
      </c>
      <c r="B38" s="32" t="s">
        <v>320</v>
      </c>
      <c r="C38" s="32" t="s">
        <v>321</v>
      </c>
    </row>
    <row r="39" spans="1:3">
      <c r="A39" s="32" t="s">
        <v>322</v>
      </c>
      <c r="B39" s="32" t="s">
        <v>323</v>
      </c>
      <c r="C39" s="32" t="s">
        <v>324</v>
      </c>
    </row>
    <row r="40" spans="1:3">
      <c r="A40" s="32" t="s">
        <v>325</v>
      </c>
      <c r="B40" s="32" t="s">
        <v>326</v>
      </c>
      <c r="C40" s="32" t="s">
        <v>327</v>
      </c>
    </row>
    <row r="41" spans="1:3">
      <c r="A41" s="32" t="s">
        <v>328</v>
      </c>
      <c r="B41" s="32" t="s">
        <v>329</v>
      </c>
      <c r="C41" s="32" t="s">
        <v>330</v>
      </c>
    </row>
    <row r="42" spans="1:3">
      <c r="A42" s="32" t="s">
        <v>331</v>
      </c>
      <c r="B42" s="32" t="s">
        <v>332</v>
      </c>
      <c r="C42" s="32" t="s">
        <v>333</v>
      </c>
    </row>
    <row r="43" spans="1:3">
      <c r="A43" s="32" t="s">
        <v>334</v>
      </c>
      <c r="B43" s="32" t="s">
        <v>335</v>
      </c>
      <c r="C43" s="32" t="s">
        <v>336</v>
      </c>
    </row>
    <row r="44" spans="1:3">
      <c r="A44" s="32" t="s">
        <v>337</v>
      </c>
      <c r="B44" s="32" t="s">
        <v>338</v>
      </c>
      <c r="C44" s="32" t="s">
        <v>339</v>
      </c>
    </row>
    <row r="45" spans="1:3">
      <c r="A45" s="32" t="s">
        <v>340</v>
      </c>
      <c r="B45" s="32" t="s">
        <v>341</v>
      </c>
      <c r="C45" s="32" t="s">
        <v>342</v>
      </c>
    </row>
    <row r="46" spans="1:3">
      <c r="A46" s="32" t="s">
        <v>343</v>
      </c>
      <c r="B46" s="32" t="s">
        <v>344</v>
      </c>
      <c r="C46" s="32" t="s">
        <v>345</v>
      </c>
    </row>
    <row r="47" spans="2:3">
      <c r="B47" s="32" t="s">
        <v>346</v>
      </c>
      <c r="C47" s="32" t="s">
        <v>347</v>
      </c>
    </row>
    <row r="48" spans="2:3">
      <c r="B48" s="32" t="s">
        <v>348</v>
      </c>
      <c r="C48" s="32" t="s">
        <v>349</v>
      </c>
    </row>
    <row r="49" spans="2:3">
      <c r="B49" s="32" t="s">
        <v>350</v>
      </c>
      <c r="C49" s="32" t="s">
        <v>351</v>
      </c>
    </row>
    <row r="50" spans="2:3">
      <c r="B50" s="32" t="s">
        <v>352</v>
      </c>
      <c r="C50" s="32" t="s">
        <v>353</v>
      </c>
    </row>
    <row r="61" spans="2:2">
      <c r="B61"/>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G26" sqref="G26:G28"/>
    </sheetView>
  </sheetViews>
  <sheetFormatPr defaultColWidth="9.14285714285714" defaultRowHeight="15"/>
  <cols>
    <col min="1" max="1" width="12.4285714285714" customWidth="1"/>
    <col min="2" max="2" width="11.4285714285714" style="2" customWidth="1"/>
    <col min="3" max="3" width="9.71428571428571" style="2" customWidth="1"/>
    <col min="4" max="4" width="11.8571428571429" style="2" customWidth="1"/>
    <col min="5" max="5" width="9.85714285714286" style="2" customWidth="1"/>
    <col min="6" max="6" width="9.42857142857143" style="2" customWidth="1"/>
    <col min="7" max="7" width="11" style="2" customWidth="1"/>
    <col min="8" max="8" width="12.1428571428571" style="2" customWidth="1"/>
    <col min="9" max="9" width="12" style="2" customWidth="1"/>
    <col min="10" max="10" width="8.85714285714286" style="2" customWidth="1"/>
    <col min="11" max="11" width="11.2857142857143" style="2" customWidth="1"/>
    <col min="12" max="12" width="18" style="2" customWidth="1"/>
    <col min="13" max="13" width="11" style="2" customWidth="1"/>
    <col min="14" max="14" width="23.4285714285714" style="2" customWidth="1"/>
    <col min="15" max="15" width="10.5714285714286" style="2" customWidth="1"/>
    <col min="19" max="19" width="10.5714285714286" customWidth="1"/>
  </cols>
  <sheetData>
    <row r="1" spans="1:7">
      <c r="A1" s="2" t="s">
        <v>354</v>
      </c>
      <c r="B1" s="12"/>
      <c r="C1" s="2" t="s">
        <v>355</v>
      </c>
      <c r="D1" s="12"/>
      <c r="E1" s="2" t="s">
        <v>356</v>
      </c>
      <c r="F1" s="12"/>
      <c r="G1" s="2" t="s">
        <v>357</v>
      </c>
    </row>
    <row r="2" spans="1:8">
      <c r="A2" s="77" t="s">
        <v>358</v>
      </c>
      <c r="B2" s="78" t="s">
        <v>359</v>
      </c>
      <c r="C2" s="77" t="s">
        <v>358</v>
      </c>
      <c r="D2" s="79" t="s">
        <v>359</v>
      </c>
      <c r="E2" s="77" t="s">
        <v>358</v>
      </c>
      <c r="F2" s="79" t="s">
        <v>359</v>
      </c>
      <c r="G2" s="77" t="s">
        <v>358</v>
      </c>
      <c r="H2" s="80" t="s">
        <v>359</v>
      </c>
    </row>
    <row r="3" spans="1:15">
      <c r="A3" s="2" t="s">
        <v>334</v>
      </c>
      <c r="B3" s="12" t="s">
        <v>360</v>
      </c>
      <c r="C3" s="2" t="s">
        <v>361</v>
      </c>
      <c r="D3" s="12" t="s">
        <v>362</v>
      </c>
      <c r="E3" s="2" t="s">
        <v>363</v>
      </c>
      <c r="F3" s="12" t="s">
        <v>364</v>
      </c>
      <c r="G3" s="2" t="s">
        <v>365</v>
      </c>
      <c r="H3" s="2" t="s">
        <v>366</v>
      </c>
      <c r="I3" s="81"/>
      <c r="J3" s="81"/>
      <c r="K3" s="81"/>
      <c r="L3" s="81"/>
      <c r="M3" s="81"/>
      <c r="N3" s="81"/>
      <c r="O3" s="81"/>
    </row>
    <row r="4" spans="1:15">
      <c r="A4" s="2" t="s">
        <v>367</v>
      </c>
      <c r="B4" s="12" t="s">
        <v>368</v>
      </c>
      <c r="C4" s="2" t="s">
        <v>369</v>
      </c>
      <c r="D4" s="12" t="s">
        <v>370</v>
      </c>
      <c r="E4" s="2" t="s">
        <v>371</v>
      </c>
      <c r="F4" s="12" t="s">
        <v>372</v>
      </c>
      <c r="G4" s="2" t="s">
        <v>373</v>
      </c>
      <c r="H4" s="2" t="s">
        <v>374</v>
      </c>
      <c r="I4" s="81"/>
      <c r="J4" s="81"/>
      <c r="K4" s="81"/>
      <c r="L4" s="81"/>
      <c r="M4" s="81"/>
      <c r="N4" s="81"/>
      <c r="O4" s="81"/>
    </row>
    <row r="5" spans="1:15">
      <c r="A5" s="2" t="s">
        <v>375</v>
      </c>
      <c r="B5" s="12" t="s">
        <v>376</v>
      </c>
      <c r="C5" s="2" t="s">
        <v>377</v>
      </c>
      <c r="D5" s="12" t="s">
        <v>378</v>
      </c>
      <c r="E5" s="2" t="s">
        <v>379</v>
      </c>
      <c r="F5" s="12" t="s">
        <v>380</v>
      </c>
      <c r="G5" s="2" t="s">
        <v>381</v>
      </c>
      <c r="H5" s="2" t="s">
        <v>382</v>
      </c>
      <c r="I5" s="81"/>
      <c r="J5" s="81"/>
      <c r="K5" s="81"/>
      <c r="L5" s="81"/>
      <c r="M5" s="81"/>
      <c r="N5" s="81"/>
      <c r="O5" s="81"/>
    </row>
    <row r="6" spans="1:15">
      <c r="A6" s="2" t="s">
        <v>383</v>
      </c>
      <c r="B6" s="12" t="s">
        <v>384</v>
      </c>
      <c r="C6" s="2" t="s">
        <v>385</v>
      </c>
      <c r="D6" s="12" t="s">
        <v>386</v>
      </c>
      <c r="E6" s="2" t="s">
        <v>387</v>
      </c>
      <c r="F6" s="12" t="s">
        <v>388</v>
      </c>
      <c r="G6" s="2" t="s">
        <v>173</v>
      </c>
      <c r="H6" s="2" t="s">
        <v>389</v>
      </c>
      <c r="I6" s="81"/>
      <c r="J6" s="81"/>
      <c r="K6" s="81"/>
      <c r="L6" s="81"/>
      <c r="M6" s="81"/>
      <c r="N6" s="81"/>
      <c r="O6" s="81"/>
    </row>
    <row r="7" spans="1:15">
      <c r="A7" s="2" t="s">
        <v>390</v>
      </c>
      <c r="B7" s="12" t="s">
        <v>391</v>
      </c>
      <c r="C7" s="2" t="s">
        <v>392</v>
      </c>
      <c r="D7" s="12" t="s">
        <v>393</v>
      </c>
      <c r="E7" s="2" t="s">
        <v>394</v>
      </c>
      <c r="F7" s="12" t="s">
        <v>395</v>
      </c>
      <c r="G7" s="2" t="s">
        <v>396</v>
      </c>
      <c r="H7" s="2" t="s">
        <v>397</v>
      </c>
      <c r="I7" s="81"/>
      <c r="J7" s="81"/>
      <c r="K7" s="81"/>
      <c r="L7" s="81"/>
      <c r="M7" s="81"/>
      <c r="N7" s="81"/>
      <c r="O7" s="81"/>
    </row>
    <row r="8" spans="1:8">
      <c r="A8" s="2" t="s">
        <v>398</v>
      </c>
      <c r="B8" s="12" t="s">
        <v>399</v>
      </c>
      <c r="C8" s="2" t="s">
        <v>400</v>
      </c>
      <c r="D8" s="12" t="s">
        <v>365</v>
      </c>
      <c r="E8" s="2" t="s">
        <v>401</v>
      </c>
      <c r="F8" s="12" t="s">
        <v>380</v>
      </c>
      <c r="G8" s="2" t="s">
        <v>402</v>
      </c>
      <c r="H8" s="2" t="s">
        <v>403</v>
      </c>
    </row>
    <row r="9" spans="1:8">
      <c r="A9" s="2" t="s">
        <v>404</v>
      </c>
      <c r="B9" s="12" t="s">
        <v>405</v>
      </c>
      <c r="C9" s="2" t="s">
        <v>406</v>
      </c>
      <c r="D9" s="12" t="s">
        <v>407</v>
      </c>
      <c r="E9" s="2" t="s">
        <v>408</v>
      </c>
      <c r="F9" s="12" t="s">
        <v>409</v>
      </c>
      <c r="G9" s="2" t="s">
        <v>410</v>
      </c>
      <c r="H9" s="2" t="s">
        <v>396</v>
      </c>
    </row>
    <row r="10" spans="1:8">
      <c r="A10" s="2" t="s">
        <v>411</v>
      </c>
      <c r="B10" s="12" t="s">
        <v>412</v>
      </c>
      <c r="C10" s="2" t="s">
        <v>413</v>
      </c>
      <c r="D10" s="12" t="s">
        <v>414</v>
      </c>
      <c r="E10" s="2" t="s">
        <v>415</v>
      </c>
      <c r="F10" s="12" t="s">
        <v>416</v>
      </c>
      <c r="G10" s="2" t="s">
        <v>417</v>
      </c>
      <c r="H10" s="2" t="s">
        <v>418</v>
      </c>
    </row>
    <row r="11" spans="1:8">
      <c r="A11" s="2" t="s">
        <v>197</v>
      </c>
      <c r="B11" s="12" t="s">
        <v>419</v>
      </c>
      <c r="C11" s="2" t="s">
        <v>420</v>
      </c>
      <c r="D11" s="12" t="s">
        <v>421</v>
      </c>
      <c r="E11" s="2" t="s">
        <v>422</v>
      </c>
      <c r="F11" s="12" t="s">
        <v>370</v>
      </c>
      <c r="G11" s="2" t="s">
        <v>423</v>
      </c>
      <c r="H11" s="2" t="s">
        <v>424</v>
      </c>
    </row>
    <row r="12" spans="1:8">
      <c r="A12" s="2" t="s">
        <v>425</v>
      </c>
      <c r="B12" s="12" t="s">
        <v>426</v>
      </c>
      <c r="C12" s="2" t="s">
        <v>427</v>
      </c>
      <c r="D12" s="12" t="s">
        <v>428</v>
      </c>
      <c r="E12" s="2" t="s">
        <v>429</v>
      </c>
      <c r="F12" s="12" t="s">
        <v>430</v>
      </c>
      <c r="H12" s="2" t="s">
        <v>431</v>
      </c>
    </row>
    <row r="13" spans="1:8">
      <c r="A13" s="2" t="s">
        <v>432</v>
      </c>
      <c r="B13" s="12" t="s">
        <v>433</v>
      </c>
      <c r="C13" s="2" t="s">
        <v>386</v>
      </c>
      <c r="D13" s="12" t="s">
        <v>434</v>
      </c>
      <c r="E13" s="2" t="s">
        <v>435</v>
      </c>
      <c r="F13" s="12" t="s">
        <v>436</v>
      </c>
      <c r="H13" s="2" t="s">
        <v>437</v>
      </c>
    </row>
    <row r="14" spans="1:8">
      <c r="A14" s="2" t="s">
        <v>438</v>
      </c>
      <c r="B14" s="12" t="s">
        <v>439</v>
      </c>
      <c r="C14" s="2" t="s">
        <v>440</v>
      </c>
      <c r="D14" s="12" t="s">
        <v>441</v>
      </c>
      <c r="F14" s="12" t="s">
        <v>442</v>
      </c>
      <c r="H14" s="2" t="s">
        <v>443</v>
      </c>
    </row>
    <row r="15" spans="1:8">
      <c r="A15" s="2" t="s">
        <v>444</v>
      </c>
      <c r="B15" s="12" t="s">
        <v>445</v>
      </c>
      <c r="C15" s="2" t="s">
        <v>446</v>
      </c>
      <c r="D15" s="12" t="s">
        <v>447</v>
      </c>
      <c r="F15" s="12" t="s">
        <v>448</v>
      </c>
      <c r="H15" s="2" t="s">
        <v>449</v>
      </c>
    </row>
    <row r="16" spans="1:8">
      <c r="A16" s="2" t="s">
        <v>450</v>
      </c>
      <c r="B16" s="12" t="s">
        <v>451</v>
      </c>
      <c r="D16" s="12" t="s">
        <v>452</v>
      </c>
      <c r="F16" s="12"/>
      <c r="H16" s="2" t="s">
        <v>453</v>
      </c>
    </row>
    <row r="17" spans="1:8">
      <c r="A17" s="2" t="s">
        <v>454</v>
      </c>
      <c r="B17" s="12" t="s">
        <v>455</v>
      </c>
      <c r="D17" s="12" t="s">
        <v>456</v>
      </c>
      <c r="F17" s="12"/>
      <c r="H17" s="2" t="s">
        <v>457</v>
      </c>
    </row>
    <row r="18" spans="1:8">
      <c r="A18" s="2" t="s">
        <v>458</v>
      </c>
      <c r="B18" s="12" t="s">
        <v>459</v>
      </c>
      <c r="D18" s="12" t="s">
        <v>460</v>
      </c>
      <c r="F18" s="12"/>
      <c r="H18" s="2" t="s">
        <v>461</v>
      </c>
    </row>
    <row r="19" spans="1:6">
      <c r="A19" s="2" t="s">
        <v>462</v>
      </c>
      <c r="B19" s="12" t="s">
        <v>384</v>
      </c>
      <c r="D19" s="12" t="s">
        <v>463</v>
      </c>
      <c r="F19" s="12"/>
    </row>
    <row r="20" spans="1:6">
      <c r="A20" s="2" t="s">
        <v>464</v>
      </c>
      <c r="B20" s="12" t="s">
        <v>391</v>
      </c>
      <c r="D20" s="12" t="s">
        <v>465</v>
      </c>
      <c r="F20" s="12"/>
    </row>
    <row r="21" spans="1:6">
      <c r="A21" s="2" t="s">
        <v>466</v>
      </c>
      <c r="B21" s="12" t="s">
        <v>467</v>
      </c>
      <c r="D21" s="12" t="s">
        <v>381</v>
      </c>
      <c r="F21" s="12"/>
    </row>
    <row r="22" spans="1:6">
      <c r="A22" s="2" t="s">
        <v>467</v>
      </c>
      <c r="B22" s="12" t="s">
        <v>468</v>
      </c>
      <c r="D22" s="12" t="s">
        <v>469</v>
      </c>
      <c r="F22" s="12"/>
    </row>
    <row r="23" spans="1:6">
      <c r="A23" s="2" t="s">
        <v>470</v>
      </c>
      <c r="B23" s="12" t="s">
        <v>471</v>
      </c>
      <c r="D23" s="12" t="s">
        <v>472</v>
      </c>
      <c r="F23" s="12"/>
    </row>
    <row r="24" spans="1:6">
      <c r="A24" s="2" t="s">
        <v>473</v>
      </c>
      <c r="B24" s="12" t="s">
        <v>474</v>
      </c>
      <c r="D24" s="12" t="s">
        <v>475</v>
      </c>
      <c r="F24" s="12"/>
    </row>
    <row r="25" spans="1:6">
      <c r="A25" s="2" t="s">
        <v>476</v>
      </c>
      <c r="B25" s="12" t="s">
        <v>477</v>
      </c>
      <c r="D25" s="12" t="s">
        <v>478</v>
      </c>
      <c r="F25" s="12"/>
    </row>
    <row r="26" spans="1:6">
      <c r="A26" s="2" t="s">
        <v>479</v>
      </c>
      <c r="B26" s="12" t="s">
        <v>480</v>
      </c>
      <c r="D26" s="12" t="s">
        <v>481</v>
      </c>
      <c r="F26" s="12"/>
    </row>
    <row r="27" spans="1:6">
      <c r="A27" s="2" t="s">
        <v>482</v>
      </c>
      <c r="B27" s="12" t="s">
        <v>483</v>
      </c>
      <c r="D27" s="12" t="s">
        <v>484</v>
      </c>
      <c r="F27" s="12"/>
    </row>
    <row r="28" spans="1:6">
      <c r="A28" s="2" t="s">
        <v>485</v>
      </c>
      <c r="B28" s="12" t="s">
        <v>486</v>
      </c>
      <c r="D28" s="12"/>
      <c r="F28" s="12"/>
    </row>
    <row r="29" spans="1:6">
      <c r="A29" s="2" t="s">
        <v>487</v>
      </c>
      <c r="B29" s="12" t="s">
        <v>382</v>
      </c>
      <c r="D29" s="12"/>
      <c r="F29" s="12"/>
    </row>
    <row r="30" spans="1:6">
      <c r="A30" s="2" t="s">
        <v>488</v>
      </c>
      <c r="B30" s="12" t="s">
        <v>444</v>
      </c>
      <c r="D30" s="12"/>
      <c r="F30" s="12"/>
    </row>
    <row r="31" spans="1:6">
      <c r="A31" s="2" t="s">
        <v>489</v>
      </c>
      <c r="B31" s="12" t="s">
        <v>490</v>
      </c>
      <c r="D31" s="12"/>
      <c r="F31" s="12"/>
    </row>
    <row r="32" spans="1:6">
      <c r="A32" s="2" t="s">
        <v>491</v>
      </c>
      <c r="B32" s="12" t="s">
        <v>492</v>
      </c>
      <c r="D32" s="12"/>
      <c r="F32" s="12"/>
    </row>
    <row r="33" spans="1:6">
      <c r="A33" s="2" t="s">
        <v>493</v>
      </c>
      <c r="B33" s="12" t="s">
        <v>454</v>
      </c>
      <c r="D33" s="12"/>
      <c r="F33" s="12"/>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I3" sqref="I3"/>
    </sheetView>
  </sheetViews>
  <sheetFormatPr defaultColWidth="9.14285714285714" defaultRowHeight="15"/>
  <cols>
    <col min="1" max="4" width="14.8571428571429" customWidth="1"/>
    <col min="7" max="7" width="11.2857142857143" customWidth="1"/>
    <col min="10" max="10" width="7.85714285714286" customWidth="1"/>
  </cols>
  <sheetData>
    <row r="1" spans="1:12">
      <c r="A1" s="67" t="s">
        <v>133</v>
      </c>
      <c r="B1" s="67" t="s">
        <v>494</v>
      </c>
      <c r="C1" s="67" t="s">
        <v>135</v>
      </c>
      <c r="D1" s="67" t="s">
        <v>357</v>
      </c>
      <c r="E1" s="67" t="s">
        <v>495</v>
      </c>
      <c r="F1" s="67" t="s">
        <v>496</v>
      </c>
      <c r="G1" s="67" t="s">
        <v>497</v>
      </c>
      <c r="H1" s="67" t="s">
        <v>354</v>
      </c>
      <c r="I1" s="67" t="s">
        <v>498</v>
      </c>
      <c r="J1" s="75" t="s">
        <v>499</v>
      </c>
      <c r="K1" s="75" t="s">
        <v>500</v>
      </c>
      <c r="L1" s="76" t="s">
        <v>501</v>
      </c>
    </row>
    <row r="2" spans="1:12">
      <c r="A2" s="67"/>
      <c r="B2" s="67"/>
      <c r="C2" s="67"/>
      <c r="D2" s="67"/>
      <c r="E2" s="67"/>
      <c r="F2" s="67"/>
      <c r="G2" s="67"/>
      <c r="H2" s="67"/>
      <c r="I2" s="67"/>
      <c r="J2" s="75"/>
      <c r="K2" s="75"/>
      <c r="L2" s="76"/>
    </row>
    <row r="3" spans="1:12">
      <c r="A3" s="68" t="s">
        <v>502</v>
      </c>
      <c r="B3" s="69">
        <v>0</v>
      </c>
      <c r="C3" s="12">
        <v>3</v>
      </c>
      <c r="D3" s="13">
        <v>0</v>
      </c>
      <c r="E3" s="13">
        <v>1</v>
      </c>
      <c r="F3" s="13">
        <v>1</v>
      </c>
      <c r="G3" s="13">
        <v>6</v>
      </c>
      <c r="H3" s="13">
        <v>9</v>
      </c>
      <c r="I3" s="13">
        <f>SUM(D3:H3)</f>
        <v>17</v>
      </c>
      <c r="J3" s="13">
        <v>1</v>
      </c>
      <c r="K3" s="13">
        <v>0</v>
      </c>
      <c r="L3" t="s">
        <v>503</v>
      </c>
    </row>
    <row r="4" spans="1:12">
      <c r="A4" s="68" t="s">
        <v>504</v>
      </c>
      <c r="B4" s="69">
        <v>1</v>
      </c>
      <c r="C4" s="12">
        <v>1</v>
      </c>
      <c r="D4" s="13">
        <v>1</v>
      </c>
      <c r="E4" s="13">
        <v>1</v>
      </c>
      <c r="F4" s="13">
        <v>2</v>
      </c>
      <c r="G4" s="13">
        <v>7</v>
      </c>
      <c r="H4" s="13">
        <v>10</v>
      </c>
      <c r="I4" s="13">
        <f>SUM(D4:H4)</f>
        <v>21</v>
      </c>
      <c r="J4" s="13">
        <v>1</v>
      </c>
      <c r="K4" s="13">
        <v>1</v>
      </c>
      <c r="L4" t="s">
        <v>505</v>
      </c>
    </row>
    <row r="5" spans="1:12">
      <c r="A5" s="68" t="s">
        <v>506</v>
      </c>
      <c r="B5" s="69">
        <v>2</v>
      </c>
      <c r="C5" s="12">
        <v>2</v>
      </c>
      <c r="D5" s="13">
        <v>1</v>
      </c>
      <c r="E5" s="13">
        <v>1</v>
      </c>
      <c r="F5" s="13">
        <v>3</v>
      </c>
      <c r="G5" s="13">
        <v>8</v>
      </c>
      <c r="H5" s="13">
        <v>11</v>
      </c>
      <c r="I5" s="13">
        <f>SUM(D5:H5)</f>
        <v>24</v>
      </c>
      <c r="J5" s="13">
        <v>1</v>
      </c>
      <c r="K5" s="13">
        <v>2</v>
      </c>
      <c r="L5" t="s">
        <v>507</v>
      </c>
    </row>
    <row r="6" spans="1:12">
      <c r="A6" s="68" t="s">
        <v>508</v>
      </c>
      <c r="B6" s="69">
        <v>3</v>
      </c>
      <c r="C6" s="12">
        <v>4</v>
      </c>
      <c r="D6" s="13">
        <v>1</v>
      </c>
      <c r="E6" s="13">
        <v>1</v>
      </c>
      <c r="F6" s="13">
        <v>4</v>
      </c>
      <c r="G6" s="13">
        <v>9</v>
      </c>
      <c r="H6" s="13">
        <v>12</v>
      </c>
      <c r="I6" s="13">
        <f>SUM(D6:H6)</f>
        <v>27</v>
      </c>
      <c r="J6" s="13">
        <v>1</v>
      </c>
      <c r="K6" s="13">
        <v>3</v>
      </c>
      <c r="L6" t="s">
        <v>509</v>
      </c>
    </row>
    <row r="7" spans="1:12">
      <c r="A7" s="68" t="s">
        <v>510</v>
      </c>
      <c r="B7" s="69">
        <v>4</v>
      </c>
      <c r="C7" s="12">
        <v>5</v>
      </c>
      <c r="D7" s="13">
        <v>1</v>
      </c>
      <c r="E7" s="13">
        <v>1</v>
      </c>
      <c r="F7" s="13">
        <v>4</v>
      </c>
      <c r="G7" s="13">
        <v>10</v>
      </c>
      <c r="H7" s="13">
        <v>13</v>
      </c>
      <c r="I7" s="13">
        <f>SUM(D7:H7)</f>
        <v>29</v>
      </c>
      <c r="J7" s="13">
        <v>0</v>
      </c>
      <c r="K7" s="13">
        <v>4</v>
      </c>
      <c r="L7" t="s">
        <v>511</v>
      </c>
    </row>
    <row r="23" spans="1:8">
      <c r="A23" s="70" t="s">
        <v>512</v>
      </c>
      <c r="B23" s="70"/>
      <c r="C23" s="71" t="s">
        <v>513</v>
      </c>
      <c r="D23" s="71"/>
      <c r="E23" s="71" t="s">
        <v>514</v>
      </c>
      <c r="F23" s="71"/>
      <c r="G23" s="71" t="s">
        <v>515</v>
      </c>
      <c r="H23" s="71"/>
    </row>
    <row r="24" spans="1:8">
      <c r="A24" s="70"/>
      <c r="B24" s="70"/>
      <c r="C24" s="70" t="s">
        <v>516</v>
      </c>
      <c r="D24" s="70" t="s">
        <v>517</v>
      </c>
      <c r="E24" s="70" t="s">
        <v>516</v>
      </c>
      <c r="F24" s="70" t="s">
        <v>517</v>
      </c>
      <c r="G24" s="70" t="s">
        <v>516</v>
      </c>
      <c r="H24" s="70" t="s">
        <v>517</v>
      </c>
    </row>
    <row r="25" spans="1:8">
      <c r="A25" s="72" t="s">
        <v>518</v>
      </c>
      <c r="B25" s="72"/>
      <c r="C25" s="73" t="s">
        <v>519</v>
      </c>
      <c r="D25" s="74"/>
      <c r="E25" s="73" t="s">
        <v>520</v>
      </c>
      <c r="F25" s="74" t="s">
        <v>521</v>
      </c>
      <c r="G25" s="73" t="s">
        <v>522</v>
      </c>
      <c r="H25" s="74" t="s">
        <v>523</v>
      </c>
    </row>
    <row r="26" spans="1:8">
      <c r="A26" s="72" t="s">
        <v>524</v>
      </c>
      <c r="B26" s="72"/>
      <c r="C26" s="73" t="s">
        <v>525</v>
      </c>
      <c r="D26" s="74"/>
      <c r="E26" s="73" t="s">
        <v>526</v>
      </c>
      <c r="F26" s="74" t="s">
        <v>527</v>
      </c>
      <c r="G26" s="73" t="s">
        <v>528</v>
      </c>
      <c r="H26" s="74" t="s">
        <v>529</v>
      </c>
    </row>
    <row r="27" spans="1:8">
      <c r="A27" s="72" t="s">
        <v>530</v>
      </c>
      <c r="B27" s="72"/>
      <c r="C27" s="73" t="s">
        <v>531</v>
      </c>
      <c r="D27" s="74"/>
      <c r="E27" s="73" t="s">
        <v>532</v>
      </c>
      <c r="F27" s="74" t="s">
        <v>533</v>
      </c>
      <c r="G27" s="73" t="s">
        <v>534</v>
      </c>
      <c r="H27" s="74" t="s">
        <v>535</v>
      </c>
    </row>
    <row r="28" spans="1:8">
      <c r="A28" s="72" t="s">
        <v>536</v>
      </c>
      <c r="B28" s="72"/>
      <c r="C28" s="73" t="s">
        <v>537</v>
      </c>
      <c r="D28" s="74"/>
      <c r="E28" s="73" t="s">
        <v>538</v>
      </c>
      <c r="F28" s="74"/>
      <c r="G28" s="73" t="s">
        <v>539</v>
      </c>
      <c r="H28" s="74" t="s">
        <v>540</v>
      </c>
    </row>
    <row r="29" spans="1:8">
      <c r="A29" s="72" t="s">
        <v>541</v>
      </c>
      <c r="B29" s="72"/>
      <c r="C29" s="73" t="s">
        <v>542</v>
      </c>
      <c r="D29" s="74"/>
      <c r="E29" s="73" t="s">
        <v>543</v>
      </c>
      <c r="F29" s="74"/>
      <c r="G29" s="73" t="s">
        <v>544</v>
      </c>
      <c r="H29" s="74" t="s">
        <v>545</v>
      </c>
    </row>
    <row r="30" spans="1:8">
      <c r="A30" s="72" t="s">
        <v>546</v>
      </c>
      <c r="B30" s="72"/>
      <c r="C30" s="73" t="s">
        <v>547</v>
      </c>
      <c r="D30" s="74"/>
      <c r="E30" s="73"/>
      <c r="F30" s="74"/>
      <c r="G30" s="73" t="s">
        <v>548</v>
      </c>
      <c r="H30" s="74" t="s">
        <v>522</v>
      </c>
    </row>
    <row r="31" spans="1:8">
      <c r="A31" s="72" t="s">
        <v>549</v>
      </c>
      <c r="B31" s="72"/>
      <c r="C31" s="73" t="s">
        <v>550</v>
      </c>
      <c r="D31" s="74"/>
      <c r="E31" s="73"/>
      <c r="F31" s="74"/>
      <c r="G31" s="73" t="s">
        <v>551</v>
      </c>
      <c r="H31" s="74"/>
    </row>
    <row r="32" spans="1:8">
      <c r="A32" s="72" t="s">
        <v>552</v>
      </c>
      <c r="B32" s="72"/>
      <c r="C32" s="73" t="s">
        <v>553</v>
      </c>
      <c r="D32" s="74"/>
      <c r="E32" s="73"/>
      <c r="F32" s="74"/>
      <c r="G32" s="73" t="s">
        <v>554</v>
      </c>
      <c r="H32" s="74"/>
    </row>
    <row r="33" spans="1:8">
      <c r="A33" s="72" t="s">
        <v>555</v>
      </c>
      <c r="B33" s="72"/>
      <c r="C33" s="73" t="s">
        <v>556</v>
      </c>
      <c r="D33" s="74"/>
      <c r="E33" s="73"/>
      <c r="F33" s="74"/>
      <c r="G33" s="73" t="s">
        <v>557</v>
      </c>
      <c r="H33" s="74"/>
    </row>
    <row r="34" spans="1:8">
      <c r="A34" s="72" t="s">
        <v>558</v>
      </c>
      <c r="B34" s="72"/>
      <c r="C34" s="73"/>
      <c r="D34" s="74"/>
      <c r="E34" s="73"/>
      <c r="F34" s="74"/>
      <c r="G34" s="73" t="s">
        <v>559</v>
      </c>
      <c r="H34" s="74"/>
    </row>
    <row r="35" spans="1:8">
      <c r="A35" s="72" t="s">
        <v>560</v>
      </c>
      <c r="B35" s="72"/>
      <c r="C35" s="73"/>
      <c r="D35" s="74"/>
      <c r="E35" s="73"/>
      <c r="F35" s="74"/>
      <c r="G35" s="73" t="s">
        <v>561</v>
      </c>
      <c r="H35" s="74"/>
    </row>
    <row r="36" spans="1:8">
      <c r="A36" s="72" t="s">
        <v>562</v>
      </c>
      <c r="B36" s="72"/>
      <c r="C36" s="73"/>
      <c r="D36" s="74"/>
      <c r="E36" s="73"/>
      <c r="F36" s="74"/>
      <c r="G36" s="73" t="s">
        <v>545</v>
      </c>
      <c r="H36" s="74"/>
    </row>
    <row r="37" spans="1:8">
      <c r="A37" s="72"/>
      <c r="B37" s="72"/>
      <c r="C37" s="73"/>
      <c r="D37" s="74"/>
      <c r="E37" s="73"/>
      <c r="F37" s="74"/>
      <c r="G37" s="73" t="s">
        <v>563</v>
      </c>
      <c r="H37" s="74"/>
    </row>
    <row r="38" spans="1:8">
      <c r="A38" s="72"/>
      <c r="B38" s="72"/>
      <c r="C38" s="73"/>
      <c r="D38" s="74"/>
      <c r="E38" s="73"/>
      <c r="F38" s="74"/>
      <c r="G38" s="73" t="s">
        <v>564</v>
      </c>
      <c r="H38" s="74"/>
    </row>
    <row r="39" spans="1:8">
      <c r="A39" s="72"/>
      <c r="B39" s="72"/>
      <c r="C39" s="73"/>
      <c r="D39" s="74"/>
      <c r="E39" s="73"/>
      <c r="F39" s="74"/>
      <c r="G39" s="73" t="s">
        <v>540</v>
      </c>
      <c r="H39" s="74"/>
    </row>
    <row r="40" spans="1:8">
      <c r="A40" s="72"/>
      <c r="B40" s="72"/>
      <c r="C40" s="73"/>
      <c r="D40" s="74"/>
      <c r="E40" s="73"/>
      <c r="F40" s="74"/>
      <c r="G40" s="73"/>
      <c r="H40" s="74"/>
    </row>
  </sheetData>
  <mergeCells count="15">
    <mergeCell ref="C23:D23"/>
    <mergeCell ref="E23:F23"/>
    <mergeCell ref="G23:H23"/>
    <mergeCell ref="A1:A2"/>
    <mergeCell ref="B1:B2"/>
    <mergeCell ref="C1:C2"/>
    <mergeCell ref="D1:D2"/>
    <mergeCell ref="E1:E2"/>
    <mergeCell ref="F1:F2"/>
    <mergeCell ref="G1:G2"/>
    <mergeCell ref="H1:H2"/>
    <mergeCell ref="I1:I2"/>
    <mergeCell ref="J1:J2"/>
    <mergeCell ref="K1:K2"/>
    <mergeCell ref="L1:L2"/>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zoomScale="115" zoomScaleNormal="115" workbookViewId="0">
      <selection activeCell="D10" sqref="D10"/>
    </sheetView>
  </sheetViews>
  <sheetFormatPr defaultColWidth="9.14285714285714" defaultRowHeight="15" outlineLevelCol="4"/>
  <cols>
    <col min="1" max="2" width="20.5714285714286" style="32" customWidth="1"/>
    <col min="3" max="3" width="9.14285714285714" style="32"/>
    <col min="4" max="4" width="51.5428571428571" style="32" customWidth="1"/>
    <col min="5" max="5" width="41" style="32" customWidth="1"/>
    <col min="6" max="16384" width="9.14285714285714" style="32"/>
  </cols>
  <sheetData>
    <row r="1" spans="1:5">
      <c r="A1" s="51" t="s">
        <v>565</v>
      </c>
      <c r="B1" s="51" t="s">
        <v>133</v>
      </c>
      <c r="C1" s="52" t="s">
        <v>566</v>
      </c>
      <c r="D1" s="53" t="s">
        <v>567</v>
      </c>
      <c r="E1" s="54" t="s">
        <v>568</v>
      </c>
    </row>
    <row r="2" spans="1:5">
      <c r="A2" s="55"/>
      <c r="B2" s="55"/>
      <c r="C2" s="56"/>
      <c r="D2" s="57"/>
      <c r="E2" s="58"/>
    </row>
    <row r="3" spans="1:5">
      <c r="A3" s="59" t="s">
        <v>569</v>
      </c>
      <c r="B3" s="59"/>
      <c r="C3" s="60">
        <v>2</v>
      </c>
      <c r="D3" s="61" t="s">
        <v>570</v>
      </c>
      <c r="E3" s="62" t="s">
        <v>571</v>
      </c>
    </row>
    <row r="4" spans="1:5">
      <c r="A4" s="59" t="s">
        <v>572</v>
      </c>
      <c r="B4" s="59"/>
      <c r="C4" s="60">
        <v>2</v>
      </c>
      <c r="D4" s="61" t="s">
        <v>573</v>
      </c>
      <c r="E4" s="62" t="s">
        <v>574</v>
      </c>
    </row>
    <row r="5" spans="1:5">
      <c r="A5" s="59" t="s">
        <v>575</v>
      </c>
      <c r="B5" s="59"/>
      <c r="C5" s="60">
        <v>2</v>
      </c>
      <c r="D5" s="61" t="s">
        <v>576</v>
      </c>
      <c r="E5" s="62" t="s">
        <v>577</v>
      </c>
    </row>
    <row r="6" spans="1:5">
      <c r="A6" s="59" t="s">
        <v>578</v>
      </c>
      <c r="B6" s="59"/>
      <c r="C6" s="60"/>
      <c r="D6" s="61"/>
      <c r="E6" s="62" t="s">
        <v>579</v>
      </c>
    </row>
    <row r="7" spans="1:5">
      <c r="A7" s="59" t="s">
        <v>580</v>
      </c>
      <c r="B7" s="59" t="s">
        <v>581</v>
      </c>
      <c r="C7" s="60">
        <v>2</v>
      </c>
      <c r="D7" s="61" t="s">
        <v>582</v>
      </c>
      <c r="E7" s="62" t="s">
        <v>583</v>
      </c>
    </row>
    <row r="8" spans="1:5">
      <c r="A8" s="59" t="s">
        <v>584</v>
      </c>
      <c r="B8" s="59" t="s">
        <v>585</v>
      </c>
      <c r="C8" s="60">
        <v>2</v>
      </c>
      <c r="D8" s="61" t="s">
        <v>586</v>
      </c>
      <c r="E8" s="62" t="s">
        <v>587</v>
      </c>
    </row>
    <row r="9" spans="1:5">
      <c r="A9" s="59" t="s">
        <v>588</v>
      </c>
      <c r="B9" s="59" t="s">
        <v>589</v>
      </c>
      <c r="C9" s="60">
        <v>2</v>
      </c>
      <c r="D9" s="61" t="s">
        <v>590</v>
      </c>
      <c r="E9" s="310" t="s">
        <v>591</v>
      </c>
    </row>
    <row r="10" spans="1:5">
      <c r="A10" s="59"/>
      <c r="B10" s="59"/>
      <c r="C10" s="60"/>
      <c r="D10" s="61"/>
      <c r="E10" s="62"/>
    </row>
    <row r="11" spans="1:5">
      <c r="A11" s="59" t="s">
        <v>592</v>
      </c>
      <c r="B11" s="59" t="s">
        <v>593</v>
      </c>
      <c r="C11" s="60">
        <v>2</v>
      </c>
      <c r="D11" s="61" t="s">
        <v>594</v>
      </c>
      <c r="E11" s="62" t="s">
        <v>595</v>
      </c>
    </row>
    <row r="12" spans="1:5">
      <c r="A12" s="59" t="s">
        <v>596</v>
      </c>
      <c r="B12" s="59" t="s">
        <v>597</v>
      </c>
      <c r="C12" s="60">
        <v>2</v>
      </c>
      <c r="D12" s="61" t="s">
        <v>598</v>
      </c>
      <c r="E12" s="62" t="s">
        <v>599</v>
      </c>
    </row>
    <row r="13" spans="1:5">
      <c r="A13" s="59" t="s">
        <v>600</v>
      </c>
      <c r="B13" s="59" t="s">
        <v>601</v>
      </c>
      <c r="C13" s="60">
        <v>2</v>
      </c>
      <c r="D13" s="61" t="s">
        <v>602</v>
      </c>
      <c r="E13" s="62" t="s">
        <v>603</v>
      </c>
    </row>
    <row r="14" spans="1:5">
      <c r="A14" s="59" t="s">
        <v>604</v>
      </c>
      <c r="B14" s="59" t="s">
        <v>605</v>
      </c>
      <c r="C14" s="60">
        <v>2</v>
      </c>
      <c r="D14" s="61" t="s">
        <v>606</v>
      </c>
      <c r="E14" s="62" t="s">
        <v>607</v>
      </c>
    </row>
    <row r="15" spans="1:5">
      <c r="A15" s="59" t="s">
        <v>608</v>
      </c>
      <c r="B15" s="59" t="s">
        <v>609</v>
      </c>
      <c r="C15" s="60">
        <v>2</v>
      </c>
      <c r="D15" s="61" t="s">
        <v>610</v>
      </c>
      <c r="E15" s="62" t="s">
        <v>611</v>
      </c>
    </row>
    <row r="16" spans="1:5">
      <c r="A16" s="63"/>
      <c r="B16" s="63"/>
      <c r="C16" s="64"/>
      <c r="D16" s="65"/>
      <c r="E16" s="66"/>
    </row>
    <row r="17" spans="1:5">
      <c r="A17" s="59" t="s">
        <v>612</v>
      </c>
      <c r="B17" s="59"/>
      <c r="C17" s="60">
        <v>2</v>
      </c>
      <c r="D17" s="61"/>
      <c r="E17" s="62"/>
    </row>
    <row r="18" spans="1:5">
      <c r="A18" s="59" t="s">
        <v>613</v>
      </c>
      <c r="B18" s="59"/>
      <c r="C18" s="60">
        <v>4</v>
      </c>
      <c r="D18" s="61"/>
      <c r="E18" s="62"/>
    </row>
    <row r="19" spans="1:5">
      <c r="A19" s="59" t="s">
        <v>614</v>
      </c>
      <c r="B19" s="59"/>
      <c r="C19" s="60">
        <v>6</v>
      </c>
      <c r="D19" s="61"/>
      <c r="E19" s="62"/>
    </row>
    <row r="20" spans="1:5">
      <c r="A20" s="59" t="s">
        <v>615</v>
      </c>
      <c r="B20" s="59"/>
      <c r="C20" s="60">
        <v>8</v>
      </c>
      <c r="D20" s="61"/>
      <c r="E20" s="62"/>
    </row>
    <row r="21" spans="1:5">
      <c r="A21" s="59" t="s">
        <v>616</v>
      </c>
      <c r="B21" s="59"/>
      <c r="C21" s="60">
        <v>10</v>
      </c>
      <c r="D21" s="61"/>
      <c r="E21" s="62"/>
    </row>
    <row r="22" spans="1:5">
      <c r="A22" s="59"/>
      <c r="B22" s="59"/>
      <c r="C22" s="60"/>
      <c r="D22" s="61"/>
      <c r="E22" s="62"/>
    </row>
    <row r="23" spans="1:5">
      <c r="A23" s="59"/>
      <c r="B23" s="59"/>
      <c r="C23" s="60"/>
      <c r="D23" s="61"/>
      <c r="E23" s="62"/>
    </row>
    <row r="24" spans="1:5">
      <c r="A24" s="59"/>
      <c r="B24" s="59"/>
      <c r="C24" s="60"/>
      <c r="D24" s="61"/>
      <c r="E24" s="62"/>
    </row>
    <row r="25" spans="1:5">
      <c r="A25" s="59"/>
      <c r="B25" s="59"/>
      <c r="C25" s="60"/>
      <c r="D25" s="61"/>
      <c r="E25" s="62"/>
    </row>
    <row r="26" spans="1:5">
      <c r="A26" s="59"/>
      <c r="B26" s="59"/>
      <c r="C26" s="60"/>
      <c r="D26" s="61"/>
      <c r="E26" s="62"/>
    </row>
    <row r="27" spans="1:5">
      <c r="A27" s="59"/>
      <c r="B27" s="59"/>
      <c r="C27" s="60"/>
      <c r="D27" s="61"/>
      <c r="E27" s="62"/>
    </row>
    <row r="28" spans="1:5">
      <c r="A28" s="59"/>
      <c r="B28" s="59"/>
      <c r="C28" s="60"/>
      <c r="D28" s="61"/>
      <c r="E28" s="62"/>
    </row>
    <row r="29" spans="1:5">
      <c r="A29" s="59"/>
      <c r="B29" s="59"/>
      <c r="C29" s="60"/>
      <c r="D29" s="61"/>
      <c r="E29" s="62"/>
    </row>
    <row r="30" spans="1:5">
      <c r="A30" s="59"/>
      <c r="B30" s="59"/>
      <c r="C30" s="60"/>
      <c r="D30" s="61"/>
      <c r="E30" s="62"/>
    </row>
    <row r="31" spans="1:5">
      <c r="A31" s="59"/>
      <c r="B31" s="59"/>
      <c r="C31" s="60"/>
      <c r="D31" s="61"/>
      <c r="E31" s="62"/>
    </row>
    <row r="32" spans="1:5">
      <c r="A32" s="59"/>
      <c r="B32" s="59"/>
      <c r="C32" s="60"/>
      <c r="D32" s="61"/>
      <c r="E32" s="62"/>
    </row>
    <row r="33" spans="1:5">
      <c r="A33" s="59"/>
      <c r="B33" s="59"/>
      <c r="C33" s="60"/>
      <c r="D33" s="61"/>
      <c r="E33" s="62"/>
    </row>
    <row r="34" spans="1:5">
      <c r="A34" s="59"/>
      <c r="B34" s="59"/>
      <c r="C34" s="60"/>
      <c r="D34" s="61"/>
      <c r="E34" s="62"/>
    </row>
    <row r="35" spans="1:5">
      <c r="A35" s="59"/>
      <c r="B35" s="59"/>
      <c r="C35" s="60"/>
      <c r="D35" s="61"/>
      <c r="E35" s="62"/>
    </row>
    <row r="36" spans="1:5">
      <c r="A36" s="59"/>
      <c r="B36" s="59"/>
      <c r="C36" s="60"/>
      <c r="D36" s="61"/>
      <c r="E36" s="62"/>
    </row>
    <row r="37" spans="1:5">
      <c r="A37" s="59"/>
      <c r="B37" s="59"/>
      <c r="C37" s="60"/>
      <c r="D37" s="61"/>
      <c r="E37" s="62"/>
    </row>
    <row r="38" spans="1:5">
      <c r="A38" s="59"/>
      <c r="B38" s="59"/>
      <c r="C38" s="60"/>
      <c r="D38" s="61"/>
      <c r="E38" s="62"/>
    </row>
    <row r="39" spans="1:5">
      <c r="A39" s="59"/>
      <c r="B39" s="59"/>
      <c r="C39" s="60"/>
      <c r="D39" s="61"/>
      <c r="E39" s="62"/>
    </row>
    <row r="40" spans="1:5">
      <c r="A40" s="59"/>
      <c r="B40" s="59"/>
      <c r="C40" s="60"/>
      <c r="D40" s="61"/>
      <c r="E40" s="62"/>
    </row>
    <row r="41" spans="1:5">
      <c r="A41" s="59"/>
      <c r="B41" s="59"/>
      <c r="C41" s="60"/>
      <c r="D41" s="61"/>
      <c r="E41" s="62"/>
    </row>
    <row r="42" spans="1:5">
      <c r="A42" s="59"/>
      <c r="B42" s="59"/>
      <c r="C42" s="60"/>
      <c r="D42" s="61"/>
      <c r="E42" s="62"/>
    </row>
    <row r="43" spans="1:5">
      <c r="A43" s="59"/>
      <c r="B43" s="59"/>
      <c r="C43" s="60"/>
      <c r="D43" s="61"/>
      <c r="E43" s="62"/>
    </row>
    <row r="44" spans="1:5">
      <c r="A44" s="59"/>
      <c r="B44" s="59"/>
      <c r="C44" s="60"/>
      <c r="D44" s="61"/>
      <c r="E44" s="62"/>
    </row>
    <row r="45" spans="1:5">
      <c r="A45" s="59"/>
      <c r="B45" s="59"/>
      <c r="C45" s="60"/>
      <c r="D45" s="61"/>
      <c r="E45" s="62"/>
    </row>
    <row r="46" spans="1:5">
      <c r="A46" s="59"/>
      <c r="B46" s="59"/>
      <c r="C46" s="60"/>
      <c r="D46" s="61"/>
      <c r="E46" s="62"/>
    </row>
    <row r="47" spans="1:5">
      <c r="A47" s="59"/>
      <c r="B47" s="59"/>
      <c r="C47" s="60"/>
      <c r="D47" s="61"/>
      <c r="E47" s="62"/>
    </row>
    <row r="48" spans="1:5">
      <c r="A48" s="59"/>
      <c r="B48" s="59"/>
      <c r="C48" s="60"/>
      <c r="D48" s="61"/>
      <c r="E48" s="62"/>
    </row>
    <row r="49" spans="1:5">
      <c r="A49" s="59"/>
      <c r="B49" s="59"/>
      <c r="C49" s="60"/>
      <c r="D49" s="61"/>
      <c r="E49" s="62"/>
    </row>
    <row r="50" spans="1:5">
      <c r="A50" s="59"/>
      <c r="B50" s="59"/>
      <c r="C50" s="60"/>
      <c r="D50" s="61"/>
      <c r="E50" s="62"/>
    </row>
    <row r="51" spans="1:5">
      <c r="A51" s="59"/>
      <c r="B51" s="59"/>
      <c r="C51" s="60"/>
      <c r="D51" s="61"/>
      <c r="E51" s="62"/>
    </row>
    <row r="52" spans="1:5">
      <c r="A52" s="59"/>
      <c r="B52" s="59"/>
      <c r="C52" s="60"/>
      <c r="D52" s="61"/>
      <c r="E52" s="62"/>
    </row>
    <row r="53" spans="1:5">
      <c r="A53" s="59"/>
      <c r="B53" s="59"/>
      <c r="C53" s="60"/>
      <c r="D53" s="61"/>
      <c r="E53" s="62"/>
    </row>
    <row r="54" spans="1:5">
      <c r="A54" s="59"/>
      <c r="B54" s="59"/>
      <c r="C54" s="60"/>
      <c r="D54" s="61"/>
      <c r="E54" s="62"/>
    </row>
    <row r="55" spans="1:5">
      <c r="A55" s="59"/>
      <c r="B55" s="59"/>
      <c r="C55" s="60"/>
      <c r="D55" s="61"/>
      <c r="E55" s="62"/>
    </row>
    <row r="56" spans="1:5">
      <c r="A56" s="59"/>
      <c r="B56" s="59"/>
      <c r="C56" s="60"/>
      <c r="D56" s="61"/>
      <c r="E56" s="62"/>
    </row>
    <row r="57" spans="1:5">
      <c r="A57" s="59"/>
      <c r="B57" s="59"/>
      <c r="C57" s="60"/>
      <c r="D57" s="61"/>
      <c r="E57" s="62"/>
    </row>
    <row r="58" spans="1:5">
      <c r="A58" s="59"/>
      <c r="B58" s="59"/>
      <c r="C58" s="60"/>
      <c r="D58" s="61"/>
      <c r="E58" s="62"/>
    </row>
    <row r="59" spans="1:5">
      <c r="A59" s="59"/>
      <c r="B59" s="59"/>
      <c r="C59" s="60"/>
      <c r="D59" s="61"/>
      <c r="E59" s="62"/>
    </row>
    <row r="60" spans="1:5">
      <c r="A60" s="59"/>
      <c r="B60" s="59"/>
      <c r="C60" s="60"/>
      <c r="D60" s="61"/>
      <c r="E60" s="62"/>
    </row>
    <row r="61" spans="1:5">
      <c r="A61" s="59"/>
      <c r="B61" s="59"/>
      <c r="C61" s="60"/>
      <c r="D61" s="61"/>
      <c r="E61" s="62"/>
    </row>
    <row r="62" spans="1:5">
      <c r="A62" s="59"/>
      <c r="B62" s="59"/>
      <c r="C62" s="60"/>
      <c r="D62" s="61"/>
      <c r="E62" s="62"/>
    </row>
    <row r="63" spans="1:5">
      <c r="A63" s="59"/>
      <c r="B63" s="59"/>
      <c r="C63" s="60"/>
      <c r="D63" s="61"/>
      <c r="E63" s="62"/>
    </row>
    <row r="64" spans="1:5">
      <c r="A64" s="59"/>
      <c r="B64" s="59"/>
      <c r="C64" s="60"/>
      <c r="D64" s="61"/>
      <c r="E64" s="62"/>
    </row>
    <row r="65" spans="1:5">
      <c r="A65" s="59"/>
      <c r="B65" s="59"/>
      <c r="C65" s="60"/>
      <c r="D65" s="61"/>
      <c r="E65" s="62"/>
    </row>
    <row r="66" spans="1:5">
      <c r="A66" s="59"/>
      <c r="B66" s="59"/>
      <c r="C66" s="60"/>
      <c r="D66" s="61"/>
      <c r="E66" s="62"/>
    </row>
    <row r="67" spans="1:5">
      <c r="A67" s="59"/>
      <c r="B67" s="59"/>
      <c r="C67" s="60"/>
      <c r="D67" s="61"/>
      <c r="E67" s="62"/>
    </row>
    <row r="68" spans="1:5">
      <c r="A68" s="59"/>
      <c r="B68" s="59"/>
      <c r="C68" s="60"/>
      <c r="D68" s="61"/>
      <c r="E68" s="62"/>
    </row>
    <row r="69" spans="1:5">
      <c r="A69" s="59"/>
      <c r="B69" s="59"/>
      <c r="C69" s="60"/>
      <c r="D69" s="61"/>
      <c r="E69" s="62"/>
    </row>
    <row r="70" spans="1:5">
      <c r="A70" s="59"/>
      <c r="B70" s="59"/>
      <c r="C70" s="60"/>
      <c r="D70" s="61"/>
      <c r="E70" s="62"/>
    </row>
    <row r="71" spans="1:5">
      <c r="A71" s="59"/>
      <c r="B71" s="59"/>
      <c r="C71" s="60"/>
      <c r="D71" s="61"/>
      <c r="E71" s="62"/>
    </row>
    <row r="72" spans="1:5">
      <c r="A72" s="59"/>
      <c r="B72" s="59"/>
      <c r="C72" s="60"/>
      <c r="D72" s="61"/>
      <c r="E72" s="62"/>
    </row>
    <row r="73" spans="1:5">
      <c r="A73" s="59"/>
      <c r="B73" s="59"/>
      <c r="C73" s="60"/>
      <c r="D73" s="61"/>
      <c r="E73" s="62"/>
    </row>
    <row r="74" spans="1:5">
      <c r="A74" s="59"/>
      <c r="B74" s="59"/>
      <c r="C74" s="60"/>
      <c r="D74" s="61"/>
      <c r="E74" s="62"/>
    </row>
    <row r="75" spans="1:5">
      <c r="A75" s="59"/>
      <c r="B75" s="59"/>
      <c r="C75" s="60"/>
      <c r="D75" s="61"/>
      <c r="E75" s="62"/>
    </row>
    <row r="76" spans="1:5">
      <c r="A76" s="59"/>
      <c r="B76" s="59"/>
      <c r="C76" s="60"/>
      <c r="D76" s="61"/>
      <c r="E76" s="62"/>
    </row>
  </sheetData>
  <mergeCells count="5">
    <mergeCell ref="A1:A2"/>
    <mergeCell ref="B1:B2"/>
    <mergeCell ref="C1:C2"/>
    <mergeCell ref="D1:D2"/>
    <mergeCell ref="E1:E2"/>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zoomScale="85" zoomScaleNormal="85" workbookViewId="0">
      <selection activeCell="D35" sqref="D35"/>
    </sheetView>
  </sheetViews>
  <sheetFormatPr defaultColWidth="9.14285714285714" defaultRowHeight="15"/>
  <cols>
    <col min="1" max="1" width="14" style="22" customWidth="1"/>
    <col min="2" max="2" width="14.7142857142857" style="22" customWidth="1"/>
    <col min="3" max="3" width="11.8571428571429" style="22" customWidth="1"/>
    <col min="4" max="4" width="127.571428571429" customWidth="1"/>
  </cols>
  <sheetData>
    <row r="1" ht="17.25" spans="1:4">
      <c r="A1" s="38" t="s">
        <v>133</v>
      </c>
      <c r="B1" s="38" t="s">
        <v>0</v>
      </c>
      <c r="C1" s="38" t="s">
        <v>617</v>
      </c>
      <c r="D1" s="38" t="s">
        <v>567</v>
      </c>
    </row>
    <row r="2" spans="1:4">
      <c r="A2" s="39" t="s">
        <v>618</v>
      </c>
      <c r="B2" s="39" t="s">
        <v>28</v>
      </c>
      <c r="C2" s="39"/>
      <c r="D2" s="40" t="s">
        <v>619</v>
      </c>
    </row>
    <row r="3" spans="1:4">
      <c r="A3" s="39" t="s">
        <v>620</v>
      </c>
      <c r="B3" s="39" t="s">
        <v>28</v>
      </c>
      <c r="C3" s="39"/>
      <c r="D3" s="40" t="s">
        <v>621</v>
      </c>
    </row>
    <row r="4" spans="1:4">
      <c r="A4" s="41"/>
      <c r="B4" s="41"/>
      <c r="C4" s="41"/>
      <c r="D4" s="42"/>
    </row>
    <row r="5" spans="1:4">
      <c r="A5" s="43" t="s">
        <v>622</v>
      </c>
      <c r="B5" s="43" t="s">
        <v>35</v>
      </c>
      <c r="C5" s="43"/>
      <c r="D5" s="44" t="s">
        <v>623</v>
      </c>
    </row>
    <row r="6" spans="1:9">
      <c r="A6" s="43" t="s">
        <v>624</v>
      </c>
      <c r="B6" s="43" t="s">
        <v>35</v>
      </c>
      <c r="C6" s="43"/>
      <c r="D6" s="44" t="s">
        <v>625</v>
      </c>
      <c r="I6" s="22"/>
    </row>
    <row r="7" spans="1:4">
      <c r="A7" s="41"/>
      <c r="B7" s="41"/>
      <c r="C7" s="41"/>
      <c r="D7" s="42"/>
    </row>
    <row r="8" spans="1:4">
      <c r="A8" s="39" t="s">
        <v>626</v>
      </c>
      <c r="B8" s="39" t="s">
        <v>49</v>
      </c>
      <c r="C8" s="39"/>
      <c r="D8" s="40" t="s">
        <v>627</v>
      </c>
    </row>
    <row r="9" spans="1:4">
      <c r="A9" s="39" t="s">
        <v>628</v>
      </c>
      <c r="B9" s="39" t="s">
        <v>49</v>
      </c>
      <c r="C9" s="39"/>
      <c r="D9" s="40" t="s">
        <v>629</v>
      </c>
    </row>
    <row r="10" spans="1:4">
      <c r="A10" s="41"/>
      <c r="B10" s="41"/>
      <c r="C10" s="41"/>
      <c r="D10" s="42"/>
    </row>
    <row r="11" spans="1:4">
      <c r="A11" s="43" t="s">
        <v>630</v>
      </c>
      <c r="B11" s="43" t="s">
        <v>42</v>
      </c>
      <c r="C11" s="43"/>
      <c r="D11" s="44" t="s">
        <v>631</v>
      </c>
    </row>
    <row r="12" spans="1:4">
      <c r="A12" s="43" t="s">
        <v>632</v>
      </c>
      <c r="B12" s="43" t="s">
        <v>42</v>
      </c>
      <c r="C12" s="43"/>
      <c r="D12" s="44" t="s">
        <v>633</v>
      </c>
    </row>
    <row r="13" spans="1:4">
      <c r="A13" s="41"/>
      <c r="B13" s="41"/>
      <c r="C13" s="41"/>
      <c r="D13" s="42"/>
    </row>
    <row r="14" spans="1:4">
      <c r="A14" s="39" t="s">
        <v>634</v>
      </c>
      <c r="B14" s="39" t="s">
        <v>20</v>
      </c>
      <c r="C14" s="39"/>
      <c r="D14" s="40" t="s">
        <v>635</v>
      </c>
    </row>
    <row r="15" spans="1:4">
      <c r="A15" s="39" t="s">
        <v>636</v>
      </c>
      <c r="B15" s="39" t="s">
        <v>20</v>
      </c>
      <c r="C15" s="39"/>
      <c r="D15" s="40" t="s">
        <v>637</v>
      </c>
    </row>
    <row r="16" spans="1:4">
      <c r="A16" s="41"/>
      <c r="B16" s="41"/>
      <c r="C16" s="41"/>
      <c r="D16" s="42"/>
    </row>
    <row r="17" spans="1:4">
      <c r="A17" s="45" t="s">
        <v>638</v>
      </c>
      <c r="B17" s="45" t="s">
        <v>177</v>
      </c>
      <c r="C17" s="45"/>
      <c r="D17" s="46" t="s">
        <v>639</v>
      </c>
    </row>
    <row r="18" spans="1:4">
      <c r="A18" s="45" t="s">
        <v>640</v>
      </c>
      <c r="B18" s="45" t="s">
        <v>177</v>
      </c>
      <c r="C18" s="45"/>
      <c r="D18" s="46" t="s">
        <v>641</v>
      </c>
    </row>
    <row r="19" spans="1:4">
      <c r="A19" s="47"/>
      <c r="B19" s="47"/>
      <c r="C19" s="47"/>
      <c r="D19" s="48"/>
    </row>
    <row r="20" spans="1:4">
      <c r="A20" s="45" t="s">
        <v>642</v>
      </c>
      <c r="B20" s="45" t="s">
        <v>181</v>
      </c>
      <c r="C20" s="45"/>
      <c r="D20" s="46" t="s">
        <v>643</v>
      </c>
    </row>
    <row r="21" spans="1:4">
      <c r="A21" s="45" t="s">
        <v>644</v>
      </c>
      <c r="B21" s="45" t="s">
        <v>181</v>
      </c>
      <c r="C21" s="45"/>
      <c r="D21" s="46" t="s">
        <v>645</v>
      </c>
    </row>
    <row r="22" spans="1:4">
      <c r="A22" s="47"/>
      <c r="B22" s="47"/>
      <c r="C22" s="47"/>
      <c r="D22" s="48"/>
    </row>
    <row r="23" spans="1:4">
      <c r="A23" s="49" t="s">
        <v>646</v>
      </c>
      <c r="B23" s="49" t="s">
        <v>184</v>
      </c>
      <c r="C23" s="49"/>
      <c r="D23" s="50" t="s">
        <v>647</v>
      </c>
    </row>
    <row r="24" spans="1:4">
      <c r="A24" s="49" t="s">
        <v>648</v>
      </c>
      <c r="B24" s="49" t="s">
        <v>184</v>
      </c>
      <c r="C24" s="49"/>
      <c r="D24" s="50" t="s">
        <v>649</v>
      </c>
    </row>
    <row r="25" spans="1:4">
      <c r="A25" s="47"/>
      <c r="B25" s="47"/>
      <c r="C25" s="47"/>
      <c r="D25" s="48"/>
    </row>
    <row r="26" spans="1:4">
      <c r="A26" s="45" t="s">
        <v>650</v>
      </c>
      <c r="B26" s="45" t="s">
        <v>189</v>
      </c>
      <c r="C26" s="45"/>
      <c r="D26" s="46" t="s">
        <v>651</v>
      </c>
    </row>
    <row r="27" spans="1:4">
      <c r="A27" s="45" t="s">
        <v>652</v>
      </c>
      <c r="B27" s="45" t="s">
        <v>189</v>
      </c>
      <c r="C27" s="45"/>
      <c r="D27" s="46" t="s">
        <v>653</v>
      </c>
    </row>
    <row r="28" spans="1:4">
      <c r="A28" s="47"/>
      <c r="B28" s="47"/>
      <c r="C28" s="47"/>
      <c r="D28" s="48"/>
    </row>
    <row r="29" spans="1:4">
      <c r="A29" s="49" t="s">
        <v>654</v>
      </c>
      <c r="B29" s="49" t="s">
        <v>207</v>
      </c>
      <c r="C29" s="49"/>
      <c r="D29" s="50" t="s">
        <v>655</v>
      </c>
    </row>
    <row r="30" spans="1:4">
      <c r="A30" s="49" t="s">
        <v>656</v>
      </c>
      <c r="B30" s="49" t="s">
        <v>207</v>
      </c>
      <c r="C30" s="49"/>
      <c r="D30" s="50" t="s">
        <v>657</v>
      </c>
    </row>
    <row r="31" spans="1:4">
      <c r="A31" s="47"/>
      <c r="B31" s="47"/>
      <c r="C31" s="47"/>
      <c r="D31" s="48"/>
    </row>
    <row r="32" spans="1:4">
      <c r="A32" s="45" t="s">
        <v>658</v>
      </c>
      <c r="B32" s="45" t="s">
        <v>196</v>
      </c>
      <c r="C32" s="45"/>
      <c r="D32" s="46" t="s">
        <v>659</v>
      </c>
    </row>
    <row r="33" spans="1:4">
      <c r="A33" s="45" t="s">
        <v>660</v>
      </c>
      <c r="B33" s="45" t="s">
        <v>196</v>
      </c>
      <c r="C33" s="45"/>
      <c r="D33" s="46" t="s">
        <v>661</v>
      </c>
    </row>
    <row r="34" spans="1:4">
      <c r="A34" s="47"/>
      <c r="B34" s="47"/>
      <c r="C34" s="47"/>
      <c r="D34" s="48"/>
    </row>
    <row r="35" spans="1:4">
      <c r="A35" s="49" t="s">
        <v>662</v>
      </c>
      <c r="B35" s="49" t="s">
        <v>201</v>
      </c>
      <c r="C35" s="49"/>
      <c r="D35" s="50" t="s">
        <v>663</v>
      </c>
    </row>
    <row r="36" spans="1:4">
      <c r="A36" s="49" t="s">
        <v>664</v>
      </c>
      <c r="B36" s="49" t="s">
        <v>201</v>
      </c>
      <c r="C36" s="49"/>
      <c r="D36" s="50" t="s">
        <v>665</v>
      </c>
    </row>
    <row r="37" spans="1:4">
      <c r="A37" s="47"/>
      <c r="B37" s="47"/>
      <c r="C37" s="47"/>
      <c r="D37" s="48"/>
    </row>
    <row r="38" spans="1:4">
      <c r="A38" s="45" t="s">
        <v>666</v>
      </c>
      <c r="B38" s="45" t="s">
        <v>205</v>
      </c>
      <c r="C38" s="45"/>
      <c r="D38" s="46" t="s">
        <v>667</v>
      </c>
    </row>
    <row r="39" spans="1:4">
      <c r="A39" s="45" t="s">
        <v>668</v>
      </c>
      <c r="B39" s="45" t="s">
        <v>205</v>
      </c>
      <c r="C39" s="45"/>
      <c r="D39" s="46" t="s">
        <v>669</v>
      </c>
    </row>
    <row r="40" spans="1:4">
      <c r="A40" s="47"/>
      <c r="B40" s="47"/>
      <c r="C40" s="47"/>
      <c r="D40" s="48"/>
    </row>
    <row r="41" spans="1:4">
      <c r="A41" s="49" t="s">
        <v>670</v>
      </c>
      <c r="B41" s="49" t="s">
        <v>671</v>
      </c>
      <c r="C41" s="49"/>
      <c r="D41" s="50" t="s">
        <v>672</v>
      </c>
    </row>
    <row r="42" spans="1:4">
      <c r="A42" s="49" t="s">
        <v>673</v>
      </c>
      <c r="B42" s="49" t="s">
        <v>671</v>
      </c>
      <c r="C42" s="49"/>
      <c r="D42" s="50" t="s">
        <v>674</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selection activeCell="L19" sqref="L19"/>
    </sheetView>
  </sheetViews>
  <sheetFormatPr defaultColWidth="9.14285714285714" defaultRowHeight="15"/>
  <cols>
    <col min="1" max="1" width="17" customWidth="1"/>
    <col min="2" max="2" width="13.8571428571429" customWidth="1"/>
    <col min="3" max="3" width="23.4285714285714" customWidth="1"/>
    <col min="4" max="4" width="19.2857142857143" customWidth="1"/>
    <col min="6" max="6" width="25.5714285714286" customWidth="1"/>
    <col min="7" max="7" width="11.4285714285714" customWidth="1"/>
    <col min="8" max="8" width="8.28571428571429" customWidth="1"/>
    <col min="9" max="9" width="11.4285714285714" customWidth="1"/>
    <col min="10" max="10" width="8.28571428571429" customWidth="1"/>
    <col min="12" max="12" width="45.1428571428571" customWidth="1"/>
    <col min="13" max="13" width="13.7142857142857" customWidth="1"/>
  </cols>
  <sheetData>
    <row r="1" spans="1:13">
      <c r="A1" s="33" t="s">
        <v>675</v>
      </c>
      <c r="B1" s="33" t="s">
        <v>676</v>
      </c>
      <c r="C1" s="33" t="s">
        <v>677</v>
      </c>
      <c r="D1" s="33" t="s">
        <v>170</v>
      </c>
      <c r="E1" s="23" t="s">
        <v>678</v>
      </c>
      <c r="F1" s="23" t="s">
        <v>679</v>
      </c>
      <c r="G1" s="34" t="s">
        <v>680</v>
      </c>
      <c r="H1" s="34"/>
      <c r="I1" s="34" t="s">
        <v>681</v>
      </c>
      <c r="J1" s="34"/>
      <c r="M1" t="s">
        <v>497</v>
      </c>
    </row>
    <row r="2" spans="1:10">
      <c r="A2" s="33"/>
      <c r="B2" s="33"/>
      <c r="C2" s="33"/>
      <c r="D2" s="33"/>
      <c r="E2" s="23"/>
      <c r="F2" s="23"/>
      <c r="G2" s="24" t="s">
        <v>682</v>
      </c>
      <c r="H2" t="s">
        <v>683</v>
      </c>
      <c r="I2" t="s">
        <v>682</v>
      </c>
      <c r="J2" t="s">
        <v>683</v>
      </c>
    </row>
    <row r="3" spans="1:12">
      <c r="A3" t="s">
        <v>684</v>
      </c>
      <c r="B3">
        <v>200</v>
      </c>
      <c r="C3">
        <f>B3+500</f>
        <v>700</v>
      </c>
      <c r="D3">
        <v>5</v>
      </c>
      <c r="E3">
        <v>2</v>
      </c>
      <c r="F3" t="s">
        <v>28</v>
      </c>
      <c r="G3" s="35">
        <f t="shared" ref="G3:G22" si="0">B3/25</f>
        <v>8</v>
      </c>
      <c r="H3" s="35">
        <f t="shared" ref="H3:H22" si="1">C3/25</f>
        <v>28</v>
      </c>
      <c r="I3" s="35">
        <f t="shared" ref="I3:I22" si="2">B3/110</f>
        <v>1.81818181818182</v>
      </c>
      <c r="J3" s="35">
        <f t="shared" ref="J3:J22" si="3">C3/110</f>
        <v>6.36363636363636</v>
      </c>
      <c r="L3" s="23" t="s">
        <v>685</v>
      </c>
    </row>
    <row r="4" spans="1:12">
      <c r="A4" t="s">
        <v>686</v>
      </c>
      <c r="B4">
        <v>100</v>
      </c>
      <c r="C4">
        <f t="shared" ref="C4:C22" si="4">B4+500</f>
        <v>600</v>
      </c>
      <c r="D4">
        <v>8</v>
      </c>
      <c r="E4">
        <v>2</v>
      </c>
      <c r="G4" s="35">
        <f t="shared" si="0"/>
        <v>4</v>
      </c>
      <c r="H4" s="35">
        <f t="shared" si="1"/>
        <v>24</v>
      </c>
      <c r="I4" s="35">
        <f t="shared" si="2"/>
        <v>0.909090909090909</v>
      </c>
      <c r="J4" s="35">
        <f t="shared" si="3"/>
        <v>5.45454545454545</v>
      </c>
      <c r="L4" t="s">
        <v>687</v>
      </c>
    </row>
    <row r="5" spans="1:12">
      <c r="A5" t="s">
        <v>688</v>
      </c>
      <c r="B5">
        <v>200</v>
      </c>
      <c r="C5">
        <f t="shared" si="4"/>
        <v>700</v>
      </c>
      <c r="D5">
        <v>5</v>
      </c>
      <c r="E5">
        <v>3</v>
      </c>
      <c r="F5" t="s">
        <v>689</v>
      </c>
      <c r="G5" s="35">
        <f t="shared" si="0"/>
        <v>8</v>
      </c>
      <c r="H5" s="35">
        <f t="shared" si="1"/>
        <v>28</v>
      </c>
      <c r="I5" s="35">
        <f t="shared" si="2"/>
        <v>1.81818181818182</v>
      </c>
      <c r="J5" s="35">
        <f t="shared" si="3"/>
        <v>6.36363636363636</v>
      </c>
      <c r="L5" s="23" t="s">
        <v>690</v>
      </c>
    </row>
    <row r="6" spans="1:12">
      <c r="A6" t="s">
        <v>691</v>
      </c>
      <c r="B6">
        <v>200</v>
      </c>
      <c r="C6">
        <f t="shared" si="4"/>
        <v>700</v>
      </c>
      <c r="D6">
        <v>4</v>
      </c>
      <c r="E6">
        <v>1</v>
      </c>
      <c r="F6" t="s">
        <v>692</v>
      </c>
      <c r="G6" s="35">
        <f t="shared" si="0"/>
        <v>8</v>
      </c>
      <c r="H6" s="35">
        <f t="shared" si="1"/>
        <v>28</v>
      </c>
      <c r="I6" s="35">
        <f t="shared" si="2"/>
        <v>1.81818181818182</v>
      </c>
      <c r="J6" s="35">
        <f t="shared" si="3"/>
        <v>6.36363636363636</v>
      </c>
      <c r="L6" t="s">
        <v>693</v>
      </c>
    </row>
    <row r="7" spans="1:12">
      <c r="A7" t="s">
        <v>694</v>
      </c>
      <c r="B7">
        <v>400</v>
      </c>
      <c r="C7">
        <f t="shared" si="4"/>
        <v>900</v>
      </c>
      <c r="D7">
        <v>4</v>
      </c>
      <c r="E7">
        <v>4</v>
      </c>
      <c r="F7" t="s">
        <v>695</v>
      </c>
      <c r="G7" s="35">
        <f t="shared" si="0"/>
        <v>16</v>
      </c>
      <c r="H7" s="35">
        <f t="shared" si="1"/>
        <v>36</v>
      </c>
      <c r="I7" s="35">
        <f t="shared" si="2"/>
        <v>3.63636363636364</v>
      </c>
      <c r="J7" s="35">
        <f t="shared" si="3"/>
        <v>8.18181818181818</v>
      </c>
      <c r="L7" t="s">
        <v>696</v>
      </c>
    </row>
    <row r="8" spans="1:12">
      <c r="A8" t="s">
        <v>697</v>
      </c>
      <c r="B8">
        <v>600</v>
      </c>
      <c r="C8">
        <f t="shared" si="4"/>
        <v>1100</v>
      </c>
      <c r="D8">
        <v>1</v>
      </c>
      <c r="E8">
        <v>3</v>
      </c>
      <c r="F8" t="s">
        <v>698</v>
      </c>
      <c r="G8" s="35">
        <f t="shared" si="0"/>
        <v>24</v>
      </c>
      <c r="H8" s="35">
        <f t="shared" si="1"/>
        <v>44</v>
      </c>
      <c r="I8" s="35">
        <f t="shared" si="2"/>
        <v>5.45454545454545</v>
      </c>
      <c r="J8" s="35">
        <f t="shared" si="3"/>
        <v>10</v>
      </c>
      <c r="L8" t="s">
        <v>699</v>
      </c>
    </row>
    <row r="9" spans="1:12">
      <c r="A9" t="s">
        <v>700</v>
      </c>
      <c r="B9">
        <v>50</v>
      </c>
      <c r="C9">
        <f t="shared" si="4"/>
        <v>550</v>
      </c>
      <c r="D9">
        <v>10</v>
      </c>
      <c r="E9">
        <v>1</v>
      </c>
      <c r="G9" s="35">
        <f t="shared" si="0"/>
        <v>2</v>
      </c>
      <c r="H9" s="35">
        <f t="shared" si="1"/>
        <v>22</v>
      </c>
      <c r="I9" s="35">
        <f t="shared" si="2"/>
        <v>0.454545454545455</v>
      </c>
      <c r="J9" s="35">
        <f t="shared" si="3"/>
        <v>5</v>
      </c>
      <c r="L9" s="23" t="s">
        <v>701</v>
      </c>
    </row>
    <row r="10" spans="1:12">
      <c r="A10" t="s">
        <v>702</v>
      </c>
      <c r="B10">
        <v>150</v>
      </c>
      <c r="C10">
        <f t="shared" si="4"/>
        <v>650</v>
      </c>
      <c r="D10">
        <v>5</v>
      </c>
      <c r="E10">
        <v>3</v>
      </c>
      <c r="F10" t="s">
        <v>689</v>
      </c>
      <c r="G10" s="35">
        <f t="shared" si="0"/>
        <v>6</v>
      </c>
      <c r="H10" s="35">
        <f t="shared" si="1"/>
        <v>26</v>
      </c>
      <c r="I10" s="35">
        <f t="shared" si="2"/>
        <v>1.36363636363636</v>
      </c>
      <c r="J10" s="35">
        <f t="shared" si="3"/>
        <v>5.90909090909091</v>
      </c>
      <c r="L10" s="23" t="s">
        <v>703</v>
      </c>
    </row>
    <row r="11" spans="1:13">
      <c r="A11" s="36" t="s">
        <v>704</v>
      </c>
      <c r="B11" s="36">
        <v>50</v>
      </c>
      <c r="C11" s="36">
        <f t="shared" si="4"/>
        <v>550</v>
      </c>
      <c r="D11" s="36">
        <v>6</v>
      </c>
      <c r="E11" s="36">
        <v>1</v>
      </c>
      <c r="F11" s="36"/>
      <c r="G11" s="37">
        <f t="shared" si="0"/>
        <v>2</v>
      </c>
      <c r="H11" s="37">
        <f t="shared" si="1"/>
        <v>22</v>
      </c>
      <c r="I11" s="37">
        <f t="shared" si="2"/>
        <v>0.454545454545455</v>
      </c>
      <c r="J11" s="37">
        <f t="shared" si="3"/>
        <v>5</v>
      </c>
      <c r="L11" t="s">
        <v>705</v>
      </c>
      <c r="M11" t="s">
        <v>706</v>
      </c>
    </row>
    <row r="12" spans="1:13">
      <c r="A12" s="36" t="s">
        <v>707</v>
      </c>
      <c r="B12" s="36">
        <v>400</v>
      </c>
      <c r="C12" s="36">
        <f t="shared" si="4"/>
        <v>900</v>
      </c>
      <c r="D12" s="36">
        <v>3</v>
      </c>
      <c r="E12" s="36">
        <v>3</v>
      </c>
      <c r="F12" s="36"/>
      <c r="G12" s="37">
        <f t="shared" si="0"/>
        <v>16</v>
      </c>
      <c r="H12" s="37">
        <f t="shared" si="1"/>
        <v>36</v>
      </c>
      <c r="I12" s="37">
        <f t="shared" si="2"/>
        <v>3.63636363636364</v>
      </c>
      <c r="J12" s="37">
        <f t="shared" si="3"/>
        <v>8.18181818181818</v>
      </c>
      <c r="L12" t="s">
        <v>708</v>
      </c>
      <c r="M12" t="s">
        <v>709</v>
      </c>
    </row>
    <row r="13" spans="1:13">
      <c r="A13" s="36" t="s">
        <v>710</v>
      </c>
      <c r="B13" s="36">
        <v>300</v>
      </c>
      <c r="C13" s="36">
        <f t="shared" si="4"/>
        <v>800</v>
      </c>
      <c r="D13" s="36">
        <v>5</v>
      </c>
      <c r="E13" s="36">
        <v>2</v>
      </c>
      <c r="F13" s="36"/>
      <c r="G13" s="37">
        <f t="shared" si="0"/>
        <v>12</v>
      </c>
      <c r="H13" s="37">
        <f t="shared" si="1"/>
        <v>32</v>
      </c>
      <c r="I13" s="37">
        <f t="shared" si="2"/>
        <v>2.72727272727273</v>
      </c>
      <c r="J13" s="37">
        <f t="shared" si="3"/>
        <v>7.27272727272727</v>
      </c>
      <c r="L13" t="s">
        <v>711</v>
      </c>
      <c r="M13" t="s">
        <v>709</v>
      </c>
    </row>
    <row r="14" spans="1:13">
      <c r="A14" s="36" t="s">
        <v>712</v>
      </c>
      <c r="B14" s="36">
        <v>100</v>
      </c>
      <c r="C14" s="36">
        <f t="shared" si="4"/>
        <v>600</v>
      </c>
      <c r="D14" s="36"/>
      <c r="E14" s="36"/>
      <c r="F14" s="36"/>
      <c r="G14" s="37">
        <f t="shared" si="0"/>
        <v>4</v>
      </c>
      <c r="H14" s="37">
        <f t="shared" si="1"/>
        <v>24</v>
      </c>
      <c r="I14" s="37">
        <f t="shared" si="2"/>
        <v>0.909090909090909</v>
      </c>
      <c r="J14" s="37">
        <f t="shared" si="3"/>
        <v>5.45454545454545</v>
      </c>
      <c r="L14" t="s">
        <v>713</v>
      </c>
      <c r="M14" t="s">
        <v>714</v>
      </c>
    </row>
    <row r="15" spans="1:13">
      <c r="A15" s="36" t="s">
        <v>715</v>
      </c>
      <c r="B15" s="36">
        <v>100</v>
      </c>
      <c r="C15" s="36">
        <f t="shared" si="4"/>
        <v>600</v>
      </c>
      <c r="D15" s="36"/>
      <c r="E15" s="36"/>
      <c r="F15" s="36"/>
      <c r="G15" s="37">
        <f t="shared" si="0"/>
        <v>4</v>
      </c>
      <c r="H15" s="37">
        <f t="shared" si="1"/>
        <v>24</v>
      </c>
      <c r="I15" s="37">
        <f t="shared" si="2"/>
        <v>0.909090909090909</v>
      </c>
      <c r="J15" s="37">
        <f t="shared" si="3"/>
        <v>5.45454545454545</v>
      </c>
      <c r="L15" t="s">
        <v>716</v>
      </c>
      <c r="M15" t="s">
        <v>717</v>
      </c>
    </row>
    <row r="16" spans="1:13">
      <c r="A16" s="36" t="s">
        <v>718</v>
      </c>
      <c r="B16" s="36">
        <v>1000</v>
      </c>
      <c r="C16" s="36">
        <f t="shared" si="4"/>
        <v>1500</v>
      </c>
      <c r="D16" s="36"/>
      <c r="E16" s="36"/>
      <c r="F16" s="36"/>
      <c r="G16" s="37">
        <f t="shared" si="0"/>
        <v>40</v>
      </c>
      <c r="H16" s="37">
        <f t="shared" si="1"/>
        <v>60</v>
      </c>
      <c r="I16" s="37">
        <f t="shared" si="2"/>
        <v>9.09090909090909</v>
      </c>
      <c r="J16" s="37">
        <f t="shared" si="3"/>
        <v>13.6363636363636</v>
      </c>
      <c r="L16" t="s">
        <v>719</v>
      </c>
      <c r="M16" t="s">
        <v>720</v>
      </c>
    </row>
    <row r="17" spans="1:13">
      <c r="A17" s="36" t="s">
        <v>721</v>
      </c>
      <c r="B17" s="36">
        <v>200</v>
      </c>
      <c r="C17" s="36">
        <f t="shared" si="4"/>
        <v>700</v>
      </c>
      <c r="D17" s="36"/>
      <c r="E17" s="36"/>
      <c r="F17" s="36"/>
      <c r="G17" s="37">
        <f t="shared" si="0"/>
        <v>8</v>
      </c>
      <c r="H17" s="37">
        <f t="shared" si="1"/>
        <v>28</v>
      </c>
      <c r="I17" s="37">
        <f t="shared" si="2"/>
        <v>1.81818181818182</v>
      </c>
      <c r="J17" s="37">
        <f t="shared" si="3"/>
        <v>6.36363636363636</v>
      </c>
      <c r="L17" t="s">
        <v>722</v>
      </c>
      <c r="M17" t="s">
        <v>714</v>
      </c>
    </row>
    <row r="18" spans="1:13">
      <c r="A18" t="s">
        <v>723</v>
      </c>
      <c r="B18">
        <v>150</v>
      </c>
      <c r="C18">
        <f t="shared" si="4"/>
        <v>650</v>
      </c>
      <c r="D18">
        <v>3</v>
      </c>
      <c r="G18" s="35">
        <f t="shared" si="0"/>
        <v>6</v>
      </c>
      <c r="H18" s="35">
        <f t="shared" si="1"/>
        <v>26</v>
      </c>
      <c r="I18" s="35">
        <f t="shared" si="2"/>
        <v>1.36363636363636</v>
      </c>
      <c r="J18" s="35">
        <f t="shared" si="3"/>
        <v>5.90909090909091</v>
      </c>
      <c r="L18" t="s">
        <v>724</v>
      </c>
      <c r="M18" t="s">
        <v>725</v>
      </c>
    </row>
    <row r="19" spans="1:13">
      <c r="A19" t="s">
        <v>726</v>
      </c>
      <c r="B19">
        <v>50</v>
      </c>
      <c r="C19">
        <f t="shared" si="4"/>
        <v>550</v>
      </c>
      <c r="D19">
        <v>7</v>
      </c>
      <c r="G19" s="35">
        <f t="shared" si="0"/>
        <v>2</v>
      </c>
      <c r="H19" s="35">
        <f t="shared" si="1"/>
        <v>22</v>
      </c>
      <c r="I19" s="35">
        <f t="shared" si="2"/>
        <v>0.454545454545455</v>
      </c>
      <c r="J19" s="35">
        <f t="shared" si="3"/>
        <v>5</v>
      </c>
      <c r="L19" t="s">
        <v>727</v>
      </c>
      <c r="M19" t="s">
        <v>728</v>
      </c>
    </row>
    <row r="20" spans="1:13">
      <c r="A20" t="s">
        <v>729</v>
      </c>
      <c r="B20">
        <v>10</v>
      </c>
      <c r="C20">
        <f t="shared" si="4"/>
        <v>510</v>
      </c>
      <c r="D20">
        <v>10</v>
      </c>
      <c r="G20" s="35">
        <f t="shared" si="0"/>
        <v>0.4</v>
      </c>
      <c r="H20" s="35">
        <f t="shared" si="1"/>
        <v>20.4</v>
      </c>
      <c r="I20" s="35">
        <f t="shared" si="2"/>
        <v>0.0909090909090909</v>
      </c>
      <c r="J20" s="35">
        <f t="shared" si="3"/>
        <v>4.63636363636364</v>
      </c>
      <c r="L20" t="s">
        <v>730</v>
      </c>
      <c r="M20" t="s">
        <v>731</v>
      </c>
    </row>
    <row r="21" spans="1:13">
      <c r="A21" t="s">
        <v>23</v>
      </c>
      <c r="B21">
        <v>100</v>
      </c>
      <c r="C21">
        <f t="shared" si="4"/>
        <v>600</v>
      </c>
      <c r="D21">
        <v>5</v>
      </c>
      <c r="G21" s="35">
        <f t="shared" si="0"/>
        <v>4</v>
      </c>
      <c r="H21" s="35">
        <f t="shared" si="1"/>
        <v>24</v>
      </c>
      <c r="I21" s="35">
        <f t="shared" si="2"/>
        <v>0.909090909090909</v>
      </c>
      <c r="J21" s="35">
        <f t="shared" si="3"/>
        <v>5.45454545454545</v>
      </c>
      <c r="L21" t="s">
        <v>732</v>
      </c>
      <c r="M21" t="s">
        <v>733</v>
      </c>
    </row>
    <row r="22" spans="1:13">
      <c r="A22" t="s">
        <v>734</v>
      </c>
      <c r="B22">
        <v>200</v>
      </c>
      <c r="C22">
        <f t="shared" si="4"/>
        <v>700</v>
      </c>
      <c r="D22">
        <v>3</v>
      </c>
      <c r="G22" s="35">
        <f t="shared" si="0"/>
        <v>8</v>
      </c>
      <c r="H22" s="35">
        <f t="shared" si="1"/>
        <v>28</v>
      </c>
      <c r="I22" s="35">
        <f t="shared" si="2"/>
        <v>1.81818181818182</v>
      </c>
      <c r="J22" s="35">
        <f t="shared" si="3"/>
        <v>6.36363636363636</v>
      </c>
      <c r="L22" t="s">
        <v>735</v>
      </c>
      <c r="M22" t="s">
        <v>733</v>
      </c>
    </row>
  </sheetData>
  <mergeCells count="2">
    <mergeCell ref="G1:H1"/>
    <mergeCell ref="I1:J1"/>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J12" sqref="J12:J17"/>
    </sheetView>
  </sheetViews>
  <sheetFormatPr defaultColWidth="9.14285714285714" defaultRowHeight="15"/>
  <cols>
    <col min="1" max="1" width="30.4285714285714" style="32" customWidth="1"/>
    <col min="2" max="2" width="15.2857142857143" style="32" customWidth="1"/>
    <col min="3" max="3" width="8.57142857142857" style="32" customWidth="1"/>
    <col min="4" max="4" width="23.2857142857143" style="32" customWidth="1"/>
    <col min="5" max="5" width="18.8571428571429" style="32" customWidth="1"/>
    <col min="6" max="6" width="18" style="32" customWidth="1"/>
    <col min="7" max="7" width="17.7142857142857" style="32" customWidth="1"/>
    <col min="8" max="9" width="9.14285714285714" style="32"/>
    <col min="10" max="10" width="11.8571428571429" style="32" customWidth="1"/>
    <col min="11" max="11" width="42.4285714285714" style="32" customWidth="1"/>
    <col min="12" max="16384" width="9.14285714285714" style="32"/>
  </cols>
  <sheetData>
    <row r="1" spans="1:10">
      <c r="A1" s="32" t="s">
        <v>736</v>
      </c>
      <c r="B1" s="32" t="s">
        <v>133</v>
      </c>
      <c r="D1" s="32" t="s">
        <v>737</v>
      </c>
      <c r="E1" s="32" t="s">
        <v>133</v>
      </c>
      <c r="G1" s="32" t="s">
        <v>738</v>
      </c>
      <c r="J1" s="32" t="s">
        <v>739</v>
      </c>
    </row>
    <row r="2" spans="1:11">
      <c r="A2" s="32" t="s">
        <v>740</v>
      </c>
      <c r="B2" s="32" t="s">
        <v>741</v>
      </c>
      <c r="D2" s="32" t="s">
        <v>742</v>
      </c>
      <c r="E2" s="32" t="s">
        <v>743</v>
      </c>
      <c r="G2" s="32" t="s">
        <v>502</v>
      </c>
      <c r="J2" s="32" t="s">
        <v>146</v>
      </c>
      <c r="K2" s="32" t="s">
        <v>744</v>
      </c>
    </row>
    <row r="3" spans="1:11">
      <c r="A3" s="32" t="s">
        <v>745</v>
      </c>
      <c r="B3" s="32" t="s">
        <v>746</v>
      </c>
      <c r="D3" s="32" t="s">
        <v>747</v>
      </c>
      <c r="E3" s="32" t="s">
        <v>748</v>
      </c>
      <c r="G3" s="32" t="s">
        <v>510</v>
      </c>
      <c r="J3" s="32" t="s">
        <v>141</v>
      </c>
      <c r="K3" s="32" t="s">
        <v>749</v>
      </c>
    </row>
    <row r="4" spans="1:11">
      <c r="A4" s="32" t="s">
        <v>750</v>
      </c>
      <c r="B4" s="32" t="s">
        <v>751</v>
      </c>
      <c r="D4" s="32" t="s">
        <v>752</v>
      </c>
      <c r="G4" s="32" t="s">
        <v>506</v>
      </c>
      <c r="J4" s="32" t="s">
        <v>148</v>
      </c>
      <c r="K4" s="32" t="s">
        <v>753</v>
      </c>
    </row>
    <row r="5" spans="1:11">
      <c r="A5" s="32" t="s">
        <v>754</v>
      </c>
      <c r="B5" s="32" t="s">
        <v>755</v>
      </c>
      <c r="D5" s="32" t="s">
        <v>756</v>
      </c>
      <c r="E5" s="32" t="s">
        <v>757</v>
      </c>
      <c r="G5" s="32" t="s">
        <v>504</v>
      </c>
      <c r="J5" s="32" t="s">
        <v>149</v>
      </c>
      <c r="K5" s="32" t="s">
        <v>758</v>
      </c>
    </row>
    <row r="6" spans="1:11">
      <c r="A6" s="32" t="s">
        <v>759</v>
      </c>
      <c r="B6" s="32" t="s">
        <v>419</v>
      </c>
      <c r="D6" s="32" t="s">
        <v>760</v>
      </c>
      <c r="G6" s="32" t="s">
        <v>508</v>
      </c>
      <c r="J6" s="32" t="s">
        <v>150</v>
      </c>
      <c r="K6" s="32" t="s">
        <v>761</v>
      </c>
    </row>
    <row r="7" spans="1:11">
      <c r="A7" s="32" t="s">
        <v>762</v>
      </c>
      <c r="B7" s="32" t="s">
        <v>763</v>
      </c>
      <c r="D7" s="32" t="s">
        <v>764</v>
      </c>
      <c r="E7" s="32" t="s">
        <v>765</v>
      </c>
      <c r="J7" s="32" t="s">
        <v>142</v>
      </c>
      <c r="K7" s="32" t="s">
        <v>766</v>
      </c>
    </row>
    <row r="8" spans="1:11">
      <c r="A8" s="32" t="s">
        <v>767</v>
      </c>
      <c r="B8" s="32" t="s">
        <v>768</v>
      </c>
      <c r="D8" s="32" t="s">
        <v>769</v>
      </c>
      <c r="E8" s="32" t="s">
        <v>770</v>
      </c>
      <c r="J8" s="32" t="s">
        <v>151</v>
      </c>
      <c r="K8" s="32" t="s">
        <v>771</v>
      </c>
    </row>
    <row r="9" spans="1:11">
      <c r="A9" s="32" t="s">
        <v>772</v>
      </c>
      <c r="B9" s="32" t="s">
        <v>773</v>
      </c>
      <c r="J9" s="32" t="s">
        <v>152</v>
      </c>
      <c r="K9" s="32" t="s">
        <v>774</v>
      </c>
    </row>
    <row r="10" spans="10:11">
      <c r="J10" s="32" t="s">
        <v>153</v>
      </c>
      <c r="K10" s="32" t="s">
        <v>775</v>
      </c>
    </row>
    <row r="11" spans="10:11">
      <c r="J11" s="32" t="s">
        <v>144</v>
      </c>
      <c r="K11" s="32" t="s">
        <v>776</v>
      </c>
    </row>
    <row r="12" spans="10:11">
      <c r="J12" s="32" t="s">
        <v>154</v>
      </c>
      <c r="K12" s="32" t="s">
        <v>777</v>
      </c>
    </row>
    <row r="13" spans="10:11">
      <c r="J13" s="32" t="s">
        <v>156</v>
      </c>
      <c r="K13" s="32" t="s">
        <v>778</v>
      </c>
    </row>
    <row r="14" spans="1:10">
      <c r="A14" s="32" t="s">
        <v>779</v>
      </c>
      <c r="J14" s="32" t="s">
        <v>157</v>
      </c>
    </row>
    <row r="15" spans="10:10">
      <c r="J15" s="32" t="s">
        <v>158</v>
      </c>
    </row>
    <row r="16" spans="1:11">
      <c r="A16" s="32" t="s">
        <v>780</v>
      </c>
      <c r="J16" s="32" t="s">
        <v>159</v>
      </c>
      <c r="K16" s="32" t="s">
        <v>781</v>
      </c>
    </row>
    <row r="17" spans="10:10">
      <c r="J17" s="32" t="s">
        <v>160</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6"/>
  <sheetViews>
    <sheetView workbookViewId="0">
      <selection activeCell="M1" sqref="M1:P1"/>
    </sheetView>
  </sheetViews>
  <sheetFormatPr defaultColWidth="9.14285714285714" defaultRowHeight="15"/>
  <cols>
    <col min="1" max="1" width="20.8571428571429" customWidth="1"/>
    <col min="13" max="13" width="9.14285714285714" customWidth="1"/>
    <col min="14" max="14" width="11" customWidth="1"/>
    <col min="15" max="15" width="11.4285714285714" customWidth="1"/>
    <col min="16" max="16" width="11.1428571428571" customWidth="1"/>
  </cols>
  <sheetData>
    <row r="1" spans="1:16">
      <c r="A1" s="25" t="s">
        <v>133</v>
      </c>
      <c r="B1" s="26" t="s">
        <v>3</v>
      </c>
      <c r="C1" s="26" t="s">
        <v>414</v>
      </c>
      <c r="D1" s="26" t="s">
        <v>5</v>
      </c>
      <c r="E1" s="26" t="s">
        <v>110</v>
      </c>
      <c r="F1" s="26" t="s">
        <v>4</v>
      </c>
      <c r="G1" s="26" t="s">
        <v>6</v>
      </c>
      <c r="H1" s="26" t="s">
        <v>8</v>
      </c>
      <c r="I1" s="26" t="s">
        <v>10</v>
      </c>
      <c r="J1" s="31" t="s">
        <v>477</v>
      </c>
      <c r="K1" s="31" t="s">
        <v>782</v>
      </c>
      <c r="L1" s="31" t="s">
        <v>783</v>
      </c>
      <c r="M1" s="25" t="s">
        <v>174</v>
      </c>
      <c r="N1" s="25" t="s">
        <v>173</v>
      </c>
      <c r="O1" s="25" t="s">
        <v>176</v>
      </c>
      <c r="P1" s="25" t="s">
        <v>175</v>
      </c>
    </row>
    <row r="2" spans="1:16">
      <c r="A2" s="27" t="s">
        <v>784</v>
      </c>
      <c r="B2" s="28">
        <v>1.2</v>
      </c>
      <c r="C2" s="28">
        <v>0.8</v>
      </c>
      <c r="D2" s="28"/>
      <c r="E2" s="28"/>
      <c r="F2" s="28"/>
      <c r="G2" s="28"/>
      <c r="H2" s="28"/>
      <c r="I2" s="28"/>
      <c r="J2" s="28"/>
      <c r="K2" s="28"/>
      <c r="L2" s="28"/>
      <c r="M2" s="28"/>
      <c r="N2" s="28"/>
      <c r="O2" s="28"/>
      <c r="P2" s="28"/>
    </row>
    <row r="3" spans="1:16">
      <c r="A3" s="27" t="s">
        <v>785</v>
      </c>
      <c r="B3" s="28"/>
      <c r="C3" s="28"/>
      <c r="D3" s="28"/>
      <c r="E3" s="28">
        <v>1.25</v>
      </c>
      <c r="F3" s="28"/>
      <c r="G3" s="28"/>
      <c r="H3" s="28">
        <v>1.25</v>
      </c>
      <c r="I3" s="28"/>
      <c r="J3" s="28"/>
      <c r="K3" s="28"/>
      <c r="L3" s="28"/>
      <c r="M3" s="28"/>
      <c r="N3" s="28"/>
      <c r="O3" s="28"/>
      <c r="P3" s="28"/>
    </row>
    <row r="4" spans="1:16">
      <c r="A4" s="27" t="s">
        <v>786</v>
      </c>
      <c r="B4" s="28"/>
      <c r="C4" s="28">
        <v>1.25</v>
      </c>
      <c r="D4" s="28"/>
      <c r="E4" s="28"/>
      <c r="F4" s="28"/>
      <c r="G4" s="28"/>
      <c r="H4" s="28">
        <v>0.75</v>
      </c>
      <c r="I4" s="28"/>
      <c r="J4" s="28"/>
      <c r="K4" s="28"/>
      <c r="L4" s="28"/>
      <c r="M4" s="28"/>
      <c r="N4" s="28"/>
      <c r="O4" s="28"/>
      <c r="P4" s="28"/>
    </row>
    <row r="5" spans="1:16">
      <c r="A5" s="27" t="s">
        <v>87</v>
      </c>
      <c r="B5" s="28"/>
      <c r="C5" s="28"/>
      <c r="D5" s="28"/>
      <c r="E5" s="28"/>
      <c r="F5" s="28">
        <v>1.5</v>
      </c>
      <c r="G5" s="28">
        <v>0.75</v>
      </c>
      <c r="H5" s="28"/>
      <c r="I5" s="28"/>
      <c r="J5" s="28"/>
      <c r="K5" s="28"/>
      <c r="L5" s="28"/>
      <c r="M5" s="28"/>
      <c r="N5" s="28"/>
      <c r="O5" s="28"/>
      <c r="P5" s="28"/>
    </row>
    <row r="6" spans="1:16">
      <c r="A6" s="27" t="s">
        <v>787</v>
      </c>
      <c r="B6" s="28"/>
      <c r="C6" s="28"/>
      <c r="D6" s="28">
        <v>1.25</v>
      </c>
      <c r="E6" s="28"/>
      <c r="F6" s="28">
        <v>0.8</v>
      </c>
      <c r="G6" s="28"/>
      <c r="H6" s="28"/>
      <c r="I6" s="28"/>
      <c r="J6" s="28"/>
      <c r="K6" s="28"/>
      <c r="L6" s="28"/>
      <c r="M6" s="28"/>
      <c r="N6" s="28"/>
      <c r="O6" s="28"/>
      <c r="P6" s="28"/>
    </row>
    <row r="7" spans="1:16">
      <c r="A7" s="27" t="s">
        <v>788</v>
      </c>
      <c r="B7" s="28"/>
      <c r="C7" s="28"/>
      <c r="D7" s="28"/>
      <c r="E7" s="28">
        <v>0.75</v>
      </c>
      <c r="F7" s="28"/>
      <c r="G7" s="28"/>
      <c r="H7" s="28">
        <v>0.75</v>
      </c>
      <c r="I7" s="28"/>
      <c r="J7" s="28"/>
      <c r="K7" s="28"/>
      <c r="L7" s="28"/>
      <c r="M7" s="28"/>
      <c r="N7" s="28"/>
      <c r="O7" s="28"/>
      <c r="P7" s="28"/>
    </row>
    <row r="8" spans="1:16">
      <c r="A8" s="27" t="s">
        <v>90</v>
      </c>
      <c r="B8" s="28">
        <v>0.9</v>
      </c>
      <c r="C8" s="28"/>
      <c r="D8" s="28"/>
      <c r="E8" s="28">
        <v>0.5</v>
      </c>
      <c r="F8" s="28"/>
      <c r="G8" s="28"/>
      <c r="H8" s="28"/>
      <c r="I8" s="28"/>
      <c r="J8" s="28"/>
      <c r="K8" s="28"/>
      <c r="L8" s="28"/>
      <c r="M8" s="28"/>
      <c r="N8" s="28"/>
      <c r="O8" s="28"/>
      <c r="P8" s="28"/>
    </row>
    <row r="9" spans="1:16">
      <c r="A9" s="27" t="s">
        <v>789</v>
      </c>
      <c r="B9" s="28"/>
      <c r="C9" s="28">
        <v>0.5</v>
      </c>
      <c r="D9" s="28"/>
      <c r="E9" s="28"/>
      <c r="F9" s="28"/>
      <c r="G9" s="28"/>
      <c r="H9" s="28"/>
      <c r="I9" s="28">
        <v>2</v>
      </c>
      <c r="J9" s="28"/>
      <c r="K9" s="28"/>
      <c r="L9" s="28"/>
      <c r="M9" s="28"/>
      <c r="N9" s="28"/>
      <c r="O9" s="28"/>
      <c r="P9" s="28"/>
    </row>
    <row r="10" spans="1:16">
      <c r="A10" s="29" t="s">
        <v>790</v>
      </c>
      <c r="B10" s="28"/>
      <c r="C10" s="28"/>
      <c r="D10" s="28">
        <v>1.5</v>
      </c>
      <c r="E10" s="28"/>
      <c r="F10" s="28">
        <v>0.1</v>
      </c>
      <c r="G10" s="28"/>
      <c r="H10" s="28"/>
      <c r="I10" s="28"/>
      <c r="J10" s="28"/>
      <c r="K10" s="28"/>
      <c r="L10" s="28"/>
      <c r="M10" s="28"/>
      <c r="N10" s="28"/>
      <c r="O10" s="28"/>
      <c r="P10" s="28"/>
    </row>
    <row r="11" spans="1:16">
      <c r="A11" s="30" t="s">
        <v>791</v>
      </c>
      <c r="B11" s="28">
        <v>1.5</v>
      </c>
      <c r="C11" s="28"/>
      <c r="D11" s="28">
        <v>0.75</v>
      </c>
      <c r="E11" s="28"/>
      <c r="F11" s="28"/>
      <c r="G11" s="28"/>
      <c r="H11" s="28"/>
      <c r="I11" s="28"/>
      <c r="J11" s="28"/>
      <c r="K11" s="28"/>
      <c r="L11" s="28"/>
      <c r="M11" s="28"/>
      <c r="N11" s="28"/>
      <c r="O11" s="28"/>
      <c r="P11" s="28"/>
    </row>
    <row r="12" spans="1:16">
      <c r="A12" s="27" t="s">
        <v>94</v>
      </c>
      <c r="B12" s="28"/>
      <c r="C12" s="28">
        <v>1.5</v>
      </c>
      <c r="D12" s="28">
        <v>0.75</v>
      </c>
      <c r="E12" s="28"/>
      <c r="F12" s="28"/>
      <c r="G12" s="28"/>
      <c r="H12" s="28"/>
      <c r="I12" s="28"/>
      <c r="J12" s="28"/>
      <c r="K12" s="28"/>
      <c r="L12" s="28"/>
      <c r="M12" s="28"/>
      <c r="N12" s="28"/>
      <c r="O12" s="28"/>
      <c r="P12" s="28"/>
    </row>
    <row r="13" spans="1:16">
      <c r="A13" s="27" t="s">
        <v>792</v>
      </c>
      <c r="B13" s="28">
        <v>2</v>
      </c>
      <c r="C13" s="28"/>
      <c r="D13" s="28"/>
      <c r="E13" s="28">
        <v>3</v>
      </c>
      <c r="F13" s="28"/>
      <c r="G13" s="28"/>
      <c r="H13" s="28"/>
      <c r="I13" s="28"/>
      <c r="J13" s="28"/>
      <c r="K13" s="28"/>
      <c r="L13" s="28"/>
      <c r="M13" s="28"/>
      <c r="N13" s="28"/>
      <c r="O13" s="28"/>
      <c r="P13" s="28"/>
    </row>
    <row r="14" spans="1:16">
      <c r="A14" s="27" t="s">
        <v>793</v>
      </c>
      <c r="B14" s="28">
        <v>0.1</v>
      </c>
      <c r="C14" s="28"/>
      <c r="D14" s="28"/>
      <c r="E14" s="28"/>
      <c r="F14" s="28"/>
      <c r="G14" s="28"/>
      <c r="H14" s="28"/>
      <c r="I14" s="28">
        <v>10</v>
      </c>
      <c r="J14" s="28"/>
      <c r="K14" s="28"/>
      <c r="L14" s="28"/>
      <c r="M14" s="28"/>
      <c r="N14" s="28"/>
      <c r="O14" s="28"/>
      <c r="P14" s="28"/>
    </row>
    <row r="15" spans="1:16">
      <c r="A15" s="29" t="s">
        <v>794</v>
      </c>
      <c r="B15" s="28"/>
      <c r="C15" s="28"/>
      <c r="D15" s="28"/>
      <c r="E15" s="28"/>
      <c r="F15" s="28">
        <v>0.5</v>
      </c>
      <c r="G15" s="28"/>
      <c r="H15" s="28"/>
      <c r="I15" s="28"/>
      <c r="J15" s="28"/>
      <c r="K15" s="28"/>
      <c r="L15" s="28">
        <v>0.5</v>
      </c>
      <c r="M15" s="28"/>
      <c r="N15" s="28"/>
      <c r="O15" s="28"/>
      <c r="P15" s="28"/>
    </row>
    <row r="16" spans="1:16">
      <c r="A16" s="29" t="s">
        <v>795</v>
      </c>
      <c r="B16" s="28"/>
      <c r="C16" s="28"/>
      <c r="D16" s="28"/>
      <c r="E16" s="28"/>
      <c r="F16" s="28"/>
      <c r="G16" s="28"/>
      <c r="H16" s="28"/>
      <c r="I16" s="28"/>
      <c r="J16" s="28"/>
      <c r="K16" s="28"/>
      <c r="L16" s="28">
        <v>0.25</v>
      </c>
      <c r="M16" s="28"/>
      <c r="N16" s="28"/>
      <c r="O16" s="28"/>
      <c r="P16" s="28"/>
    </row>
    <row r="17" spans="1:16">
      <c r="A17" s="29" t="s">
        <v>796</v>
      </c>
      <c r="B17" s="28"/>
      <c r="C17" s="28"/>
      <c r="D17" s="28"/>
      <c r="E17" s="28"/>
      <c r="F17" s="28">
        <v>0.5</v>
      </c>
      <c r="G17" s="28"/>
      <c r="H17" s="28"/>
      <c r="I17" s="28"/>
      <c r="J17" s="28"/>
      <c r="K17" s="28">
        <v>0.5</v>
      </c>
      <c r="L17" s="28"/>
      <c r="M17" s="28"/>
      <c r="N17" s="28"/>
      <c r="O17" s="28"/>
      <c r="P17" s="28"/>
    </row>
    <row r="18" spans="1:16">
      <c r="A18" s="29" t="s">
        <v>797</v>
      </c>
      <c r="B18" s="28"/>
      <c r="C18" s="28"/>
      <c r="D18" s="28"/>
      <c r="E18" s="28"/>
      <c r="F18" s="28"/>
      <c r="G18" s="28"/>
      <c r="H18" s="28"/>
      <c r="I18" s="28"/>
      <c r="J18" s="28"/>
      <c r="K18" s="28">
        <v>0.25</v>
      </c>
      <c r="L18" s="28"/>
      <c r="M18" s="28"/>
      <c r="N18" s="28"/>
      <c r="O18" s="28"/>
      <c r="P18" s="28"/>
    </row>
    <row r="19" spans="1:16">
      <c r="A19" s="29" t="s">
        <v>798</v>
      </c>
      <c r="B19" s="28"/>
      <c r="C19" s="28"/>
      <c r="D19" s="28"/>
      <c r="E19" s="28"/>
      <c r="F19" s="28">
        <v>0.5</v>
      </c>
      <c r="G19" s="28"/>
      <c r="H19" s="28"/>
      <c r="I19" s="28"/>
      <c r="J19" s="28">
        <v>0.5</v>
      </c>
      <c r="K19" s="28"/>
      <c r="L19" s="28"/>
      <c r="M19" s="28"/>
      <c r="N19" s="28"/>
      <c r="O19" s="28"/>
      <c r="P19" s="28"/>
    </row>
    <row r="20" spans="1:16">
      <c r="A20" s="29" t="s">
        <v>799</v>
      </c>
      <c r="B20" s="28"/>
      <c r="C20" s="28"/>
      <c r="D20" s="28"/>
      <c r="E20" s="28"/>
      <c r="F20" s="28"/>
      <c r="G20" s="28"/>
      <c r="H20" s="28"/>
      <c r="I20" s="28"/>
      <c r="J20" s="28">
        <v>0.25</v>
      </c>
      <c r="K20" s="28"/>
      <c r="L20" s="28"/>
      <c r="M20" s="28"/>
      <c r="N20" s="28"/>
      <c r="O20" s="28"/>
      <c r="P20" s="28"/>
    </row>
    <row r="21" spans="1:16">
      <c r="A21" s="29" t="s">
        <v>800</v>
      </c>
      <c r="B21" s="28"/>
      <c r="C21" s="28"/>
      <c r="D21" s="28"/>
      <c r="E21" s="28"/>
      <c r="F21" s="28">
        <v>0.5</v>
      </c>
      <c r="G21" s="28"/>
      <c r="H21" s="28"/>
      <c r="I21" s="28"/>
      <c r="J21" s="28"/>
      <c r="K21" s="28"/>
      <c r="L21" s="28"/>
      <c r="M21" s="28"/>
      <c r="N21" s="28"/>
      <c r="O21" s="28"/>
      <c r="P21" s="28"/>
    </row>
    <row r="22" spans="1:16">
      <c r="A22" s="29" t="s">
        <v>801</v>
      </c>
      <c r="B22" s="28"/>
      <c r="C22" s="28"/>
      <c r="D22" s="28"/>
      <c r="E22" s="28"/>
      <c r="F22" s="28"/>
      <c r="G22" s="28"/>
      <c r="H22" s="28"/>
      <c r="I22" s="28"/>
      <c r="J22" s="28"/>
      <c r="K22" s="28"/>
      <c r="L22" s="28"/>
      <c r="M22" s="28"/>
      <c r="N22" s="28"/>
      <c r="O22" s="28"/>
      <c r="P22" s="28"/>
    </row>
    <row r="23" spans="1:16">
      <c r="A23" s="29" t="s">
        <v>802</v>
      </c>
      <c r="B23" s="28"/>
      <c r="C23" s="28"/>
      <c r="D23" s="28"/>
      <c r="E23" s="28"/>
      <c r="F23" s="28"/>
      <c r="G23" s="28"/>
      <c r="H23" s="28"/>
      <c r="I23" s="28"/>
      <c r="J23" s="28"/>
      <c r="K23" s="28"/>
      <c r="L23" s="28"/>
      <c r="M23" s="28">
        <v>1</v>
      </c>
      <c r="N23" s="28"/>
      <c r="O23" s="28"/>
      <c r="P23" s="28"/>
    </row>
    <row r="24" spans="1:16">
      <c r="A24" s="29" t="s">
        <v>803</v>
      </c>
      <c r="B24" s="28"/>
      <c r="C24" s="28"/>
      <c r="D24" s="28"/>
      <c r="E24" s="28"/>
      <c r="F24" s="28"/>
      <c r="G24" s="28"/>
      <c r="H24" s="28"/>
      <c r="I24" s="28"/>
      <c r="J24" s="28"/>
      <c r="K24" s="28"/>
      <c r="L24" s="28"/>
      <c r="M24" s="28"/>
      <c r="N24" s="28">
        <v>1</v>
      </c>
      <c r="O24" s="28"/>
      <c r="P24" s="28"/>
    </row>
    <row r="25" spans="1:16">
      <c r="A25" s="29" t="s">
        <v>804</v>
      </c>
      <c r="B25" s="28"/>
      <c r="C25" s="28"/>
      <c r="D25" s="28"/>
      <c r="E25" s="28"/>
      <c r="F25" s="28"/>
      <c r="G25" s="28"/>
      <c r="H25" s="28"/>
      <c r="I25" s="28"/>
      <c r="J25" s="28"/>
      <c r="K25" s="28"/>
      <c r="L25" s="28"/>
      <c r="M25" s="28"/>
      <c r="N25" s="28"/>
      <c r="O25" s="28">
        <v>1</v>
      </c>
      <c r="P25" s="28"/>
    </row>
    <row r="26" spans="1:16">
      <c r="A26" s="29" t="s">
        <v>805</v>
      </c>
      <c r="B26" s="28"/>
      <c r="C26" s="28"/>
      <c r="D26" s="28"/>
      <c r="E26" s="28"/>
      <c r="F26" s="28"/>
      <c r="G26" s="28"/>
      <c r="H26" s="28"/>
      <c r="I26" s="28"/>
      <c r="J26" s="28"/>
      <c r="K26" s="28"/>
      <c r="L26" s="28"/>
      <c r="M26" s="28"/>
      <c r="N26" s="28"/>
      <c r="O26" s="28"/>
      <c r="P26" s="28">
        <v>1</v>
      </c>
    </row>
    <row r="27" spans="1:16">
      <c r="A27" s="29"/>
      <c r="B27" s="28"/>
      <c r="C27" s="28"/>
      <c r="D27" s="28"/>
      <c r="E27" s="28"/>
      <c r="F27" s="28"/>
      <c r="G27" s="28"/>
      <c r="H27" s="28"/>
      <c r="I27" s="28"/>
      <c r="J27" s="28"/>
      <c r="K27" s="28"/>
      <c r="L27" s="28"/>
      <c r="M27" s="28"/>
      <c r="N27" s="28"/>
      <c r="O27" s="28"/>
      <c r="P27" s="28"/>
    </row>
    <row r="28" spans="1:16">
      <c r="A28" s="29"/>
      <c r="B28" s="28"/>
      <c r="C28" s="28"/>
      <c r="D28" s="28"/>
      <c r="E28" s="28"/>
      <c r="F28" s="28"/>
      <c r="G28" s="28"/>
      <c r="H28" s="28"/>
      <c r="I28" s="28"/>
      <c r="J28" s="28"/>
      <c r="K28" s="28"/>
      <c r="L28" s="28"/>
      <c r="M28" s="28"/>
      <c r="N28" s="28"/>
      <c r="O28" s="28"/>
      <c r="P28" s="28"/>
    </row>
    <row r="29" spans="1:16">
      <c r="A29" s="29"/>
      <c r="B29" s="28"/>
      <c r="C29" s="28"/>
      <c r="D29" s="28"/>
      <c r="E29" s="28"/>
      <c r="F29" s="28"/>
      <c r="G29" s="28"/>
      <c r="H29" s="28"/>
      <c r="I29" s="28"/>
      <c r="J29" s="28"/>
      <c r="K29" s="28"/>
      <c r="L29" s="28"/>
      <c r="M29" s="28"/>
      <c r="N29" s="28"/>
      <c r="O29" s="28"/>
      <c r="P29" s="28"/>
    </row>
    <row r="30" spans="1:16">
      <c r="A30" s="29"/>
      <c r="B30" s="28"/>
      <c r="C30" s="28"/>
      <c r="D30" s="28"/>
      <c r="E30" s="28"/>
      <c r="F30" s="28"/>
      <c r="G30" s="28"/>
      <c r="H30" s="28"/>
      <c r="I30" s="28"/>
      <c r="J30" s="28"/>
      <c r="K30" s="28"/>
      <c r="L30" s="28"/>
      <c r="M30" s="28"/>
      <c r="N30" s="28"/>
      <c r="O30" s="28"/>
      <c r="P30" s="28"/>
    </row>
    <row r="31" spans="1:16">
      <c r="A31" s="29"/>
      <c r="B31" s="28"/>
      <c r="C31" s="28"/>
      <c r="D31" s="28"/>
      <c r="E31" s="28"/>
      <c r="F31" s="28"/>
      <c r="G31" s="28"/>
      <c r="H31" s="28"/>
      <c r="I31" s="28"/>
      <c r="J31" s="28"/>
      <c r="K31" s="28"/>
      <c r="L31" s="28"/>
      <c r="M31" s="28"/>
      <c r="N31" s="28"/>
      <c r="O31" s="28"/>
      <c r="P31" s="28"/>
    </row>
    <row r="32" spans="1:16">
      <c r="A32" s="29"/>
      <c r="B32" s="28"/>
      <c r="C32" s="28"/>
      <c r="D32" s="28"/>
      <c r="E32" s="28"/>
      <c r="F32" s="28"/>
      <c r="G32" s="28"/>
      <c r="H32" s="28"/>
      <c r="I32" s="28"/>
      <c r="J32" s="28"/>
      <c r="K32" s="28"/>
      <c r="L32" s="28"/>
      <c r="M32" s="28"/>
      <c r="N32" s="28"/>
      <c r="O32" s="28"/>
      <c r="P32" s="28"/>
    </row>
    <row r="33" spans="1:16">
      <c r="A33" s="29"/>
      <c r="B33" s="28"/>
      <c r="C33" s="28"/>
      <c r="D33" s="28"/>
      <c r="E33" s="28"/>
      <c r="F33" s="28"/>
      <c r="G33" s="28"/>
      <c r="H33" s="28"/>
      <c r="I33" s="28"/>
      <c r="J33" s="28"/>
      <c r="K33" s="28"/>
      <c r="L33" s="28"/>
      <c r="M33" s="28"/>
      <c r="N33" s="28"/>
      <c r="O33" s="28"/>
      <c r="P33" s="28"/>
    </row>
    <row r="34" spans="1:16">
      <c r="A34" s="29"/>
      <c r="B34" s="28"/>
      <c r="C34" s="28"/>
      <c r="D34" s="28"/>
      <c r="E34" s="28"/>
      <c r="F34" s="28"/>
      <c r="G34" s="28"/>
      <c r="H34" s="28"/>
      <c r="I34" s="28"/>
      <c r="J34" s="28"/>
      <c r="K34" s="28"/>
      <c r="L34" s="28"/>
      <c r="M34" s="28"/>
      <c r="N34" s="28"/>
      <c r="O34" s="28"/>
      <c r="P34" s="28"/>
    </row>
    <row r="35" spans="1:16">
      <c r="A35" s="29"/>
      <c r="B35" s="28"/>
      <c r="C35" s="28"/>
      <c r="D35" s="28"/>
      <c r="E35" s="28"/>
      <c r="F35" s="28"/>
      <c r="G35" s="28"/>
      <c r="H35" s="28"/>
      <c r="I35" s="28"/>
      <c r="J35" s="28"/>
      <c r="K35" s="28"/>
      <c r="L35" s="28"/>
      <c r="M35" s="28"/>
      <c r="N35" s="28"/>
      <c r="O35" s="28"/>
      <c r="P35" s="28"/>
    </row>
    <row r="36" spans="1:16">
      <c r="A36" s="29"/>
      <c r="B36" s="28"/>
      <c r="C36" s="28"/>
      <c r="D36" s="28"/>
      <c r="E36" s="28"/>
      <c r="F36" s="28"/>
      <c r="G36" s="28"/>
      <c r="H36" s="28"/>
      <c r="I36" s="28"/>
      <c r="J36" s="28"/>
      <c r="K36" s="28"/>
      <c r="L36" s="28"/>
      <c r="M36" s="28"/>
      <c r="N36" s="28"/>
      <c r="O36" s="28"/>
      <c r="P36" s="28"/>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34" sqref="B34"/>
    </sheetView>
  </sheetViews>
  <sheetFormatPr defaultColWidth="9.14285714285714" defaultRowHeight="15" outlineLevelCol="5"/>
  <cols>
    <col min="1" max="1" width="12.2857142857143" customWidth="1"/>
    <col min="2" max="2" width="21.2857142857143" customWidth="1"/>
    <col min="5" max="5" width="12.2857142857143" customWidth="1"/>
    <col min="6" max="6" width="19.4285714285714" customWidth="1"/>
    <col min="7" max="7" width="10.5714285714286" customWidth="1"/>
    <col min="8" max="8" width="12" customWidth="1"/>
    <col min="10" max="10" width="25.1428571428571" customWidth="1"/>
  </cols>
  <sheetData>
    <row r="1" spans="1:1">
      <c r="A1" s="23" t="s">
        <v>806</v>
      </c>
    </row>
    <row r="2" spans="1:6">
      <c r="A2" t="s">
        <v>807</v>
      </c>
      <c r="B2">
        <v>2</v>
      </c>
      <c r="C2" t="s">
        <v>808</v>
      </c>
      <c r="D2">
        <v>1</v>
      </c>
      <c r="E2" t="s">
        <v>809</v>
      </c>
      <c r="F2">
        <v>1</v>
      </c>
    </row>
    <row r="3" spans="1:6">
      <c r="A3" t="s">
        <v>810</v>
      </c>
      <c r="B3">
        <v>2</v>
      </c>
      <c r="C3" t="s">
        <v>811</v>
      </c>
      <c r="D3">
        <v>1</v>
      </c>
      <c r="E3" t="s">
        <v>812</v>
      </c>
      <c r="F3">
        <v>1</v>
      </c>
    </row>
    <row r="4" spans="1:6">
      <c r="A4" t="s">
        <v>812</v>
      </c>
      <c r="B4">
        <v>2</v>
      </c>
      <c r="C4" t="s">
        <v>813</v>
      </c>
      <c r="D4">
        <v>1</v>
      </c>
      <c r="E4" t="s">
        <v>814</v>
      </c>
      <c r="F4">
        <v>1</v>
      </c>
    </row>
    <row r="5" spans="1:6">
      <c r="A5" t="s">
        <v>809</v>
      </c>
      <c r="B5">
        <v>5</v>
      </c>
      <c r="E5" t="s">
        <v>815</v>
      </c>
      <c r="F5">
        <v>1</v>
      </c>
    </row>
    <row r="6" spans="1:6">
      <c r="A6" t="s">
        <v>809</v>
      </c>
      <c r="B6">
        <v>5</v>
      </c>
      <c r="C6" t="s">
        <v>810</v>
      </c>
      <c r="D6">
        <v>5</v>
      </c>
      <c r="E6" t="s">
        <v>816</v>
      </c>
      <c r="F6">
        <v>1</v>
      </c>
    </row>
    <row r="7" spans="1:6">
      <c r="A7" t="s">
        <v>812</v>
      </c>
      <c r="B7">
        <v>3</v>
      </c>
      <c r="C7" t="s">
        <v>809</v>
      </c>
      <c r="D7">
        <v>3</v>
      </c>
      <c r="E7" t="s">
        <v>817</v>
      </c>
      <c r="F7">
        <v>1</v>
      </c>
    </row>
    <row r="8" spans="1:6">
      <c r="A8" t="s">
        <v>814</v>
      </c>
      <c r="B8">
        <v>3</v>
      </c>
      <c r="C8" t="s">
        <v>809</v>
      </c>
      <c r="D8">
        <v>3</v>
      </c>
      <c r="E8" t="s">
        <v>818</v>
      </c>
      <c r="F8">
        <v>1</v>
      </c>
    </row>
    <row r="9" spans="1:6">
      <c r="A9" t="s">
        <v>814</v>
      </c>
      <c r="B9">
        <v>2</v>
      </c>
      <c r="C9" t="s">
        <v>819</v>
      </c>
      <c r="D9">
        <v>20</v>
      </c>
      <c r="E9" t="s">
        <v>820</v>
      </c>
      <c r="F9">
        <v>1</v>
      </c>
    </row>
    <row r="10" spans="1:6">
      <c r="A10" t="s">
        <v>821</v>
      </c>
      <c r="B10">
        <v>1</v>
      </c>
      <c r="C10" t="s">
        <v>807</v>
      </c>
      <c r="D10">
        <v>1</v>
      </c>
      <c r="E10" t="s">
        <v>138</v>
      </c>
      <c r="F10">
        <v>3</v>
      </c>
    </row>
    <row r="11" spans="1:6">
      <c r="A11" t="s">
        <v>822</v>
      </c>
      <c r="B11">
        <v>1</v>
      </c>
      <c r="E11" t="s">
        <v>603</v>
      </c>
      <c r="F11">
        <v>1</v>
      </c>
    </row>
    <row r="12" spans="1:6">
      <c r="A12" t="s">
        <v>822</v>
      </c>
      <c r="B12">
        <v>1</v>
      </c>
      <c r="C12" t="s">
        <v>603</v>
      </c>
      <c r="D12">
        <v>1</v>
      </c>
      <c r="E12" t="s">
        <v>811</v>
      </c>
      <c r="F12">
        <v>2</v>
      </c>
    </row>
    <row r="13" spans="1:6">
      <c r="A13" t="s">
        <v>810</v>
      </c>
      <c r="B13">
        <v>30</v>
      </c>
      <c r="C13" t="s">
        <v>809</v>
      </c>
      <c r="D13">
        <v>5</v>
      </c>
      <c r="E13" t="s">
        <v>823</v>
      </c>
      <c r="F13">
        <v>1</v>
      </c>
    </row>
    <row r="14" spans="1:6">
      <c r="A14" t="s">
        <v>810</v>
      </c>
      <c r="B14">
        <v>20</v>
      </c>
      <c r="C14" t="s">
        <v>821</v>
      </c>
      <c r="D14">
        <v>10</v>
      </c>
      <c r="E14" t="s">
        <v>824</v>
      </c>
      <c r="F14">
        <v>1</v>
      </c>
    </row>
    <row r="15" spans="1:6">
      <c r="A15" t="s">
        <v>809</v>
      </c>
      <c r="B15">
        <v>10</v>
      </c>
      <c r="E15" t="s">
        <v>357</v>
      </c>
      <c r="F15">
        <v>1</v>
      </c>
    </row>
    <row r="16" spans="1:6">
      <c r="A16" t="s">
        <v>825</v>
      </c>
      <c r="B16">
        <v>1</v>
      </c>
      <c r="C16" t="s">
        <v>603</v>
      </c>
      <c r="D16">
        <v>1</v>
      </c>
      <c r="E16" t="s">
        <v>137</v>
      </c>
      <c r="F16">
        <v>10</v>
      </c>
    </row>
    <row r="20" spans="1:3">
      <c r="A20" s="23" t="s">
        <v>497</v>
      </c>
      <c r="B20" s="23" t="s">
        <v>826</v>
      </c>
      <c r="C20" s="23" t="s">
        <v>566</v>
      </c>
    </row>
    <row r="21" spans="1:3">
      <c r="A21" s="24" t="s">
        <v>138</v>
      </c>
      <c r="B21" s="23"/>
      <c r="C21" s="24">
        <v>1</v>
      </c>
    </row>
    <row r="22" spans="1:3">
      <c r="A22" s="24" t="s">
        <v>137</v>
      </c>
      <c r="B22" s="23"/>
      <c r="C22" s="24">
        <v>1</v>
      </c>
    </row>
    <row r="23" spans="1:3">
      <c r="A23" t="s">
        <v>822</v>
      </c>
      <c r="B23" t="s">
        <v>827</v>
      </c>
      <c r="C23" s="24">
        <v>2</v>
      </c>
    </row>
    <row r="24" spans="1:3">
      <c r="A24" t="s">
        <v>810</v>
      </c>
      <c r="B24" t="s">
        <v>827</v>
      </c>
      <c r="C24" s="24">
        <v>2</v>
      </c>
    </row>
    <row r="25" spans="1:3">
      <c r="A25" t="s">
        <v>819</v>
      </c>
      <c r="B25" t="s">
        <v>828</v>
      </c>
      <c r="C25" s="24">
        <v>0</v>
      </c>
    </row>
    <row r="26" spans="1:3">
      <c r="A26" t="s">
        <v>808</v>
      </c>
      <c r="B26" t="s">
        <v>829</v>
      </c>
      <c r="C26" s="24">
        <v>3</v>
      </c>
    </row>
    <row r="27" spans="1:3">
      <c r="A27" t="s">
        <v>807</v>
      </c>
      <c r="B27" t="s">
        <v>830</v>
      </c>
      <c r="C27" s="24">
        <v>1</v>
      </c>
    </row>
    <row r="28" spans="1:3">
      <c r="A28" t="s">
        <v>812</v>
      </c>
      <c r="B28" t="s">
        <v>831</v>
      </c>
      <c r="C28" s="24">
        <v>5</v>
      </c>
    </row>
    <row r="29" spans="1:3">
      <c r="A29" t="s">
        <v>821</v>
      </c>
      <c r="B29" t="s">
        <v>829</v>
      </c>
      <c r="C29" s="24">
        <v>2</v>
      </c>
    </row>
    <row r="30" spans="1:3">
      <c r="A30" t="s">
        <v>378</v>
      </c>
      <c r="B30" t="s">
        <v>832</v>
      </c>
      <c r="C30" s="24">
        <v>1</v>
      </c>
    </row>
    <row r="31" spans="1:3">
      <c r="A31" t="s">
        <v>809</v>
      </c>
      <c r="B31" t="s">
        <v>833</v>
      </c>
      <c r="C31" s="24">
        <v>2</v>
      </c>
    </row>
    <row r="32" spans="1:3">
      <c r="A32" t="s">
        <v>811</v>
      </c>
      <c r="B32" t="s">
        <v>834</v>
      </c>
      <c r="C32" s="24">
        <v>0.5</v>
      </c>
    </row>
    <row r="33" spans="1:3">
      <c r="A33" t="s">
        <v>813</v>
      </c>
      <c r="B33" t="s">
        <v>835</v>
      </c>
      <c r="C33" s="24">
        <v>10</v>
      </c>
    </row>
    <row r="34" spans="1:3">
      <c r="A34" t="s">
        <v>825</v>
      </c>
      <c r="B34" t="s">
        <v>836</v>
      </c>
      <c r="C34" s="24">
        <v>5</v>
      </c>
    </row>
    <row r="35" spans="1:3">
      <c r="A35" t="s">
        <v>814</v>
      </c>
      <c r="C35" s="24">
        <v>10</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
  <sheetViews>
    <sheetView tabSelected="1" workbookViewId="0">
      <selection activeCell="H36" sqref="H36"/>
    </sheetView>
  </sheetViews>
  <sheetFormatPr defaultColWidth="9.14285714285714" defaultRowHeight="15"/>
  <cols>
    <col min="1" max="1" width="18.1428571428571" customWidth="1"/>
    <col min="2" max="2" width="15.7142857142857" customWidth="1"/>
    <col min="3" max="3" width="13.7142857142857" customWidth="1"/>
    <col min="4" max="4" width="8.42857142857143" customWidth="1"/>
    <col min="5" max="5" width="8.57142857142857" customWidth="1"/>
    <col min="9" max="9" width="19.1428571428571" customWidth="1"/>
  </cols>
  <sheetData>
    <row r="1" spans="1:12">
      <c r="A1" t="s">
        <v>837</v>
      </c>
      <c r="B1" s="22" t="s">
        <v>838</v>
      </c>
      <c r="C1" s="22"/>
      <c r="D1" s="22"/>
      <c r="E1" s="22" t="s">
        <v>839</v>
      </c>
      <c r="F1" s="22"/>
      <c r="G1" s="22"/>
      <c r="I1" t="s">
        <v>840</v>
      </c>
      <c r="L1" t="s">
        <v>841</v>
      </c>
    </row>
    <row r="2" spans="2:12">
      <c r="B2" t="s">
        <v>17</v>
      </c>
      <c r="C2" t="s">
        <v>842</v>
      </c>
      <c r="D2" t="s">
        <v>18</v>
      </c>
      <c r="E2" t="s">
        <v>17</v>
      </c>
      <c r="F2" t="s">
        <v>842</v>
      </c>
      <c r="G2" t="s">
        <v>18</v>
      </c>
      <c r="L2">
        <v>1</v>
      </c>
    </row>
    <row r="3" spans="1:12">
      <c r="A3">
        <v>1</v>
      </c>
      <c r="B3">
        <f>C3*0.5</f>
        <v>8</v>
      </c>
      <c r="C3">
        <v>16</v>
      </c>
      <c r="D3">
        <f>C3*1.5</f>
        <v>24</v>
      </c>
      <c r="E3">
        <v>10</v>
      </c>
      <c r="F3">
        <v>15</v>
      </c>
      <c r="G3">
        <v>20</v>
      </c>
      <c r="I3">
        <v>2</v>
      </c>
      <c r="L3">
        <v>2</v>
      </c>
    </row>
    <row r="4" spans="1:12">
      <c r="A4">
        <v>2</v>
      </c>
      <c r="B4">
        <f>C4*0.5</f>
        <v>16</v>
      </c>
      <c r="C4">
        <v>32</v>
      </c>
      <c r="D4">
        <f>C4*1.5</f>
        <v>48</v>
      </c>
      <c r="E4">
        <v>20</v>
      </c>
      <c r="F4">
        <v>30</v>
      </c>
      <c r="G4">
        <v>40</v>
      </c>
      <c r="I4">
        <v>4</v>
      </c>
      <c r="L4">
        <v>3</v>
      </c>
    </row>
    <row r="5" spans="1:12">
      <c r="A5">
        <v>3</v>
      </c>
      <c r="B5">
        <f>C5*0.5</f>
        <v>24</v>
      </c>
      <c r="C5">
        <v>48</v>
      </c>
      <c r="D5">
        <f>C5*1.5</f>
        <v>72</v>
      </c>
      <c r="E5">
        <v>30</v>
      </c>
      <c r="F5">
        <v>45</v>
      </c>
      <c r="G5">
        <v>60</v>
      </c>
      <c r="I5">
        <v>6</v>
      </c>
      <c r="L5">
        <v>4</v>
      </c>
    </row>
    <row r="6" spans="1:12">
      <c r="A6">
        <v>4</v>
      </c>
      <c r="B6">
        <f>C6*0.5</f>
        <v>32</v>
      </c>
      <c r="C6">
        <v>64</v>
      </c>
      <c r="D6">
        <f>C6*1.5</f>
        <v>96</v>
      </c>
      <c r="E6">
        <v>40</v>
      </c>
      <c r="F6">
        <v>60</v>
      </c>
      <c r="G6">
        <v>80</v>
      </c>
      <c r="I6">
        <v>8</v>
      </c>
      <c r="L6">
        <v>5</v>
      </c>
    </row>
    <row r="7" spans="12:12">
      <c r="L7">
        <v>6</v>
      </c>
    </row>
    <row r="8" spans="1:12">
      <c r="A8" t="s">
        <v>843</v>
      </c>
      <c r="B8">
        <f>B3*0.5+B3</f>
        <v>12</v>
      </c>
      <c r="C8">
        <f>C3*0.5+C3</f>
        <v>24</v>
      </c>
      <c r="D8">
        <f>D3*0.5+D3</f>
        <v>36</v>
      </c>
      <c r="L8">
        <v>7</v>
      </c>
    </row>
    <row r="9" spans="2:12">
      <c r="B9">
        <f>B4*0.5+B4</f>
        <v>24</v>
      </c>
      <c r="C9">
        <f>C4*0.5+C4</f>
        <v>48</v>
      </c>
      <c r="D9">
        <f>D4*0.5+D4</f>
        <v>72</v>
      </c>
      <c r="L9">
        <v>4</v>
      </c>
    </row>
    <row r="10" spans="2:12">
      <c r="B10">
        <f>B5*0.5+B5</f>
        <v>36</v>
      </c>
      <c r="C10">
        <f>C5*0.5+C5</f>
        <v>72</v>
      </c>
      <c r="D10">
        <f>D5*0.5+D5</f>
        <v>108</v>
      </c>
      <c r="L10">
        <v>5</v>
      </c>
    </row>
    <row r="11" spans="2:12">
      <c r="B11">
        <f>B6*0.5+B6</f>
        <v>48</v>
      </c>
      <c r="C11">
        <f>C6*0.5+C6</f>
        <v>96</v>
      </c>
      <c r="D11">
        <f>D6*0.5+D6</f>
        <v>144</v>
      </c>
      <c r="L11">
        <v>6</v>
      </c>
    </row>
    <row r="12" spans="12:12">
      <c r="L12">
        <v>7</v>
      </c>
    </row>
    <row r="13" spans="12:12">
      <c r="L13">
        <v>8</v>
      </c>
    </row>
    <row r="14" spans="1:12">
      <c r="A14" t="s">
        <v>844</v>
      </c>
      <c r="B14" t="s">
        <v>845</v>
      </c>
      <c r="C14" t="s">
        <v>841</v>
      </c>
      <c r="D14" t="s">
        <v>846</v>
      </c>
      <c r="E14" t="s">
        <v>847</v>
      </c>
      <c r="F14" t="s">
        <v>848</v>
      </c>
      <c r="L14">
        <v>9</v>
      </c>
    </row>
    <row r="15" spans="1:12">
      <c r="A15">
        <v>2</v>
      </c>
      <c r="B15">
        <f>A15*12</f>
        <v>24</v>
      </c>
      <c r="C15">
        <f>B15*24</f>
        <v>576</v>
      </c>
      <c r="D15">
        <f>C15*7</f>
        <v>4032</v>
      </c>
      <c r="E15">
        <f>D15*5</f>
        <v>20160</v>
      </c>
      <c r="F15">
        <f>E15/3600</f>
        <v>5.6</v>
      </c>
      <c r="L15">
        <v>10</v>
      </c>
    </row>
    <row r="16" spans="12:12">
      <c r="L16">
        <v>7</v>
      </c>
    </row>
    <row r="17" spans="12:12">
      <c r="L17">
        <v>8</v>
      </c>
    </row>
    <row r="18" spans="12:12">
      <c r="L18">
        <v>9</v>
      </c>
    </row>
    <row r="19" spans="12:12">
      <c r="L19">
        <v>10</v>
      </c>
    </row>
    <row r="20" spans="12:12">
      <c r="L20">
        <v>11</v>
      </c>
    </row>
    <row r="21" spans="12:12">
      <c r="L21">
        <v>12</v>
      </c>
    </row>
    <row r="22" spans="12:12">
      <c r="L22">
        <v>13</v>
      </c>
    </row>
    <row r="23" spans="12:12">
      <c r="L23">
        <v>10</v>
      </c>
    </row>
    <row r="24" spans="12:12">
      <c r="L24">
        <v>11</v>
      </c>
    </row>
    <row r="25" spans="12:12">
      <c r="L25">
        <v>12</v>
      </c>
    </row>
    <row r="26" spans="12:12">
      <c r="L26">
        <v>13</v>
      </c>
    </row>
    <row r="27" spans="12:12">
      <c r="L27">
        <v>14</v>
      </c>
    </row>
    <row r="28" spans="12:12">
      <c r="L28">
        <v>15</v>
      </c>
    </row>
    <row r="29" spans="12:12">
      <c r="L29">
        <v>16</v>
      </c>
    </row>
    <row r="30" spans="12:12">
      <c r="L30">
        <v>13</v>
      </c>
    </row>
    <row r="31" spans="12:12">
      <c r="L31">
        <v>14</v>
      </c>
    </row>
    <row r="32" spans="12:12">
      <c r="L32">
        <v>15</v>
      </c>
    </row>
    <row r="33" spans="12:12">
      <c r="L33">
        <v>16</v>
      </c>
    </row>
    <row r="34" spans="12:12">
      <c r="L34">
        <v>17</v>
      </c>
    </row>
    <row r="35" spans="12:12">
      <c r="L35">
        <v>18</v>
      </c>
    </row>
    <row r="36" spans="12:12">
      <c r="L36">
        <v>19</v>
      </c>
    </row>
  </sheetData>
  <mergeCells count="2">
    <mergeCell ref="B1:D1"/>
    <mergeCell ref="E1:G1"/>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9"/>
  <sheetViews>
    <sheetView topLeftCell="A16" workbookViewId="0">
      <selection activeCell="E22" sqref="E22"/>
    </sheetView>
  </sheetViews>
  <sheetFormatPr defaultColWidth="9.14285714285714" defaultRowHeight="15"/>
  <cols>
    <col min="2" max="2" width="17.8571428571429" customWidth="1"/>
    <col min="3" max="4" width="19.5714285714286" customWidth="1"/>
    <col min="8" max="8" width="12.8571428571429"/>
    <col min="12" max="12" width="11.7142857142857"/>
    <col min="13" max="15" width="12.8571428571429"/>
    <col min="16" max="16" width="12.2857142857143" customWidth="1"/>
  </cols>
  <sheetData>
    <row r="1" spans="1:3">
      <c r="A1" t="s">
        <v>849</v>
      </c>
      <c r="B1" t="s">
        <v>850</v>
      </c>
      <c r="C1" t="s">
        <v>851</v>
      </c>
    </row>
    <row r="2" spans="1:3">
      <c r="A2">
        <v>5</v>
      </c>
      <c r="B2">
        <v>5</v>
      </c>
      <c r="C2" s="1">
        <f>IF(A2&gt;=B2,1,POWER(A2/B2,2))</f>
        <v>1</v>
      </c>
    </row>
    <row r="3" spans="1:3">
      <c r="A3">
        <v>5</v>
      </c>
      <c r="B3">
        <v>50</v>
      </c>
      <c r="C3" s="1">
        <f t="shared" ref="C3:C29" si="0">IF(A3&gt;=B3,1,POWER(A3/B3,2))</f>
        <v>0.01</v>
      </c>
    </row>
    <row r="4" spans="1:3">
      <c r="A4">
        <v>5</v>
      </c>
      <c r="B4">
        <v>100</v>
      </c>
      <c r="C4" s="1">
        <f t="shared" si="0"/>
        <v>0.0025</v>
      </c>
    </row>
    <row r="5" spans="1:3">
      <c r="A5">
        <v>5</v>
      </c>
      <c r="B5">
        <v>200</v>
      </c>
      <c r="C5" s="1">
        <f t="shared" si="0"/>
        <v>0.000625</v>
      </c>
    </row>
    <row r="6" spans="1:3">
      <c r="A6">
        <v>10</v>
      </c>
      <c r="B6">
        <v>5</v>
      </c>
      <c r="C6" s="1">
        <f t="shared" si="0"/>
        <v>1</v>
      </c>
    </row>
    <row r="7" spans="1:3">
      <c r="A7">
        <v>10</v>
      </c>
      <c r="B7">
        <v>50</v>
      </c>
      <c r="C7" s="1">
        <f t="shared" si="0"/>
        <v>0.04</v>
      </c>
    </row>
    <row r="8" spans="1:3">
      <c r="A8">
        <v>10</v>
      </c>
      <c r="B8">
        <v>100</v>
      </c>
      <c r="C8" s="1">
        <f t="shared" si="0"/>
        <v>0.01</v>
      </c>
    </row>
    <row r="9" spans="1:3">
      <c r="A9">
        <v>10</v>
      </c>
      <c r="B9">
        <v>200</v>
      </c>
      <c r="C9" s="1">
        <f t="shared" si="0"/>
        <v>0.0025</v>
      </c>
    </row>
    <row r="10" spans="1:3">
      <c r="A10">
        <v>25</v>
      </c>
      <c r="B10">
        <v>5</v>
      </c>
      <c r="C10" s="1">
        <f t="shared" si="0"/>
        <v>1</v>
      </c>
    </row>
    <row r="11" spans="1:3">
      <c r="A11">
        <v>25</v>
      </c>
      <c r="B11">
        <v>50</v>
      </c>
      <c r="C11" s="1">
        <f t="shared" si="0"/>
        <v>0.25</v>
      </c>
    </row>
    <row r="12" spans="1:3">
      <c r="A12">
        <v>25</v>
      </c>
      <c r="B12">
        <v>100</v>
      </c>
      <c r="C12" s="1">
        <f t="shared" si="0"/>
        <v>0.0625</v>
      </c>
    </row>
    <row r="13" spans="1:3">
      <c r="A13">
        <v>50</v>
      </c>
      <c r="B13">
        <v>200</v>
      </c>
      <c r="C13" s="1">
        <f t="shared" si="0"/>
        <v>0.0625</v>
      </c>
    </row>
    <row r="14" spans="1:3">
      <c r="A14">
        <v>50</v>
      </c>
      <c r="B14">
        <v>5</v>
      </c>
      <c r="C14" s="1">
        <f t="shared" si="0"/>
        <v>1</v>
      </c>
    </row>
    <row r="15" spans="1:3">
      <c r="A15">
        <v>50</v>
      </c>
      <c r="B15">
        <v>50</v>
      </c>
      <c r="C15" s="1">
        <f t="shared" si="0"/>
        <v>1</v>
      </c>
    </row>
    <row r="16" spans="1:3">
      <c r="A16">
        <v>50</v>
      </c>
      <c r="B16">
        <v>100</v>
      </c>
      <c r="C16" s="1">
        <f t="shared" si="0"/>
        <v>0.25</v>
      </c>
    </row>
    <row r="17" spans="1:3">
      <c r="A17">
        <v>50</v>
      </c>
      <c r="B17">
        <v>200</v>
      </c>
      <c r="C17" s="1">
        <f t="shared" si="0"/>
        <v>0.0625</v>
      </c>
    </row>
    <row r="18" spans="1:3">
      <c r="A18">
        <v>100</v>
      </c>
      <c r="B18">
        <v>5</v>
      </c>
      <c r="C18" s="1">
        <f t="shared" si="0"/>
        <v>1</v>
      </c>
    </row>
    <row r="19" spans="1:3">
      <c r="A19">
        <v>100</v>
      </c>
      <c r="B19">
        <v>50</v>
      </c>
      <c r="C19" s="1">
        <f t="shared" si="0"/>
        <v>1</v>
      </c>
    </row>
    <row r="20" spans="1:3">
      <c r="A20">
        <v>100</v>
      </c>
      <c r="B20">
        <v>100</v>
      </c>
      <c r="C20" s="1">
        <f t="shared" si="0"/>
        <v>1</v>
      </c>
    </row>
    <row r="21" spans="1:3">
      <c r="A21">
        <v>100</v>
      </c>
      <c r="B21">
        <v>200</v>
      </c>
      <c r="C21" s="1">
        <f t="shared" si="0"/>
        <v>0.25</v>
      </c>
    </row>
    <row r="22" spans="1:3">
      <c r="A22">
        <v>150</v>
      </c>
      <c r="B22">
        <v>5</v>
      </c>
      <c r="C22" s="1">
        <f t="shared" si="0"/>
        <v>1</v>
      </c>
    </row>
    <row r="23" spans="1:3">
      <c r="A23">
        <v>150</v>
      </c>
      <c r="B23">
        <v>50</v>
      </c>
      <c r="C23" s="1">
        <f t="shared" si="0"/>
        <v>1</v>
      </c>
    </row>
    <row r="24" spans="1:3">
      <c r="A24">
        <v>150</v>
      </c>
      <c r="B24">
        <v>100</v>
      </c>
      <c r="C24" s="1">
        <f t="shared" si="0"/>
        <v>1</v>
      </c>
    </row>
    <row r="25" spans="1:3">
      <c r="A25">
        <v>150</v>
      </c>
      <c r="B25">
        <v>200</v>
      </c>
      <c r="C25" s="1">
        <f t="shared" si="0"/>
        <v>0.5625</v>
      </c>
    </row>
    <row r="26" spans="1:3">
      <c r="A26">
        <v>200</v>
      </c>
      <c r="B26">
        <v>5</v>
      </c>
      <c r="C26" s="1">
        <f t="shared" si="0"/>
        <v>1</v>
      </c>
    </row>
    <row r="27" spans="1:3">
      <c r="A27">
        <v>200</v>
      </c>
      <c r="B27">
        <v>50</v>
      </c>
      <c r="C27" s="1">
        <f t="shared" si="0"/>
        <v>1</v>
      </c>
    </row>
    <row r="28" spans="1:3">
      <c r="A28">
        <v>200</v>
      </c>
      <c r="B28">
        <v>100</v>
      </c>
      <c r="C28" s="1">
        <f t="shared" si="0"/>
        <v>1</v>
      </c>
    </row>
    <row r="29" spans="1:3">
      <c r="A29">
        <v>200</v>
      </c>
      <c r="B29">
        <v>200</v>
      </c>
      <c r="C29" s="1">
        <f t="shared" si="0"/>
        <v>1</v>
      </c>
    </row>
    <row r="30" spans="4:5">
      <c r="D30" t="s">
        <v>852</v>
      </c>
      <c r="E30">
        <v>0.75</v>
      </c>
    </row>
    <row r="32" spans="1:8">
      <c r="A32" s="2" t="s">
        <v>853</v>
      </c>
      <c r="B32" s="2">
        <v>10</v>
      </c>
      <c r="C32" s="3">
        <v>13</v>
      </c>
      <c r="D32" s="3"/>
      <c r="E32" s="3">
        <v>3</v>
      </c>
      <c r="F32" s="3">
        <v>0.5</v>
      </c>
      <c r="G32" s="3">
        <v>0.3</v>
      </c>
      <c r="H32" s="2"/>
    </row>
    <row r="33" spans="1:16">
      <c r="A33" s="4" t="s">
        <v>68</v>
      </c>
      <c r="B33" s="5" t="s">
        <v>854</v>
      </c>
      <c r="C33" s="5" t="s">
        <v>855</v>
      </c>
      <c r="D33" s="5" t="s">
        <v>856</v>
      </c>
      <c r="E33" s="5" t="s">
        <v>3</v>
      </c>
      <c r="F33" s="6"/>
      <c r="G33" s="5" t="s">
        <v>5</v>
      </c>
      <c r="H33" s="7"/>
      <c r="I33" s="7" t="s">
        <v>857</v>
      </c>
      <c r="J33" s="17"/>
      <c r="K33" s="7" t="s">
        <v>8</v>
      </c>
      <c r="L33" s="7" t="s">
        <v>10</v>
      </c>
      <c r="M33" s="7" t="s">
        <v>113</v>
      </c>
      <c r="N33" s="5" t="s">
        <v>13</v>
      </c>
      <c r="O33" s="5" t="s">
        <v>858</v>
      </c>
      <c r="P33" s="7" t="s">
        <v>70</v>
      </c>
    </row>
    <row r="34" spans="1:16">
      <c r="A34" s="8"/>
      <c r="B34" s="9"/>
      <c r="C34" s="9"/>
      <c r="D34" s="9"/>
      <c r="E34" s="9"/>
      <c r="F34" s="10"/>
      <c r="G34" s="9"/>
      <c r="H34" s="11"/>
      <c r="I34" s="11"/>
      <c r="J34" s="18"/>
      <c r="K34" s="11"/>
      <c r="L34" s="11"/>
      <c r="M34" s="11"/>
      <c r="N34" s="9"/>
      <c r="O34" s="9"/>
      <c r="P34" s="11"/>
    </row>
    <row r="35" spans="1:16">
      <c r="A35" s="12">
        <v>0</v>
      </c>
      <c r="B35" s="13">
        <f t="shared" ref="B35:B49" si="1">A35/B$32</f>
        <v>0</v>
      </c>
      <c r="C35" s="13">
        <v>1</v>
      </c>
      <c r="D35" s="14">
        <f>$E$30+(1-$E$30)*B35*C35/2</f>
        <v>0.75</v>
      </c>
      <c r="E35" s="15">
        <f t="shared" ref="E35:E49" si="2">C$32*$D35</f>
        <v>9.75</v>
      </c>
      <c r="F35" s="16"/>
      <c r="G35" s="15">
        <f t="shared" ref="G35:G49" si="3">E$32*$D35</f>
        <v>2.25</v>
      </c>
      <c r="H35" s="3"/>
      <c r="I35" s="15">
        <f t="shared" ref="I35:I49" si="4">G$32*$D35</f>
        <v>0.225</v>
      </c>
      <c r="J35" s="19"/>
      <c r="K35" s="20">
        <v>10</v>
      </c>
      <c r="L35" s="13">
        <v>1</v>
      </c>
      <c r="M35" s="21">
        <f t="shared" ref="M35:M49" si="5">I35*E35*2+(1-I35)*E35</f>
        <v>11.94375</v>
      </c>
      <c r="N35" s="15">
        <f>K35*M35</f>
        <v>119.4375</v>
      </c>
      <c r="O35" s="15">
        <f>K35/G35+H35</f>
        <v>4.44444444444444</v>
      </c>
      <c r="P35" s="21">
        <f>N35/O35</f>
        <v>26.8734375</v>
      </c>
    </row>
    <row r="36" spans="1:16">
      <c r="A36" s="12">
        <v>5</v>
      </c>
      <c r="B36" s="13">
        <f t="shared" si="1"/>
        <v>0.5</v>
      </c>
      <c r="C36" s="13">
        <v>1</v>
      </c>
      <c r="D36" s="14">
        <f t="shared" ref="D36:D49" si="6">$E$30+(1-$E$30)*B36*C36/2</f>
        <v>0.8125</v>
      </c>
      <c r="E36" s="15">
        <f t="shared" si="2"/>
        <v>10.5625</v>
      </c>
      <c r="F36" s="16"/>
      <c r="G36" s="15">
        <f t="shared" si="3"/>
        <v>2.4375</v>
      </c>
      <c r="H36" s="3"/>
      <c r="I36" s="15">
        <f t="shared" si="4"/>
        <v>0.24375</v>
      </c>
      <c r="J36" s="19"/>
      <c r="K36" s="20">
        <v>10</v>
      </c>
      <c r="L36" s="13">
        <v>1</v>
      </c>
      <c r="M36" s="21">
        <f t="shared" si="5"/>
        <v>13.137109375</v>
      </c>
      <c r="N36" s="15">
        <f t="shared" ref="N36:N49" si="7">K36*M36</f>
        <v>131.37109375</v>
      </c>
      <c r="O36" s="15">
        <f t="shared" ref="O36:O49" si="8">K36/G36+H36</f>
        <v>4.1025641025641</v>
      </c>
      <c r="P36" s="21">
        <f t="shared" ref="P36:P49" si="9">N36/O36</f>
        <v>32.0217041015625</v>
      </c>
    </row>
    <row r="37" spans="1:16">
      <c r="A37" s="12">
        <v>10</v>
      </c>
      <c r="B37" s="13">
        <f t="shared" si="1"/>
        <v>1</v>
      </c>
      <c r="C37" s="13">
        <v>1</v>
      </c>
      <c r="D37" s="14">
        <f t="shared" si="6"/>
        <v>0.875</v>
      </c>
      <c r="E37" s="15">
        <f t="shared" si="2"/>
        <v>11.375</v>
      </c>
      <c r="F37" s="16"/>
      <c r="G37" s="15">
        <f t="shared" si="3"/>
        <v>2.625</v>
      </c>
      <c r="H37" s="3"/>
      <c r="I37" s="15">
        <f t="shared" si="4"/>
        <v>0.2625</v>
      </c>
      <c r="J37" s="19"/>
      <c r="K37" s="20">
        <v>10</v>
      </c>
      <c r="L37" s="13">
        <v>1</v>
      </c>
      <c r="M37" s="21">
        <f t="shared" si="5"/>
        <v>14.3609375</v>
      </c>
      <c r="N37" s="15">
        <f t="shared" si="7"/>
        <v>143.609375</v>
      </c>
      <c r="O37" s="15">
        <f t="shared" si="8"/>
        <v>3.80952380952381</v>
      </c>
      <c r="P37" s="21">
        <f t="shared" si="9"/>
        <v>37.6974609375</v>
      </c>
    </row>
    <row r="38" spans="1:16">
      <c r="A38" s="12">
        <v>0</v>
      </c>
      <c r="B38" s="13">
        <f t="shared" si="1"/>
        <v>0</v>
      </c>
      <c r="C38" s="13">
        <v>2</v>
      </c>
      <c r="D38" s="14">
        <f t="shared" si="6"/>
        <v>0.75</v>
      </c>
      <c r="E38" s="15">
        <f t="shared" si="2"/>
        <v>9.75</v>
      </c>
      <c r="F38" s="16"/>
      <c r="G38" s="15">
        <f t="shared" si="3"/>
        <v>2.25</v>
      </c>
      <c r="H38" s="3"/>
      <c r="I38" s="15">
        <f t="shared" si="4"/>
        <v>0.225</v>
      </c>
      <c r="J38" s="19"/>
      <c r="K38" s="20">
        <v>10</v>
      </c>
      <c r="L38" s="13">
        <v>1</v>
      </c>
      <c r="M38" s="21">
        <f t="shared" si="5"/>
        <v>11.94375</v>
      </c>
      <c r="N38" s="15">
        <f t="shared" si="7"/>
        <v>119.4375</v>
      </c>
      <c r="O38" s="15">
        <f t="shared" si="8"/>
        <v>4.44444444444444</v>
      </c>
      <c r="P38" s="21">
        <f t="shared" si="9"/>
        <v>26.8734375</v>
      </c>
    </row>
    <row r="39" spans="1:16">
      <c r="A39" s="12">
        <v>5</v>
      </c>
      <c r="B39" s="13">
        <f t="shared" si="1"/>
        <v>0.5</v>
      </c>
      <c r="C39" s="13">
        <v>2</v>
      </c>
      <c r="D39" s="14">
        <f t="shared" si="6"/>
        <v>0.875</v>
      </c>
      <c r="E39" s="15">
        <f t="shared" si="2"/>
        <v>11.375</v>
      </c>
      <c r="F39" s="16"/>
      <c r="G39" s="15">
        <f t="shared" si="3"/>
        <v>2.625</v>
      </c>
      <c r="H39" s="3"/>
      <c r="I39" s="15">
        <f t="shared" si="4"/>
        <v>0.2625</v>
      </c>
      <c r="J39" s="19"/>
      <c r="K39" s="20">
        <v>10</v>
      </c>
      <c r="L39" s="13">
        <v>1</v>
      </c>
      <c r="M39" s="21">
        <f t="shared" si="5"/>
        <v>14.3609375</v>
      </c>
      <c r="N39" s="15">
        <f t="shared" si="7"/>
        <v>143.609375</v>
      </c>
      <c r="O39" s="15">
        <f t="shared" si="8"/>
        <v>3.80952380952381</v>
      </c>
      <c r="P39" s="21">
        <f t="shared" si="9"/>
        <v>37.6974609375</v>
      </c>
    </row>
    <row r="40" spans="1:16">
      <c r="A40" s="12">
        <v>10</v>
      </c>
      <c r="B40" s="13">
        <f t="shared" si="1"/>
        <v>1</v>
      </c>
      <c r="C40" s="13">
        <v>2</v>
      </c>
      <c r="D40" s="14">
        <f t="shared" si="6"/>
        <v>1</v>
      </c>
      <c r="E40" s="15">
        <f t="shared" si="2"/>
        <v>13</v>
      </c>
      <c r="F40" s="16"/>
      <c r="G40" s="15">
        <f t="shared" si="3"/>
        <v>3</v>
      </c>
      <c r="H40" s="3"/>
      <c r="I40" s="15">
        <f t="shared" si="4"/>
        <v>0.3</v>
      </c>
      <c r="J40" s="19"/>
      <c r="K40" s="20">
        <v>10</v>
      </c>
      <c r="L40" s="13">
        <v>1</v>
      </c>
      <c r="M40" s="21">
        <f t="shared" si="5"/>
        <v>16.9</v>
      </c>
      <c r="N40" s="15">
        <f t="shared" si="7"/>
        <v>169</v>
      </c>
      <c r="O40" s="15">
        <f t="shared" si="8"/>
        <v>3.33333333333333</v>
      </c>
      <c r="P40" s="21">
        <f t="shared" si="9"/>
        <v>50.7</v>
      </c>
    </row>
    <row r="41" spans="1:16">
      <c r="A41" s="12">
        <v>0</v>
      </c>
      <c r="B41" s="13">
        <f t="shared" si="1"/>
        <v>0</v>
      </c>
      <c r="C41" s="13">
        <v>3</v>
      </c>
      <c r="D41" s="14">
        <f t="shared" si="6"/>
        <v>0.75</v>
      </c>
      <c r="E41" s="15">
        <f t="shared" si="2"/>
        <v>9.75</v>
      </c>
      <c r="F41" s="16"/>
      <c r="G41" s="15">
        <f t="shared" si="3"/>
        <v>2.25</v>
      </c>
      <c r="H41" s="3"/>
      <c r="I41" s="15">
        <f t="shared" si="4"/>
        <v>0.225</v>
      </c>
      <c r="J41" s="19"/>
      <c r="K41" s="20">
        <v>10</v>
      </c>
      <c r="L41" s="13">
        <v>1</v>
      </c>
      <c r="M41" s="21">
        <f t="shared" si="5"/>
        <v>11.94375</v>
      </c>
      <c r="N41" s="15">
        <f t="shared" si="7"/>
        <v>119.4375</v>
      </c>
      <c r="O41" s="15">
        <f t="shared" si="8"/>
        <v>4.44444444444444</v>
      </c>
      <c r="P41" s="21">
        <f t="shared" si="9"/>
        <v>26.8734375</v>
      </c>
    </row>
    <row r="42" spans="1:16">
      <c r="A42" s="12">
        <v>5</v>
      </c>
      <c r="B42" s="13">
        <f t="shared" si="1"/>
        <v>0.5</v>
      </c>
      <c r="C42" s="13">
        <v>3</v>
      </c>
      <c r="D42" s="14">
        <f t="shared" si="6"/>
        <v>0.9375</v>
      </c>
      <c r="E42" s="15">
        <f t="shared" si="2"/>
        <v>12.1875</v>
      </c>
      <c r="F42" s="16"/>
      <c r="G42" s="15">
        <f t="shared" si="3"/>
        <v>2.8125</v>
      </c>
      <c r="H42" s="3"/>
      <c r="I42" s="15">
        <f t="shared" si="4"/>
        <v>0.28125</v>
      </c>
      <c r="J42" s="19"/>
      <c r="K42" s="20">
        <v>10</v>
      </c>
      <c r="L42" s="13">
        <v>1</v>
      </c>
      <c r="M42" s="21">
        <f t="shared" si="5"/>
        <v>15.615234375</v>
      </c>
      <c r="N42" s="15">
        <f t="shared" si="7"/>
        <v>156.15234375</v>
      </c>
      <c r="O42" s="15">
        <f t="shared" si="8"/>
        <v>3.55555555555556</v>
      </c>
      <c r="P42" s="21">
        <f t="shared" si="9"/>
        <v>43.9178466796875</v>
      </c>
    </row>
    <row r="43" spans="1:16">
      <c r="A43" s="12">
        <v>10</v>
      </c>
      <c r="B43" s="13">
        <f t="shared" si="1"/>
        <v>1</v>
      </c>
      <c r="C43" s="13">
        <v>3</v>
      </c>
      <c r="D43" s="14">
        <f t="shared" si="6"/>
        <v>1.125</v>
      </c>
      <c r="E43" s="15">
        <f t="shared" si="2"/>
        <v>14.625</v>
      </c>
      <c r="F43" s="16"/>
      <c r="G43" s="15">
        <f t="shared" si="3"/>
        <v>3.375</v>
      </c>
      <c r="H43" s="3"/>
      <c r="I43" s="15">
        <f t="shared" si="4"/>
        <v>0.3375</v>
      </c>
      <c r="J43" s="19"/>
      <c r="K43" s="20">
        <v>10</v>
      </c>
      <c r="L43" s="13">
        <v>1</v>
      </c>
      <c r="M43" s="21">
        <f t="shared" si="5"/>
        <v>19.5609375</v>
      </c>
      <c r="N43" s="15">
        <f t="shared" si="7"/>
        <v>195.609375</v>
      </c>
      <c r="O43" s="15">
        <f t="shared" si="8"/>
        <v>2.96296296296296</v>
      </c>
      <c r="P43" s="21">
        <f t="shared" si="9"/>
        <v>66.0181640625</v>
      </c>
    </row>
    <row r="44" spans="1:16">
      <c r="A44" s="12">
        <v>0</v>
      </c>
      <c r="B44" s="13">
        <f t="shared" si="1"/>
        <v>0</v>
      </c>
      <c r="C44" s="13">
        <v>4</v>
      </c>
      <c r="D44" s="14">
        <f t="shared" si="6"/>
        <v>0.75</v>
      </c>
      <c r="E44" s="15">
        <f t="shared" si="2"/>
        <v>9.75</v>
      </c>
      <c r="F44" s="16"/>
      <c r="G44" s="15">
        <f t="shared" si="3"/>
        <v>2.25</v>
      </c>
      <c r="H44" s="3"/>
      <c r="I44" s="15">
        <f t="shared" si="4"/>
        <v>0.225</v>
      </c>
      <c r="J44" s="19"/>
      <c r="K44" s="20">
        <v>10</v>
      </c>
      <c r="L44" s="13">
        <v>1</v>
      </c>
      <c r="M44" s="21">
        <f t="shared" si="5"/>
        <v>11.94375</v>
      </c>
      <c r="N44" s="15">
        <f t="shared" si="7"/>
        <v>119.4375</v>
      </c>
      <c r="O44" s="15">
        <f t="shared" si="8"/>
        <v>4.44444444444444</v>
      </c>
      <c r="P44" s="21">
        <f t="shared" si="9"/>
        <v>26.8734375</v>
      </c>
    </row>
    <row r="45" spans="1:16">
      <c r="A45" s="12">
        <v>5</v>
      </c>
      <c r="B45" s="13">
        <f t="shared" si="1"/>
        <v>0.5</v>
      </c>
      <c r="C45" s="13">
        <v>4</v>
      </c>
      <c r="D45" s="14">
        <f t="shared" si="6"/>
        <v>1</v>
      </c>
      <c r="E45" s="15">
        <f t="shared" si="2"/>
        <v>13</v>
      </c>
      <c r="F45" s="16"/>
      <c r="G45" s="15">
        <f t="shared" si="3"/>
        <v>3</v>
      </c>
      <c r="H45" s="3"/>
      <c r="I45" s="15">
        <f t="shared" si="4"/>
        <v>0.3</v>
      </c>
      <c r="J45" s="19"/>
      <c r="K45" s="20">
        <v>10</v>
      </c>
      <c r="L45" s="13">
        <v>1</v>
      </c>
      <c r="M45" s="21">
        <f t="shared" si="5"/>
        <v>16.9</v>
      </c>
      <c r="N45" s="15">
        <f t="shared" si="7"/>
        <v>169</v>
      </c>
      <c r="O45" s="15">
        <f t="shared" si="8"/>
        <v>3.33333333333333</v>
      </c>
      <c r="P45" s="21">
        <f t="shared" si="9"/>
        <v>50.7</v>
      </c>
    </row>
    <row r="46" spans="1:16">
      <c r="A46" s="12">
        <v>10</v>
      </c>
      <c r="B46" s="13">
        <f t="shared" si="1"/>
        <v>1</v>
      </c>
      <c r="C46" s="13">
        <v>4</v>
      </c>
      <c r="D46" s="14">
        <f t="shared" si="6"/>
        <v>1.25</v>
      </c>
      <c r="E46" s="15">
        <f t="shared" si="2"/>
        <v>16.25</v>
      </c>
      <c r="F46" s="16"/>
      <c r="G46" s="15">
        <f t="shared" si="3"/>
        <v>3.75</v>
      </c>
      <c r="H46" s="3"/>
      <c r="I46" s="15">
        <f t="shared" si="4"/>
        <v>0.375</v>
      </c>
      <c r="J46" s="19"/>
      <c r="K46" s="20">
        <v>10</v>
      </c>
      <c r="L46" s="13">
        <v>1</v>
      </c>
      <c r="M46" s="21">
        <f t="shared" si="5"/>
        <v>22.34375</v>
      </c>
      <c r="N46" s="15">
        <f t="shared" si="7"/>
        <v>223.4375</v>
      </c>
      <c r="O46" s="15">
        <f t="shared" si="8"/>
        <v>2.66666666666667</v>
      </c>
      <c r="P46" s="21">
        <f t="shared" si="9"/>
        <v>83.7890625</v>
      </c>
    </row>
    <row r="47" spans="1:16">
      <c r="A47" s="12">
        <v>0</v>
      </c>
      <c r="B47" s="13">
        <f t="shared" si="1"/>
        <v>0</v>
      </c>
      <c r="C47" s="13">
        <v>5</v>
      </c>
      <c r="D47" s="14">
        <f t="shared" si="6"/>
        <v>0.75</v>
      </c>
      <c r="E47" s="15">
        <f t="shared" si="2"/>
        <v>9.75</v>
      </c>
      <c r="F47" s="16"/>
      <c r="G47" s="15">
        <f t="shared" si="3"/>
        <v>2.25</v>
      </c>
      <c r="H47" s="3"/>
      <c r="I47" s="15">
        <f t="shared" si="4"/>
        <v>0.225</v>
      </c>
      <c r="J47" s="19"/>
      <c r="K47" s="20">
        <v>10</v>
      </c>
      <c r="L47" s="13">
        <v>1</v>
      </c>
      <c r="M47" s="21">
        <f t="shared" si="5"/>
        <v>11.94375</v>
      </c>
      <c r="N47" s="15">
        <f t="shared" si="7"/>
        <v>119.4375</v>
      </c>
      <c r="O47" s="15">
        <f t="shared" si="8"/>
        <v>4.44444444444444</v>
      </c>
      <c r="P47" s="21">
        <f t="shared" si="9"/>
        <v>26.8734375</v>
      </c>
    </row>
    <row r="48" spans="1:16">
      <c r="A48" s="12">
        <v>5</v>
      </c>
      <c r="B48" s="13">
        <f t="shared" si="1"/>
        <v>0.5</v>
      </c>
      <c r="C48" s="13">
        <v>5</v>
      </c>
      <c r="D48" s="14">
        <f t="shared" si="6"/>
        <v>1.0625</v>
      </c>
      <c r="E48" s="15">
        <f t="shared" si="2"/>
        <v>13.8125</v>
      </c>
      <c r="F48" s="16"/>
      <c r="G48" s="15">
        <f t="shared" si="3"/>
        <v>3.1875</v>
      </c>
      <c r="H48" s="3"/>
      <c r="I48" s="15">
        <f t="shared" si="4"/>
        <v>0.31875</v>
      </c>
      <c r="J48" s="19"/>
      <c r="K48" s="20">
        <v>10</v>
      </c>
      <c r="L48" s="13">
        <v>1</v>
      </c>
      <c r="M48" s="21">
        <f t="shared" si="5"/>
        <v>18.215234375</v>
      </c>
      <c r="N48" s="15">
        <f t="shared" si="7"/>
        <v>182.15234375</v>
      </c>
      <c r="O48" s="15">
        <f t="shared" si="8"/>
        <v>3.13725490196078</v>
      </c>
      <c r="P48" s="21">
        <f t="shared" si="9"/>
        <v>58.0610595703125</v>
      </c>
    </row>
    <row r="49" spans="1:16">
      <c r="A49" s="12">
        <v>10</v>
      </c>
      <c r="B49" s="13">
        <f t="shared" si="1"/>
        <v>1</v>
      </c>
      <c r="C49" s="13">
        <v>5</v>
      </c>
      <c r="D49" s="14">
        <f t="shared" si="6"/>
        <v>1.375</v>
      </c>
      <c r="E49" s="15">
        <f t="shared" si="2"/>
        <v>17.875</v>
      </c>
      <c r="F49" s="16"/>
      <c r="G49" s="15">
        <f t="shared" si="3"/>
        <v>4.125</v>
      </c>
      <c r="H49" s="3"/>
      <c r="I49" s="15">
        <f t="shared" si="4"/>
        <v>0.4125</v>
      </c>
      <c r="J49" s="19"/>
      <c r="K49" s="20">
        <v>10</v>
      </c>
      <c r="L49" s="13">
        <v>1</v>
      </c>
      <c r="M49" s="21">
        <f t="shared" si="5"/>
        <v>25.2484375</v>
      </c>
      <c r="N49" s="15">
        <f t="shared" si="7"/>
        <v>252.484375</v>
      </c>
      <c r="O49" s="15">
        <f t="shared" si="8"/>
        <v>2.42424242424242</v>
      </c>
      <c r="P49" s="21">
        <f t="shared" si="9"/>
        <v>104.1498046875</v>
      </c>
    </row>
  </sheetData>
  <mergeCells count="16">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P33:P34"/>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Weapon Data v1</vt:lpstr>
      <vt:lpstr>Weapon Data V2</vt:lpstr>
      <vt:lpstr>Weapon Data V3</vt:lpstr>
      <vt:lpstr>Weapon Data V4</vt:lpstr>
      <vt:lpstr>Weather</vt:lpstr>
      <vt:lpstr>Classes</vt:lpstr>
      <vt:lpstr>Traits</vt:lpstr>
      <vt:lpstr>Regions</vt:lpstr>
      <vt:lpstr>Environments</vt:lpstr>
      <vt:lpstr>Gear</vt:lpstr>
      <vt:lpstr>Skills</vt:lpstr>
      <vt:lpstr>Enemy Types</vt:lpstr>
      <vt:lpstr>Region DescriptionGenerator</vt:lpstr>
      <vt:lpstr>Inscriptions</vt:lpstr>
      <vt:lpstr>Recipes</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2017-08-07T12:34:00Z</dcterms:created>
  <dcterms:modified xsi:type="dcterms:W3CDTF">2018-05-31T14:04:07Z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2057-10.2.0.6020</vt:lpwstr>
  </property>
</Properties>
</file>