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13"/>
  </bookViews>
  <sheets>
    <sheet name="Weapon Data v1" sheetId="2" state="hidden" r:id="rId1"/>
    <sheet name="Weapon Data V2" sheetId="12" state="hidden" r:id="rId2"/>
    <sheet name="Weapon Data V5" sheetId="26" r:id="rId3"/>
    <sheet name="Weather" sheetId="4" r:id="rId4"/>
    <sheet name="Regions" sheetId="7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Inscriptions" sheetId="22" r:id="rId11"/>
    <sheet name="Enemy Types" sheetId="16" r:id="rId12"/>
    <sheet name="Recipes" sheetId="24" r:id="rId13"/>
    <sheet name="Resources" sheetId="25" r:id="rId14"/>
    <sheet name="Sounds" sheetId="27" r:id="rId15"/>
    <sheet name="Tutorial" sheetId="29" r:id="rId16"/>
  </sheets>
  <calcPr calcId="144525"/>
</workbook>
</file>

<file path=xl/sharedStrings.xml><?xml version="1.0" encoding="utf-8"?>
<sst xmlns="http://schemas.openxmlformats.org/spreadsheetml/2006/main" count="1123">
  <si>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</si>
  <si>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</si>
  <si>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</si>
  <si>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</si>
  <si>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</si>
  <si>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</si>
  <si>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</si>
  <si>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</si>
  <si>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</si>
  <si>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</si>
  <si>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</si>
  <si>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</si>
  <si>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</si>
  <si>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</si>
  <si>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</si>
  <si>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</si>
  <si>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</si>
  <si>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</si>
  <si>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</si>
  <si>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</si>
  <si>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</si>
  <si>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</si>
  <si>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</si>
  <si>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</si>
  <si>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</si>
  <si>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</si>
  <si>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</si>
  <si>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</si>
  <si>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</si>
  <si>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</si>
  <si>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</si>
  <si>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</si>
  <si>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</si>
  <si>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</si>
  <si>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</si>
  <si>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</si>
  <si>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</si>
  <si>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</si>
  <si>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</si>
  <si>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</si>
  <si>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</si>
  <si>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</si>
  <si>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</si>
  <si>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</si>
  <si>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</si>
  <si>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</si>
  <si>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</si>
  <si>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</si>
  <si>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</si>
  <si>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</si>
  <si>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</si>
  <si>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</si>
  <si>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</si>
  <si>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</si>
  <si>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</si>
  <si>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</si>
  <si>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</si>
  <si>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</si>
  <si>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</si>
  <si>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</si>
  <si>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</si>
  <si>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</si>
  <si>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</si>
  <si>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</si>
  <si>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</si>
  <si>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</si>
  <si>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</si>
  <si>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</si>
  <si>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</si>
  <si>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</si>
  <si>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</si>
  <si>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</si>
  <si>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</si>
  <si>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</si>
  <si>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</si>
  <si>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</si>
  <si>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</si>
  <si>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</si>
  <si>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</si>
  <si>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</si>
  <si>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</si>
  <si>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</si>
  <si>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</si>
  <si>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</si>
  <si>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</si>
  <si>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</si>
  <si>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</si>
  <si>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</si>
  <si>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</si>
  <si>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</si>
  <si>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</si>
  <si>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</si>
  <si>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</si>
  <si>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</si>
  <si>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</si>
  <si>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</si>
  <si>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</si>
  <si>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Automatic</t>
  </si>
  <si>
    <t>Reload</t>
  </si>
  <si>
    <t>Recoil</t>
  </si>
  <si>
    <t>Shot Dam</t>
  </si>
  <si>
    <t>Mag Time + reload</t>
  </si>
  <si>
    <t>Durability Loss Per Shot</t>
  </si>
  <si>
    <t>normal, 10 shots</t>
  </si>
  <si>
    <t>double fire, 12 shots</t>
  </si>
  <si>
    <t>revolver, manual, 6 shots</t>
  </si>
  <si>
    <t>normal</t>
  </si>
  <si>
    <t>automatic</t>
  </si>
  <si>
    <t>piercing shot</t>
  </si>
  <si>
    <t>6 shot capacity, fully automatic</t>
  </si>
  <si>
    <t>10 shot capacity, non-automatic</t>
  </si>
  <si>
    <t>2 shot capacity, 2 shots per click</t>
  </si>
  <si>
    <t>burst fire</t>
  </si>
  <si>
    <t>increases accuracy</t>
  </si>
  <si>
    <t>d</t>
  </si>
  <si>
    <t>d/10</t>
  </si>
  <si>
    <t>d/25</t>
  </si>
  <si>
    <t>d/33</t>
  </si>
  <si>
    <t>Name</t>
  </si>
  <si>
    <t>Display Name</t>
  </si>
  <si>
    <t>Temperature</t>
  </si>
  <si>
    <t>Visibility</t>
  </si>
  <si>
    <t>Water</t>
  </si>
  <si>
    <t>Fog</t>
  </si>
  <si>
    <t>Ice</t>
  </si>
  <si>
    <t>Duration</t>
  </si>
  <si>
    <t>Thunder</t>
  </si>
  <si>
    <t>Particles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</si>
  <si>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</si>
  <si>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</si>
  <si>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</si>
  <si>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</si>
  <si>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</si>
  <si>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</si>
  <si>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</si>
  <si>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</si>
  <si>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</si>
  <si>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it it raining</t>
  </si>
  <si>
    <t>Downpour</t>
  </si>
  <si>
    <t>it is pouring</t>
  </si>
  <si>
    <t>Haze</t>
  </si>
  <si>
    <t>there is a haze</t>
  </si>
  <si>
    <t>Mist</t>
  </si>
  <si>
    <t>there is a light mist</t>
  </si>
  <si>
    <t>there is thick fog</t>
  </si>
  <si>
    <t>Clear</t>
  </si>
  <si>
    <t>the sky is clear</t>
  </si>
  <si>
    <t>Cloudy</t>
  </si>
  <si>
    <t>the sky is cloudy</t>
  </si>
  <si>
    <t>Overcast</t>
  </si>
  <si>
    <t>the sky is grey</t>
  </si>
  <si>
    <t>it is hailing</t>
  </si>
  <si>
    <t>Dust Storm</t>
  </si>
  <si>
    <t>a dust storm rages</t>
  </si>
  <si>
    <t>desert</t>
  </si>
  <si>
    <t>Lightning</t>
  </si>
  <si>
    <t>lightning strikes all around</t>
  </si>
  <si>
    <t>ruins</t>
  </si>
  <si>
    <t>Heat Wave</t>
  </si>
  <si>
    <t>the heat is unbearable</t>
  </si>
  <si>
    <t>wasteland</t>
  </si>
  <si>
    <t>Ice storm</t>
  </si>
  <si>
    <t>an icey wind passes</t>
  </si>
  <si>
    <t>mountains</t>
  </si>
  <si>
    <t>Hurricane</t>
  </si>
  <si>
    <t>hurricane winds blow</t>
  </si>
  <si>
    <t>salt sea</t>
  </si>
  <si>
    <t>Desert</t>
  </si>
  <si>
    <t>Freq</t>
  </si>
  <si>
    <t>Mountains</t>
  </si>
  <si>
    <t>Ice Storm</t>
  </si>
  <si>
    <t>Salt Sea</t>
  </si>
  <si>
    <t>Heatwave</t>
  </si>
  <si>
    <t>Ruins</t>
  </si>
  <si>
    <t>Icestorm</t>
  </si>
  <si>
    <t>Wasteland</t>
  </si>
  <si>
    <t>Duststorm</t>
  </si>
  <si>
    <t>Danger</t>
  </si>
  <si>
    <t>Animal</t>
  </si>
  <si>
    <t>Temple</t>
  </si>
  <si>
    <t>Shelter</t>
  </si>
  <si>
    <t>Shrine</t>
  </si>
  <si>
    <t>Monument</t>
  </si>
  <si>
    <t>Fountain</t>
  </si>
  <si>
    <t>Cache</t>
  </si>
  <si>
    <t>Region Suffixes</t>
  </si>
  <si>
    <t>Prefix</t>
  </si>
  <si>
    <t>Suffix</t>
  </si>
  <si>
    <t>Sea</t>
  </si>
  <si>
    <t>Savage</t>
  </si>
  <si>
    <t>Burden</t>
  </si>
  <si>
    <t>Pursuit</t>
  </si>
  <si>
    <t>Sustenance</t>
  </si>
  <si>
    <t>Corrupted</t>
  </si>
  <si>
    <t>Drifter</t>
  </si>
  <si>
    <t>Prison</t>
  </si>
  <si>
    <t>Marker</t>
  </si>
  <si>
    <t>Prosperity</t>
  </si>
  <si>
    <t>Dedication</t>
  </si>
  <si>
    <t>Altar</t>
  </si>
  <si>
    <t>Faithful</t>
  </si>
  <si>
    <t>Escape</t>
  </si>
  <si>
    <t>Hoard</t>
  </si>
  <si>
    <t>Ancients</t>
  </si>
  <si>
    <t>Dune</t>
  </si>
  <si>
    <t>Tor</t>
  </si>
  <si>
    <t>Cliff</t>
  </si>
  <si>
    <t>Vaults</t>
  </si>
  <si>
    <t>Gulch</t>
  </si>
  <si>
    <t>Execrator</t>
  </si>
  <si>
    <t>Cessation</t>
  </si>
  <si>
    <t>Chaser</t>
  </si>
  <si>
    <t>Fruit</t>
  </si>
  <si>
    <t>Maligned</t>
  </si>
  <si>
    <t>Vagrant</t>
  </si>
  <si>
    <t>Shackles</t>
  </si>
  <si>
    <t>Monolith</t>
  </si>
  <si>
    <t>Promise</t>
  </si>
  <si>
    <t>Adherent</t>
  </si>
  <si>
    <t>Heavenly</t>
  </si>
  <si>
    <t>Rapture</t>
  </si>
  <si>
    <t>Venerated</t>
  </si>
  <si>
    <t>Bank</t>
  </si>
  <si>
    <t>Ridge</t>
  </si>
  <si>
    <t>Valley</t>
  </si>
  <si>
    <t>Pillars</t>
  </si>
  <si>
    <t>Menhir</t>
  </si>
  <si>
    <t>Mortal</t>
  </si>
  <si>
    <t>Blight</t>
  </si>
  <si>
    <t>Stalker</t>
  </si>
  <si>
    <t>Bloom</t>
  </si>
  <si>
    <t>Festering</t>
  </si>
  <si>
    <t>Destitute</t>
  </si>
  <si>
    <t>Chains</t>
  </si>
  <si>
    <t>Testament</t>
  </si>
  <si>
    <t>Memory</t>
  </si>
  <si>
    <t>Devotion</t>
  </si>
  <si>
    <t>Tablet</t>
  </si>
  <si>
    <t>Defending</t>
  </si>
  <si>
    <t>Balm</t>
  </si>
  <si>
    <t>Supply</t>
  </si>
  <si>
    <t>Old Ones</t>
  </si>
  <si>
    <t>Erg</t>
  </si>
  <si>
    <t>Knoll</t>
  </si>
  <si>
    <t>Crest</t>
  </si>
  <si>
    <t>Rubble</t>
  </si>
  <si>
    <t>Aquifer</t>
  </si>
  <si>
    <t>Cripple</t>
  </si>
  <si>
    <t>Agony</t>
  </si>
  <si>
    <t>Huntress</t>
  </si>
  <si>
    <t>Blessing</t>
  </si>
  <si>
    <t>Mouldering</t>
  </si>
  <si>
    <t>Suppliant</t>
  </si>
  <si>
    <t>Fetters</t>
  </si>
  <si>
    <t>Cenotaph</t>
  </si>
  <si>
    <t>Legend</t>
  </si>
  <si>
    <t>Disciple</t>
  </si>
  <si>
    <t>Commitment</t>
  </si>
  <si>
    <t>Protecting</t>
  </si>
  <si>
    <t>Virtue</t>
  </si>
  <si>
    <t>Wealth</t>
  </si>
  <si>
    <t>Ones Before</t>
  </si>
  <si>
    <t>Channel</t>
  </si>
  <si>
    <t>Frost</t>
  </si>
  <si>
    <t>Pinnacle</t>
  </si>
  <si>
    <t>Tower</t>
  </si>
  <si>
    <t>Crater</t>
  </si>
  <si>
    <t>Civilisation</t>
  </si>
  <si>
    <t>Anguish</t>
  </si>
  <si>
    <t>Hunter</t>
  </si>
  <si>
    <t>Range</t>
  </si>
  <si>
    <t>Rotting</t>
  </si>
  <si>
    <t>Scavenger</t>
  </si>
  <si>
    <t>Retraints</t>
  </si>
  <si>
    <t>Obelisk</t>
  </si>
  <si>
    <t>Deeds</t>
  </si>
  <si>
    <t>Believer</t>
  </si>
  <si>
    <t>Offering</t>
  </si>
  <si>
    <t>Salving</t>
  </si>
  <si>
    <t>Grace</t>
  </si>
  <si>
    <t>Treasure</t>
  </si>
  <si>
    <t>Elders</t>
  </si>
  <si>
    <t>Drift</t>
  </si>
  <si>
    <t>Crag</t>
  </si>
  <si>
    <t>Precipice</t>
  </si>
  <si>
    <t>Drome</t>
  </si>
  <si>
    <t>Outcrop</t>
  </si>
  <si>
    <t>Anger</t>
  </si>
  <si>
    <t>Bane</t>
  </si>
  <si>
    <t>Pursuer</t>
  </si>
  <si>
    <t>Wild</t>
  </si>
  <si>
    <t>Abandoned</t>
  </si>
  <si>
    <t>Tethers</t>
  </si>
  <si>
    <t>Chronicle</t>
  </si>
  <si>
    <t>Fables</t>
  </si>
  <si>
    <t>Advocate</t>
  </si>
  <si>
    <t>Gift</t>
  </si>
  <si>
    <t>Delivering</t>
  </si>
  <si>
    <t>Ease</t>
  </si>
  <si>
    <t>Hide</t>
  </si>
  <si>
    <t>Ancestors</t>
  </si>
  <si>
    <t>Slope</t>
  </si>
  <si>
    <t>Crevasse</t>
  </si>
  <si>
    <t>Bluff</t>
  </si>
  <si>
    <t>Fragments</t>
  </si>
  <si>
    <t>Scar</t>
  </si>
  <si>
    <t>Hatred</t>
  </si>
  <si>
    <t>Curse</t>
  </si>
  <si>
    <t>Trapper</t>
  </si>
  <si>
    <t>Dell</t>
  </si>
  <si>
    <t>Wasted</t>
  </si>
  <si>
    <t>Record</t>
  </si>
  <si>
    <t>Lore</t>
  </si>
  <si>
    <t>Atonement</t>
  </si>
  <si>
    <t>Guarding</t>
  </si>
  <si>
    <t>Vault</t>
  </si>
  <si>
    <t>Forbearers</t>
  </si>
  <si>
    <t>Side</t>
  </si>
  <si>
    <t>Down</t>
  </si>
  <si>
    <t>Escarpment</t>
  </si>
  <si>
    <t>Citadel</t>
  </si>
  <si>
    <t>Betrayer</t>
  </si>
  <si>
    <t>Woe</t>
  </si>
  <si>
    <t>Tracker</t>
  </si>
  <si>
    <t>Dale</t>
  </si>
  <si>
    <t>Spoiled</t>
  </si>
  <si>
    <t>Testimony</t>
  </si>
  <si>
    <t>Myth</t>
  </si>
  <si>
    <t>Exalting</t>
  </si>
  <si>
    <t>Kindness</t>
  </si>
  <si>
    <t>Prize</t>
  </si>
  <si>
    <t>Lost Age</t>
  </si>
  <si>
    <t>Steep</t>
  </si>
  <si>
    <t>Talus</t>
  </si>
  <si>
    <t>Columns</t>
  </si>
  <si>
    <t>Maverick</t>
  </si>
  <si>
    <t>Grief</t>
  </si>
  <si>
    <t>Prowler</t>
  </si>
  <si>
    <t>Vale</t>
  </si>
  <si>
    <t>Putrefied</t>
  </si>
  <si>
    <t>Witness</t>
  </si>
  <si>
    <t>Sagas</t>
  </si>
  <si>
    <t>Benevolent</t>
  </si>
  <si>
    <t>Clemency</t>
  </si>
  <si>
    <t>Pride</t>
  </si>
  <si>
    <t>Great Light</t>
  </si>
  <si>
    <t>Gorge</t>
  </si>
  <si>
    <t>Stele</t>
  </si>
  <si>
    <t>Failure</t>
  </si>
  <si>
    <t>Affliction</t>
  </si>
  <si>
    <t>Predator</t>
  </si>
  <si>
    <t>Remission</t>
  </si>
  <si>
    <t>Decaying</t>
  </si>
  <si>
    <t>Acts</t>
  </si>
  <si>
    <t>Devoted</t>
  </si>
  <si>
    <t>Pardon</t>
  </si>
  <si>
    <t>Reward</t>
  </si>
  <si>
    <t>Makers</t>
  </si>
  <si>
    <t>Trench</t>
  </si>
  <si>
    <t>Deceiver</t>
  </si>
  <si>
    <t>Damnation</t>
  </si>
  <si>
    <t>Bounty</t>
  </si>
  <si>
    <t>Restitution</t>
  </si>
  <si>
    <t>Tainted</t>
  </si>
  <si>
    <t>Triumph</t>
  </si>
  <si>
    <t>Appeasing</t>
  </si>
  <si>
    <t>Reverence</t>
  </si>
  <si>
    <t>Mystics</t>
  </si>
  <si>
    <t>Edge</t>
  </si>
  <si>
    <t>Downfall</t>
  </si>
  <si>
    <t>Haunt</t>
  </si>
  <si>
    <t>Relief</t>
  </si>
  <si>
    <t>Blighted</t>
  </si>
  <si>
    <t>Success</t>
  </si>
  <si>
    <t>Elating</t>
  </si>
  <si>
    <t>Benevolence</t>
  </si>
  <si>
    <t>Hell</t>
  </si>
  <si>
    <t>Seeker</t>
  </si>
  <si>
    <t>Succour</t>
  </si>
  <si>
    <t>Sullied</t>
  </si>
  <si>
    <t>Resolution</t>
  </si>
  <si>
    <t>Vandal</t>
  </si>
  <si>
    <t>Carcass</t>
  </si>
  <si>
    <t>Strider</t>
  </si>
  <si>
    <t>Comfort</t>
  </si>
  <si>
    <t>Crumbling</t>
  </si>
  <si>
    <t>Victory</t>
  </si>
  <si>
    <t>Dignity</t>
  </si>
  <si>
    <t>Juggernaut</t>
  </si>
  <si>
    <t>Remains</t>
  </si>
  <si>
    <t>Den</t>
  </si>
  <si>
    <t>Rescue</t>
  </si>
  <si>
    <t>Leviathan</t>
  </si>
  <si>
    <t>Loss</t>
  </si>
  <si>
    <t>Endurance</t>
  </si>
  <si>
    <t>Paragon</t>
  </si>
  <si>
    <t>Decay</t>
  </si>
  <si>
    <t>Flow</t>
  </si>
  <si>
    <t>Behemoth</t>
  </si>
  <si>
    <t>Hulk</t>
  </si>
  <si>
    <t>Hope</t>
  </si>
  <si>
    <t>Font</t>
  </si>
  <si>
    <t>Glutton</t>
  </si>
  <si>
    <t>Shell</t>
  </si>
  <si>
    <t>Piety</t>
  </si>
  <si>
    <t>Drink</t>
  </si>
  <si>
    <t>Hellion</t>
  </si>
  <si>
    <t>Wreck</t>
  </si>
  <si>
    <t>Love</t>
  </si>
  <si>
    <t>Spring</t>
  </si>
  <si>
    <t>Demon</t>
  </si>
  <si>
    <t>Waste</t>
  </si>
  <si>
    <t>Beauty</t>
  </si>
  <si>
    <t>Reprieve</t>
  </si>
  <si>
    <t>Beast</t>
  </si>
  <si>
    <t>Duty</t>
  </si>
  <si>
    <t>Devil</t>
  </si>
  <si>
    <t>Collapse</t>
  </si>
  <si>
    <t>Faith</t>
  </si>
  <si>
    <t>Monstrosity</t>
  </si>
  <si>
    <t>Sorrow</t>
  </si>
  <si>
    <t>Passion</t>
  </si>
  <si>
    <t>Titan</t>
  </si>
  <si>
    <t>Carrion</t>
  </si>
  <si>
    <t>Heartache</t>
  </si>
  <si>
    <t>Gargantua</t>
  </si>
  <si>
    <t>Pity</t>
  </si>
  <si>
    <t>Fiend</t>
  </si>
  <si>
    <t>Heresy</t>
  </si>
  <si>
    <t>Demagogue</t>
  </si>
  <si>
    <t>Torment</t>
  </si>
  <si>
    <t>Dissident</t>
  </si>
  <si>
    <t>Terminus</t>
  </si>
  <si>
    <t>Apostate</t>
  </si>
  <si>
    <t>Dusk</t>
  </si>
  <si>
    <t>Baleful</t>
  </si>
  <si>
    <t>Pit</t>
  </si>
  <si>
    <t>Spiteful</t>
  </si>
  <si>
    <t>Root</t>
  </si>
  <si>
    <t>Ruin</t>
  </si>
  <si>
    <t>End</t>
  </si>
  <si>
    <t>Spite</t>
  </si>
  <si>
    <t>Dream</t>
  </si>
  <si>
    <t>Sleep</t>
  </si>
  <si>
    <t>Slumber</t>
  </si>
  <si>
    <t>Solace</t>
  </si>
  <si>
    <t>Sunset</t>
  </si>
  <si>
    <t>Rest</t>
  </si>
  <si>
    <t>Torpor</t>
  </si>
  <si>
    <t>Repose</t>
  </si>
  <si>
    <t>Stupor</t>
  </si>
  <si>
    <t>Coma</t>
  </si>
  <si>
    <t>Languor</t>
  </si>
  <si>
    <t>Lethargy</t>
  </si>
  <si>
    <t>Latancy</t>
  </si>
  <si>
    <t>Struggle</t>
  </si>
  <si>
    <t>Contest</t>
  </si>
  <si>
    <t>Trial</t>
  </si>
  <si>
    <t>Strife</t>
  </si>
  <si>
    <t>Toil</t>
  </si>
  <si>
    <t>Labour</t>
  </si>
  <si>
    <t>Grind</t>
  </si>
  <si>
    <t>Diligence</t>
  </si>
  <si>
    <t>Endeavour</t>
  </si>
  <si>
    <t>Ache</t>
  </si>
  <si>
    <t>Level No</t>
  </si>
  <si>
    <t>Temples</t>
  </si>
  <si>
    <t>Total</t>
  </si>
  <si>
    <t>Watersources</t>
  </si>
  <si>
    <t>Foodsources</t>
  </si>
  <si>
    <t>Resourcesources</t>
  </si>
  <si>
    <t>12</t>
  </si>
  <si>
    <t>8</t>
  </si>
  <si>
    <t>10</t>
  </si>
  <si>
    <t>16</t>
  </si>
  <si>
    <t>15</t>
  </si>
  <si>
    <t>20</t>
  </si>
  <si>
    <t>25</t>
  </si>
  <si>
    <t>24</t>
  </si>
  <si>
    <t>30</t>
  </si>
  <si>
    <t>Watersource count</t>
  </si>
  <si>
    <t>35</t>
  </si>
  <si>
    <t>40</t>
  </si>
  <si>
    <t>45</t>
  </si>
  <si>
    <t>50</t>
  </si>
  <si>
    <t>Foodsource count</t>
  </si>
  <si>
    <t>18</t>
  </si>
  <si>
    <t>22</t>
  </si>
  <si>
    <t>Resource count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</si>
  <si>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</si>
  <si>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</si>
  <si>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</si>
  <si>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</si>
  <si>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</si>
  <si>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</si>
  <si>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</si>
  <si>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</si>
  <si>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</si>
  <si>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</si>
  <si>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</si>
  <si>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</si>
  <si>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</si>
  <si>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</si>
  <si>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</si>
  <si>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</si>
  <si>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</si>
  <si>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</si>
  <si>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</si>
  <si>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</si>
  <si>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</si>
  <si>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</si>
  <si>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</si>
  <si>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</si>
  <si>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</si>
  <si>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</si>
  <si>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</si>
  <si>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</si>
  <si>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</si>
  <si>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</si>
  <si>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</si>
  <si>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</si>
  <si>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</si>
  <si>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</si>
  <si>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</si>
  <si>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</si>
  <si>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</si>
  <si>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</si>
  <si>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</si>
  <si>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</si>
  <si>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</si>
  <si>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</si>
  <si>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</si>
  <si>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</si>
  <si>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</si>
  <si>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</si>
  <si>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</si>
  <si>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</si>
  <si>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</si>
  <si>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</si>
  <si>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</si>
  <si>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</si>
  <si>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</si>
  <si>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</si>
  <si>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</si>
  <si>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</si>
  <si>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</si>
  <si>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</si>
  <si>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</si>
  <si>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</si>
  <si>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</si>
  <si>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</si>
  <si>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</si>
  <si>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</si>
  <si>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</si>
  <si>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</si>
  <si>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</si>
  <si>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</si>
  <si>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</si>
  <si>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</si>
  <si>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</si>
  <si>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</si>
  <si>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</si>
  <si>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</si>
  <si>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</si>
  <si>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</si>
  <si>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</si>
  <si>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</si>
  <si>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</si>
  <si>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</si>
  <si>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</si>
  <si>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</si>
  <si>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</si>
  <si>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</si>
  <si>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</si>
  <si>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</si>
  <si>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</si>
  <si>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</si>
  <si>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</si>
  <si>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</si>
  <si>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 xml:space="preserve">It is a hot dawn in the wasteland. 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</si>
  <si>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</si>
  <si>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</si>
  <si>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</si>
  <si>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</si>
  <si>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</si>
  <si>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</si>
  <si>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Drizzle caresses the dry ground, and the storm is just a distant shadow.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</si>
  <si>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</si>
  <si>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</si>
  <si>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</si>
  <si>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</si>
  <si>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</si>
  <si>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</si>
  <si>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Modifiers</t>
  </si>
  <si>
    <t>Attribute Sum</t>
  </si>
  <si>
    <t>Max Health (Fettle)</t>
  </si>
  <si>
    <t>Cooldown Modifier (Will)</t>
  </si>
  <si>
    <t>Adrenaline Recovery (Focus)</t>
  </si>
  <si>
    <t>Speed (Grit)</t>
  </si>
  <si>
    <t>Grit</t>
  </si>
  <si>
    <t>Fettle</t>
  </si>
  <si>
    <t>Will</t>
  </si>
  <si>
    <t>Focus</t>
  </si>
  <si>
    <t>Villain</t>
  </si>
  <si>
    <t>Compassion</t>
  </si>
  <si>
    <t>healer</t>
  </si>
  <si>
    <t>Deserter</t>
  </si>
  <si>
    <t>Suffering</t>
  </si>
  <si>
    <t>conditioner</t>
  </si>
  <si>
    <t>Rage</t>
  </si>
  <si>
    <t>tank</t>
  </si>
  <si>
    <t>Watcher</t>
  </si>
  <si>
    <t>Empathy</t>
  </si>
  <si>
    <t>storyteller</t>
  </si>
  <si>
    <t>Survivor</t>
  </si>
  <si>
    <t>Curiosity</t>
  </si>
  <si>
    <t>explorer</t>
  </si>
  <si>
    <t>Protector</t>
  </si>
  <si>
    <t>dps</t>
  </si>
  <si>
    <t>Despair</t>
  </si>
  <si>
    <t>finder</t>
  </si>
  <si>
    <t>Ghost</t>
  </si>
  <si>
    <t>Complacency</t>
  </si>
  <si>
    <t>Wanderer</t>
  </si>
  <si>
    <t>MAX VALUES</t>
  </si>
  <si>
    <t>Playstyle</t>
  </si>
  <si>
    <t>Requires Target</t>
  </si>
  <si>
    <t>Apply To Magazine</t>
  </si>
  <si>
    <t>Cost</t>
  </si>
  <si>
    <t>Description</t>
  </si>
  <si>
    <t>Void</t>
  </si>
  <si>
    <t>Create a vortex that draws enemies together</t>
  </si>
  <si>
    <t>Ignite</t>
  </si>
  <si>
    <t>Launch fire shot</t>
  </si>
  <si>
    <t>Shockwave</t>
  </si>
  <si>
    <t>Release a shockwave, pushing enemies back</t>
  </si>
  <si>
    <t>Swarm</t>
  </si>
  <si>
    <t>Release a burst of bullets in a circle around you</t>
  </si>
  <si>
    <t>Seek</t>
  </si>
  <si>
    <t>Shots seek nearby enemies for the rest of the magazine</t>
  </si>
  <si>
    <t>Impact</t>
  </si>
  <si>
    <t>Remaining shots in magazine explode.</t>
  </si>
  <si>
    <t>Needle</t>
  </si>
  <si>
    <t>Launches 3 fast moving shards</t>
  </si>
  <si>
    <t>Revenge</t>
  </si>
  <si>
    <t>Deals more damage when your health is low</t>
  </si>
  <si>
    <t>Drain</t>
  </si>
  <si>
    <t>The Villain</t>
  </si>
  <si>
    <t>Conditions</t>
  </si>
  <si>
    <t>Apply sickness to everything around you, heal a small amount</t>
  </si>
  <si>
    <t>Defile</t>
  </si>
  <si>
    <t>Apply sickness to everything around you, if they die, they explode</t>
  </si>
  <si>
    <t>Lacerate</t>
  </si>
  <si>
    <t>The Deserter</t>
  </si>
  <si>
    <t>Sapper</t>
  </si>
  <si>
    <t>Launch explosive grenade, heal 5% per enemy hit</t>
  </si>
  <si>
    <t>Immolate</t>
  </si>
  <si>
    <t>Launch fire grenade</t>
  </si>
  <si>
    <t>Cleanse</t>
  </si>
  <si>
    <t>The Beast</t>
  </si>
  <si>
    <t>Close Combat</t>
  </si>
  <si>
    <t>Draw enemies in, explode with fire</t>
  </si>
  <si>
    <t>Leach</t>
  </si>
  <si>
    <t>Connecting shots heal you</t>
  </si>
  <si>
    <t>The Watcher</t>
  </si>
  <si>
    <t>Crowd Control</t>
  </si>
  <si>
    <t>Heal a small amount, dash forward quickly</t>
  </si>
  <si>
    <t>Discharge</t>
  </si>
  <si>
    <t>Explode with fire and decay</t>
  </si>
  <si>
    <t>Tremor</t>
  </si>
  <si>
    <t>The Survivor</t>
  </si>
  <si>
    <t>Defence</t>
  </si>
  <si>
    <t>Release decay blast</t>
  </si>
  <si>
    <t>Erupt</t>
  </si>
  <si>
    <t>Release a cluster of bombs</t>
  </si>
  <si>
    <t>Relinquish</t>
  </si>
  <si>
    <t>The Protector</t>
  </si>
  <si>
    <t>Healer</t>
  </si>
  <si>
    <t>Lose all ammo, heal 25%</t>
  </si>
  <si>
    <t>Wake</t>
  </si>
  <si>
    <t>Drop fire trial</t>
  </si>
  <si>
    <t>Sacrifice</t>
  </si>
  <si>
    <t>The Hunter</t>
  </si>
  <si>
    <t>Sniper</t>
  </si>
  <si>
    <t>Explode with shatter, regain some health</t>
  </si>
  <si>
    <t>Mark</t>
  </si>
  <si>
    <t>All targets in range take 2x damage</t>
  </si>
  <si>
    <t>Regenerate</t>
  </si>
  <si>
    <t>The Ghost</t>
  </si>
  <si>
    <t>Glass Cannon</t>
  </si>
  <si>
    <t>Heal 1%/s until hit</t>
  </si>
  <si>
    <t>Refill</t>
  </si>
  <si>
    <t>Chance to regain ammo on connecting shot</t>
  </si>
  <si>
    <t>Staunch</t>
  </si>
  <si>
    <t>The Wanderer</t>
  </si>
  <si>
    <t>Neutral</t>
  </si>
  <si>
    <t>Heal 40%</t>
  </si>
  <si>
    <t>Afflict</t>
  </si>
  <si>
    <t>Launch decay grenade</t>
  </si>
  <si>
    <t>Rite Name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</si>
  <si>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</si>
  <si>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</si>
  <si>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</si>
  <si>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</si>
  <si>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</si>
  <si>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</si>
  <si>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</si>
  <si>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</si>
  <si>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</si>
  <si>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Fettle increased</t>
  </si>
  <si>
    <t>FALSE</t>
  </si>
  <si>
    <t>0</t>
  </si>
  <si>
    <t>Vigilance</t>
  </si>
  <si>
    <t>Our world is dictated by what our mind will allow us to see</t>
  </si>
  <si>
    <t>Find num items</t>
  </si>
  <si>
    <t>Focus increased</t>
  </si>
  <si>
    <t>The only being to which we must prove our abilities is ourselves</t>
  </si>
  <si>
    <t>Use skills num times</t>
  </si>
  <si>
    <t>Will increased</t>
  </si>
  <si>
    <t>TRUE</t>
  </si>
  <si>
    <t>Stamina</t>
  </si>
  <si>
    <t>It is not enough to will it, our bodies must be capable of doing to succeed</t>
  </si>
  <si>
    <t>Discover num regions</t>
  </si>
  <si>
    <t>Grit increased</t>
  </si>
  <si>
    <t>Insight</t>
  </si>
  <si>
    <t>Knowledge itself is useless without the insight to apply it</t>
  </si>
  <si>
    <t>Gain num essence</t>
  </si>
  <si>
    <t>Essence recovers more durability on weapons</t>
  </si>
  <si>
    <t>Revival</t>
  </si>
  <si>
    <t>Know what it is like to look death in the eyes and command him to back down</t>
  </si>
  <si>
    <t>Take num damage</t>
  </si>
  <si>
    <t>Gain a second wind when you take fatal damage</t>
  </si>
  <si>
    <t>0.25</t>
  </si>
  <si>
    <t>Apathy</t>
  </si>
  <si>
    <t>When your life depends on the loss of another, you can begin to relish death</t>
  </si>
  <si>
    <t>Kill num enemies</t>
  </si>
  <si>
    <t>Restore Will when using Radiance</t>
  </si>
  <si>
    <t>Finesse</t>
  </si>
  <si>
    <t>Mastering your tools is to take control of your fate</t>
  </si>
  <si>
    <t>Reload on empty magazine num times</t>
  </si>
  <si>
    <t>Automatically reload when magazine is empty</t>
  </si>
  <si>
    <t>Ingenuity</t>
  </si>
  <si>
    <t>Kill num enemy with last round</t>
  </si>
  <si>
    <t>Instantly reload if the last round kills an enemy</t>
  </si>
  <si>
    <t>Scavenging</t>
  </si>
  <si>
    <t>No land is barren to the eyes of the scavenger</t>
  </si>
  <si>
    <t>Find num resources</t>
  </si>
  <si>
    <t>+1 Resource on finding resource</t>
  </si>
  <si>
    <t>Hunting</t>
  </si>
  <si>
    <t>The greatest prey wait only for the worthy hunters</t>
  </si>
  <si>
    <t>Find num food sources</t>
  </si>
  <si>
    <t>Food sates your hunger more</t>
  </si>
  <si>
    <t>Divining</t>
  </si>
  <si>
    <t>To the diviners, the earth herself offers up her blood</t>
  </si>
  <si>
    <t>Find num water sources</t>
  </si>
  <si>
    <t>Water quenches your thirst more</t>
  </si>
  <si>
    <t>Fire</t>
  </si>
  <si>
    <t>No other beast feeds off the life of another as fire</t>
  </si>
  <si>
    <t>Take num burn damage</t>
  </si>
  <si>
    <t>Occasionally explode with fire on taking damage</t>
  </si>
  <si>
    <t>0.02</t>
  </si>
  <si>
    <t>Shattering</t>
  </si>
  <si>
    <t>All armour is only as strong as it's weakest part</t>
  </si>
  <si>
    <t>Lose num points of armour</t>
  </si>
  <si>
    <t>Occasionally explode with decay on taking damage</t>
  </si>
  <si>
    <t>Sickness</t>
  </si>
  <si>
    <t>Take sickness damage num times</t>
  </si>
  <si>
    <t>Killing sick enemies spreads it to nearby enemies</t>
  </si>
  <si>
    <t>Mastery</t>
  </si>
  <si>
    <t>Wisdom is but knowledge tempered by years of experience</t>
  </si>
  <si>
    <t>Consume num adrenaline</t>
  </si>
  <si>
    <t>Small chance for free skill activation</t>
  </si>
  <si>
    <t>0.05</t>
  </si>
  <si>
    <t>Internal Name</t>
  </si>
  <si>
    <t>Attribute</t>
  </si>
  <si>
    <t>Bonus</t>
  </si>
  <si>
    <t>Eye of the Tempest</t>
  </si>
  <si>
    <t>ReloadSpeed</t>
  </si>
  <si>
    <t>-0.05</t>
  </si>
  <si>
    <t>A blessing of the eternal storm</t>
  </si>
  <si>
    <t>Ocean's Deep</t>
  </si>
  <si>
    <t>May it never run dry</t>
  </si>
  <si>
    <t>Sigil of Darkness</t>
  </si>
  <si>
    <t>A spiteful sigil, painful to the touch</t>
  </si>
  <si>
    <t>Godsgaze</t>
  </si>
  <si>
    <t>All seeing, all knowing</t>
  </si>
  <si>
    <t>Grace of Time</t>
  </si>
  <si>
    <t>FireRate</t>
  </si>
  <si>
    <t>Marching ever onwards</t>
  </si>
  <si>
    <t>Heavenly Amulet</t>
  </si>
  <si>
    <t>Be stable, never falter</t>
  </si>
  <si>
    <t>Embers of the Fire God</t>
  </si>
  <si>
    <t>Burn</t>
  </si>
  <si>
    <t>0.025</t>
  </si>
  <si>
    <t>The forge embers can never be quenched</t>
  </si>
  <si>
    <t>Taint of the Abyss</t>
  </si>
  <si>
    <t>Shatter</t>
  </si>
  <si>
    <t>Only dark things are found in dark places</t>
  </si>
  <si>
    <t>Marrow of Cursed Bones</t>
  </si>
  <si>
    <t>Rotten souls leave restless remains</t>
  </si>
  <si>
    <t>Additive</t>
  </si>
  <si>
    <t>Murder</t>
  </si>
  <si>
    <t>Fervor</t>
  </si>
  <si>
    <t>Haste</t>
  </si>
  <si>
    <t>Swiftness</t>
  </si>
  <si>
    <t>murmur</t>
  </si>
  <si>
    <t>x1</t>
  </si>
  <si>
    <t>Oppression</t>
  </si>
  <si>
    <t>whisper</t>
  </si>
  <si>
    <t>x2</t>
  </si>
  <si>
    <t>Terror</t>
  </si>
  <si>
    <t>cry</t>
  </si>
  <si>
    <t>x3</t>
  </si>
  <si>
    <t>Cinders</t>
  </si>
  <si>
    <t>wail</t>
  </si>
  <si>
    <t>x4</t>
  </si>
  <si>
    <t>Pestilence</t>
  </si>
  <si>
    <t>bellow</t>
  </si>
  <si>
    <t>x5</t>
  </si>
  <si>
    <t>Vigor</t>
  </si>
  <si>
    <t>Perpetuance</t>
  </si>
  <si>
    <t>Resolve</t>
  </si>
  <si>
    <t>Enemy Type</t>
  </si>
  <si>
    <t>Health</t>
  </si>
  <si>
    <t>Healt at Max Armour</t>
  </si>
  <si>
    <t>Speed</t>
  </si>
  <si>
    <t>Difficulty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</si>
  <si>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</si>
  <si>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</si>
  <si>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</si>
  <si>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</si>
  <si>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</si>
  <si>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</si>
  <si>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</si>
  <si>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</si>
  <si>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</si>
  <si>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</si>
  <si>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Salt</t>
  </si>
  <si>
    <t>Human</t>
  </si>
  <si>
    <t>fire shot</t>
  </si>
  <si>
    <t>Brawler</t>
  </si>
  <si>
    <t>charge player</t>
  </si>
  <si>
    <t>Medic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</si>
  <si>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</si>
  <si>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</si>
  <si>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</si>
  <si>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</si>
  <si>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</si>
  <si>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</si>
  <si>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</si>
  <si>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</si>
  <si>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</si>
  <si>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</si>
  <si>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</si>
  <si>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</si>
  <si>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</si>
  <si>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</si>
  <si>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</si>
  <si>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</si>
  <si>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</si>
  <si>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</si>
  <si>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</si>
  <si>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</si>
  <si>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</si>
  <si>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</si>
  <si>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</si>
  <si>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</si>
  <si>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</si>
  <si>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fire volleys, consume ghouls, beam attack</t>
  </si>
  <si>
    <t>Shadow</t>
  </si>
  <si>
    <t>stealth, runs behind player, steals health</t>
  </si>
  <si>
    <t>Decoy</t>
  </si>
  <si>
    <t>Drone</t>
  </si>
  <si>
    <t>Grazer</t>
  </si>
  <si>
    <t>Meat</t>
  </si>
  <si>
    <t>runs away when shot</t>
  </si>
  <si>
    <t>causes other animals to run away, rams player</t>
  </si>
  <si>
    <t>Curio</t>
  </si>
  <si>
    <t>runs erratically from player</t>
  </si>
  <si>
    <t>Recipes</t>
  </si>
  <si>
    <t>Ingredient 1</t>
  </si>
  <si>
    <t>Ingredient 2</t>
  </si>
  <si>
    <t>Product</t>
  </si>
  <si>
    <t>TYPE</t>
  </si>
  <si>
    <t>Quantity</t>
  </si>
  <si>
    <t>Cooked Meat</t>
  </si>
  <si>
    <t>RESOURCE</t>
  </si>
  <si>
    <t>Blubber</t>
  </si>
  <si>
    <t>Cooked Blubber</t>
  </si>
  <si>
    <t>Fuel</t>
  </si>
  <si>
    <t>FIRE</t>
  </si>
  <si>
    <t>Good for lighting fires</t>
  </si>
  <si>
    <t>Grisly Remains</t>
  </si>
  <si>
    <t>Dried Meat</t>
  </si>
  <si>
    <t>Tastier than raw meat</t>
  </si>
  <si>
    <t>Leather Square</t>
  </si>
  <si>
    <t>Hardened animal hide</t>
  </si>
  <si>
    <t>Mystic Shard</t>
  </si>
  <si>
    <t>A clear stone, intrinsically linked to the gate</t>
  </si>
  <si>
    <t>Rusty Scrap</t>
  </si>
  <si>
    <t>Improvised Furnace</t>
  </si>
  <si>
    <t>UPGRADE</t>
  </si>
  <si>
    <t>Radiance</t>
  </si>
  <si>
    <t>Used to claim regions from the darkness</t>
  </si>
  <si>
    <t>Better than puddle water</t>
  </si>
  <si>
    <t>Trap</t>
  </si>
  <si>
    <t>BUILDING</t>
  </si>
  <si>
    <t>Occasionally attracts animals to eat</t>
  </si>
  <si>
    <t>Water Collector</t>
  </si>
  <si>
    <t>Collects rain water</t>
  </si>
  <si>
    <t>(+ water in rain/hail)</t>
  </si>
  <si>
    <t>Makeshift Plate</t>
  </si>
  <si>
    <t>Leather, reinforced with scrap metal</t>
  </si>
  <si>
    <t>Metal Shards</t>
  </si>
  <si>
    <t>Forging Hammer</t>
  </si>
  <si>
    <t>Charcoal</t>
  </si>
  <si>
    <t>Used to strengthen metal</t>
  </si>
  <si>
    <t>Condenser</t>
  </si>
  <si>
    <t>Condenses water from the air</t>
  </si>
  <si>
    <t>Metal Plate</t>
  </si>
  <si>
    <t>Light and supple metal</t>
  </si>
  <si>
    <t>Purifier</t>
  </si>
  <si>
    <t>Slowly makes deathwater potable</t>
  </si>
  <si>
    <t>(+ water in mist/fog)</t>
  </si>
  <si>
    <t>Smoker</t>
  </si>
  <si>
    <t>Slowly makes rotmeat edible</t>
  </si>
  <si>
    <t>Ancient Relics</t>
  </si>
  <si>
    <t>Bellows</t>
  </si>
  <si>
    <t>deathwater -&gt; water</t>
  </si>
  <si>
    <t>Essence Filter</t>
  </si>
  <si>
    <t>Slowly draws essence from the air</t>
  </si>
  <si>
    <t>rotmeat -&gt; meat</t>
  </si>
  <si>
    <t>Deathbloom</t>
  </si>
  <si>
    <t>Hollowroot</t>
  </si>
  <si>
    <t>Tonic of Fettle</t>
  </si>
  <si>
    <t>A tonic of blooms and roots</t>
  </si>
  <si>
    <t>Mother's Tear</t>
  </si>
  <si>
    <t>Glowcap</t>
  </si>
  <si>
    <t>Dose of Focus</t>
  </si>
  <si>
    <t>A dose of tears and toadstools</t>
  </si>
  <si>
    <t>(+ essence)</t>
  </si>
  <si>
    <t>Iridescent Scale</t>
  </si>
  <si>
    <t>A rippling metal scale</t>
  </si>
  <si>
    <t>Celestial Fragments</t>
  </si>
  <si>
    <t>Celestial Scale</t>
  </si>
  <si>
    <t>A shard of divine armour</t>
  </si>
  <si>
    <t>Shaman Frond</t>
  </si>
  <si>
    <t>Sageleaf</t>
  </si>
  <si>
    <t>Elixir of Will</t>
  </si>
  <si>
    <t>An elixer of fronds and leaves</t>
  </si>
  <si>
    <t>Fleetfoot</t>
  </si>
  <si>
    <t>Aquiris</t>
  </si>
  <si>
    <t>Concoction of Grit</t>
  </si>
  <si>
    <t>A concoction of stems and sacs</t>
  </si>
  <si>
    <t>Intricate Tools</t>
  </si>
  <si>
    <t>Consumable</t>
  </si>
  <si>
    <t>Drop Rate</t>
  </si>
  <si>
    <t>Sum</t>
  </si>
  <si>
    <t>Expected Drop Count</t>
  </si>
  <si>
    <t>Permanent</t>
  </si>
  <si>
    <t>Thirst</t>
  </si>
  <si>
    <t>Fresh and clear, not yet tainted by the earth</t>
  </si>
  <si>
    <t>Deathwater</t>
  </si>
  <si>
    <t>Black and bubbling, passes straight through you</t>
  </si>
  <si>
    <t>Earthmilk</t>
  </si>
  <si>
    <t>Milky and refreshing, welcome relief in the wilderness</t>
  </si>
  <si>
    <t>Rotmeat</t>
  </si>
  <si>
    <t>Hunger</t>
  </si>
  <si>
    <t>Grey sinew and hollow bone, not good for you</t>
  </si>
  <si>
    <t>Gristly meat- tough, but manageable</t>
  </si>
  <si>
    <t>Thick fatty meat, even tastes good raw</t>
  </si>
  <si>
    <t>Very salty, very tasty</t>
  </si>
  <si>
    <t>Plant</t>
  </si>
  <si>
    <t>Helps to heal wounds when rubbed into the skin</t>
  </si>
  <si>
    <t>Restores even deep wounds, but won't numb the pain</t>
  </si>
  <si>
    <t>Used in ancient times to calm the nerves</t>
  </si>
  <si>
    <t>A strongly scented leaf, returns reality to the demented</t>
  </si>
  <si>
    <t>Provides a little clarity in moments of darkness</t>
  </si>
  <si>
    <t>Clears the mind, and focuses the soul</t>
  </si>
  <si>
    <t>A sweet root, helps the legs go that bit further</t>
  </si>
  <si>
    <t>A fragile pouch protecting sugary liquid</t>
  </si>
  <si>
    <t>Cinderberry</t>
  </si>
  <si>
    <t>A red berry- hot to the touch, spewing smoke and burning red</t>
  </si>
  <si>
    <t>Blightberry</t>
  </si>
  <si>
    <t>A small berry, heavy to hold, reeking of sickness</t>
  </si>
  <si>
    <t>Rotberry</t>
  </si>
  <si>
    <t>A blue fruit, star shaped, bristling with thorns</t>
  </si>
  <si>
    <t>Cerulean Bloom</t>
  </si>
  <si>
    <t>SkillRechargeBonus</t>
  </si>
  <si>
    <t>An iridescent silver flower, quickens your fingers and your thoughts</t>
  </si>
  <si>
    <t>Crimson Bloom</t>
  </si>
  <si>
    <t>AdrenalineRechargeBonus</t>
  </si>
  <si>
    <t>A darkly glowing bloom, radiating with bloody rage</t>
  </si>
  <si>
    <t>Resource</t>
  </si>
  <si>
    <t>Shatter to return to the gate instantly</t>
  </si>
  <si>
    <t>Potion</t>
  </si>
  <si>
    <t>A ghastly tonic that increases your Fettle</t>
  </si>
  <si>
    <t>Just few drops of this argent liquid strengthens your Will.</t>
  </si>
  <si>
    <t>More a gas than a liquid, one deep breath enhances your Focus.</t>
  </si>
  <si>
    <t>One swig of this earthy concoction and your Grit will not falter.</t>
  </si>
  <si>
    <t>Drop Rate Sum</t>
  </si>
  <si>
    <t>pump?</t>
  </si>
  <si>
    <t>crowbar/tap?</t>
  </si>
  <si>
    <t>pry (alternate keys)?</t>
  </si>
  <si>
    <t>floor proximity puzzle?</t>
  </si>
  <si>
    <t>encryption puzzle?</t>
  </si>
  <si>
    <t>shoot?</t>
  </si>
  <si>
    <t>Required</t>
  </si>
  <si>
    <t>Good to have</t>
  </si>
  <si>
    <t>Possible</t>
  </si>
  <si>
    <t>Region Audio</t>
  </si>
  <si>
    <t>Combat</t>
  </si>
  <si>
    <t>General</t>
  </si>
  <si>
    <t>Pistol Shot</t>
  </si>
  <si>
    <t>Pistol Reload</t>
  </si>
  <si>
    <t>Rifle Shot</t>
  </si>
  <si>
    <t>Rifle Reload</t>
  </si>
  <si>
    <t>Shotgun Shot</t>
  </si>
  <si>
    <t>Birds</t>
  </si>
  <si>
    <t>Shotgun Reload</t>
  </si>
  <si>
    <t>SMG Shot</t>
  </si>
  <si>
    <t>Bushes</t>
  </si>
  <si>
    <t>SMG Reload</t>
  </si>
  <si>
    <t>Animals</t>
  </si>
  <si>
    <t>LMG Shot</t>
  </si>
  <si>
    <t>Howling wind</t>
  </si>
  <si>
    <t>LMG Reload</t>
  </si>
  <si>
    <t>Explosion</t>
  </si>
  <si>
    <t>Gentle wind</t>
  </si>
  <si>
    <t>Shell Hit Floor</t>
  </si>
  <si>
    <t>Fire Crackling</t>
  </si>
  <si>
    <t>Heavy rain</t>
  </si>
  <si>
    <t>Rifle cock</t>
  </si>
  <si>
    <t>Fire swoosh</t>
  </si>
  <si>
    <t>Muffled mist</t>
  </si>
  <si>
    <t>Shotgun cock</t>
  </si>
  <si>
    <t>Melee thud</t>
  </si>
  <si>
    <t>Insects</t>
  </si>
  <si>
    <t>Decay crack</t>
  </si>
  <si>
    <t>Animal braying</t>
  </si>
  <si>
    <t>Sickness noise</t>
  </si>
  <si>
    <t>Bullet impact</t>
  </si>
  <si>
    <t>Sandstorm</t>
  </si>
  <si>
    <t>Gun cock</t>
  </si>
  <si>
    <t>Heal</t>
  </si>
  <si>
    <t>Dripping</t>
  </si>
  <si>
    <t>Shrine timer</t>
  </si>
  <si>
    <t>Rocks falling</t>
  </si>
  <si>
    <t>Temple shock wave</t>
  </si>
  <si>
    <t>Button click</t>
  </si>
  <si>
    <t>Armour break</t>
  </si>
  <si>
    <t>Heavy muted zoom in out</t>
  </si>
  <si>
    <t>Heart beat</t>
  </si>
  <si>
    <t>Heavy muted menu change</t>
  </si>
  <si>
    <t>Dash</t>
  </si>
  <si>
    <t>Button change</t>
  </si>
  <si>
    <t>Item find</t>
  </si>
  <si>
    <t>Brand unlock</t>
  </si>
  <si>
    <t>Human shouting</t>
  </si>
  <si>
    <t>Nightmares</t>
  </si>
  <si>
    <t>Section</t>
  </si>
  <si>
    <t>Section Title</t>
  </si>
  <si>
    <t>Subsection</t>
  </si>
  <si>
    <t>Auto Unlock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</si>
  <si>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</si>
  <si>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</si>
  <si>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</si>
  <si>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</si>
  <si>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</si>
  <si>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</si>
  <si>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Progress must be saved manually. Be warned- Beyond the Veil uses only a single save slot.</t>
  </si>
  <si>
    <t>The Map</t>
  </si>
  <si>
    <t>The Map allows you to discover and revisit regions. The grit required to travel to a region is shown below it's name. Returning to the gate is always free.</t>
  </si>
  <si>
    <t>The Compass</t>
  </si>
  <si>
    <t>Your compass reveals interesting points on the map. Each use of the compass consumes 1 focus.</t>
  </si>
  <si>
    <t>Meditation and Grit</t>
  </si>
  <si>
    <t>Meditating</t>
  </si>
  <si>
    <t>Meditating consumes Will to restore other attributes. It can be done at any time, and is a good way to avoid returning to the gate to recover.</t>
  </si>
  <si>
    <t>When a characters health reaches zero in combat, they die. If the Wanderer dies, your journey is over.</t>
  </si>
  <si>
    <t>Your armour bar shows how much damage your armour can absorb.</t>
  </si>
  <si>
    <t>Adrenaline</t>
  </si>
  <si>
    <t>Adrenaline is gained by dealing damage to enemies. It can be used to dash or activate skills.</t>
  </si>
  <si>
    <t>Your current accuracy is also shown at the top of the screen. Continuous fire decreases your accuracy, so fire in short bursts for maximum effectiveness.</t>
  </si>
  <si>
    <t>Attributes</t>
  </si>
  <si>
    <t>Characters have 4 attributes- 2 Physical, and 2 Mental:</t>
  </si>
  <si>
    <t>Physical</t>
  </si>
  <si>
    <t>Fettle increases your maximum health in combat. Grit increases movement speed and map travel distance.</t>
  </si>
  <si>
    <t>Mental</t>
  </si>
  <si>
    <t>Focus increases the rate you gain adrenaline, and the number of compass charges available. Will decreases the recharge time of your skills, and can be used to restore other attributes.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</si>
  <si>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</si>
  <si>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</si>
  <si>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</si>
  <si>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</si>
  <si>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</si>
  <si>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</si>
  <si>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</si>
  <si>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</si>
  <si>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</si>
  <si>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</si>
  <si>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</si>
  <si>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</si>
  <si>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</si>
  <si>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Skills</t>
  </si>
  <si>
    <t>In total there are 4 skill slots available during combat.</t>
  </si>
  <si>
    <t>Character Skills</t>
  </si>
  <si>
    <t>The first 2 skills are linked to the character. These skills are unlocked over time.</t>
  </si>
  <si>
    <t>Weapon Skills</t>
  </si>
  <si>
    <t>The last 2 skills are linked to your weapon. Using weapons of each type will unlock their skills.</t>
  </si>
  <si>
    <t>The dots above a skill indicate the adrenaline required to use them.</t>
  </si>
  <si>
    <t>Shrines and Trials</t>
  </si>
  <si>
    <t>Shrines</t>
  </si>
  <si>
    <t xml:space="preserve">Some areas contain shrines where you can show your devotion to the gods. To do so you can accept Rites, each of which have different requirements to complete. </t>
  </si>
  <si>
    <t>Trials</t>
  </si>
  <si>
    <t>When the requirements are met, you must partake in a final trial, the outcome of which will either provide you with a blessing or a curse.</t>
  </si>
  <si>
    <t>Chanelling</t>
  </si>
  <si>
    <t>Weapon power is drained through use, decreasing the damage you deal in combat. If you have essence available, it can be channelled into the weapon to restore its power.</t>
  </si>
  <si>
    <t>Infusions</t>
  </si>
  <si>
    <t>Infusions can be used to grant large, passive bonuses to weapons. Applying Infusions requires Essence, and replaces any Infusions already applied.</t>
  </si>
  <si>
    <t>Sleeping slowly restores your characters attributes over time.</t>
  </si>
  <si>
    <t>Hunger and Thirst</t>
  </si>
  <si>
    <t>If your Hunger or Thirst level reaches 0, you die. Eat food and drink water to prevent this.</t>
  </si>
  <si>
    <t>Damage Types</t>
  </si>
  <si>
    <t>There are 3 types of alternate damage. Shatter depletes armour. Fire causes damage over time. Void stacks to a critical level, and deals massive damage.</t>
  </si>
</sst>
</file>

<file path=xl/styles.xml><?xml version="1.0" encoding="utf-8"?>
<styleSheet xmlns="http://schemas.openxmlformats.org/spreadsheetml/2006/main">
  <numFmts count="8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6" formatCode="0.00_ "/>
    <numFmt numFmtId="177" formatCode="0_ "/>
    <numFmt numFmtId="43" formatCode="_-* #,##0.00_-;\-* #,##0.00_-;_-* &quot;-&quot;??_-;_-@_-"/>
    <numFmt numFmtId="41" formatCode="_-* #,##0_-;\-* #,##0_-;_-* &quot;-&quot;_-;_-@_-"/>
    <numFmt numFmtId="178" formatCode="0.0_ "/>
    <numFmt numFmtId="179" formatCode="0.0"/>
  </numFmts>
  <fonts count="28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5" borderId="36" applyNumberFormat="0" applyAlignment="0" applyProtection="0">
      <alignment vertical="center"/>
    </xf>
    <xf numFmtId="0" fontId="13" fillId="0" borderId="35" applyNumberFormat="0" applyFill="0" applyAlignment="0" applyProtection="0">
      <alignment vertical="center"/>
    </xf>
    <xf numFmtId="0" fontId="0" fillId="35" borderId="39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35" applyNumberFormat="0" applyFill="0" applyAlignment="0" applyProtection="0">
      <alignment vertical="center"/>
    </xf>
    <xf numFmtId="0" fontId="22" fillId="0" borderId="4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2" borderId="34" applyNumberForma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24" borderId="38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24" borderId="34" applyNumberFormat="0" applyAlignment="0" applyProtection="0">
      <alignment vertical="center"/>
    </xf>
    <xf numFmtId="0" fontId="17" fillId="0" borderId="37" applyNumberFormat="0" applyFill="0" applyAlignment="0" applyProtection="0">
      <alignment vertical="center"/>
    </xf>
    <xf numFmtId="0" fontId="21" fillId="0" borderId="40" applyNumberFormat="0" applyFill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9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2" borderId="0" xfId="0" applyNumberFormat="1" applyFill="1">
      <alignment vertical="center"/>
    </xf>
    <xf numFmtId="0" fontId="0" fillId="0" borderId="0" xfId="0" applyNumberFormat="1" applyFont="1">
      <alignment vertical="center"/>
    </xf>
    <xf numFmtId="0" fontId="0" fillId="3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0" xfId="0" applyFill="1">
      <alignment vertical="center"/>
    </xf>
    <xf numFmtId="179" fontId="0" fillId="0" borderId="0" xfId="0" applyNumberFormat="1">
      <alignment vertical="center"/>
    </xf>
    <xf numFmtId="179" fontId="0" fillId="2" borderId="0" xfId="0" applyNumberFormat="1" applyFill="1">
      <alignment vertical="center"/>
    </xf>
    <xf numFmtId="0" fontId="2" fillId="6" borderId="1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3" xfId="0" applyFont="1" applyFill="1" applyBorder="1" applyAlignment="1">
      <alignment vertical="center"/>
    </xf>
    <xf numFmtId="0" fontId="0" fillId="6" borderId="4" xfId="0" applyFill="1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6" borderId="3" xfId="0" applyFont="1" applyFill="1" applyBorder="1">
      <alignment vertical="center"/>
    </xf>
    <xf numFmtId="0" fontId="0" fillId="0" borderId="0" xfId="0" applyFill="1" applyAlignment="1">
      <alignment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49" fontId="0" fillId="7" borderId="5" xfId="0" applyNumberFormat="1" applyFill="1" applyBorder="1">
      <alignment vertical="center"/>
    </xf>
    <xf numFmtId="49" fontId="0" fillId="8" borderId="5" xfId="0" applyNumberFormat="1" applyFill="1" applyBorder="1">
      <alignment vertical="center"/>
    </xf>
    <xf numFmtId="49" fontId="0" fillId="8" borderId="0" xfId="0" applyNumberFormat="1" applyFill="1" applyBorder="1" applyAlignment="1">
      <alignment horizontal="center" vertical="center"/>
    </xf>
    <xf numFmtId="49" fontId="2" fillId="9" borderId="0" xfId="0" applyNumberFormat="1" applyFont="1" applyFill="1">
      <alignment vertical="center"/>
    </xf>
    <xf numFmtId="49" fontId="0" fillId="9" borderId="0" xfId="0" applyNumberFormat="1" applyFill="1">
      <alignment vertical="center"/>
    </xf>
    <xf numFmtId="49" fontId="2" fillId="9" borderId="0" xfId="0" applyNumberFormat="1" applyFont="1" applyFill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2" fillId="3" borderId="0" xfId="0" applyFont="1" applyFill="1" applyAlignment="1">
      <alignment horizontal="center"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 applyAlignment="1">
      <alignment horizontal="center" vertical="center"/>
    </xf>
    <xf numFmtId="49" fontId="2" fillId="4" borderId="0" xfId="0" applyNumberFormat="1" applyFont="1" applyFill="1">
      <alignment vertical="center"/>
    </xf>
    <xf numFmtId="49" fontId="2" fillId="4" borderId="0" xfId="0" applyNumberFormat="1" applyFont="1" applyFill="1" applyAlignment="1">
      <alignment horizontal="center" vertical="center"/>
    </xf>
    <xf numFmtId="49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center" vertical="center"/>
    </xf>
    <xf numFmtId="49" fontId="2" fillId="5" borderId="0" xfId="0" applyNumberFormat="1" applyFont="1" applyFill="1">
      <alignment vertical="center"/>
    </xf>
    <xf numFmtId="49" fontId="2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left" vertical="center"/>
    </xf>
    <xf numFmtId="0" fontId="0" fillId="9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left" vertical="center"/>
    </xf>
    <xf numFmtId="0" fontId="0" fillId="9" borderId="8" xfId="0" applyFill="1" applyBorder="1" applyAlignment="1">
      <alignment horizontal="center" vertical="center"/>
    </xf>
    <xf numFmtId="0" fontId="2" fillId="9" borderId="8" xfId="0" applyFont="1" applyFill="1" applyBorder="1">
      <alignment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12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2" fillId="0" borderId="7" xfId="0" applyFont="1" applyBorder="1">
      <alignment vertical="center"/>
    </xf>
    <xf numFmtId="0" fontId="2" fillId="0" borderId="2" xfId="0" applyFont="1" applyBorder="1">
      <alignment vertical="center"/>
    </xf>
    <xf numFmtId="49" fontId="2" fillId="0" borderId="7" xfId="0" applyNumberFormat="1" applyFont="1" applyBorder="1">
      <alignment vertical="center"/>
    </xf>
    <xf numFmtId="49" fontId="0" fillId="0" borderId="4" xfId="0" applyNumberForma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2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13" borderId="4" xfId="0" applyFill="1" applyBorder="1">
      <alignment vertical="center"/>
    </xf>
    <xf numFmtId="1" fontId="0" fillId="13" borderId="3" xfId="0" applyNumberFormat="1" applyFill="1" applyBorder="1" applyAlignment="1">
      <alignment horizontal="center" vertical="center"/>
    </xf>
    <xf numFmtId="178" fontId="0" fillId="13" borderId="3" xfId="0" applyNumberForma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3" borderId="0" xfId="0" applyNumberFormat="1" applyFill="1">
      <alignment vertical="center"/>
    </xf>
    <xf numFmtId="0" fontId="0" fillId="13" borderId="0" xfId="0" applyFill="1">
      <alignment vertical="center"/>
    </xf>
    <xf numFmtId="1" fontId="0" fillId="13" borderId="5" xfId="0" applyNumberFormat="1" applyFill="1" applyBorder="1" applyAlignment="1">
      <alignment horizontal="center" vertical="center"/>
    </xf>
    <xf numFmtId="179" fontId="0" fillId="13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5" fillId="6" borderId="10" xfId="0" applyFont="1" applyFill="1" applyBorder="1">
      <alignment vertical="center"/>
    </xf>
    <xf numFmtId="0" fontId="5" fillId="6" borderId="9" xfId="0" applyFont="1" applyFill="1" applyBorder="1">
      <alignment vertical="center"/>
    </xf>
    <xf numFmtId="0" fontId="5" fillId="6" borderId="11" xfId="0" applyFont="1" applyFill="1" applyBorder="1">
      <alignment vertical="center"/>
    </xf>
    <xf numFmtId="0" fontId="5" fillId="6" borderId="12" xfId="0" applyFont="1" applyFill="1" applyBorder="1">
      <alignment vertical="center"/>
    </xf>
    <xf numFmtId="0" fontId="0" fillId="0" borderId="5" xfId="0" applyBorder="1">
      <alignment vertical="center"/>
    </xf>
    <xf numFmtId="0" fontId="5" fillId="6" borderId="5" xfId="0" applyFont="1" applyFill="1" applyBorder="1">
      <alignment vertical="center"/>
    </xf>
    <xf numFmtId="0" fontId="5" fillId="6" borderId="3" xfId="0" applyFont="1" applyFill="1" applyBorder="1">
      <alignment vertical="center"/>
    </xf>
    <xf numFmtId="0" fontId="5" fillId="6" borderId="0" xfId="0" applyFont="1" applyFill="1">
      <alignment vertical="center"/>
    </xf>
    <xf numFmtId="0" fontId="5" fillId="6" borderId="4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5" fillId="6" borderId="14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6" borderId="15" xfId="0" applyFont="1" applyFill="1" applyBorder="1">
      <alignment vertical="center"/>
    </xf>
    <xf numFmtId="0" fontId="5" fillId="6" borderId="16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2" fontId="0" fillId="5" borderId="3" xfId="0" applyNumberFormat="1" applyFill="1" applyBorder="1">
      <alignment vertical="center"/>
    </xf>
    <xf numFmtId="2" fontId="0" fillId="15" borderId="5" xfId="0" applyNumberFormat="1" applyFill="1" applyBorder="1">
      <alignment vertical="center"/>
    </xf>
    <xf numFmtId="2" fontId="0" fillId="5" borderId="13" xfId="0" applyNumberFormat="1" applyFill="1" applyBorder="1">
      <alignment vertical="center"/>
    </xf>
    <xf numFmtId="2" fontId="0" fillId="15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2" fillId="16" borderId="20" xfId="0" applyFont="1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ont="1" applyFill="1" applyBorder="1">
      <alignment vertical="center"/>
    </xf>
    <xf numFmtId="0" fontId="0" fillId="6" borderId="9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6" borderId="17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1" xfId="0" applyFill="1" applyBorder="1">
      <alignment vertical="center"/>
    </xf>
    <xf numFmtId="0" fontId="6" fillId="6" borderId="21" xfId="0" applyFont="1" applyFill="1" applyBorder="1">
      <alignment vertical="center"/>
    </xf>
    <xf numFmtId="0" fontId="6" fillId="6" borderId="3" xfId="0" applyFont="1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3" xfId="0" applyFill="1" applyBorder="1">
      <alignment vertical="center"/>
    </xf>
    <xf numFmtId="0" fontId="6" fillId="6" borderId="13" xfId="0" applyFont="1" applyFill="1" applyBorder="1">
      <alignment vertical="center"/>
    </xf>
    <xf numFmtId="0" fontId="6" fillId="6" borderId="0" xfId="0" applyFont="1" applyFill="1">
      <alignment vertical="center"/>
    </xf>
    <xf numFmtId="0" fontId="6" fillId="6" borderId="17" xfId="0" applyFont="1" applyFill="1" applyBorder="1">
      <alignment vertical="center"/>
    </xf>
    <xf numFmtId="0" fontId="6" fillId="6" borderId="5" xfId="0" applyFont="1" applyFill="1" applyBorder="1">
      <alignment vertical="center"/>
    </xf>
    <xf numFmtId="0" fontId="6" fillId="6" borderId="14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6" fillId="6" borderId="7" xfId="0" applyFont="1" applyFill="1" applyBorder="1">
      <alignment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6" borderId="11" xfId="0" applyFont="1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21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5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49" fontId="0" fillId="5" borderId="9" xfId="0" applyNumberForma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/>
    </xf>
    <xf numFmtId="2" fontId="0" fillId="15" borderId="0" xfId="0" applyNumberFormat="1" applyFill="1">
      <alignment vertical="center"/>
    </xf>
    <xf numFmtId="2" fontId="0" fillId="15" borderId="15" xfId="0" applyNumberFormat="1" applyFill="1" applyBorder="1">
      <alignment vertical="center"/>
    </xf>
    <xf numFmtId="2" fontId="0" fillId="5" borderId="21" xfId="0" applyNumberFormat="1" applyFill="1" applyBorder="1">
      <alignment vertical="center"/>
    </xf>
    <xf numFmtId="2" fontId="0" fillId="5" borderId="1" xfId="0" applyNumberFormat="1" applyFill="1" applyBorder="1">
      <alignment vertical="center"/>
    </xf>
    <xf numFmtId="2" fontId="0" fillId="15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4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2" fontId="0" fillId="14" borderId="3" xfId="0" applyNumberFormat="1" applyFill="1" applyBorder="1">
      <alignment vertical="center"/>
    </xf>
    <xf numFmtId="2" fontId="0" fillId="14" borderId="13" xfId="0" applyNumberFormat="1" applyFill="1" applyBorder="1">
      <alignment vertical="center"/>
    </xf>
    <xf numFmtId="2" fontId="0" fillId="14" borderId="1" xfId="0" applyNumberFormat="1" applyFill="1" applyBorder="1">
      <alignment vertical="center"/>
    </xf>
    <xf numFmtId="0" fontId="0" fillId="17" borderId="0" xfId="0" applyFill="1">
      <alignment vertical="center"/>
    </xf>
    <xf numFmtId="0" fontId="5" fillId="18" borderId="6" xfId="0" applyFont="1" applyFill="1" applyBorder="1">
      <alignment vertical="center"/>
    </xf>
    <xf numFmtId="2" fontId="5" fillId="18" borderId="22" xfId="0" applyNumberFormat="1" applyFont="1" applyFill="1" applyBorder="1">
      <alignment vertical="center"/>
    </xf>
    <xf numFmtId="2" fontId="5" fillId="18" borderId="7" xfId="0" applyNumberFormat="1" applyFont="1" applyFill="1" applyBorder="1">
      <alignment vertical="center"/>
    </xf>
    <xf numFmtId="2" fontId="5" fillId="18" borderId="23" xfId="0" applyNumberFormat="1" applyFont="1" applyFill="1" applyBorder="1">
      <alignment vertical="center"/>
    </xf>
    <xf numFmtId="2" fontId="5" fillId="18" borderId="24" xfId="0" applyNumberFormat="1" applyFont="1" applyFill="1" applyBorder="1">
      <alignment vertical="center"/>
    </xf>
    <xf numFmtId="0" fontId="0" fillId="4" borderId="25" xfId="0" applyFill="1" applyBorder="1">
      <alignment vertical="center"/>
    </xf>
    <xf numFmtId="2" fontId="0" fillId="4" borderId="26" xfId="0" applyNumberFormat="1" applyFill="1" applyBorder="1">
      <alignment vertical="center"/>
    </xf>
    <xf numFmtId="2" fontId="0" fillId="4" borderId="20" xfId="0" applyNumberFormat="1" applyFill="1" applyBorder="1">
      <alignment vertical="center"/>
    </xf>
    <xf numFmtId="2" fontId="0" fillId="4" borderId="27" xfId="0" applyNumberFormat="1" applyFill="1" applyBorder="1">
      <alignment vertical="center"/>
    </xf>
    <xf numFmtId="2" fontId="0" fillId="4" borderId="28" xfId="0" applyNumberFormat="1" applyFill="1" applyBorder="1">
      <alignment vertical="center"/>
    </xf>
    <xf numFmtId="0" fontId="0" fillId="5" borderId="25" xfId="0" applyFill="1" applyBorder="1">
      <alignment vertical="center"/>
    </xf>
    <xf numFmtId="2" fontId="0" fillId="5" borderId="26" xfId="0" applyNumberFormat="1" applyFill="1" applyBorder="1">
      <alignment vertical="center"/>
    </xf>
    <xf numFmtId="2" fontId="0" fillId="5" borderId="20" xfId="0" applyNumberFormat="1" applyFill="1" applyBorder="1">
      <alignment vertical="center"/>
    </xf>
    <xf numFmtId="2" fontId="0" fillId="5" borderId="27" xfId="0" applyNumberFormat="1" applyFill="1" applyBorder="1">
      <alignment vertical="center"/>
    </xf>
    <xf numFmtId="2" fontId="0" fillId="5" borderId="28" xfId="0" applyNumberFormat="1" applyFill="1" applyBorder="1">
      <alignment vertical="center"/>
    </xf>
    <xf numFmtId="0" fontId="0" fillId="15" borderId="25" xfId="0" applyFill="1" applyBorder="1">
      <alignment vertical="center"/>
    </xf>
    <xf numFmtId="2" fontId="0" fillId="15" borderId="26" xfId="0" applyNumberFormat="1" applyFill="1" applyBorder="1">
      <alignment vertical="center"/>
    </xf>
    <xf numFmtId="2" fontId="0" fillId="15" borderId="20" xfId="0" applyNumberFormat="1" applyFill="1" applyBorder="1">
      <alignment vertical="center"/>
    </xf>
    <xf numFmtId="2" fontId="0" fillId="15" borderId="27" xfId="0" applyNumberFormat="1" applyFill="1" applyBorder="1">
      <alignment vertical="center"/>
    </xf>
    <xf numFmtId="2" fontId="0" fillId="15" borderId="28" xfId="0" applyNumberFormat="1" applyFill="1" applyBorder="1">
      <alignment vertical="center"/>
    </xf>
    <xf numFmtId="0" fontId="0" fillId="14" borderId="10" xfId="0" applyFill="1" applyBorder="1">
      <alignment vertical="center"/>
    </xf>
    <xf numFmtId="2" fontId="0" fillId="14" borderId="29" xfId="0" applyNumberFormat="1" applyFill="1" applyBorder="1">
      <alignment vertical="center"/>
    </xf>
    <xf numFmtId="2" fontId="0" fillId="14" borderId="11" xfId="0" applyNumberFormat="1" applyFill="1" applyBorder="1">
      <alignment vertical="center"/>
    </xf>
    <xf numFmtId="2" fontId="0" fillId="14" borderId="30" xfId="0" applyNumberFormat="1" applyFill="1" applyBorder="1">
      <alignment vertical="center"/>
    </xf>
    <xf numFmtId="2" fontId="0" fillId="14" borderId="31" xfId="0" applyNumberFormat="1" applyFill="1" applyBorder="1">
      <alignment vertical="center"/>
    </xf>
    <xf numFmtId="2" fontId="0" fillId="7" borderId="32" xfId="0" applyNumberFormat="1" applyFill="1" applyBorder="1">
      <alignment vertical="center"/>
    </xf>
    <xf numFmtId="2" fontId="0" fillId="7" borderId="0" xfId="0" applyNumberFormat="1" applyFill="1">
      <alignment vertical="center"/>
    </xf>
    <xf numFmtId="2" fontId="0" fillId="7" borderId="33" xfId="0" applyNumberFormat="1" applyFill="1" applyBorder="1">
      <alignment vertical="center"/>
    </xf>
    <xf numFmtId="2" fontId="0" fillId="7" borderId="0" xfId="0" applyNumberFormat="1" applyFill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2" fontId="6" fillId="18" borderId="24" xfId="0" applyNumberFormat="1" applyFont="1" applyFill="1" applyBorder="1">
      <alignment vertical="center"/>
    </xf>
    <xf numFmtId="2" fontId="6" fillId="18" borderId="7" xfId="0" applyNumberFormat="1" applyFont="1" applyFill="1" applyBorder="1">
      <alignment vertical="center"/>
    </xf>
    <xf numFmtId="2" fontId="6" fillId="4" borderId="28" xfId="0" applyNumberFormat="1" applyFont="1" applyFill="1" applyBorder="1">
      <alignment vertical="center"/>
    </xf>
    <xf numFmtId="2" fontId="6" fillId="4" borderId="20" xfId="0" applyNumberFormat="1" applyFont="1" applyFill="1" applyBorder="1">
      <alignment vertical="center"/>
    </xf>
    <xf numFmtId="2" fontId="6" fillId="5" borderId="28" xfId="0" applyNumberFormat="1" applyFont="1" applyFill="1" applyBorder="1">
      <alignment vertical="center"/>
    </xf>
    <xf numFmtId="2" fontId="6" fillId="5" borderId="20" xfId="0" applyNumberFormat="1" applyFont="1" applyFill="1" applyBorder="1">
      <alignment vertical="center"/>
    </xf>
    <xf numFmtId="2" fontId="6" fillId="15" borderId="28" xfId="0" applyNumberFormat="1" applyFont="1" applyFill="1" applyBorder="1">
      <alignment vertical="center"/>
    </xf>
    <xf numFmtId="2" fontId="6" fillId="15" borderId="20" xfId="0" applyNumberFormat="1" applyFont="1" applyFill="1" applyBorder="1">
      <alignment vertical="center"/>
    </xf>
    <xf numFmtId="2" fontId="6" fillId="14" borderId="31" xfId="0" applyNumberFormat="1" applyFont="1" applyFill="1" applyBorder="1">
      <alignment vertical="center"/>
    </xf>
    <xf numFmtId="2" fontId="6" fillId="14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19" borderId="0" xfId="0" applyFill="1">
      <alignment vertical="center"/>
    </xf>
    <xf numFmtId="2" fontId="6" fillId="7" borderId="5" xfId="0" applyNumberFormat="1" applyFont="1" applyFill="1" applyBorder="1" applyAlignment="1">
      <alignment horizontal="center" vertical="center"/>
    </xf>
    <xf numFmtId="2" fontId="6" fillId="18" borderId="23" xfId="0" applyNumberFormat="1" applyFont="1" applyFill="1" applyBorder="1">
      <alignment vertical="center"/>
    </xf>
    <xf numFmtId="2" fontId="6" fillId="4" borderId="27" xfId="0" applyNumberFormat="1" applyFont="1" applyFill="1" applyBorder="1">
      <alignment vertical="center"/>
    </xf>
    <xf numFmtId="2" fontId="6" fillId="5" borderId="27" xfId="0" applyNumberFormat="1" applyFont="1" applyFill="1" applyBorder="1">
      <alignment vertical="center"/>
    </xf>
    <xf numFmtId="2" fontId="6" fillId="15" borderId="27" xfId="0" applyNumberFormat="1" applyFont="1" applyFill="1" applyBorder="1">
      <alignment vertical="center"/>
    </xf>
    <xf numFmtId="2" fontId="6" fillId="14" borderId="30" xfId="0" applyNumberFormat="1" applyFont="1" applyFill="1" applyBorder="1">
      <alignment vertical="center"/>
    </xf>
    <xf numFmtId="0" fontId="6" fillId="7" borderId="0" xfId="0" applyFont="1" applyFill="1" applyAlignment="1">
      <alignment horizontal="center" vertical="center"/>
    </xf>
    <xf numFmtId="2" fontId="0" fillId="7" borderId="0" xfId="0" applyNumberFormat="1" applyFill="1" applyBorder="1">
      <alignment vertical="center"/>
    </xf>
    <xf numFmtId="0" fontId="7" fillId="7" borderId="0" xfId="0" applyFont="1" applyFill="1">
      <alignment vertical="center"/>
    </xf>
    <xf numFmtId="0" fontId="8" fillId="20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2" fontId="7" fillId="20" borderId="0" xfId="0" applyNumberFormat="1" applyFont="1" applyFill="1" applyAlignment="1">
      <alignment horizontal="center" vertical="center"/>
    </xf>
    <xf numFmtId="2" fontId="8" fillId="2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96" t="s">
        <v>0</v>
      </c>
      <c r="B1" s="96" t="s">
        <v>1</v>
      </c>
      <c r="C1" s="96" t="s">
        <v>2</v>
      </c>
      <c r="D1" s="97" t="s">
        <v>3</v>
      </c>
      <c r="E1" s="97"/>
      <c r="F1" s="97"/>
      <c r="G1" s="97" t="s">
        <v>4</v>
      </c>
      <c r="H1" s="97"/>
      <c r="I1" s="97"/>
      <c r="J1" s="97" t="s">
        <v>5</v>
      </c>
      <c r="K1" s="97"/>
      <c r="L1" s="97"/>
      <c r="M1" s="97" t="s">
        <v>6</v>
      </c>
      <c r="N1" s="97"/>
      <c r="O1" s="97"/>
      <c r="P1" s="97" t="s">
        <v>7</v>
      </c>
      <c r="Q1" s="97"/>
      <c r="R1" s="97"/>
      <c r="S1" s="97" t="s">
        <v>8</v>
      </c>
      <c r="T1" s="97"/>
      <c r="U1" s="97"/>
      <c r="V1" s="97" t="s">
        <v>9</v>
      </c>
      <c r="W1" s="97"/>
      <c r="X1" s="97"/>
      <c r="Y1" s="96" t="s">
        <v>10</v>
      </c>
      <c r="Z1" s="64" t="s">
        <v>11</v>
      </c>
      <c r="AA1" s="64"/>
      <c r="AB1" s="64"/>
      <c r="AC1" s="64" t="s">
        <v>12</v>
      </c>
      <c r="AD1" s="64"/>
      <c r="AE1" s="64"/>
      <c r="AF1" s="64" t="s">
        <v>13</v>
      </c>
      <c r="AG1" s="64"/>
      <c r="AH1" s="64"/>
      <c r="AI1" s="292" t="s">
        <v>14</v>
      </c>
      <c r="AJ1" s="292"/>
      <c r="AK1" s="292"/>
      <c r="AL1" s="292" t="s">
        <v>15</v>
      </c>
      <c r="AM1" t="s">
        <v>16</v>
      </c>
    </row>
    <row r="2" spans="1:38">
      <c r="A2" s="96"/>
      <c r="B2" s="96"/>
      <c r="C2" s="96"/>
      <c r="D2" s="97" t="s">
        <v>17</v>
      </c>
      <c r="E2" s="97" t="s">
        <v>18</v>
      </c>
      <c r="F2" s="97" t="s">
        <v>19</v>
      </c>
      <c r="G2" s="97" t="s">
        <v>17</v>
      </c>
      <c r="H2" s="97" t="s">
        <v>18</v>
      </c>
      <c r="I2" s="97" t="s">
        <v>19</v>
      </c>
      <c r="J2" s="97" t="s">
        <v>17</v>
      </c>
      <c r="K2" s="97" t="s">
        <v>18</v>
      </c>
      <c r="L2" s="97" t="s">
        <v>19</v>
      </c>
      <c r="M2" s="97" t="s">
        <v>17</v>
      </c>
      <c r="N2" s="97" t="s">
        <v>18</v>
      </c>
      <c r="O2" s="97" t="s">
        <v>19</v>
      </c>
      <c r="P2" s="96" t="s">
        <v>17</v>
      </c>
      <c r="Q2" s="96" t="s">
        <v>18</v>
      </c>
      <c r="R2" s="97" t="s">
        <v>19</v>
      </c>
      <c r="S2" s="97" t="s">
        <v>17</v>
      </c>
      <c r="T2" s="97" t="s">
        <v>18</v>
      </c>
      <c r="U2" s="97" t="s">
        <v>19</v>
      </c>
      <c r="V2" s="97" t="s">
        <v>17</v>
      </c>
      <c r="W2" s="97" t="s">
        <v>18</v>
      </c>
      <c r="X2" s="97" t="s">
        <v>19</v>
      </c>
      <c r="Y2" s="96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293" t="s">
        <v>17</v>
      </c>
      <c r="AJ2" s="293" t="s">
        <v>18</v>
      </c>
      <c r="AK2" s="292" t="s">
        <v>19</v>
      </c>
      <c r="AL2" s="292"/>
    </row>
    <row r="3" spans="1:38">
      <c r="A3" s="98" t="s">
        <v>20</v>
      </c>
      <c r="B3" s="98" t="b">
        <v>1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289" t="s">
        <v>21</v>
      </c>
      <c r="T3" s="289"/>
      <c r="U3" s="289"/>
      <c r="V3" s="98"/>
      <c r="W3" s="98"/>
      <c r="X3" s="98"/>
      <c r="Y3" s="291"/>
      <c r="AA3" s="30"/>
      <c r="AB3" s="30"/>
      <c r="AC3" s="30"/>
      <c r="AD3" s="30"/>
      <c r="AE3" s="30"/>
      <c r="AF3" s="30"/>
      <c r="AG3" s="30"/>
      <c r="AH3" s="30"/>
      <c r="AI3" s="293" t="s">
        <v>22</v>
      </c>
      <c r="AJ3" s="293"/>
      <c r="AK3" s="293"/>
      <c r="AL3" s="293"/>
    </row>
    <row r="4" spans="1:39">
      <c r="A4" s="238"/>
      <c r="B4" s="238"/>
      <c r="C4" s="239" t="s">
        <v>23</v>
      </c>
      <c r="D4" s="240">
        <v>1.5</v>
      </c>
      <c r="E4" s="241">
        <v>6</v>
      </c>
      <c r="F4" s="242">
        <f>AVERAGE(D4:E4)</f>
        <v>3.75</v>
      </c>
      <c r="G4" s="243">
        <v>50</v>
      </c>
      <c r="H4" s="241">
        <v>60</v>
      </c>
      <c r="I4" s="242">
        <f>AVERAGE(G4:H4)</f>
        <v>55</v>
      </c>
      <c r="J4" s="243">
        <v>1</v>
      </c>
      <c r="K4" s="241">
        <v>3</v>
      </c>
      <c r="L4" s="242">
        <f>AVERAGE(J4:K4)</f>
        <v>2</v>
      </c>
      <c r="M4" s="243">
        <v>70</v>
      </c>
      <c r="N4" s="241">
        <v>80</v>
      </c>
      <c r="O4" s="242">
        <f>AVERAGE(M4:N4)</f>
        <v>75</v>
      </c>
      <c r="P4" s="243">
        <v>2.5</v>
      </c>
      <c r="Q4" s="241">
        <v>3.5</v>
      </c>
      <c r="R4" s="242">
        <f>AVERAGE(P4:Q4)</f>
        <v>3</v>
      </c>
      <c r="S4" s="271">
        <v>6</v>
      </c>
      <c r="T4" s="272">
        <v>12</v>
      </c>
      <c r="U4" s="284">
        <f>AVERAGE(S4:T4)</f>
        <v>9</v>
      </c>
      <c r="V4" s="243">
        <v>3</v>
      </c>
      <c r="W4" s="241">
        <v>4</v>
      </c>
      <c r="X4" s="242">
        <f>AVERAGE(V4:W4)</f>
        <v>3.5</v>
      </c>
      <c r="Y4" s="241">
        <v>1</v>
      </c>
      <c r="Z4" s="108">
        <f>V4/100*D4*2+(1-V4/100)*D4</f>
        <v>1.545</v>
      </c>
      <c r="AA4" s="108">
        <f>W4/100*E4*2+(1-W4/100)*E4</f>
        <v>6.24</v>
      </c>
      <c r="AB4" s="108">
        <f>AVERAGE(Z4:AA4)</f>
        <v>3.8925</v>
      </c>
      <c r="AC4" s="108">
        <f>S4/J4+P4</f>
        <v>8.5</v>
      </c>
      <c r="AD4" s="108">
        <f>T4/K4+Q4</f>
        <v>7.5</v>
      </c>
      <c r="AE4" s="108">
        <f>AVERAGE(AC4:AD4)</f>
        <v>8</v>
      </c>
      <c r="AF4" s="108">
        <f>S4*Z4*$Y4</f>
        <v>9.27</v>
      </c>
      <c r="AG4" s="108">
        <f>T4*AA4*$Y4</f>
        <v>74.88</v>
      </c>
      <c r="AH4" s="108">
        <f>U4*AB4*$Y4</f>
        <v>35.0325</v>
      </c>
      <c r="AI4" s="294">
        <f>AF4/AC4</f>
        <v>1.09058823529412</v>
      </c>
      <c r="AJ4" s="294">
        <f>AG4/AD4</f>
        <v>9.984</v>
      </c>
      <c r="AK4" s="295">
        <f>AVERAGE(AI4:AJ4)</f>
        <v>5.53729411764706</v>
      </c>
      <c r="AL4" s="295">
        <v>5</v>
      </c>
      <c r="AM4">
        <f>AVERAGE(J4:K4)*AVERAGE(D4:E4)*Y4</f>
        <v>7.5</v>
      </c>
    </row>
    <row r="5" spans="1:39">
      <c r="A5" s="238"/>
      <c r="B5" s="238"/>
      <c r="C5" s="244" t="s">
        <v>24</v>
      </c>
      <c r="D5" s="245">
        <v>2.5</v>
      </c>
      <c r="E5" s="246">
        <v>10</v>
      </c>
      <c r="F5" s="247">
        <f t="shared" ref="F5:F38" si="0">AVERAGE(D5:E5)</f>
        <v>6.25</v>
      </c>
      <c r="G5" s="248">
        <v>55</v>
      </c>
      <c r="H5" s="246">
        <v>65</v>
      </c>
      <c r="I5" s="247">
        <f t="shared" ref="I5:I38" si="1">AVERAGE(G5:H5)</f>
        <v>60</v>
      </c>
      <c r="J5" s="248">
        <v>1.25</v>
      </c>
      <c r="K5" s="246">
        <v>3</v>
      </c>
      <c r="L5" s="247">
        <f t="shared" ref="L5:L38" si="2">AVERAGE(J5:K5)</f>
        <v>2.125</v>
      </c>
      <c r="M5" s="248">
        <v>75</v>
      </c>
      <c r="N5" s="246">
        <v>85</v>
      </c>
      <c r="O5" s="247">
        <f t="shared" ref="O5:O38" si="3">AVERAGE(M5:N5)</f>
        <v>80</v>
      </c>
      <c r="P5" s="248">
        <v>2</v>
      </c>
      <c r="Q5" s="246">
        <v>3</v>
      </c>
      <c r="R5" s="247">
        <f t="shared" ref="R5:R38" si="4">AVERAGE(P5:Q5)</f>
        <v>2.5</v>
      </c>
      <c r="S5" s="273">
        <v>6</v>
      </c>
      <c r="T5" s="274">
        <v>12</v>
      </c>
      <c r="U5" s="285">
        <f t="shared" ref="U5:U38" si="5">AVERAGE(S5:T5)</f>
        <v>9</v>
      </c>
      <c r="V5" s="248">
        <v>4</v>
      </c>
      <c r="W5" s="246">
        <v>5</v>
      </c>
      <c r="X5" s="247">
        <f t="shared" ref="X5:X38" si="6">AVERAGE(V5:W5)</f>
        <v>4.5</v>
      </c>
      <c r="Y5" s="246">
        <v>1</v>
      </c>
      <c r="Z5" s="108">
        <f t="shared" ref="Z5:Z38" si="7">V5/100*D5*2+(1-V5/100)*D5</f>
        <v>2.6</v>
      </c>
      <c r="AA5" s="108">
        <f>W5/100*E5*2+(1-W5/100)*E5</f>
        <v>10.5</v>
      </c>
      <c r="AB5" s="108">
        <f t="shared" ref="AB5:AB38" si="8">AVERAGE(Z5:AA5)</f>
        <v>6.55</v>
      </c>
      <c r="AC5" s="108">
        <f t="shared" ref="AC5:AC38" si="9">S5/J5+P5</f>
        <v>6.8</v>
      </c>
      <c r="AD5" s="108">
        <f>T5/K5+Q5</f>
        <v>7</v>
      </c>
      <c r="AE5" s="108">
        <f t="shared" ref="AE5:AE38" si="10">AVERAGE(AC5:AD5)</f>
        <v>6.9</v>
      </c>
      <c r="AF5" s="108">
        <f t="shared" ref="AF5:AF38" si="11">S5*Z5*$Y5</f>
        <v>15.6</v>
      </c>
      <c r="AG5" s="108">
        <f>T5*AA5*$Y5</f>
        <v>126</v>
      </c>
      <c r="AH5" s="108">
        <f>U5*AB5*$Y5</f>
        <v>58.95</v>
      </c>
      <c r="AI5" s="294">
        <f t="shared" ref="AI5:AI38" si="12">AF5/AC5</f>
        <v>2.29411764705882</v>
      </c>
      <c r="AJ5" s="294">
        <f>AG5/AD5</f>
        <v>18</v>
      </c>
      <c r="AK5" s="295">
        <f t="shared" ref="AK5:AK38" si="13">AVERAGE(AI5:AJ5)</f>
        <v>10.1470588235294</v>
      </c>
      <c r="AL5" s="295">
        <v>10</v>
      </c>
      <c r="AM5">
        <f t="shared" ref="AM5:AM38" si="14">AVERAGE(J5:K5)*AVERAGE(D5:E5)*Y5</f>
        <v>13.28125</v>
      </c>
    </row>
    <row r="6" spans="1:39">
      <c r="A6" s="238"/>
      <c r="B6" s="238"/>
      <c r="C6" s="249" t="s">
        <v>25</v>
      </c>
      <c r="D6" s="250">
        <v>4</v>
      </c>
      <c r="E6" s="251">
        <v>13</v>
      </c>
      <c r="F6" s="252">
        <f t="shared" si="0"/>
        <v>8.5</v>
      </c>
      <c r="G6" s="253">
        <v>60</v>
      </c>
      <c r="H6" s="251">
        <v>70</v>
      </c>
      <c r="I6" s="252">
        <f t="shared" si="1"/>
        <v>65</v>
      </c>
      <c r="J6" s="253">
        <v>1.5</v>
      </c>
      <c r="K6" s="251">
        <v>3</v>
      </c>
      <c r="L6" s="252">
        <f t="shared" si="2"/>
        <v>2.25</v>
      </c>
      <c r="M6" s="253">
        <v>80</v>
      </c>
      <c r="N6" s="251">
        <v>90</v>
      </c>
      <c r="O6" s="252">
        <f t="shared" si="3"/>
        <v>85</v>
      </c>
      <c r="P6" s="253">
        <v>1.5</v>
      </c>
      <c r="Q6" s="251">
        <v>2.5</v>
      </c>
      <c r="R6" s="252">
        <f t="shared" si="4"/>
        <v>2</v>
      </c>
      <c r="S6" s="275">
        <v>6</v>
      </c>
      <c r="T6" s="276">
        <v>12</v>
      </c>
      <c r="U6" s="286">
        <f t="shared" si="5"/>
        <v>9</v>
      </c>
      <c r="V6" s="253">
        <v>5</v>
      </c>
      <c r="W6" s="251">
        <v>6</v>
      </c>
      <c r="X6" s="252">
        <f t="shared" si="6"/>
        <v>5.5</v>
      </c>
      <c r="Y6" s="251">
        <v>1</v>
      </c>
      <c r="Z6" s="108">
        <f t="shared" si="7"/>
        <v>4.2</v>
      </c>
      <c r="AA6" s="108">
        <f>W6/100*E6*2+(1-W6/100)*E6</f>
        <v>13.78</v>
      </c>
      <c r="AB6" s="108">
        <f t="shared" si="8"/>
        <v>8.99</v>
      </c>
      <c r="AC6" s="108">
        <f t="shared" si="9"/>
        <v>5.5</v>
      </c>
      <c r="AD6" s="108">
        <f>T6/K6+Q6</f>
        <v>6.5</v>
      </c>
      <c r="AE6" s="108">
        <f t="shared" si="10"/>
        <v>6</v>
      </c>
      <c r="AF6" s="108">
        <f t="shared" si="11"/>
        <v>25.2</v>
      </c>
      <c r="AG6" s="108">
        <f>T6*AA6*$Y6</f>
        <v>165.36</v>
      </c>
      <c r="AH6" s="108">
        <f>U6*AB6*$Y6</f>
        <v>80.91</v>
      </c>
      <c r="AI6" s="294">
        <f t="shared" si="12"/>
        <v>4.58181818181818</v>
      </c>
      <c r="AJ6" s="294">
        <f>AG6/AD6</f>
        <v>25.44</v>
      </c>
      <c r="AK6" s="295">
        <f t="shared" si="13"/>
        <v>15.0109090909091</v>
      </c>
      <c r="AL6" s="295">
        <v>15</v>
      </c>
      <c r="AM6">
        <f t="shared" si="14"/>
        <v>19.125</v>
      </c>
    </row>
    <row r="7" spans="1:39">
      <c r="A7" s="238"/>
      <c r="B7" s="238"/>
      <c r="C7" s="254" t="s">
        <v>26</v>
      </c>
      <c r="D7" s="255">
        <v>5.5</v>
      </c>
      <c r="E7" s="256">
        <v>15</v>
      </c>
      <c r="F7" s="257">
        <f t="shared" si="0"/>
        <v>10.25</v>
      </c>
      <c r="G7" s="258">
        <v>65</v>
      </c>
      <c r="H7" s="256">
        <v>75</v>
      </c>
      <c r="I7" s="257">
        <f t="shared" si="1"/>
        <v>70</v>
      </c>
      <c r="J7" s="258">
        <v>1.75</v>
      </c>
      <c r="K7" s="256">
        <v>3</v>
      </c>
      <c r="L7" s="257">
        <f t="shared" si="2"/>
        <v>2.375</v>
      </c>
      <c r="M7" s="258">
        <v>85</v>
      </c>
      <c r="N7" s="256">
        <v>95</v>
      </c>
      <c r="O7" s="257">
        <f t="shared" si="3"/>
        <v>90</v>
      </c>
      <c r="P7" s="258">
        <v>1</v>
      </c>
      <c r="Q7" s="256">
        <v>2</v>
      </c>
      <c r="R7" s="257">
        <f t="shared" si="4"/>
        <v>1.5</v>
      </c>
      <c r="S7" s="277">
        <v>6</v>
      </c>
      <c r="T7" s="278">
        <v>12</v>
      </c>
      <c r="U7" s="287">
        <f t="shared" si="5"/>
        <v>9</v>
      </c>
      <c r="V7" s="258">
        <v>6</v>
      </c>
      <c r="W7" s="256">
        <v>7</v>
      </c>
      <c r="X7" s="257">
        <f t="shared" si="6"/>
        <v>6.5</v>
      </c>
      <c r="Y7" s="256">
        <v>1</v>
      </c>
      <c r="Z7" s="108">
        <f t="shared" si="7"/>
        <v>5.83</v>
      </c>
      <c r="AA7" s="108">
        <f>W7/100*E7*2+(1-W7/100)*E7</f>
        <v>16.05</v>
      </c>
      <c r="AB7" s="108">
        <f t="shared" si="8"/>
        <v>10.94</v>
      </c>
      <c r="AC7" s="108">
        <f t="shared" si="9"/>
        <v>4.42857142857143</v>
      </c>
      <c r="AD7" s="108">
        <f>T7/K7+Q7</f>
        <v>6</v>
      </c>
      <c r="AE7" s="108">
        <f t="shared" si="10"/>
        <v>5.21428571428571</v>
      </c>
      <c r="AF7" s="108">
        <f t="shared" si="11"/>
        <v>34.98</v>
      </c>
      <c r="AG7" s="108">
        <f>T7*AA7*$Y7</f>
        <v>192.6</v>
      </c>
      <c r="AH7" s="108">
        <f>U7*AB7*$Y7</f>
        <v>98.46</v>
      </c>
      <c r="AI7" s="294">
        <f t="shared" si="12"/>
        <v>7.89870967741936</v>
      </c>
      <c r="AJ7" s="294">
        <f>AG7/AD7</f>
        <v>32.1</v>
      </c>
      <c r="AK7" s="295">
        <f t="shared" si="13"/>
        <v>19.9993548387097</v>
      </c>
      <c r="AL7" s="295">
        <v>20</v>
      </c>
      <c r="AM7">
        <f t="shared" si="14"/>
        <v>24.34375</v>
      </c>
    </row>
    <row r="8" spans="1:39">
      <c r="A8" s="238"/>
      <c r="B8" s="238"/>
      <c r="C8" s="259" t="s">
        <v>27</v>
      </c>
      <c r="D8" s="260">
        <v>7</v>
      </c>
      <c r="E8" s="261">
        <v>16</v>
      </c>
      <c r="F8" s="262">
        <f t="shared" si="0"/>
        <v>11.5</v>
      </c>
      <c r="G8" s="263">
        <v>70</v>
      </c>
      <c r="H8" s="261">
        <v>80</v>
      </c>
      <c r="I8" s="262">
        <f t="shared" si="1"/>
        <v>75</v>
      </c>
      <c r="J8" s="263">
        <v>2</v>
      </c>
      <c r="K8" s="261">
        <v>3</v>
      </c>
      <c r="L8" s="262">
        <f t="shared" si="2"/>
        <v>2.5</v>
      </c>
      <c r="M8" s="263">
        <v>90</v>
      </c>
      <c r="N8" s="261">
        <v>100</v>
      </c>
      <c r="O8" s="262">
        <f t="shared" si="3"/>
        <v>95</v>
      </c>
      <c r="P8" s="263">
        <v>0.5</v>
      </c>
      <c r="Q8" s="261">
        <v>1.5</v>
      </c>
      <c r="R8" s="262">
        <f t="shared" si="4"/>
        <v>1</v>
      </c>
      <c r="S8" s="279">
        <v>6</v>
      </c>
      <c r="T8" s="280">
        <v>12</v>
      </c>
      <c r="U8" s="288">
        <f t="shared" si="5"/>
        <v>9</v>
      </c>
      <c r="V8" s="263">
        <v>7</v>
      </c>
      <c r="W8" s="261">
        <v>8</v>
      </c>
      <c r="X8" s="262">
        <f t="shared" si="6"/>
        <v>7.5</v>
      </c>
      <c r="Y8" s="261">
        <v>1</v>
      </c>
      <c r="Z8" s="108">
        <f t="shared" si="7"/>
        <v>7.49</v>
      </c>
      <c r="AA8" s="108">
        <f>W8/100*E8*2+(1-W8/100)*E8</f>
        <v>17.28</v>
      </c>
      <c r="AB8" s="108">
        <f t="shared" si="8"/>
        <v>12.385</v>
      </c>
      <c r="AC8" s="108">
        <f t="shared" si="9"/>
        <v>3.5</v>
      </c>
      <c r="AD8" s="108">
        <f>T8/K8+Q8</f>
        <v>5.5</v>
      </c>
      <c r="AE8" s="108">
        <f t="shared" si="10"/>
        <v>4.5</v>
      </c>
      <c r="AF8" s="108">
        <f t="shared" si="11"/>
        <v>44.94</v>
      </c>
      <c r="AG8" s="108">
        <f>T8*AA8*$Y8</f>
        <v>207.36</v>
      </c>
      <c r="AH8" s="108">
        <f>U8*AB8*$Y8</f>
        <v>111.465</v>
      </c>
      <c r="AI8" s="294">
        <f t="shared" si="12"/>
        <v>12.84</v>
      </c>
      <c r="AJ8" s="294">
        <f>AG8/AD8</f>
        <v>37.7018181818182</v>
      </c>
      <c r="AK8" s="295">
        <f t="shared" si="13"/>
        <v>25.2709090909091</v>
      </c>
      <c r="AL8" s="295">
        <v>25</v>
      </c>
      <c r="AM8">
        <f t="shared" si="14"/>
        <v>28.75</v>
      </c>
    </row>
    <row r="9" spans="1:38">
      <c r="A9" s="98" t="s">
        <v>28</v>
      </c>
      <c r="B9" s="98" t="b">
        <v>1</v>
      </c>
      <c r="C9" s="98"/>
      <c r="D9" s="264"/>
      <c r="E9" s="265"/>
      <c r="F9" s="266"/>
      <c r="G9" s="264"/>
      <c r="H9" s="265"/>
      <c r="I9" s="266"/>
      <c r="J9" s="270" t="s">
        <v>21</v>
      </c>
      <c r="K9" s="270"/>
      <c r="L9" s="283"/>
      <c r="M9" s="264"/>
      <c r="N9" s="265"/>
      <c r="O9" s="266"/>
      <c r="P9" s="264"/>
      <c r="Q9" s="265"/>
      <c r="R9" s="266"/>
      <c r="S9" s="264"/>
      <c r="T9" s="265"/>
      <c r="U9" s="266"/>
      <c r="V9" s="264"/>
      <c r="W9" s="290"/>
      <c r="X9" s="266"/>
      <c r="Y9" s="265"/>
      <c r="Z9" s="108"/>
      <c r="AA9" s="108"/>
      <c r="AB9" s="108"/>
      <c r="AC9" s="108"/>
      <c r="AD9" s="108"/>
      <c r="AE9" s="108"/>
      <c r="AF9" s="108"/>
      <c r="AG9" s="108"/>
      <c r="AH9" s="108"/>
      <c r="AI9" s="294" t="s">
        <v>29</v>
      </c>
      <c r="AJ9" s="294"/>
      <c r="AK9" s="294"/>
      <c r="AL9" s="294"/>
    </row>
    <row r="10" spans="1:39">
      <c r="A10" s="238"/>
      <c r="B10" s="238"/>
      <c r="C10" s="239" t="s">
        <v>30</v>
      </c>
      <c r="D10" s="240">
        <v>10</v>
      </c>
      <c r="E10" s="241">
        <v>15</v>
      </c>
      <c r="F10" s="242">
        <f t="shared" si="0"/>
        <v>12.5</v>
      </c>
      <c r="G10" s="243">
        <v>67.5</v>
      </c>
      <c r="H10" s="241">
        <v>75</v>
      </c>
      <c r="I10" s="242">
        <f t="shared" si="1"/>
        <v>71.25</v>
      </c>
      <c r="J10" s="271">
        <v>0.2</v>
      </c>
      <c r="K10" s="272">
        <v>0.5</v>
      </c>
      <c r="L10" s="284">
        <f t="shared" si="2"/>
        <v>0.35</v>
      </c>
      <c r="M10" s="243">
        <v>30</v>
      </c>
      <c r="N10" s="241">
        <v>40</v>
      </c>
      <c r="O10" s="242">
        <f t="shared" si="3"/>
        <v>35</v>
      </c>
      <c r="P10" s="243">
        <v>3.5</v>
      </c>
      <c r="Q10" s="241">
        <v>5</v>
      </c>
      <c r="R10" s="242">
        <f t="shared" si="4"/>
        <v>4.25</v>
      </c>
      <c r="S10" s="243">
        <v>4</v>
      </c>
      <c r="T10" s="241">
        <v>10</v>
      </c>
      <c r="U10" s="242">
        <f t="shared" si="5"/>
        <v>7</v>
      </c>
      <c r="V10" s="243">
        <v>10</v>
      </c>
      <c r="W10" s="241">
        <v>20</v>
      </c>
      <c r="X10" s="242">
        <f t="shared" si="6"/>
        <v>15</v>
      </c>
      <c r="Y10" s="241">
        <v>1</v>
      </c>
      <c r="Z10" s="108">
        <f t="shared" si="7"/>
        <v>11</v>
      </c>
      <c r="AA10" s="108">
        <f>W10/100*E10*2+(1-W10/100)*E10</f>
        <v>18</v>
      </c>
      <c r="AB10" s="108">
        <f t="shared" si="8"/>
        <v>14.5</v>
      </c>
      <c r="AC10" s="108">
        <f t="shared" si="9"/>
        <v>23.5</v>
      </c>
      <c r="AD10" s="108">
        <f>T10/K10+Q10</f>
        <v>25</v>
      </c>
      <c r="AE10" s="108">
        <f t="shared" si="10"/>
        <v>24.25</v>
      </c>
      <c r="AF10" s="108">
        <f t="shared" si="11"/>
        <v>44</v>
      </c>
      <c r="AG10" s="108">
        <f>T10*AA10*$Y10</f>
        <v>180</v>
      </c>
      <c r="AH10" s="108">
        <f>U10*AB10*$Y10</f>
        <v>101.5</v>
      </c>
      <c r="AI10" s="294">
        <f t="shared" si="12"/>
        <v>1.87234042553191</v>
      </c>
      <c r="AJ10" s="294">
        <f>AG10/AD10</f>
        <v>7.2</v>
      </c>
      <c r="AK10" s="295">
        <f t="shared" si="13"/>
        <v>4.53617021276596</v>
      </c>
      <c r="AL10" s="295">
        <v>5</v>
      </c>
      <c r="AM10">
        <f t="shared" si="14"/>
        <v>4.375</v>
      </c>
    </row>
    <row r="11" spans="1:39">
      <c r="A11" s="238"/>
      <c r="B11" s="238"/>
      <c r="C11" s="244" t="s">
        <v>31</v>
      </c>
      <c r="D11" s="245">
        <v>20</v>
      </c>
      <c r="E11" s="246">
        <v>30</v>
      </c>
      <c r="F11" s="247">
        <f t="shared" si="0"/>
        <v>25</v>
      </c>
      <c r="G11" s="248">
        <v>72.5</v>
      </c>
      <c r="H11" s="246">
        <v>80</v>
      </c>
      <c r="I11" s="247">
        <f t="shared" si="1"/>
        <v>76.25</v>
      </c>
      <c r="J11" s="273">
        <v>0.2</v>
      </c>
      <c r="K11" s="274">
        <v>0.5</v>
      </c>
      <c r="L11" s="285">
        <f t="shared" si="2"/>
        <v>0.35</v>
      </c>
      <c r="M11" s="248">
        <v>35</v>
      </c>
      <c r="N11" s="246">
        <v>45</v>
      </c>
      <c r="O11" s="247">
        <f t="shared" si="3"/>
        <v>40</v>
      </c>
      <c r="P11" s="248">
        <v>3.75</v>
      </c>
      <c r="Q11" s="246">
        <v>5.25</v>
      </c>
      <c r="R11" s="247">
        <f t="shared" si="4"/>
        <v>4.5</v>
      </c>
      <c r="S11" s="248">
        <v>4</v>
      </c>
      <c r="T11" s="246">
        <v>9</v>
      </c>
      <c r="U11" s="247">
        <f t="shared" si="5"/>
        <v>6.5</v>
      </c>
      <c r="V11" s="248">
        <v>15</v>
      </c>
      <c r="W11" s="246">
        <v>35</v>
      </c>
      <c r="X11" s="247">
        <f t="shared" si="6"/>
        <v>25</v>
      </c>
      <c r="Y11" s="246">
        <v>1</v>
      </c>
      <c r="Z11" s="108">
        <f t="shared" si="7"/>
        <v>23</v>
      </c>
      <c r="AA11" s="108">
        <f>W11/100*E11*2+(1-W11/100)*E11</f>
        <v>40.5</v>
      </c>
      <c r="AB11" s="108">
        <f t="shared" si="8"/>
        <v>31.75</v>
      </c>
      <c r="AC11" s="108">
        <f t="shared" si="9"/>
        <v>23.75</v>
      </c>
      <c r="AD11" s="108">
        <f>T11/K11+Q11</f>
        <v>23.25</v>
      </c>
      <c r="AE11" s="108">
        <f t="shared" si="10"/>
        <v>23.5</v>
      </c>
      <c r="AF11" s="108">
        <f t="shared" si="11"/>
        <v>92</v>
      </c>
      <c r="AG11" s="108">
        <f>T11*AA11*$Y11</f>
        <v>364.5</v>
      </c>
      <c r="AH11" s="108">
        <f>U11*AB11*$Y11</f>
        <v>206.375</v>
      </c>
      <c r="AI11" s="294">
        <f t="shared" si="12"/>
        <v>3.87368421052632</v>
      </c>
      <c r="AJ11" s="294">
        <f>AG11/AD11</f>
        <v>15.6774193548387</v>
      </c>
      <c r="AK11" s="295">
        <f t="shared" si="13"/>
        <v>9.77555178268251</v>
      </c>
      <c r="AL11" s="295">
        <v>10</v>
      </c>
      <c r="AM11">
        <f t="shared" si="14"/>
        <v>8.75</v>
      </c>
    </row>
    <row r="12" spans="1:39">
      <c r="A12" s="238"/>
      <c r="B12" s="238"/>
      <c r="C12" s="249" t="s">
        <v>32</v>
      </c>
      <c r="D12" s="250">
        <v>30</v>
      </c>
      <c r="E12" s="251">
        <v>45</v>
      </c>
      <c r="F12" s="252">
        <f t="shared" si="0"/>
        <v>37.5</v>
      </c>
      <c r="G12" s="253">
        <v>77.5</v>
      </c>
      <c r="H12" s="251">
        <v>85</v>
      </c>
      <c r="I12" s="252">
        <f t="shared" si="1"/>
        <v>81.25</v>
      </c>
      <c r="J12" s="275">
        <v>0.2</v>
      </c>
      <c r="K12" s="276">
        <v>0.5</v>
      </c>
      <c r="L12" s="286">
        <f t="shared" si="2"/>
        <v>0.35</v>
      </c>
      <c r="M12" s="253">
        <v>40</v>
      </c>
      <c r="N12" s="251">
        <v>50</v>
      </c>
      <c r="O12" s="252">
        <f t="shared" si="3"/>
        <v>45</v>
      </c>
      <c r="P12" s="253">
        <v>4</v>
      </c>
      <c r="Q12" s="251">
        <v>5.5</v>
      </c>
      <c r="R12" s="252">
        <f t="shared" si="4"/>
        <v>4.75</v>
      </c>
      <c r="S12" s="253">
        <v>4</v>
      </c>
      <c r="T12" s="251">
        <v>8</v>
      </c>
      <c r="U12" s="252">
        <f t="shared" si="5"/>
        <v>6</v>
      </c>
      <c r="V12" s="253">
        <v>30</v>
      </c>
      <c r="W12" s="251">
        <v>50</v>
      </c>
      <c r="X12" s="252">
        <f t="shared" si="6"/>
        <v>40</v>
      </c>
      <c r="Y12" s="251">
        <v>1</v>
      </c>
      <c r="Z12" s="108">
        <f t="shared" si="7"/>
        <v>39</v>
      </c>
      <c r="AA12" s="108">
        <f>W12/100*E12*2+(1-W12/100)*E12</f>
        <v>67.5</v>
      </c>
      <c r="AB12" s="108">
        <f t="shared" si="8"/>
        <v>53.25</v>
      </c>
      <c r="AC12" s="108">
        <f t="shared" si="9"/>
        <v>24</v>
      </c>
      <c r="AD12" s="108">
        <f>T12/K12+Q12</f>
        <v>21.5</v>
      </c>
      <c r="AE12" s="108">
        <f t="shared" si="10"/>
        <v>22.75</v>
      </c>
      <c r="AF12" s="108">
        <f t="shared" si="11"/>
        <v>156</v>
      </c>
      <c r="AG12" s="108">
        <f>T12*AA12*$Y12</f>
        <v>540</v>
      </c>
      <c r="AH12" s="108">
        <f>U12*AB12*$Y12</f>
        <v>319.5</v>
      </c>
      <c r="AI12" s="294">
        <f t="shared" si="12"/>
        <v>6.5</v>
      </c>
      <c r="AJ12" s="294">
        <f>AG12/AD12</f>
        <v>25.1162790697674</v>
      </c>
      <c r="AK12" s="295">
        <f t="shared" si="13"/>
        <v>15.8081395348837</v>
      </c>
      <c r="AL12" s="295">
        <v>15</v>
      </c>
      <c r="AM12">
        <f t="shared" si="14"/>
        <v>13.125</v>
      </c>
    </row>
    <row r="13" spans="1:39">
      <c r="A13" s="238"/>
      <c r="B13" s="238"/>
      <c r="C13" s="254" t="s">
        <v>33</v>
      </c>
      <c r="D13" s="255">
        <v>40</v>
      </c>
      <c r="E13" s="256">
        <v>60</v>
      </c>
      <c r="F13" s="257">
        <f t="shared" si="0"/>
        <v>50</v>
      </c>
      <c r="G13" s="258">
        <v>82.5</v>
      </c>
      <c r="H13" s="256">
        <v>90</v>
      </c>
      <c r="I13" s="257">
        <f t="shared" si="1"/>
        <v>86.25</v>
      </c>
      <c r="J13" s="277">
        <v>0.2</v>
      </c>
      <c r="K13" s="278">
        <v>0.5</v>
      </c>
      <c r="L13" s="287">
        <f t="shared" si="2"/>
        <v>0.35</v>
      </c>
      <c r="M13" s="258">
        <v>45</v>
      </c>
      <c r="N13" s="256">
        <v>55</v>
      </c>
      <c r="O13" s="257">
        <f t="shared" si="3"/>
        <v>50</v>
      </c>
      <c r="P13" s="258">
        <v>4.25</v>
      </c>
      <c r="Q13" s="256">
        <v>5.75</v>
      </c>
      <c r="R13" s="257">
        <f t="shared" si="4"/>
        <v>5</v>
      </c>
      <c r="S13" s="258">
        <v>4</v>
      </c>
      <c r="T13" s="256">
        <v>7</v>
      </c>
      <c r="U13" s="257">
        <f t="shared" si="5"/>
        <v>5.5</v>
      </c>
      <c r="V13" s="258">
        <v>45</v>
      </c>
      <c r="W13" s="256">
        <v>65</v>
      </c>
      <c r="X13" s="257">
        <f t="shared" si="6"/>
        <v>55</v>
      </c>
      <c r="Y13" s="256">
        <v>1</v>
      </c>
      <c r="Z13" s="108">
        <f t="shared" si="7"/>
        <v>58</v>
      </c>
      <c r="AA13" s="108">
        <f>W13/100*E13*2+(1-W13/100)*E13</f>
        <v>99</v>
      </c>
      <c r="AB13" s="108">
        <f t="shared" si="8"/>
        <v>78.5</v>
      </c>
      <c r="AC13" s="108">
        <f t="shared" si="9"/>
        <v>24.25</v>
      </c>
      <c r="AD13" s="108">
        <f>T13/K13+Q13</f>
        <v>19.75</v>
      </c>
      <c r="AE13" s="108">
        <f t="shared" si="10"/>
        <v>22</v>
      </c>
      <c r="AF13" s="108">
        <f t="shared" si="11"/>
        <v>232</v>
      </c>
      <c r="AG13" s="108">
        <f>T13*AA13*$Y13</f>
        <v>693</v>
      </c>
      <c r="AH13" s="108">
        <f>U13*AB13*$Y13</f>
        <v>431.75</v>
      </c>
      <c r="AI13" s="294">
        <f t="shared" si="12"/>
        <v>9.56701030927835</v>
      </c>
      <c r="AJ13" s="294">
        <f>AG13/AD13</f>
        <v>35.0886075949367</v>
      </c>
      <c r="AK13" s="295">
        <f t="shared" si="13"/>
        <v>22.3278089521075</v>
      </c>
      <c r="AL13" s="295">
        <v>20</v>
      </c>
      <c r="AM13">
        <f t="shared" si="14"/>
        <v>17.5</v>
      </c>
    </row>
    <row r="14" spans="1:39">
      <c r="A14" s="238"/>
      <c r="B14" s="238"/>
      <c r="C14" s="259" t="s">
        <v>34</v>
      </c>
      <c r="D14" s="260">
        <v>50</v>
      </c>
      <c r="E14" s="261">
        <v>75</v>
      </c>
      <c r="F14" s="262">
        <f t="shared" si="0"/>
        <v>62.5</v>
      </c>
      <c r="G14" s="263">
        <v>87.5</v>
      </c>
      <c r="H14" s="261">
        <v>95</v>
      </c>
      <c r="I14" s="262">
        <f t="shared" si="1"/>
        <v>91.25</v>
      </c>
      <c r="J14" s="279">
        <v>0.2</v>
      </c>
      <c r="K14" s="280">
        <v>0.5</v>
      </c>
      <c r="L14" s="288">
        <f t="shared" si="2"/>
        <v>0.35</v>
      </c>
      <c r="M14" s="263">
        <v>50</v>
      </c>
      <c r="N14" s="261">
        <v>60</v>
      </c>
      <c r="O14" s="262">
        <f t="shared" si="3"/>
        <v>55</v>
      </c>
      <c r="P14" s="263">
        <v>4.5</v>
      </c>
      <c r="Q14" s="261">
        <v>6</v>
      </c>
      <c r="R14" s="262">
        <f t="shared" si="4"/>
        <v>5.25</v>
      </c>
      <c r="S14" s="263">
        <v>4</v>
      </c>
      <c r="T14" s="261">
        <v>6</v>
      </c>
      <c r="U14" s="262">
        <f t="shared" si="5"/>
        <v>5</v>
      </c>
      <c r="V14" s="263">
        <v>60</v>
      </c>
      <c r="W14" s="261">
        <v>70</v>
      </c>
      <c r="X14" s="262">
        <f t="shared" si="6"/>
        <v>65</v>
      </c>
      <c r="Y14" s="261">
        <v>1</v>
      </c>
      <c r="Z14" s="108">
        <f t="shared" si="7"/>
        <v>80</v>
      </c>
      <c r="AA14" s="108">
        <f>W14/100*E14*2+(1-W14/100)*E14</f>
        <v>127.5</v>
      </c>
      <c r="AB14" s="108">
        <f t="shared" si="8"/>
        <v>103.75</v>
      </c>
      <c r="AC14" s="108">
        <f t="shared" si="9"/>
        <v>24.5</v>
      </c>
      <c r="AD14" s="108">
        <f>T14/K14+Q14</f>
        <v>18</v>
      </c>
      <c r="AE14" s="108">
        <f t="shared" si="10"/>
        <v>21.25</v>
      </c>
      <c r="AF14" s="108">
        <f t="shared" si="11"/>
        <v>320</v>
      </c>
      <c r="AG14" s="108">
        <f>T14*AA14*$Y14</f>
        <v>765</v>
      </c>
      <c r="AH14" s="108">
        <f>U14*AB14*$Y14</f>
        <v>518.75</v>
      </c>
      <c r="AI14" s="294">
        <f t="shared" si="12"/>
        <v>13.0612244897959</v>
      </c>
      <c r="AJ14" s="294">
        <f>AG14/AD14</f>
        <v>42.5</v>
      </c>
      <c r="AK14" s="295">
        <f t="shared" si="13"/>
        <v>27.780612244898</v>
      </c>
      <c r="AL14" s="295">
        <v>25</v>
      </c>
      <c r="AM14">
        <f t="shared" si="14"/>
        <v>21.875</v>
      </c>
    </row>
    <row r="15" spans="1:38">
      <c r="A15" s="98" t="s">
        <v>35</v>
      </c>
      <c r="B15" s="98" t="b">
        <v>1</v>
      </c>
      <c r="C15" s="98"/>
      <c r="D15" s="264"/>
      <c r="E15" s="265"/>
      <c r="F15" s="266"/>
      <c r="G15" s="267"/>
      <c r="H15" s="268"/>
      <c r="I15" s="269"/>
      <c r="J15" s="264"/>
      <c r="K15" s="265"/>
      <c r="L15" s="266"/>
      <c r="M15" s="264"/>
      <c r="N15" s="265"/>
      <c r="O15" s="266"/>
      <c r="P15" s="264"/>
      <c r="Q15" s="265"/>
      <c r="R15" s="266"/>
      <c r="S15" s="264"/>
      <c r="T15" s="265"/>
      <c r="U15" s="266"/>
      <c r="V15" s="270" t="s">
        <v>21</v>
      </c>
      <c r="W15" s="270"/>
      <c r="X15" s="283"/>
      <c r="Y15" s="265"/>
      <c r="Z15" s="108"/>
      <c r="AA15" s="108"/>
      <c r="AB15" s="108"/>
      <c r="AC15" s="108"/>
      <c r="AD15" s="108"/>
      <c r="AE15" s="108"/>
      <c r="AF15" s="108"/>
      <c r="AG15" s="108"/>
      <c r="AH15" s="108"/>
      <c r="AI15" s="294" t="s">
        <v>36</v>
      </c>
      <c r="AJ15" s="294"/>
      <c r="AK15" s="294"/>
      <c r="AL15" s="294"/>
    </row>
    <row r="16" spans="1:39">
      <c r="A16" s="238"/>
      <c r="B16" s="238"/>
      <c r="C16" s="239" t="s">
        <v>37</v>
      </c>
      <c r="D16" s="240">
        <v>0.7</v>
      </c>
      <c r="E16" s="241">
        <v>1.3</v>
      </c>
      <c r="F16" s="242">
        <f t="shared" si="0"/>
        <v>1</v>
      </c>
      <c r="G16" s="243">
        <v>15</v>
      </c>
      <c r="H16" s="241">
        <v>25</v>
      </c>
      <c r="I16" s="242">
        <f t="shared" si="1"/>
        <v>20</v>
      </c>
      <c r="J16" s="243">
        <v>0.5</v>
      </c>
      <c r="K16" s="241">
        <v>1</v>
      </c>
      <c r="L16" s="242">
        <f t="shared" si="2"/>
        <v>0.75</v>
      </c>
      <c r="M16" s="243">
        <v>40</v>
      </c>
      <c r="N16" s="241">
        <v>60</v>
      </c>
      <c r="O16" s="242">
        <f t="shared" si="3"/>
        <v>50</v>
      </c>
      <c r="P16" s="243">
        <v>2</v>
      </c>
      <c r="Q16" s="241">
        <v>3.5</v>
      </c>
      <c r="R16" s="242">
        <f t="shared" si="4"/>
        <v>2.75</v>
      </c>
      <c r="S16" s="243">
        <v>2</v>
      </c>
      <c r="T16" s="241">
        <v>6</v>
      </c>
      <c r="U16" s="242">
        <f t="shared" si="5"/>
        <v>4</v>
      </c>
      <c r="V16" s="271">
        <v>2</v>
      </c>
      <c r="W16" s="272">
        <v>2.5</v>
      </c>
      <c r="X16" s="284">
        <f t="shared" si="6"/>
        <v>2.25</v>
      </c>
      <c r="Y16" s="241">
        <v>9</v>
      </c>
      <c r="Z16" s="108">
        <f t="shared" si="7"/>
        <v>0.714</v>
      </c>
      <c r="AA16" s="108">
        <f>W16/100*E16*2+(1-W16/100)*E16</f>
        <v>1.3325</v>
      </c>
      <c r="AB16" s="108">
        <f t="shared" si="8"/>
        <v>1.02325</v>
      </c>
      <c r="AC16" s="108">
        <f t="shared" si="9"/>
        <v>6</v>
      </c>
      <c r="AD16" s="108">
        <f>T16/K16+Q16</f>
        <v>9.5</v>
      </c>
      <c r="AE16" s="108">
        <f t="shared" si="10"/>
        <v>7.75</v>
      </c>
      <c r="AF16" s="108">
        <f t="shared" si="11"/>
        <v>12.852</v>
      </c>
      <c r="AG16" s="108">
        <f>T16*AA16*$Y16</f>
        <v>71.955</v>
      </c>
      <c r="AH16" s="108">
        <f>U16*AB16*$Y16</f>
        <v>36.837</v>
      </c>
      <c r="AI16" s="294">
        <f t="shared" si="12"/>
        <v>2.142</v>
      </c>
      <c r="AJ16" s="294">
        <f>AG16/AD16</f>
        <v>7.57421052631579</v>
      </c>
      <c r="AK16" s="295">
        <f t="shared" si="13"/>
        <v>4.85810526315789</v>
      </c>
      <c r="AL16" s="295">
        <v>5</v>
      </c>
      <c r="AM16">
        <f t="shared" si="14"/>
        <v>6.75</v>
      </c>
    </row>
    <row r="17" spans="1:39">
      <c r="A17" s="238"/>
      <c r="B17" s="238"/>
      <c r="C17" s="244" t="s">
        <v>38</v>
      </c>
      <c r="D17" s="245">
        <v>1.2</v>
      </c>
      <c r="E17" s="246">
        <v>2</v>
      </c>
      <c r="F17" s="247">
        <f t="shared" si="0"/>
        <v>1.6</v>
      </c>
      <c r="G17" s="248">
        <v>20</v>
      </c>
      <c r="H17" s="246">
        <v>30</v>
      </c>
      <c r="I17" s="247">
        <f t="shared" si="1"/>
        <v>25</v>
      </c>
      <c r="J17" s="248">
        <v>0.625</v>
      </c>
      <c r="K17" s="246">
        <v>1.125</v>
      </c>
      <c r="L17" s="247">
        <f t="shared" si="2"/>
        <v>0.875</v>
      </c>
      <c r="M17" s="248">
        <v>45</v>
      </c>
      <c r="N17" s="246">
        <v>62.5</v>
      </c>
      <c r="O17" s="247">
        <f t="shared" si="3"/>
        <v>53.75</v>
      </c>
      <c r="P17" s="248">
        <v>2</v>
      </c>
      <c r="Q17" s="246">
        <v>3.25</v>
      </c>
      <c r="R17" s="247">
        <f t="shared" si="4"/>
        <v>2.625</v>
      </c>
      <c r="S17" s="248">
        <v>3</v>
      </c>
      <c r="T17" s="246">
        <v>7</v>
      </c>
      <c r="U17" s="247">
        <f t="shared" si="5"/>
        <v>5</v>
      </c>
      <c r="V17" s="273">
        <v>2</v>
      </c>
      <c r="W17" s="274">
        <v>2.5</v>
      </c>
      <c r="X17" s="285">
        <f t="shared" si="6"/>
        <v>2.25</v>
      </c>
      <c r="Y17" s="246">
        <v>10</v>
      </c>
      <c r="Z17" s="108">
        <f t="shared" si="7"/>
        <v>1.224</v>
      </c>
      <c r="AA17" s="108">
        <f>W17/100*E17*2+(1-W17/100)*E17</f>
        <v>2.05</v>
      </c>
      <c r="AB17" s="108">
        <f t="shared" si="8"/>
        <v>1.637</v>
      </c>
      <c r="AC17" s="108">
        <f t="shared" si="9"/>
        <v>6.8</v>
      </c>
      <c r="AD17" s="108">
        <f>T17/K17+Q17</f>
        <v>9.47222222222222</v>
      </c>
      <c r="AE17" s="108">
        <f t="shared" si="10"/>
        <v>8.13611111111111</v>
      </c>
      <c r="AF17" s="108">
        <f t="shared" si="11"/>
        <v>36.72</v>
      </c>
      <c r="AG17" s="108">
        <f>T17*AA17*$Y17</f>
        <v>143.5</v>
      </c>
      <c r="AH17" s="108">
        <f>U17*AB17*$Y17</f>
        <v>81.85</v>
      </c>
      <c r="AI17" s="294">
        <f t="shared" si="12"/>
        <v>5.4</v>
      </c>
      <c r="AJ17" s="294">
        <f>AG17/AD17</f>
        <v>15.1495601173021</v>
      </c>
      <c r="AK17" s="295">
        <f t="shared" si="13"/>
        <v>10.274780058651</v>
      </c>
      <c r="AL17" s="295">
        <v>10</v>
      </c>
      <c r="AM17">
        <f t="shared" si="14"/>
        <v>14</v>
      </c>
    </row>
    <row r="18" spans="1:39">
      <c r="A18" s="238"/>
      <c r="B18" s="238"/>
      <c r="C18" s="249" t="s">
        <v>39</v>
      </c>
      <c r="D18" s="250">
        <v>1.5</v>
      </c>
      <c r="E18" s="251">
        <v>2.2</v>
      </c>
      <c r="F18" s="252">
        <f t="shared" si="0"/>
        <v>1.85</v>
      </c>
      <c r="G18" s="253">
        <v>25</v>
      </c>
      <c r="H18" s="251">
        <v>35</v>
      </c>
      <c r="I18" s="252">
        <f t="shared" si="1"/>
        <v>30</v>
      </c>
      <c r="J18" s="253">
        <v>0.75</v>
      </c>
      <c r="K18" s="251">
        <v>1.25</v>
      </c>
      <c r="L18" s="252">
        <f t="shared" si="2"/>
        <v>1</v>
      </c>
      <c r="M18" s="253">
        <v>50</v>
      </c>
      <c r="N18" s="251">
        <v>65</v>
      </c>
      <c r="O18" s="252">
        <f t="shared" si="3"/>
        <v>57.5</v>
      </c>
      <c r="P18" s="253">
        <v>2</v>
      </c>
      <c r="Q18" s="251">
        <v>3</v>
      </c>
      <c r="R18" s="252">
        <f t="shared" si="4"/>
        <v>2.5</v>
      </c>
      <c r="S18" s="253">
        <v>4</v>
      </c>
      <c r="T18" s="251">
        <v>8</v>
      </c>
      <c r="U18" s="252">
        <f t="shared" si="5"/>
        <v>6</v>
      </c>
      <c r="V18" s="275">
        <v>2</v>
      </c>
      <c r="W18" s="276">
        <v>2.5</v>
      </c>
      <c r="X18" s="286">
        <f t="shared" si="6"/>
        <v>2.25</v>
      </c>
      <c r="Y18" s="251">
        <v>11</v>
      </c>
      <c r="Z18" s="108">
        <f t="shared" si="7"/>
        <v>1.53</v>
      </c>
      <c r="AA18" s="108">
        <f>W18/100*E18*2+(1-W18/100)*E18</f>
        <v>2.255</v>
      </c>
      <c r="AB18" s="108">
        <f t="shared" si="8"/>
        <v>1.8925</v>
      </c>
      <c r="AC18" s="108">
        <f t="shared" si="9"/>
        <v>7.33333333333333</v>
      </c>
      <c r="AD18" s="108">
        <f>T18/K18+Q18</f>
        <v>9.4</v>
      </c>
      <c r="AE18" s="108">
        <f t="shared" si="10"/>
        <v>8.36666666666667</v>
      </c>
      <c r="AF18" s="108">
        <f t="shared" si="11"/>
        <v>67.32</v>
      </c>
      <c r="AG18" s="108">
        <f>T18*AA18*$Y18</f>
        <v>198.44</v>
      </c>
      <c r="AH18" s="108">
        <f>U18*AB18*$Y18</f>
        <v>124.905</v>
      </c>
      <c r="AI18" s="294">
        <f t="shared" si="12"/>
        <v>9.18</v>
      </c>
      <c r="AJ18" s="294">
        <f>AG18/AD18</f>
        <v>21.1106382978723</v>
      </c>
      <c r="AK18" s="295">
        <f t="shared" si="13"/>
        <v>15.1453191489362</v>
      </c>
      <c r="AL18" s="295">
        <v>15</v>
      </c>
      <c r="AM18">
        <f t="shared" si="14"/>
        <v>20.35</v>
      </c>
    </row>
    <row r="19" spans="1:39">
      <c r="A19" s="238"/>
      <c r="B19" s="238"/>
      <c r="C19" s="254" t="s">
        <v>40</v>
      </c>
      <c r="D19" s="255">
        <v>1.8</v>
      </c>
      <c r="E19" s="256">
        <v>2.2</v>
      </c>
      <c r="F19" s="257">
        <f t="shared" si="0"/>
        <v>2</v>
      </c>
      <c r="G19" s="258">
        <v>30</v>
      </c>
      <c r="H19" s="256">
        <v>40</v>
      </c>
      <c r="I19" s="257">
        <f t="shared" si="1"/>
        <v>35</v>
      </c>
      <c r="J19" s="258">
        <v>0.875</v>
      </c>
      <c r="K19" s="256">
        <v>1.385</v>
      </c>
      <c r="L19" s="257">
        <f t="shared" si="2"/>
        <v>1.13</v>
      </c>
      <c r="M19" s="258">
        <v>55</v>
      </c>
      <c r="N19" s="256">
        <v>67.5</v>
      </c>
      <c r="O19" s="257">
        <f t="shared" si="3"/>
        <v>61.25</v>
      </c>
      <c r="P19" s="258">
        <v>2</v>
      </c>
      <c r="Q19" s="256">
        <v>2.75</v>
      </c>
      <c r="R19" s="257">
        <f t="shared" si="4"/>
        <v>2.375</v>
      </c>
      <c r="S19" s="258">
        <v>5</v>
      </c>
      <c r="T19" s="256">
        <v>9</v>
      </c>
      <c r="U19" s="257">
        <f t="shared" si="5"/>
        <v>7</v>
      </c>
      <c r="V19" s="277">
        <v>2</v>
      </c>
      <c r="W19" s="278">
        <v>2.5</v>
      </c>
      <c r="X19" s="287">
        <f t="shared" si="6"/>
        <v>2.25</v>
      </c>
      <c r="Y19" s="256">
        <v>12</v>
      </c>
      <c r="Z19" s="108">
        <f t="shared" si="7"/>
        <v>1.836</v>
      </c>
      <c r="AA19" s="108">
        <f>W19/100*E19*2+(1-W19/100)*E19</f>
        <v>2.255</v>
      </c>
      <c r="AB19" s="108">
        <f t="shared" si="8"/>
        <v>2.0455</v>
      </c>
      <c r="AC19" s="108">
        <f t="shared" si="9"/>
        <v>7.71428571428571</v>
      </c>
      <c r="AD19" s="108">
        <f>T19/K19+Q19</f>
        <v>9.24819494584838</v>
      </c>
      <c r="AE19" s="108">
        <f t="shared" si="10"/>
        <v>8.48124033006705</v>
      </c>
      <c r="AF19" s="108">
        <f t="shared" si="11"/>
        <v>110.16</v>
      </c>
      <c r="AG19" s="108">
        <f>T19*AA19*$Y19</f>
        <v>243.54</v>
      </c>
      <c r="AH19" s="108">
        <f>U19*AB19*$Y19</f>
        <v>171.822</v>
      </c>
      <c r="AI19" s="294">
        <f t="shared" si="12"/>
        <v>14.28</v>
      </c>
      <c r="AJ19" s="294">
        <f>AG19/AD19</f>
        <v>26.3337874499854</v>
      </c>
      <c r="AK19" s="295">
        <f t="shared" si="13"/>
        <v>20.3068937249927</v>
      </c>
      <c r="AL19" s="295">
        <v>20</v>
      </c>
      <c r="AM19">
        <f t="shared" si="14"/>
        <v>27.12</v>
      </c>
    </row>
    <row r="20" spans="1:39">
      <c r="A20" s="238"/>
      <c r="B20" s="238"/>
      <c r="C20" s="259" t="s">
        <v>41</v>
      </c>
      <c r="D20" s="260">
        <v>1.9</v>
      </c>
      <c r="E20" s="261">
        <v>2.2</v>
      </c>
      <c r="F20" s="262">
        <f t="shared" si="0"/>
        <v>2.05</v>
      </c>
      <c r="G20" s="263">
        <v>35</v>
      </c>
      <c r="H20" s="261">
        <v>45</v>
      </c>
      <c r="I20" s="262">
        <f t="shared" si="1"/>
        <v>40</v>
      </c>
      <c r="J20" s="263">
        <v>1</v>
      </c>
      <c r="K20" s="261">
        <v>1.5</v>
      </c>
      <c r="L20" s="262">
        <f t="shared" si="2"/>
        <v>1.25</v>
      </c>
      <c r="M20" s="263">
        <v>60</v>
      </c>
      <c r="N20" s="261">
        <v>70</v>
      </c>
      <c r="O20" s="262">
        <f t="shared" si="3"/>
        <v>65</v>
      </c>
      <c r="P20" s="263">
        <v>2</v>
      </c>
      <c r="Q20" s="261">
        <v>2.5</v>
      </c>
      <c r="R20" s="262">
        <f t="shared" si="4"/>
        <v>2.25</v>
      </c>
      <c r="S20" s="263">
        <v>6</v>
      </c>
      <c r="T20" s="261">
        <v>10</v>
      </c>
      <c r="U20" s="262">
        <f t="shared" si="5"/>
        <v>8</v>
      </c>
      <c r="V20" s="279">
        <v>2</v>
      </c>
      <c r="W20" s="280">
        <v>2.5</v>
      </c>
      <c r="X20" s="288">
        <f t="shared" si="6"/>
        <v>2.25</v>
      </c>
      <c r="Y20" s="261">
        <v>13</v>
      </c>
      <c r="Z20" s="108">
        <f t="shared" si="7"/>
        <v>1.938</v>
      </c>
      <c r="AA20" s="108">
        <f>W20/100*E20*2+(1-W20/100)*E20</f>
        <v>2.255</v>
      </c>
      <c r="AB20" s="108">
        <f t="shared" si="8"/>
        <v>2.0965</v>
      </c>
      <c r="AC20" s="108">
        <f t="shared" si="9"/>
        <v>8</v>
      </c>
      <c r="AD20" s="108">
        <f>T20/K20+Q20</f>
        <v>9.16666666666667</v>
      </c>
      <c r="AE20" s="108">
        <f t="shared" si="10"/>
        <v>8.58333333333333</v>
      </c>
      <c r="AF20" s="108">
        <f t="shared" si="11"/>
        <v>151.164</v>
      </c>
      <c r="AG20" s="108">
        <f>T20*AA20*$Y20</f>
        <v>293.15</v>
      </c>
      <c r="AH20" s="108">
        <f>U20*AB20*$Y20</f>
        <v>218.036</v>
      </c>
      <c r="AI20" s="294">
        <f t="shared" si="12"/>
        <v>18.8955</v>
      </c>
      <c r="AJ20" s="294">
        <f>AG20/AD20</f>
        <v>31.98</v>
      </c>
      <c r="AK20" s="295">
        <f t="shared" si="13"/>
        <v>25.43775</v>
      </c>
      <c r="AL20" s="295">
        <v>25</v>
      </c>
      <c r="AM20">
        <f t="shared" si="14"/>
        <v>33.3125</v>
      </c>
    </row>
    <row r="21" spans="1:38">
      <c r="A21" s="98" t="s">
        <v>42</v>
      </c>
      <c r="B21" s="98" t="b">
        <v>0</v>
      </c>
      <c r="C21" s="98"/>
      <c r="D21" s="267"/>
      <c r="E21" s="268"/>
      <c r="F21" s="269"/>
      <c r="G21" s="270" t="s">
        <v>21</v>
      </c>
      <c r="H21" s="270"/>
      <c r="I21" s="283"/>
      <c r="J21" s="264"/>
      <c r="K21" s="265"/>
      <c r="L21" s="266"/>
      <c r="M21" s="264"/>
      <c r="N21" s="265"/>
      <c r="O21" s="266"/>
      <c r="P21" s="264"/>
      <c r="Q21" s="265"/>
      <c r="R21" s="266"/>
      <c r="S21" s="264"/>
      <c r="T21" s="265"/>
      <c r="U21" s="266"/>
      <c r="V21" s="264"/>
      <c r="W21" s="290"/>
      <c r="X21" s="266"/>
      <c r="Y21" s="265"/>
      <c r="Z21" s="108"/>
      <c r="AA21" s="108"/>
      <c r="AB21" s="108"/>
      <c r="AC21" s="108"/>
      <c r="AD21" s="108"/>
      <c r="AE21" s="108"/>
      <c r="AF21" s="108"/>
      <c r="AG21" s="108"/>
      <c r="AH21" s="108"/>
      <c r="AI21" s="294" t="s">
        <v>43</v>
      </c>
      <c r="AJ21" s="294"/>
      <c r="AK21" s="294"/>
      <c r="AL21" s="294"/>
    </row>
    <row r="22" spans="1:39">
      <c r="A22" s="238"/>
      <c r="B22" s="238"/>
      <c r="C22" s="239" t="s">
        <v>44</v>
      </c>
      <c r="D22" s="240">
        <v>1.1</v>
      </c>
      <c r="E22" s="241">
        <v>2.2</v>
      </c>
      <c r="F22" s="242">
        <f t="shared" si="0"/>
        <v>1.65</v>
      </c>
      <c r="G22" s="271">
        <v>50</v>
      </c>
      <c r="H22" s="272">
        <v>60</v>
      </c>
      <c r="I22" s="284">
        <f t="shared" si="1"/>
        <v>55</v>
      </c>
      <c r="J22" s="243">
        <v>4</v>
      </c>
      <c r="K22" s="241">
        <v>7</v>
      </c>
      <c r="L22" s="242">
        <f t="shared" si="2"/>
        <v>5.5</v>
      </c>
      <c r="M22" s="243">
        <v>50</v>
      </c>
      <c r="N22" s="241">
        <v>65</v>
      </c>
      <c r="O22" s="242">
        <f t="shared" si="3"/>
        <v>57.5</v>
      </c>
      <c r="P22" s="243">
        <v>2</v>
      </c>
      <c r="Q22" s="241">
        <v>3</v>
      </c>
      <c r="R22" s="242">
        <f t="shared" si="4"/>
        <v>2.5</v>
      </c>
      <c r="S22" s="243">
        <v>10</v>
      </c>
      <c r="T22" s="241">
        <v>20</v>
      </c>
      <c r="U22" s="242">
        <f t="shared" si="5"/>
        <v>15</v>
      </c>
      <c r="V22" s="243">
        <v>1</v>
      </c>
      <c r="W22" s="241">
        <v>2.5</v>
      </c>
      <c r="X22" s="242">
        <f t="shared" si="6"/>
        <v>1.75</v>
      </c>
      <c r="Y22" s="241">
        <v>1</v>
      </c>
      <c r="Z22" s="108">
        <f t="shared" si="7"/>
        <v>1.111</v>
      </c>
      <c r="AA22" s="108">
        <f>W22/100*E22*2+(1-W22/100)*E22</f>
        <v>2.255</v>
      </c>
      <c r="AB22" s="108">
        <f t="shared" si="8"/>
        <v>1.683</v>
      </c>
      <c r="AC22" s="108">
        <f t="shared" si="9"/>
        <v>4.5</v>
      </c>
      <c r="AD22" s="108">
        <f>T22/K22+Q22</f>
        <v>5.85714285714286</v>
      </c>
      <c r="AE22" s="108">
        <f t="shared" si="10"/>
        <v>5.17857142857143</v>
      </c>
      <c r="AF22" s="108">
        <f t="shared" si="11"/>
        <v>11.11</v>
      </c>
      <c r="AG22" s="108">
        <f>T22*AA22*$Y22</f>
        <v>45.1</v>
      </c>
      <c r="AH22" s="108">
        <f>U22*AB22*$Y22</f>
        <v>25.245</v>
      </c>
      <c r="AI22" s="294">
        <f t="shared" si="12"/>
        <v>2.46888888888889</v>
      </c>
      <c r="AJ22" s="294">
        <f>AG22/AD22</f>
        <v>7.7</v>
      </c>
      <c r="AK22" s="295">
        <f t="shared" si="13"/>
        <v>5.08444444444444</v>
      </c>
      <c r="AL22" s="295">
        <v>5</v>
      </c>
      <c r="AM22">
        <f t="shared" si="14"/>
        <v>9.075</v>
      </c>
    </row>
    <row r="23" spans="1:39">
      <c r="A23" s="238"/>
      <c r="B23" s="238"/>
      <c r="C23" s="244" t="s">
        <v>45</v>
      </c>
      <c r="D23" s="245">
        <v>2</v>
      </c>
      <c r="E23" s="246">
        <v>3.1</v>
      </c>
      <c r="F23" s="247">
        <f t="shared" si="0"/>
        <v>2.55</v>
      </c>
      <c r="G23" s="273">
        <v>50</v>
      </c>
      <c r="H23" s="274">
        <v>60</v>
      </c>
      <c r="I23" s="285">
        <f t="shared" si="1"/>
        <v>55</v>
      </c>
      <c r="J23" s="248">
        <v>5</v>
      </c>
      <c r="K23" s="246">
        <v>8</v>
      </c>
      <c r="L23" s="247">
        <f t="shared" si="2"/>
        <v>6.5</v>
      </c>
      <c r="M23" s="248">
        <v>55</v>
      </c>
      <c r="N23" s="246">
        <v>70</v>
      </c>
      <c r="O23" s="247">
        <f t="shared" si="3"/>
        <v>62.5</v>
      </c>
      <c r="P23" s="248">
        <v>1.75</v>
      </c>
      <c r="Q23" s="246">
        <v>2.75</v>
      </c>
      <c r="R23" s="247">
        <f t="shared" si="4"/>
        <v>2.25</v>
      </c>
      <c r="S23" s="248">
        <v>15</v>
      </c>
      <c r="T23" s="246">
        <v>25</v>
      </c>
      <c r="U23" s="247">
        <f t="shared" si="5"/>
        <v>20</v>
      </c>
      <c r="V23" s="248">
        <v>1.25</v>
      </c>
      <c r="W23" s="246">
        <v>2.75</v>
      </c>
      <c r="X23" s="247">
        <f t="shared" si="6"/>
        <v>2</v>
      </c>
      <c r="Y23" s="246">
        <v>1</v>
      </c>
      <c r="Z23" s="108">
        <f t="shared" si="7"/>
        <v>2.025</v>
      </c>
      <c r="AA23" s="108">
        <f>W23/100*E23*2+(1-W23/100)*E23</f>
        <v>3.18525</v>
      </c>
      <c r="AB23" s="108">
        <f t="shared" si="8"/>
        <v>2.605125</v>
      </c>
      <c r="AC23" s="108">
        <f t="shared" si="9"/>
        <v>4.75</v>
      </c>
      <c r="AD23" s="108">
        <f>T23/K23+Q23</f>
        <v>5.875</v>
      </c>
      <c r="AE23" s="108">
        <f t="shared" si="10"/>
        <v>5.3125</v>
      </c>
      <c r="AF23" s="108">
        <f t="shared" si="11"/>
        <v>30.375</v>
      </c>
      <c r="AG23" s="108">
        <f>T23*AA23*$Y23</f>
        <v>79.63125</v>
      </c>
      <c r="AH23" s="108">
        <f>U23*AB23*$Y23</f>
        <v>52.1025</v>
      </c>
      <c r="AI23" s="294">
        <f t="shared" si="12"/>
        <v>6.39473684210526</v>
      </c>
      <c r="AJ23" s="294">
        <f>AG23/AD23</f>
        <v>13.5542553191489</v>
      </c>
      <c r="AK23" s="295">
        <f t="shared" si="13"/>
        <v>9.9744960806271</v>
      </c>
      <c r="AL23" s="295">
        <v>10</v>
      </c>
      <c r="AM23">
        <f t="shared" si="14"/>
        <v>16.575</v>
      </c>
    </row>
    <row r="24" spans="1:39">
      <c r="A24" s="238"/>
      <c r="B24" s="238"/>
      <c r="C24" s="249" t="s">
        <v>46</v>
      </c>
      <c r="D24" s="250">
        <v>2.7</v>
      </c>
      <c r="E24" s="251">
        <v>3.5</v>
      </c>
      <c r="F24" s="252">
        <f t="shared" si="0"/>
        <v>3.1</v>
      </c>
      <c r="G24" s="275">
        <v>50</v>
      </c>
      <c r="H24" s="276">
        <v>60</v>
      </c>
      <c r="I24" s="286">
        <f t="shared" si="1"/>
        <v>55</v>
      </c>
      <c r="J24" s="253">
        <v>6</v>
      </c>
      <c r="K24" s="251">
        <v>9</v>
      </c>
      <c r="L24" s="252">
        <f t="shared" si="2"/>
        <v>7.5</v>
      </c>
      <c r="M24" s="253">
        <v>60</v>
      </c>
      <c r="N24" s="251">
        <v>75</v>
      </c>
      <c r="O24" s="252">
        <f t="shared" si="3"/>
        <v>67.5</v>
      </c>
      <c r="P24" s="253">
        <v>1.5</v>
      </c>
      <c r="Q24" s="251">
        <v>2.5</v>
      </c>
      <c r="R24" s="252">
        <f t="shared" si="4"/>
        <v>2</v>
      </c>
      <c r="S24" s="253">
        <v>20</v>
      </c>
      <c r="T24" s="251">
        <v>30</v>
      </c>
      <c r="U24" s="252">
        <f t="shared" si="5"/>
        <v>25</v>
      </c>
      <c r="V24" s="253">
        <v>1.5</v>
      </c>
      <c r="W24" s="251">
        <v>3</v>
      </c>
      <c r="X24" s="252">
        <f t="shared" si="6"/>
        <v>2.25</v>
      </c>
      <c r="Y24" s="251">
        <v>1</v>
      </c>
      <c r="Z24" s="108">
        <f t="shared" si="7"/>
        <v>2.7405</v>
      </c>
      <c r="AA24" s="108">
        <f>W24/100*E24*2+(1-W24/100)*E24</f>
        <v>3.605</v>
      </c>
      <c r="AB24" s="108">
        <f t="shared" si="8"/>
        <v>3.17275</v>
      </c>
      <c r="AC24" s="108">
        <f t="shared" si="9"/>
        <v>4.83333333333333</v>
      </c>
      <c r="AD24" s="108">
        <f>T24/K24+Q24</f>
        <v>5.83333333333333</v>
      </c>
      <c r="AE24" s="108">
        <f t="shared" si="10"/>
        <v>5.33333333333333</v>
      </c>
      <c r="AF24" s="108">
        <f t="shared" si="11"/>
        <v>54.81</v>
      </c>
      <c r="AG24" s="108">
        <f>T24*AA24*$Y24</f>
        <v>108.15</v>
      </c>
      <c r="AH24" s="108">
        <f>U24*AB24*$Y24</f>
        <v>79.31875</v>
      </c>
      <c r="AI24" s="294">
        <f t="shared" si="12"/>
        <v>11.34</v>
      </c>
      <c r="AJ24" s="294">
        <f>AG24/AD24</f>
        <v>18.54</v>
      </c>
      <c r="AK24" s="295">
        <f t="shared" si="13"/>
        <v>14.94</v>
      </c>
      <c r="AL24" s="295">
        <v>15</v>
      </c>
      <c r="AM24">
        <f t="shared" si="14"/>
        <v>23.25</v>
      </c>
    </row>
    <row r="25" spans="1:39">
      <c r="A25" s="238"/>
      <c r="B25" s="238"/>
      <c r="C25" s="254" t="s">
        <v>47</v>
      </c>
      <c r="D25" s="255">
        <v>3</v>
      </c>
      <c r="E25" s="256">
        <v>3.8</v>
      </c>
      <c r="F25" s="257">
        <f t="shared" si="0"/>
        <v>3.4</v>
      </c>
      <c r="G25" s="277">
        <v>50</v>
      </c>
      <c r="H25" s="278">
        <v>60</v>
      </c>
      <c r="I25" s="287">
        <f t="shared" si="1"/>
        <v>55</v>
      </c>
      <c r="J25" s="258">
        <v>7</v>
      </c>
      <c r="K25" s="256">
        <v>10</v>
      </c>
      <c r="L25" s="257">
        <f t="shared" si="2"/>
        <v>8.5</v>
      </c>
      <c r="M25" s="258">
        <v>65</v>
      </c>
      <c r="N25" s="256">
        <v>80</v>
      </c>
      <c r="O25" s="257">
        <f t="shared" si="3"/>
        <v>72.5</v>
      </c>
      <c r="P25" s="258">
        <v>1.25</v>
      </c>
      <c r="Q25" s="256">
        <v>2.25</v>
      </c>
      <c r="R25" s="257">
        <f t="shared" si="4"/>
        <v>1.75</v>
      </c>
      <c r="S25" s="258">
        <v>25</v>
      </c>
      <c r="T25" s="256">
        <v>35</v>
      </c>
      <c r="U25" s="257">
        <f t="shared" si="5"/>
        <v>30</v>
      </c>
      <c r="V25" s="258">
        <v>1.75</v>
      </c>
      <c r="W25" s="256">
        <v>3.25</v>
      </c>
      <c r="X25" s="257">
        <f t="shared" si="6"/>
        <v>2.5</v>
      </c>
      <c r="Y25" s="256">
        <v>1</v>
      </c>
      <c r="Z25" s="108">
        <f t="shared" si="7"/>
        <v>3.0525</v>
      </c>
      <c r="AA25" s="108">
        <f>W25/100*E25*2+(1-W25/100)*E25</f>
        <v>3.9235</v>
      </c>
      <c r="AB25" s="108">
        <f t="shared" si="8"/>
        <v>3.488</v>
      </c>
      <c r="AC25" s="108">
        <f t="shared" si="9"/>
        <v>4.82142857142857</v>
      </c>
      <c r="AD25" s="108">
        <f>T25/K25+Q25</f>
        <v>5.75</v>
      </c>
      <c r="AE25" s="108">
        <f t="shared" si="10"/>
        <v>5.28571428571429</v>
      </c>
      <c r="AF25" s="108">
        <f t="shared" si="11"/>
        <v>76.3125</v>
      </c>
      <c r="AG25" s="108">
        <f>T25*AA25*$Y25</f>
        <v>137.3225</v>
      </c>
      <c r="AH25" s="108">
        <f>U25*AB25*$Y25</f>
        <v>104.64</v>
      </c>
      <c r="AI25" s="294">
        <f t="shared" si="12"/>
        <v>15.8277777777778</v>
      </c>
      <c r="AJ25" s="294">
        <f>AG25/AD25</f>
        <v>23.8821739130435</v>
      </c>
      <c r="AK25" s="295">
        <f t="shared" si="13"/>
        <v>19.8549758454106</v>
      </c>
      <c r="AL25" s="295">
        <v>20</v>
      </c>
      <c r="AM25">
        <f t="shared" si="14"/>
        <v>28.9</v>
      </c>
    </row>
    <row r="26" spans="1:39">
      <c r="A26" s="238"/>
      <c r="B26" s="238"/>
      <c r="C26" s="259" t="s">
        <v>48</v>
      </c>
      <c r="D26" s="260">
        <v>3.2</v>
      </c>
      <c r="E26" s="261">
        <v>4</v>
      </c>
      <c r="F26" s="262">
        <f t="shared" si="0"/>
        <v>3.6</v>
      </c>
      <c r="G26" s="279">
        <v>50</v>
      </c>
      <c r="H26" s="280">
        <v>60</v>
      </c>
      <c r="I26" s="288">
        <f t="shared" si="1"/>
        <v>55</v>
      </c>
      <c r="J26" s="263">
        <v>8</v>
      </c>
      <c r="K26" s="261">
        <v>11</v>
      </c>
      <c r="L26" s="262">
        <f t="shared" si="2"/>
        <v>9.5</v>
      </c>
      <c r="M26" s="263">
        <v>70</v>
      </c>
      <c r="N26" s="261">
        <v>85</v>
      </c>
      <c r="O26" s="262">
        <f t="shared" si="3"/>
        <v>77.5</v>
      </c>
      <c r="P26" s="263">
        <v>1</v>
      </c>
      <c r="Q26" s="261">
        <v>2</v>
      </c>
      <c r="R26" s="262">
        <f t="shared" si="4"/>
        <v>1.5</v>
      </c>
      <c r="S26" s="263">
        <v>30</v>
      </c>
      <c r="T26" s="261">
        <v>40</v>
      </c>
      <c r="U26" s="262">
        <f t="shared" si="5"/>
        <v>35</v>
      </c>
      <c r="V26" s="263">
        <v>2</v>
      </c>
      <c r="W26" s="261">
        <v>3.5</v>
      </c>
      <c r="X26" s="262">
        <f t="shared" si="6"/>
        <v>2.75</v>
      </c>
      <c r="Y26" s="261">
        <v>1</v>
      </c>
      <c r="Z26" s="108">
        <f t="shared" si="7"/>
        <v>3.264</v>
      </c>
      <c r="AA26" s="108">
        <f>W26/100*E26*2+(1-W26/100)*E26</f>
        <v>4.14</v>
      </c>
      <c r="AB26" s="108">
        <f t="shared" si="8"/>
        <v>3.702</v>
      </c>
      <c r="AC26" s="108">
        <f t="shared" si="9"/>
        <v>4.75</v>
      </c>
      <c r="AD26" s="108">
        <f>T26/K26+Q26</f>
        <v>5.63636363636364</v>
      </c>
      <c r="AE26" s="108">
        <f t="shared" si="10"/>
        <v>5.19318181818182</v>
      </c>
      <c r="AF26" s="108">
        <f t="shared" si="11"/>
        <v>97.92</v>
      </c>
      <c r="AG26" s="108">
        <f>T26*AA26*$Y26</f>
        <v>165.6</v>
      </c>
      <c r="AH26" s="108">
        <f>U26*AB26*$Y26</f>
        <v>129.57</v>
      </c>
      <c r="AI26" s="294">
        <f t="shared" si="12"/>
        <v>20.6147368421053</v>
      </c>
      <c r="AJ26" s="294">
        <f>AG26/AD26</f>
        <v>29.3806451612903</v>
      </c>
      <c r="AK26" s="295">
        <f t="shared" si="13"/>
        <v>24.9976910016978</v>
      </c>
      <c r="AL26" s="295">
        <v>25</v>
      </c>
      <c r="AM26">
        <f t="shared" si="14"/>
        <v>34.2</v>
      </c>
    </row>
    <row r="27" spans="1:38">
      <c r="A27" s="98" t="s">
        <v>49</v>
      </c>
      <c r="B27" s="98" t="b">
        <v>0</v>
      </c>
      <c r="C27" s="98"/>
      <c r="D27" s="264"/>
      <c r="E27" s="265"/>
      <c r="F27" s="266"/>
      <c r="G27" s="264"/>
      <c r="H27" s="265"/>
      <c r="I27" s="266"/>
      <c r="J27" s="264"/>
      <c r="K27" s="265"/>
      <c r="L27" s="266"/>
      <c r="M27" s="270" t="s">
        <v>21</v>
      </c>
      <c r="N27" s="270"/>
      <c r="O27" s="283"/>
      <c r="P27" s="264"/>
      <c r="Q27" s="265"/>
      <c r="R27" s="266"/>
      <c r="S27" s="264"/>
      <c r="T27" s="265"/>
      <c r="U27" s="266"/>
      <c r="V27" s="264"/>
      <c r="W27" s="290"/>
      <c r="X27" s="266"/>
      <c r="Y27" s="265"/>
      <c r="Z27" s="108"/>
      <c r="AA27" s="108"/>
      <c r="AB27" s="108"/>
      <c r="AC27" s="108"/>
      <c r="AD27" s="108"/>
      <c r="AE27" s="108"/>
      <c r="AF27" s="108"/>
      <c r="AG27" s="108"/>
      <c r="AH27" s="108"/>
      <c r="AI27" s="294" t="s">
        <v>50</v>
      </c>
      <c r="AJ27" s="294"/>
      <c r="AK27" s="294"/>
      <c r="AL27" s="294"/>
    </row>
    <row r="28" spans="1:39">
      <c r="A28" s="238"/>
      <c r="B28" s="238"/>
      <c r="C28" s="239" t="s">
        <v>51</v>
      </c>
      <c r="D28" s="240">
        <v>2.25</v>
      </c>
      <c r="E28" s="241">
        <v>3.25</v>
      </c>
      <c r="F28" s="242">
        <f t="shared" si="0"/>
        <v>2.75</v>
      </c>
      <c r="G28" s="243">
        <v>30</v>
      </c>
      <c r="H28" s="241">
        <v>40</v>
      </c>
      <c r="I28" s="242">
        <f t="shared" si="1"/>
        <v>35</v>
      </c>
      <c r="J28" s="243">
        <v>1.5</v>
      </c>
      <c r="K28" s="241">
        <v>4</v>
      </c>
      <c r="L28" s="242">
        <f t="shared" si="2"/>
        <v>2.75</v>
      </c>
      <c r="M28" s="271">
        <v>20</v>
      </c>
      <c r="N28" s="272">
        <v>50</v>
      </c>
      <c r="O28" s="284">
        <f t="shared" si="3"/>
        <v>35</v>
      </c>
      <c r="P28" s="243">
        <v>8</v>
      </c>
      <c r="Q28" s="241">
        <v>12</v>
      </c>
      <c r="R28" s="242">
        <f t="shared" si="4"/>
        <v>10</v>
      </c>
      <c r="S28" s="243">
        <v>30</v>
      </c>
      <c r="T28" s="241">
        <v>60</v>
      </c>
      <c r="U28" s="242">
        <f t="shared" si="5"/>
        <v>45</v>
      </c>
      <c r="V28" s="243">
        <v>2</v>
      </c>
      <c r="W28" s="241">
        <v>4</v>
      </c>
      <c r="X28" s="242">
        <f t="shared" si="6"/>
        <v>3</v>
      </c>
      <c r="Y28" s="241">
        <v>1</v>
      </c>
      <c r="Z28" s="108">
        <f t="shared" si="7"/>
        <v>2.295</v>
      </c>
      <c r="AA28" s="108">
        <f>W28/100*E28*2+(1-W28/100)*E28</f>
        <v>3.38</v>
      </c>
      <c r="AB28" s="108">
        <f t="shared" si="8"/>
        <v>2.8375</v>
      </c>
      <c r="AC28" s="108">
        <f t="shared" si="9"/>
        <v>28</v>
      </c>
      <c r="AD28" s="108">
        <f>T28/K28+Q28</f>
        <v>27</v>
      </c>
      <c r="AE28" s="108">
        <f t="shared" si="10"/>
        <v>27.5</v>
      </c>
      <c r="AF28" s="108">
        <f t="shared" si="11"/>
        <v>68.85</v>
      </c>
      <c r="AG28" s="108">
        <f>T28*AA28*$Y28</f>
        <v>202.8</v>
      </c>
      <c r="AH28" s="108">
        <f>U28*AB28*$Y28</f>
        <v>127.6875</v>
      </c>
      <c r="AI28" s="294">
        <f t="shared" si="12"/>
        <v>2.45892857142857</v>
      </c>
      <c r="AJ28" s="294">
        <f>AG28/AD28</f>
        <v>7.51111111111111</v>
      </c>
      <c r="AK28" s="295">
        <f t="shared" si="13"/>
        <v>4.98501984126984</v>
      </c>
      <c r="AL28" s="295">
        <v>5</v>
      </c>
      <c r="AM28">
        <f t="shared" si="14"/>
        <v>7.5625</v>
      </c>
    </row>
    <row r="29" spans="1:39">
      <c r="A29" s="238"/>
      <c r="B29" s="238"/>
      <c r="C29" s="244" t="s">
        <v>52</v>
      </c>
      <c r="D29" s="245">
        <v>4.25</v>
      </c>
      <c r="E29" s="246">
        <v>6.25</v>
      </c>
      <c r="F29" s="247">
        <f t="shared" si="0"/>
        <v>5.25</v>
      </c>
      <c r="G29" s="248">
        <v>35</v>
      </c>
      <c r="H29" s="246">
        <v>45</v>
      </c>
      <c r="I29" s="247">
        <f t="shared" si="1"/>
        <v>40</v>
      </c>
      <c r="J29" s="248">
        <v>1.625</v>
      </c>
      <c r="K29" s="246">
        <v>4</v>
      </c>
      <c r="L29" s="247">
        <f t="shared" si="2"/>
        <v>2.8125</v>
      </c>
      <c r="M29" s="273">
        <v>20</v>
      </c>
      <c r="N29" s="274">
        <v>50</v>
      </c>
      <c r="O29" s="285">
        <f t="shared" si="3"/>
        <v>35</v>
      </c>
      <c r="P29" s="248">
        <v>8.5</v>
      </c>
      <c r="Q29" s="246">
        <v>14</v>
      </c>
      <c r="R29" s="247">
        <f t="shared" si="4"/>
        <v>11.25</v>
      </c>
      <c r="S29" s="248">
        <v>37</v>
      </c>
      <c r="T29" s="246">
        <v>75</v>
      </c>
      <c r="U29" s="247">
        <f t="shared" si="5"/>
        <v>56</v>
      </c>
      <c r="V29" s="248">
        <v>4</v>
      </c>
      <c r="W29" s="246">
        <v>6</v>
      </c>
      <c r="X29" s="247">
        <f t="shared" si="6"/>
        <v>5</v>
      </c>
      <c r="Y29" s="246">
        <v>1</v>
      </c>
      <c r="Z29" s="108">
        <f t="shared" si="7"/>
        <v>4.42</v>
      </c>
      <c r="AA29" s="108">
        <f>W29/100*E29*2+(1-W29/100)*E29</f>
        <v>6.625</v>
      </c>
      <c r="AB29" s="108">
        <f t="shared" si="8"/>
        <v>5.5225</v>
      </c>
      <c r="AC29" s="108">
        <f t="shared" si="9"/>
        <v>31.2692307692308</v>
      </c>
      <c r="AD29" s="108">
        <f>T29/K29+Q29</f>
        <v>32.75</v>
      </c>
      <c r="AE29" s="108">
        <f t="shared" si="10"/>
        <v>32.0096153846154</v>
      </c>
      <c r="AF29" s="108">
        <f t="shared" si="11"/>
        <v>163.54</v>
      </c>
      <c r="AG29" s="108">
        <f>T29*AA29*$Y29</f>
        <v>496.875</v>
      </c>
      <c r="AH29" s="108">
        <f>U29*AB29*$Y29</f>
        <v>309.26</v>
      </c>
      <c r="AI29" s="294">
        <f t="shared" si="12"/>
        <v>5.23006150061501</v>
      </c>
      <c r="AJ29" s="294">
        <f>AG29/AD29</f>
        <v>15.1717557251908</v>
      </c>
      <c r="AK29" s="295">
        <f t="shared" si="13"/>
        <v>10.2009086129029</v>
      </c>
      <c r="AL29" s="295">
        <v>10</v>
      </c>
      <c r="AM29">
        <f t="shared" si="14"/>
        <v>14.765625</v>
      </c>
    </row>
    <row r="30" spans="1:39">
      <c r="A30" s="238"/>
      <c r="B30" s="238"/>
      <c r="C30" s="249" t="s">
        <v>53</v>
      </c>
      <c r="D30" s="250">
        <v>6</v>
      </c>
      <c r="E30" s="251">
        <v>8.75</v>
      </c>
      <c r="F30" s="252">
        <f t="shared" si="0"/>
        <v>7.375</v>
      </c>
      <c r="G30" s="253">
        <v>40</v>
      </c>
      <c r="H30" s="251">
        <v>50</v>
      </c>
      <c r="I30" s="252">
        <f t="shared" si="1"/>
        <v>45</v>
      </c>
      <c r="J30" s="253">
        <v>1.75</v>
      </c>
      <c r="K30" s="251">
        <v>4</v>
      </c>
      <c r="L30" s="252">
        <f t="shared" si="2"/>
        <v>2.875</v>
      </c>
      <c r="M30" s="275">
        <v>20</v>
      </c>
      <c r="N30" s="276">
        <v>50</v>
      </c>
      <c r="O30" s="286">
        <f t="shared" si="3"/>
        <v>35</v>
      </c>
      <c r="P30" s="253">
        <v>9</v>
      </c>
      <c r="Q30" s="251">
        <v>16</v>
      </c>
      <c r="R30" s="252">
        <f t="shared" si="4"/>
        <v>12.5</v>
      </c>
      <c r="S30" s="253">
        <v>45</v>
      </c>
      <c r="T30" s="251">
        <v>90</v>
      </c>
      <c r="U30" s="252">
        <f t="shared" si="5"/>
        <v>67.5</v>
      </c>
      <c r="V30" s="253">
        <v>6</v>
      </c>
      <c r="W30" s="251">
        <v>8</v>
      </c>
      <c r="X30" s="252">
        <f t="shared" si="6"/>
        <v>7</v>
      </c>
      <c r="Y30" s="251">
        <v>1</v>
      </c>
      <c r="Z30" s="108">
        <f t="shared" si="7"/>
        <v>6.36</v>
      </c>
      <c r="AA30" s="108">
        <f>W30/100*E30*2+(1-W30/100)*E30</f>
        <v>9.45</v>
      </c>
      <c r="AB30" s="108">
        <f t="shared" si="8"/>
        <v>7.905</v>
      </c>
      <c r="AC30" s="108">
        <f t="shared" si="9"/>
        <v>34.7142857142857</v>
      </c>
      <c r="AD30" s="108">
        <f>T30/K30+Q30</f>
        <v>38.5</v>
      </c>
      <c r="AE30" s="108">
        <f t="shared" si="10"/>
        <v>36.6071428571429</v>
      </c>
      <c r="AF30" s="108">
        <f t="shared" si="11"/>
        <v>286.2</v>
      </c>
      <c r="AG30" s="108">
        <f>T30*AA30*$Y30</f>
        <v>850.5</v>
      </c>
      <c r="AH30" s="108">
        <f>U30*AB30*$Y30</f>
        <v>533.5875</v>
      </c>
      <c r="AI30" s="294">
        <f t="shared" si="12"/>
        <v>8.24444444444444</v>
      </c>
      <c r="AJ30" s="294">
        <f>AG30/AD30</f>
        <v>22.0909090909091</v>
      </c>
      <c r="AK30" s="295">
        <f t="shared" si="13"/>
        <v>15.1676767676768</v>
      </c>
      <c r="AL30" s="295">
        <v>15</v>
      </c>
      <c r="AM30">
        <f t="shared" si="14"/>
        <v>21.203125</v>
      </c>
    </row>
    <row r="31" spans="1:39">
      <c r="A31" s="238"/>
      <c r="B31" s="238"/>
      <c r="C31" s="254" t="s">
        <v>54</v>
      </c>
      <c r="D31" s="255">
        <v>8.5</v>
      </c>
      <c r="E31" s="256">
        <v>10.5</v>
      </c>
      <c r="F31" s="257">
        <f t="shared" si="0"/>
        <v>9.5</v>
      </c>
      <c r="G31" s="258">
        <v>45</v>
      </c>
      <c r="H31" s="256">
        <v>55</v>
      </c>
      <c r="I31" s="257">
        <f t="shared" si="1"/>
        <v>50</v>
      </c>
      <c r="J31" s="258">
        <v>1.875</v>
      </c>
      <c r="K31" s="256">
        <v>4</v>
      </c>
      <c r="L31" s="257">
        <f t="shared" si="2"/>
        <v>2.9375</v>
      </c>
      <c r="M31" s="277">
        <v>20</v>
      </c>
      <c r="N31" s="278">
        <v>50</v>
      </c>
      <c r="O31" s="287">
        <f t="shared" si="3"/>
        <v>35</v>
      </c>
      <c r="P31" s="258">
        <v>9.5</v>
      </c>
      <c r="Q31" s="256">
        <v>18</v>
      </c>
      <c r="R31" s="257">
        <f t="shared" si="4"/>
        <v>13.75</v>
      </c>
      <c r="S31" s="258">
        <v>52</v>
      </c>
      <c r="T31" s="256">
        <v>105</v>
      </c>
      <c r="U31" s="257">
        <f t="shared" si="5"/>
        <v>78.5</v>
      </c>
      <c r="V31" s="258">
        <v>8</v>
      </c>
      <c r="W31" s="256">
        <v>10</v>
      </c>
      <c r="X31" s="257">
        <f t="shared" si="6"/>
        <v>9</v>
      </c>
      <c r="Y31" s="256">
        <v>1</v>
      </c>
      <c r="Z31" s="108">
        <f t="shared" si="7"/>
        <v>9.18</v>
      </c>
      <c r="AA31" s="108">
        <f>W31/100*E31*2+(1-W31/100)*E31</f>
        <v>11.55</v>
      </c>
      <c r="AB31" s="108">
        <f t="shared" si="8"/>
        <v>10.365</v>
      </c>
      <c r="AC31" s="108">
        <f t="shared" si="9"/>
        <v>37.2333333333333</v>
      </c>
      <c r="AD31" s="108">
        <f>T31/K31+Q31</f>
        <v>44.25</v>
      </c>
      <c r="AE31" s="108">
        <f t="shared" si="10"/>
        <v>40.7416666666667</v>
      </c>
      <c r="AF31" s="108">
        <f t="shared" si="11"/>
        <v>477.36</v>
      </c>
      <c r="AG31" s="108">
        <f>T31*AA31*$Y31</f>
        <v>1212.75</v>
      </c>
      <c r="AH31" s="108">
        <f>U31*AB31*$Y31</f>
        <v>813.6525</v>
      </c>
      <c r="AI31" s="294">
        <f t="shared" si="12"/>
        <v>12.820769919427</v>
      </c>
      <c r="AJ31" s="294">
        <f>AG31/AD31</f>
        <v>27.4067796610169</v>
      </c>
      <c r="AK31" s="295">
        <f t="shared" si="13"/>
        <v>20.113774790222</v>
      </c>
      <c r="AL31" s="295">
        <v>20</v>
      </c>
      <c r="AM31">
        <f t="shared" si="14"/>
        <v>27.90625</v>
      </c>
    </row>
    <row r="32" spans="1:39">
      <c r="A32" s="238"/>
      <c r="B32" s="238"/>
      <c r="C32" s="259" t="s">
        <v>55</v>
      </c>
      <c r="D32" s="260">
        <v>10</v>
      </c>
      <c r="E32" s="261">
        <v>12.5</v>
      </c>
      <c r="F32" s="262">
        <f t="shared" si="0"/>
        <v>11.25</v>
      </c>
      <c r="G32" s="263">
        <v>55</v>
      </c>
      <c r="H32" s="261">
        <v>60</v>
      </c>
      <c r="I32" s="262">
        <f t="shared" si="1"/>
        <v>57.5</v>
      </c>
      <c r="J32" s="263">
        <v>2</v>
      </c>
      <c r="K32" s="261">
        <v>4</v>
      </c>
      <c r="L32" s="262">
        <f t="shared" si="2"/>
        <v>3</v>
      </c>
      <c r="M32" s="279">
        <v>20</v>
      </c>
      <c r="N32" s="280">
        <v>50</v>
      </c>
      <c r="O32" s="288">
        <f t="shared" si="3"/>
        <v>35</v>
      </c>
      <c r="P32" s="263">
        <v>10</v>
      </c>
      <c r="Q32" s="261">
        <v>20</v>
      </c>
      <c r="R32" s="262">
        <f t="shared" si="4"/>
        <v>15</v>
      </c>
      <c r="S32" s="263">
        <v>60</v>
      </c>
      <c r="T32" s="261">
        <v>120</v>
      </c>
      <c r="U32" s="262">
        <f t="shared" si="5"/>
        <v>90</v>
      </c>
      <c r="V32" s="263">
        <v>10</v>
      </c>
      <c r="W32" s="261">
        <v>12</v>
      </c>
      <c r="X32" s="262">
        <f t="shared" si="6"/>
        <v>11</v>
      </c>
      <c r="Y32" s="261">
        <v>1</v>
      </c>
      <c r="Z32" s="108">
        <f t="shared" si="7"/>
        <v>11</v>
      </c>
      <c r="AA32" s="108">
        <f>W32/100*E32*2+(1-W32/100)*E32</f>
        <v>14</v>
      </c>
      <c r="AB32" s="108">
        <f t="shared" si="8"/>
        <v>12.5</v>
      </c>
      <c r="AC32" s="108">
        <f t="shared" si="9"/>
        <v>40</v>
      </c>
      <c r="AD32" s="108">
        <f>T32/K32+Q32</f>
        <v>50</v>
      </c>
      <c r="AE32" s="108">
        <f t="shared" si="10"/>
        <v>45</v>
      </c>
      <c r="AF32" s="108">
        <f t="shared" si="11"/>
        <v>660</v>
      </c>
      <c r="AG32" s="108">
        <f>T32*AA32*$Y32</f>
        <v>1680</v>
      </c>
      <c r="AH32" s="108">
        <f>U32*AB32*$Y32</f>
        <v>1125</v>
      </c>
      <c r="AI32" s="294">
        <f t="shared" si="12"/>
        <v>16.5</v>
      </c>
      <c r="AJ32" s="294">
        <f>AG32/AD32</f>
        <v>33.6</v>
      </c>
      <c r="AK32" s="295">
        <f t="shared" si="13"/>
        <v>25.05</v>
      </c>
      <c r="AL32" s="295">
        <v>25</v>
      </c>
      <c r="AM32">
        <f t="shared" si="14"/>
        <v>33.75</v>
      </c>
    </row>
    <row r="33" spans="1:38">
      <c r="A33" s="98" t="s">
        <v>56</v>
      </c>
      <c r="B33" s="98" t="b">
        <v>1</v>
      </c>
      <c r="C33" s="98"/>
      <c r="D33" s="264"/>
      <c r="E33" s="265"/>
      <c r="F33" s="266"/>
      <c r="G33" s="264"/>
      <c r="H33" s="265"/>
      <c r="I33" s="266"/>
      <c r="J33" s="264"/>
      <c r="K33" s="265"/>
      <c r="L33" s="266"/>
      <c r="M33" s="264"/>
      <c r="N33" s="265"/>
      <c r="O33" s="266"/>
      <c r="P33" s="264"/>
      <c r="Q33" s="265"/>
      <c r="R33" s="266"/>
      <c r="S33" s="264"/>
      <c r="T33" s="265"/>
      <c r="U33" s="266"/>
      <c r="V33" s="264"/>
      <c r="W33" s="290"/>
      <c r="X33" s="266"/>
      <c r="Y33" s="265"/>
      <c r="Z33" s="108"/>
      <c r="AA33" s="108"/>
      <c r="AB33" s="108"/>
      <c r="AC33" s="108"/>
      <c r="AD33" s="108"/>
      <c r="AE33" s="108"/>
      <c r="AF33" s="108"/>
      <c r="AG33" s="108"/>
      <c r="AH33" s="108"/>
      <c r="AI33" s="294"/>
      <c r="AJ33" s="294"/>
      <c r="AK33" s="294"/>
      <c r="AL33" s="294"/>
    </row>
    <row r="34" spans="1:39">
      <c r="A34" s="238"/>
      <c r="B34" s="238"/>
      <c r="C34" s="239" t="s">
        <v>57</v>
      </c>
      <c r="D34" s="240">
        <v>25</v>
      </c>
      <c r="E34" s="241">
        <v>30</v>
      </c>
      <c r="F34" s="242">
        <f t="shared" si="0"/>
        <v>27.5</v>
      </c>
      <c r="G34" s="243">
        <v>100</v>
      </c>
      <c r="H34" s="241">
        <v>100</v>
      </c>
      <c r="I34" s="242">
        <f t="shared" si="1"/>
        <v>100</v>
      </c>
      <c r="J34" s="243">
        <v>1</v>
      </c>
      <c r="K34" s="241">
        <v>1</v>
      </c>
      <c r="L34" s="242">
        <f t="shared" si="2"/>
        <v>1</v>
      </c>
      <c r="M34" s="243">
        <v>50</v>
      </c>
      <c r="N34" s="241">
        <v>50</v>
      </c>
      <c r="O34" s="242">
        <f t="shared" si="3"/>
        <v>50</v>
      </c>
      <c r="P34" s="243">
        <v>4</v>
      </c>
      <c r="Q34" s="241">
        <v>5</v>
      </c>
      <c r="R34" s="242">
        <f t="shared" si="4"/>
        <v>4.5</v>
      </c>
      <c r="S34" s="243">
        <v>1</v>
      </c>
      <c r="T34" s="241">
        <v>1</v>
      </c>
      <c r="U34" s="242">
        <f t="shared" si="5"/>
        <v>1</v>
      </c>
      <c r="V34" s="243">
        <v>1</v>
      </c>
      <c r="W34" s="241">
        <v>1</v>
      </c>
      <c r="X34" s="242">
        <f t="shared" si="6"/>
        <v>1</v>
      </c>
      <c r="Y34" s="241">
        <v>1</v>
      </c>
      <c r="Z34" s="108">
        <f t="shared" si="7"/>
        <v>25.25</v>
      </c>
      <c r="AA34" s="108">
        <f>W34/100*E34*2+(1-W34/100)*E34</f>
        <v>30.3</v>
      </c>
      <c r="AB34" s="108">
        <f t="shared" si="8"/>
        <v>27.775</v>
      </c>
      <c r="AC34" s="108">
        <f t="shared" si="9"/>
        <v>5</v>
      </c>
      <c r="AD34" s="108">
        <f>T34/K34+Q34</f>
        <v>6</v>
      </c>
      <c r="AE34" s="108">
        <f t="shared" si="10"/>
        <v>5.5</v>
      </c>
      <c r="AF34" s="108">
        <f t="shared" si="11"/>
        <v>25.25</v>
      </c>
      <c r="AG34" s="108">
        <f>T34*AA34*$Y34</f>
        <v>30.3</v>
      </c>
      <c r="AH34" s="108">
        <f>U34*AB34*$Y34</f>
        <v>27.775</v>
      </c>
      <c r="AI34" s="294">
        <f t="shared" si="12"/>
        <v>5.05</v>
      </c>
      <c r="AJ34" s="294">
        <f>AG34/AD34</f>
        <v>5.05</v>
      </c>
      <c r="AK34" s="295">
        <f t="shared" si="13"/>
        <v>5.05</v>
      </c>
      <c r="AL34" s="295">
        <f t="shared" ref="AL34:AL38" si="15">AL28</f>
        <v>5</v>
      </c>
      <c r="AM34">
        <f t="shared" si="14"/>
        <v>27.5</v>
      </c>
    </row>
    <row r="35" spans="1:39">
      <c r="A35" s="238"/>
      <c r="B35" s="238"/>
      <c r="C35" s="244" t="s">
        <v>58</v>
      </c>
      <c r="D35" s="245">
        <v>40</v>
      </c>
      <c r="E35" s="246">
        <v>70</v>
      </c>
      <c r="F35" s="247">
        <f t="shared" si="0"/>
        <v>55</v>
      </c>
      <c r="G35" s="248">
        <v>100</v>
      </c>
      <c r="H35" s="246">
        <v>100</v>
      </c>
      <c r="I35" s="247">
        <f t="shared" si="1"/>
        <v>100</v>
      </c>
      <c r="J35" s="248">
        <v>1</v>
      </c>
      <c r="K35" s="246">
        <v>1</v>
      </c>
      <c r="L35" s="247">
        <f t="shared" si="2"/>
        <v>1</v>
      </c>
      <c r="M35" s="248">
        <v>50</v>
      </c>
      <c r="N35" s="246">
        <v>50</v>
      </c>
      <c r="O35" s="247">
        <f t="shared" si="3"/>
        <v>50</v>
      </c>
      <c r="P35" s="248">
        <v>4</v>
      </c>
      <c r="Q35" s="246">
        <v>5</v>
      </c>
      <c r="R35" s="247">
        <f t="shared" si="4"/>
        <v>4.5</v>
      </c>
      <c r="S35" s="248">
        <v>1</v>
      </c>
      <c r="T35" s="246">
        <v>1</v>
      </c>
      <c r="U35" s="247">
        <f t="shared" si="5"/>
        <v>1</v>
      </c>
      <c r="V35" s="248">
        <v>1</v>
      </c>
      <c r="W35" s="246">
        <v>1</v>
      </c>
      <c r="X35" s="247">
        <f t="shared" si="6"/>
        <v>1</v>
      </c>
      <c r="Y35" s="246">
        <v>1</v>
      </c>
      <c r="Z35" s="108">
        <f t="shared" si="7"/>
        <v>40.4</v>
      </c>
      <c r="AA35" s="108">
        <f>W35/100*E35*2+(1-W35/100)*E35</f>
        <v>70.7</v>
      </c>
      <c r="AB35" s="108">
        <f t="shared" si="8"/>
        <v>55.55</v>
      </c>
      <c r="AC35" s="108">
        <f t="shared" si="9"/>
        <v>5</v>
      </c>
      <c r="AD35" s="108">
        <f>T35/K35+Q35</f>
        <v>6</v>
      </c>
      <c r="AE35" s="108">
        <f t="shared" si="10"/>
        <v>5.5</v>
      </c>
      <c r="AF35" s="108">
        <f t="shared" si="11"/>
        <v>40.4</v>
      </c>
      <c r="AG35" s="108">
        <f>T35*AA35*$Y35</f>
        <v>70.7</v>
      </c>
      <c r="AH35" s="108">
        <f>U35*AB35*$Y35</f>
        <v>55.55</v>
      </c>
      <c r="AI35" s="294">
        <f t="shared" si="12"/>
        <v>8.08</v>
      </c>
      <c r="AJ35" s="294">
        <f>AG35/AD35</f>
        <v>11.7833333333333</v>
      </c>
      <c r="AK35" s="295">
        <f t="shared" si="13"/>
        <v>9.93166666666667</v>
      </c>
      <c r="AL35" s="295">
        <f t="shared" si="15"/>
        <v>10</v>
      </c>
      <c r="AM35">
        <f t="shared" si="14"/>
        <v>55</v>
      </c>
    </row>
    <row r="36" spans="1:39">
      <c r="A36" s="238"/>
      <c r="B36" s="238"/>
      <c r="C36" s="249" t="s">
        <v>59</v>
      </c>
      <c r="D36" s="250">
        <v>7</v>
      </c>
      <c r="E36" s="251">
        <v>14</v>
      </c>
      <c r="F36" s="252">
        <f t="shared" si="0"/>
        <v>10.5</v>
      </c>
      <c r="G36" s="253">
        <v>100</v>
      </c>
      <c r="H36" s="251">
        <v>100</v>
      </c>
      <c r="I36" s="252">
        <f t="shared" si="1"/>
        <v>100</v>
      </c>
      <c r="J36" s="253">
        <v>1</v>
      </c>
      <c r="K36" s="251">
        <v>1</v>
      </c>
      <c r="L36" s="252">
        <f t="shared" si="2"/>
        <v>1</v>
      </c>
      <c r="M36" s="253">
        <v>50</v>
      </c>
      <c r="N36" s="251">
        <v>50</v>
      </c>
      <c r="O36" s="252">
        <f t="shared" si="3"/>
        <v>50</v>
      </c>
      <c r="P36" s="253">
        <v>4</v>
      </c>
      <c r="Q36" s="251">
        <v>5</v>
      </c>
      <c r="R36" s="252">
        <f t="shared" si="4"/>
        <v>4.5</v>
      </c>
      <c r="S36" s="253">
        <v>1</v>
      </c>
      <c r="T36" s="251">
        <v>1</v>
      </c>
      <c r="U36" s="252">
        <f t="shared" si="5"/>
        <v>1</v>
      </c>
      <c r="V36" s="253">
        <v>1</v>
      </c>
      <c r="W36" s="251">
        <v>1</v>
      </c>
      <c r="X36" s="252">
        <f t="shared" si="6"/>
        <v>1</v>
      </c>
      <c r="Y36" s="251">
        <v>1</v>
      </c>
      <c r="Z36" s="108">
        <f t="shared" si="7"/>
        <v>7.07</v>
      </c>
      <c r="AA36" s="108">
        <f>W36/100*E36*2+(1-W36/100)*E36</f>
        <v>14.14</v>
      </c>
      <c r="AB36" s="108">
        <f t="shared" si="8"/>
        <v>10.605</v>
      </c>
      <c r="AC36" s="108">
        <f t="shared" si="9"/>
        <v>5</v>
      </c>
      <c r="AD36" s="108">
        <f>T36/K36+Q36</f>
        <v>6</v>
      </c>
      <c r="AE36" s="108">
        <f t="shared" si="10"/>
        <v>5.5</v>
      </c>
      <c r="AF36" s="108">
        <f t="shared" si="11"/>
        <v>7.07</v>
      </c>
      <c r="AG36" s="108">
        <f>T36*AA36*$Y36</f>
        <v>14.14</v>
      </c>
      <c r="AH36" s="108">
        <f>U36*AB36*$Y36</f>
        <v>10.605</v>
      </c>
      <c r="AI36" s="294">
        <f t="shared" si="12"/>
        <v>1.414</v>
      </c>
      <c r="AJ36" s="294">
        <f>AG36/AD36</f>
        <v>2.35666666666667</v>
      </c>
      <c r="AK36" s="295">
        <f t="shared" si="13"/>
        <v>1.88533333333333</v>
      </c>
      <c r="AL36" s="295">
        <f t="shared" si="15"/>
        <v>15</v>
      </c>
      <c r="AM36">
        <f t="shared" si="14"/>
        <v>10.5</v>
      </c>
    </row>
    <row r="37" spans="1:39">
      <c r="A37" s="238"/>
      <c r="B37" s="238"/>
      <c r="C37" s="254" t="s">
        <v>60</v>
      </c>
      <c r="D37" s="255">
        <v>8</v>
      </c>
      <c r="E37" s="256">
        <v>15</v>
      </c>
      <c r="F37" s="257">
        <f t="shared" si="0"/>
        <v>11.5</v>
      </c>
      <c r="G37" s="258">
        <v>100</v>
      </c>
      <c r="H37" s="256">
        <v>100</v>
      </c>
      <c r="I37" s="257">
        <f t="shared" si="1"/>
        <v>100</v>
      </c>
      <c r="J37" s="258">
        <v>1</v>
      </c>
      <c r="K37" s="256">
        <v>1</v>
      </c>
      <c r="L37" s="257">
        <f t="shared" si="2"/>
        <v>1</v>
      </c>
      <c r="M37" s="258">
        <v>50</v>
      </c>
      <c r="N37" s="256">
        <v>50</v>
      </c>
      <c r="O37" s="257">
        <f t="shared" si="3"/>
        <v>50</v>
      </c>
      <c r="P37" s="258">
        <v>4</v>
      </c>
      <c r="Q37" s="256">
        <v>5</v>
      </c>
      <c r="R37" s="257">
        <f t="shared" si="4"/>
        <v>4.5</v>
      </c>
      <c r="S37" s="258">
        <v>1</v>
      </c>
      <c r="T37" s="256">
        <v>1</v>
      </c>
      <c r="U37" s="257">
        <f t="shared" si="5"/>
        <v>1</v>
      </c>
      <c r="V37" s="258">
        <v>1</v>
      </c>
      <c r="W37" s="256">
        <v>1</v>
      </c>
      <c r="X37" s="257">
        <f t="shared" si="6"/>
        <v>1</v>
      </c>
      <c r="Y37" s="256">
        <v>1</v>
      </c>
      <c r="Z37" s="108">
        <f t="shared" si="7"/>
        <v>8.08</v>
      </c>
      <c r="AA37" s="108">
        <f>W37/100*E37*2+(1-W37/100)*E37</f>
        <v>15.15</v>
      </c>
      <c r="AB37" s="108">
        <f t="shared" si="8"/>
        <v>11.615</v>
      </c>
      <c r="AC37" s="108">
        <f t="shared" si="9"/>
        <v>5</v>
      </c>
      <c r="AD37" s="108">
        <f>T37/K37+Q37</f>
        <v>6</v>
      </c>
      <c r="AE37" s="108">
        <f t="shared" si="10"/>
        <v>5.5</v>
      </c>
      <c r="AF37" s="108">
        <f t="shared" si="11"/>
        <v>8.08</v>
      </c>
      <c r="AG37" s="108">
        <f>T37*AA37*$Y37</f>
        <v>15.15</v>
      </c>
      <c r="AH37" s="108">
        <f>U37*AB37*$Y37</f>
        <v>11.615</v>
      </c>
      <c r="AI37" s="294">
        <f t="shared" si="12"/>
        <v>1.616</v>
      </c>
      <c r="AJ37" s="294">
        <f>AG37/AD37</f>
        <v>2.525</v>
      </c>
      <c r="AK37" s="295">
        <f t="shared" si="13"/>
        <v>2.0705</v>
      </c>
      <c r="AL37" s="295">
        <f t="shared" si="15"/>
        <v>20</v>
      </c>
      <c r="AM37">
        <f t="shared" si="14"/>
        <v>11.5</v>
      </c>
    </row>
    <row r="38" spans="1:39">
      <c r="A38" s="238"/>
      <c r="B38" s="238"/>
      <c r="C38" s="259" t="s">
        <v>61</v>
      </c>
      <c r="D38" s="260">
        <v>9</v>
      </c>
      <c r="E38" s="261">
        <v>16</v>
      </c>
      <c r="F38" s="262">
        <f t="shared" si="0"/>
        <v>12.5</v>
      </c>
      <c r="G38" s="263">
        <v>100</v>
      </c>
      <c r="H38" s="261">
        <v>100</v>
      </c>
      <c r="I38" s="262">
        <f t="shared" si="1"/>
        <v>100</v>
      </c>
      <c r="J38" s="263">
        <v>1</v>
      </c>
      <c r="K38" s="261">
        <v>1</v>
      </c>
      <c r="L38" s="262">
        <f t="shared" si="2"/>
        <v>1</v>
      </c>
      <c r="M38" s="263">
        <v>50</v>
      </c>
      <c r="N38" s="261">
        <v>50</v>
      </c>
      <c r="O38" s="262">
        <f t="shared" si="3"/>
        <v>50</v>
      </c>
      <c r="P38" s="263">
        <v>4</v>
      </c>
      <c r="Q38" s="261">
        <v>5</v>
      </c>
      <c r="R38" s="262">
        <f t="shared" si="4"/>
        <v>4.5</v>
      </c>
      <c r="S38" s="263">
        <v>1</v>
      </c>
      <c r="T38" s="261">
        <v>1</v>
      </c>
      <c r="U38" s="262">
        <f t="shared" si="5"/>
        <v>1</v>
      </c>
      <c r="V38" s="263">
        <v>1</v>
      </c>
      <c r="W38" s="261">
        <v>1</v>
      </c>
      <c r="X38" s="262">
        <f t="shared" si="6"/>
        <v>1</v>
      </c>
      <c r="Y38" s="261">
        <v>1</v>
      </c>
      <c r="Z38" s="108">
        <f t="shared" si="7"/>
        <v>9.09</v>
      </c>
      <c r="AA38" s="108">
        <f>W38/100*E38*2+(1-W38/100)*E38</f>
        <v>16.16</v>
      </c>
      <c r="AB38" s="108">
        <f t="shared" si="8"/>
        <v>12.625</v>
      </c>
      <c r="AC38" s="108">
        <f t="shared" si="9"/>
        <v>5</v>
      </c>
      <c r="AD38" s="108">
        <f>T38/K38+Q38</f>
        <v>6</v>
      </c>
      <c r="AE38" s="108">
        <f t="shared" si="10"/>
        <v>5.5</v>
      </c>
      <c r="AF38" s="108">
        <f t="shared" si="11"/>
        <v>9.09</v>
      </c>
      <c r="AG38" s="108">
        <f>T38*AA38*$Y38</f>
        <v>16.16</v>
      </c>
      <c r="AH38" s="108">
        <f>U38*AB38*$Y38</f>
        <v>12.625</v>
      </c>
      <c r="AI38" s="294">
        <f t="shared" si="12"/>
        <v>1.818</v>
      </c>
      <c r="AJ38" s="294">
        <f>AG38/AD38</f>
        <v>2.69333333333333</v>
      </c>
      <c r="AK38" s="295">
        <f t="shared" si="13"/>
        <v>2.25566666666667</v>
      </c>
      <c r="AL38" s="295">
        <f t="shared" si="15"/>
        <v>25</v>
      </c>
      <c r="AM38">
        <f t="shared" si="14"/>
        <v>12.5</v>
      </c>
    </row>
    <row r="39" spans="6:38">
      <c r="F39" s="281"/>
      <c r="AI39" s="296"/>
      <c r="AJ39" s="296"/>
      <c r="AK39" s="296"/>
      <c r="AL39" s="296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282"/>
      <c r="E42" s="282"/>
      <c r="F42" s="282"/>
      <c r="G42" s="282"/>
      <c r="H42" s="282"/>
      <c r="I42" s="282"/>
      <c r="J42" s="282"/>
      <c r="K42" s="282"/>
      <c r="L42" s="282"/>
    </row>
    <row r="43" spans="3:12">
      <c r="C43" t="s">
        <v>28</v>
      </c>
      <c r="D43" t="e">
        <f>#REF!/#REF!</f>
        <v>#REF!</v>
      </c>
      <c r="E43" s="282"/>
      <c r="F43" s="282"/>
      <c r="G43" s="282"/>
      <c r="H43" s="282"/>
      <c r="I43" s="282"/>
      <c r="J43" s="282"/>
      <c r="K43" s="282"/>
      <c r="L43" s="282"/>
    </row>
    <row r="44" spans="3:12">
      <c r="C44" t="s">
        <v>35</v>
      </c>
      <c r="D44" t="e">
        <f>#REF!/#REF!</f>
        <v>#REF!</v>
      </c>
      <c r="G44" s="282"/>
      <c r="H44" s="282"/>
      <c r="I44" s="282"/>
      <c r="J44" s="282"/>
      <c r="K44" s="282"/>
      <c r="L44" s="282"/>
    </row>
    <row r="45" spans="3:12">
      <c r="C45" t="s">
        <v>42</v>
      </c>
      <c r="D45" t="e">
        <f>#REF!/#REF!</f>
        <v>#REF!</v>
      </c>
      <c r="H45" s="282"/>
      <c r="I45" s="282"/>
      <c r="J45" s="282"/>
      <c r="K45" s="282"/>
      <c r="L45" s="282"/>
    </row>
    <row r="46" spans="3:12">
      <c r="C46" t="s">
        <v>49</v>
      </c>
      <c r="D46" t="e">
        <f>#REF!/#REF!</f>
        <v>#REF!</v>
      </c>
      <c r="J46" s="282"/>
      <c r="K46" s="282"/>
      <c r="L46" s="282"/>
    </row>
    <row r="47" spans="3:12">
      <c r="C47" t="s">
        <v>56</v>
      </c>
      <c r="D47" t="e">
        <f>#REF!/#REF!</f>
        <v>#REF!</v>
      </c>
      <c r="K47" s="282"/>
      <c r="L47" s="282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11" sqref="B11"/>
    </sheetView>
  </sheetViews>
  <sheetFormatPr defaultColWidth="9.14545454545454" defaultRowHeight="14.5" outlineLevelCol="3"/>
  <cols>
    <col min="1" max="1" width="23.8727272727273" style="6" customWidth="1"/>
    <col min="2" max="2" width="20.5727272727273" style="6" customWidth="1"/>
    <col min="3" max="3" width="9.56363636363636" style="6" customWidth="1"/>
    <col min="4" max="4" width="49.2727272727273" style="6" customWidth="1"/>
    <col min="5" max="16384" width="9.14545454545454" style="6"/>
  </cols>
  <sheetData>
    <row r="1" spans="1:4">
      <c r="A1" s="43" t="s">
        <v>773</v>
      </c>
      <c r="B1" s="43" t="s">
        <v>774</v>
      </c>
      <c r="C1" s="44" t="s">
        <v>775</v>
      </c>
      <c r="D1" s="44" t="s">
        <v>629</v>
      </c>
    </row>
    <row r="2" spans="1:4">
      <c r="A2" s="45"/>
      <c r="B2" s="45"/>
      <c r="C2" s="46"/>
      <c r="D2" s="46"/>
    </row>
    <row r="3" spans="1:4">
      <c r="A3" s="47" t="s">
        <v>776</v>
      </c>
      <c r="B3" s="48" t="s">
        <v>777</v>
      </c>
      <c r="C3" s="49" t="s">
        <v>778</v>
      </c>
      <c r="D3" s="48" t="s">
        <v>779</v>
      </c>
    </row>
    <row r="4" spans="1:4">
      <c r="A4" s="47" t="s">
        <v>780</v>
      </c>
      <c r="B4" s="48" t="s">
        <v>8</v>
      </c>
      <c r="C4" s="49" t="s">
        <v>772</v>
      </c>
      <c r="D4" s="48" t="s">
        <v>781</v>
      </c>
    </row>
    <row r="5" spans="1:4">
      <c r="A5" s="47" t="s">
        <v>782</v>
      </c>
      <c r="B5" s="48" t="s">
        <v>3</v>
      </c>
      <c r="C5" s="49" t="s">
        <v>772</v>
      </c>
      <c r="D5" s="48" t="s">
        <v>783</v>
      </c>
    </row>
    <row r="6" spans="1:4">
      <c r="A6" s="47" t="s">
        <v>784</v>
      </c>
      <c r="B6" s="48" t="s">
        <v>4</v>
      </c>
      <c r="C6" s="49" t="s">
        <v>772</v>
      </c>
      <c r="D6" s="48" t="s">
        <v>785</v>
      </c>
    </row>
    <row r="7" spans="1:4">
      <c r="A7" s="47" t="s">
        <v>786</v>
      </c>
      <c r="B7" s="48" t="s">
        <v>787</v>
      </c>
      <c r="C7" s="49" t="s">
        <v>772</v>
      </c>
      <c r="D7" s="48" t="s">
        <v>788</v>
      </c>
    </row>
    <row r="8" spans="1:4">
      <c r="A8" s="47" t="s">
        <v>789</v>
      </c>
      <c r="B8" s="48" t="s">
        <v>99</v>
      </c>
      <c r="C8" s="49" t="s">
        <v>778</v>
      </c>
      <c r="D8" s="48" t="s">
        <v>790</v>
      </c>
    </row>
    <row r="9" spans="1:4">
      <c r="A9" s="47" t="s">
        <v>791</v>
      </c>
      <c r="B9" s="48" t="s">
        <v>792</v>
      </c>
      <c r="C9" s="49" t="s">
        <v>793</v>
      </c>
      <c r="D9" s="48" t="s">
        <v>794</v>
      </c>
    </row>
    <row r="10" spans="1:4">
      <c r="A10" s="47" t="s">
        <v>795</v>
      </c>
      <c r="B10" s="48" t="s">
        <v>796</v>
      </c>
      <c r="C10" s="49" t="s">
        <v>793</v>
      </c>
      <c r="D10" s="48" t="s">
        <v>797</v>
      </c>
    </row>
    <row r="11" spans="1:4">
      <c r="A11" s="47" t="s">
        <v>798</v>
      </c>
      <c r="B11" s="48" t="s">
        <v>765</v>
      </c>
      <c r="C11" s="49" t="s">
        <v>793</v>
      </c>
      <c r="D11" s="48" t="s">
        <v>799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workbookViewId="0">
      <selection activeCell="E40" sqref="E40"/>
    </sheetView>
  </sheetViews>
  <sheetFormatPr defaultColWidth="9.14545454545454" defaultRowHeight="14.5"/>
  <cols>
    <col min="1" max="1" width="20.8545454545455" customWidth="1"/>
    <col min="2" max="2" width="14.2818181818182" customWidth="1"/>
    <col min="4" max="4" width="10.4272727272727" customWidth="1"/>
    <col min="12" max="12" width="9.14545454545454" customWidth="1"/>
    <col min="13" max="13" width="11" customWidth="1"/>
    <col min="14" max="14" width="11.4272727272727" customWidth="1"/>
    <col min="15" max="15" width="11.1454545454545" customWidth="1"/>
    <col min="18" max="18" width="10.8545454545455" customWidth="1"/>
  </cols>
  <sheetData>
    <row r="1" spans="1:15">
      <c r="A1" s="32" t="s">
        <v>118</v>
      </c>
      <c r="B1" s="32" t="s">
        <v>774</v>
      </c>
      <c r="C1" s="33" t="s">
        <v>76</v>
      </c>
      <c r="D1" s="34" t="s">
        <v>800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>
      <c r="A2" s="36" t="s">
        <v>801</v>
      </c>
      <c r="B2" s="37" t="s">
        <v>3</v>
      </c>
      <c r="C2" s="38">
        <v>0.1</v>
      </c>
      <c r="D2" s="39" t="b">
        <v>0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5">
      <c r="A3" s="36" t="s">
        <v>802</v>
      </c>
      <c r="B3" s="37" t="s">
        <v>787</v>
      </c>
      <c r="C3" s="38">
        <v>0.1</v>
      </c>
      <c r="D3" s="39" t="b">
        <v>0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15">
      <c r="A4" s="36" t="s">
        <v>803</v>
      </c>
      <c r="B4" s="37" t="s">
        <v>777</v>
      </c>
      <c r="C4" s="38">
        <v>-0.1</v>
      </c>
      <c r="D4" s="39" t="b">
        <v>0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>
      <c r="A5" s="36" t="s">
        <v>712</v>
      </c>
      <c r="B5" s="37" t="s">
        <v>4</v>
      </c>
      <c r="C5" s="38">
        <v>0.1</v>
      </c>
      <c r="D5" s="39" t="b">
        <v>0</v>
      </c>
      <c r="E5" s="35"/>
      <c r="F5" s="40"/>
      <c r="G5" s="40"/>
      <c r="H5" s="40"/>
      <c r="I5" s="40"/>
      <c r="J5" s="40"/>
      <c r="K5" s="40"/>
      <c r="L5" s="40"/>
      <c r="M5" s="40"/>
      <c r="N5" s="40"/>
      <c r="O5" s="40"/>
    </row>
    <row r="6" spans="1:15">
      <c r="A6" s="36" t="s">
        <v>804</v>
      </c>
      <c r="B6" s="37" t="s">
        <v>99</v>
      </c>
      <c r="C6" s="38">
        <v>-0.1</v>
      </c>
      <c r="D6" s="39" t="b">
        <v>0</v>
      </c>
      <c r="E6" s="40"/>
      <c r="F6" s="35"/>
      <c r="G6" s="40"/>
      <c r="H6" s="40"/>
      <c r="I6" t="s">
        <v>805</v>
      </c>
      <c r="J6" t="s">
        <v>806</v>
      </c>
      <c r="K6" s="40"/>
      <c r="L6" s="40"/>
      <c r="M6" s="40"/>
      <c r="N6" s="40"/>
      <c r="O6" s="40"/>
    </row>
    <row r="7" spans="1:15">
      <c r="A7" s="36" t="s">
        <v>807</v>
      </c>
      <c r="B7" s="37" t="s">
        <v>8</v>
      </c>
      <c r="C7" s="38">
        <v>0.1</v>
      </c>
      <c r="D7" s="39" t="b">
        <v>0</v>
      </c>
      <c r="E7" s="40"/>
      <c r="F7" s="40"/>
      <c r="G7" s="35"/>
      <c r="H7" s="40"/>
      <c r="I7" t="s">
        <v>808</v>
      </c>
      <c r="J7" t="s">
        <v>809</v>
      </c>
      <c r="K7" s="40"/>
      <c r="L7" s="40"/>
      <c r="M7" s="40"/>
      <c r="N7" s="40"/>
      <c r="O7" s="40"/>
    </row>
    <row r="8" spans="1:15">
      <c r="A8" s="36" t="s">
        <v>810</v>
      </c>
      <c r="B8" s="41" t="s">
        <v>796</v>
      </c>
      <c r="C8" s="38">
        <v>0.1</v>
      </c>
      <c r="D8" s="39" t="b">
        <v>1</v>
      </c>
      <c r="E8" s="40"/>
      <c r="F8" s="40"/>
      <c r="G8" s="40"/>
      <c r="H8" s="35"/>
      <c r="I8" t="s">
        <v>811</v>
      </c>
      <c r="J8" t="s">
        <v>812</v>
      </c>
      <c r="K8" s="40"/>
      <c r="L8" s="40"/>
      <c r="M8" s="40"/>
      <c r="N8" s="40"/>
      <c r="O8" s="40"/>
    </row>
    <row r="9" spans="1:15">
      <c r="A9" s="36" t="s">
        <v>813</v>
      </c>
      <c r="B9" s="41" t="s">
        <v>792</v>
      </c>
      <c r="C9" s="38">
        <v>0.1</v>
      </c>
      <c r="D9" s="39" t="b">
        <v>1</v>
      </c>
      <c r="E9" s="40"/>
      <c r="F9" s="40"/>
      <c r="G9" s="40"/>
      <c r="H9" s="40"/>
      <c r="I9" t="s">
        <v>814</v>
      </c>
      <c r="J9" s="40" t="s">
        <v>815</v>
      </c>
      <c r="K9" s="40"/>
      <c r="L9" s="40"/>
      <c r="M9" s="40"/>
      <c r="N9" s="40"/>
      <c r="O9" s="40"/>
    </row>
    <row r="10" spans="1:15">
      <c r="A10" s="36" t="s">
        <v>816</v>
      </c>
      <c r="B10" s="41" t="s">
        <v>765</v>
      </c>
      <c r="C10" s="38">
        <v>0.1</v>
      </c>
      <c r="D10" s="39" t="b">
        <v>1</v>
      </c>
      <c r="E10" s="40"/>
      <c r="F10" s="40"/>
      <c r="G10" s="40"/>
      <c r="H10" s="40"/>
      <c r="I10" t="s">
        <v>817</v>
      </c>
      <c r="J10" s="35" t="s">
        <v>818</v>
      </c>
      <c r="K10" s="40"/>
      <c r="L10" s="40"/>
      <c r="M10" s="40"/>
      <c r="N10" s="40"/>
      <c r="O10" s="40"/>
    </row>
    <row r="11" spans="1:15">
      <c r="A11" s="36" t="s">
        <v>819</v>
      </c>
      <c r="B11" s="41" t="s">
        <v>600</v>
      </c>
      <c r="C11" s="38">
        <v>1</v>
      </c>
      <c r="D11" s="39" t="b">
        <v>1</v>
      </c>
      <c r="E11" s="40"/>
      <c r="F11" s="40"/>
      <c r="G11" s="40"/>
      <c r="H11" s="40"/>
      <c r="I11" s="40"/>
      <c r="J11" s="40"/>
      <c r="K11" s="35"/>
      <c r="L11" s="40"/>
      <c r="M11" s="40"/>
      <c r="N11" s="40"/>
      <c r="O11" s="40"/>
    </row>
    <row r="12" spans="1:15">
      <c r="A12" s="36" t="s">
        <v>820</v>
      </c>
      <c r="B12" s="41" t="s">
        <v>599</v>
      </c>
      <c r="C12" s="38">
        <v>1</v>
      </c>
      <c r="D12" s="39" t="b">
        <v>1</v>
      </c>
      <c r="E12" s="40"/>
      <c r="F12" s="40"/>
      <c r="G12" s="40"/>
      <c r="H12" s="40"/>
      <c r="I12" s="40"/>
      <c r="J12" s="40"/>
      <c r="K12" s="40"/>
      <c r="L12" s="35"/>
      <c r="M12" s="40"/>
      <c r="N12" s="40"/>
      <c r="O12" s="40"/>
    </row>
    <row r="13" spans="1:15">
      <c r="A13" s="36" t="s">
        <v>724</v>
      </c>
      <c r="B13" s="41" t="s">
        <v>602</v>
      </c>
      <c r="C13" s="38">
        <v>1</v>
      </c>
      <c r="D13" s="39" t="b">
        <v>1</v>
      </c>
      <c r="E13" s="40"/>
      <c r="F13" s="40"/>
      <c r="G13" s="40"/>
      <c r="H13" s="40"/>
      <c r="I13" s="40"/>
      <c r="J13" s="40"/>
      <c r="K13" s="40"/>
      <c r="L13" s="40"/>
      <c r="M13" s="35"/>
      <c r="N13" s="40"/>
      <c r="O13" s="40"/>
    </row>
    <row r="14" spans="1:15">
      <c r="A14" s="36" t="s">
        <v>821</v>
      </c>
      <c r="B14" s="41" t="s">
        <v>601</v>
      </c>
      <c r="C14" s="38">
        <v>1</v>
      </c>
      <c r="D14" s="39" t="b">
        <v>1</v>
      </c>
      <c r="E14" s="40"/>
      <c r="F14" s="40"/>
      <c r="G14" s="40"/>
      <c r="H14" s="40"/>
      <c r="I14" s="40"/>
      <c r="J14" s="40"/>
      <c r="K14" s="40"/>
      <c r="L14" s="40"/>
      <c r="M14" s="40"/>
      <c r="N14" s="35"/>
      <c r="O14" s="40"/>
    </row>
    <row r="15" spans="1:15">
      <c r="A15" s="42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35"/>
    </row>
    <row r="16" spans="1:15">
      <c r="A16" s="42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</row>
    <row r="17" spans="1:15">
      <c r="A17" s="42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>
      <c r="A18" s="42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</row>
    <row r="19" spans="1:15">
      <c r="A19" s="42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</row>
    <row r="20" spans="1:15">
      <c r="A20" s="42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</row>
    <row r="21" spans="1:15">
      <c r="A21" s="42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1:15">
      <c r="A22" s="42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</row>
    <row r="23" spans="1:15">
      <c r="A23" s="42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</row>
    <row r="24" spans="1:15">
      <c r="A24" s="42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</row>
    <row r="25" spans="1:15">
      <c r="A25" s="42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</row>
    <row r="26" spans="1:15">
      <c r="A26" s="42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</row>
    <row r="27" spans="1:15">
      <c r="A27" s="42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</row>
    <row r="28" spans="4:15">
      <c r="D28" s="35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</row>
    <row r="29" spans="5:15"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"/>
  <sheetViews>
    <sheetView workbookViewId="0">
      <selection activeCell="G9" sqref="G9"/>
    </sheetView>
  </sheetViews>
  <sheetFormatPr defaultColWidth="9.14545454545454" defaultRowHeight="14.5"/>
  <cols>
    <col min="1" max="1" width="17" customWidth="1"/>
    <col min="2" max="2" width="13.8545454545455" customWidth="1"/>
    <col min="3" max="3" width="23.4272727272727" customWidth="1"/>
    <col min="4" max="4" width="19.2818181818182" customWidth="1"/>
    <col min="7" max="7" width="12.6363636363636" customWidth="1"/>
    <col min="9" max="9" width="13.1454545454545" customWidth="1"/>
    <col min="10" max="11" width="13.7181818181818" customWidth="1"/>
    <col min="12" max="12" width="11.4272727272727" customWidth="1"/>
    <col min="13" max="13" width="8.28181818181818" customWidth="1"/>
    <col min="14" max="14" width="11.4272727272727" customWidth="1"/>
    <col min="15" max="15" width="8.28181818181818" customWidth="1"/>
    <col min="16" max="16" width="11.8545454545455" customWidth="1"/>
    <col min="17" max="17" width="45.1454545454545" customWidth="1"/>
    <col min="18" max="18" width="13.7181818181818" customWidth="1"/>
    <col min="22" max="22" width="12.8545454545455"/>
  </cols>
  <sheetData>
    <row r="1" spans="1:18">
      <c r="A1" s="28" t="s">
        <v>822</v>
      </c>
      <c r="B1" s="28" t="s">
        <v>823</v>
      </c>
      <c r="C1" s="28" t="s">
        <v>824</v>
      </c>
      <c r="D1" s="28" t="s">
        <v>825</v>
      </c>
      <c r="E1" s="2" t="s">
        <v>705</v>
      </c>
      <c r="F1" s="2" t="s">
        <v>826</v>
      </c>
      <c r="G1" s="2" t="s">
        <v>827</v>
      </c>
      <c r="H1" s="2" t="s">
        <v>828</v>
      </c>
      <c r="I1" s="2" t="s">
        <v>829</v>
      </c>
      <c r="J1" s="2" t="s">
        <v>830</v>
      </c>
      <c r="K1" s="2" t="s">
        <v>831</v>
      </c>
      <c r="L1" s="5" t="s">
        <v>832</v>
      </c>
      <c r="M1" s="5"/>
      <c r="N1" s="5" t="s">
        <v>833</v>
      </c>
      <c r="O1" s="5"/>
      <c r="R1" t="s">
        <v>834</v>
      </c>
    </row>
    <row r="2" spans="1:15">
      <c r="A2" s="28"/>
      <c r="B2" s="28"/>
      <c r="C2" s="28"/>
      <c r="D2" s="28"/>
      <c r="E2" s="2"/>
      <c r="F2" s="2"/>
      <c r="G2" s="2"/>
      <c r="L2" s="4" t="s">
        <v>835</v>
      </c>
      <c r="M2" t="s">
        <v>836</v>
      </c>
      <c r="N2" t="s">
        <v>835</v>
      </c>
      <c r="O2" t="s">
        <v>836</v>
      </c>
    </row>
    <row r="3" spans="1:17">
      <c r="A3" t="s">
        <v>683</v>
      </c>
      <c r="B3">
        <v>200</v>
      </c>
      <c r="C3">
        <f>B3+500</f>
        <v>700</v>
      </c>
      <c r="D3">
        <v>7</v>
      </c>
      <c r="E3">
        <v>2</v>
      </c>
      <c r="F3">
        <v>8</v>
      </c>
      <c r="G3">
        <v>0.4</v>
      </c>
      <c r="H3" t="s">
        <v>837</v>
      </c>
      <c r="I3" t="b">
        <v>1</v>
      </c>
      <c r="J3" t="b">
        <v>1</v>
      </c>
      <c r="K3" t="s">
        <v>838</v>
      </c>
      <c r="L3" s="30">
        <f t="shared" ref="L3:L24" si="0">B3/25</f>
        <v>8</v>
      </c>
      <c r="M3" s="30">
        <f t="shared" ref="M3:M24" si="1">C3/25</f>
        <v>28</v>
      </c>
      <c r="N3" s="30">
        <f t="shared" ref="N3:N24" si="2">B3/110</f>
        <v>1.81818181818182</v>
      </c>
      <c r="O3" s="30">
        <f t="shared" ref="O3:O24" si="3">C3/110</f>
        <v>6.36363636363636</v>
      </c>
      <c r="Q3" s="2" t="s">
        <v>839</v>
      </c>
    </row>
    <row r="4" spans="1:17">
      <c r="A4" t="s">
        <v>840</v>
      </c>
      <c r="B4">
        <v>75</v>
      </c>
      <c r="C4">
        <f t="shared" ref="C4:C24" si="4">B4+500</f>
        <v>575</v>
      </c>
      <c r="D4">
        <v>8</v>
      </c>
      <c r="E4">
        <v>1</v>
      </c>
      <c r="F4">
        <v>0</v>
      </c>
      <c r="G4">
        <v>0.2</v>
      </c>
      <c r="H4" t="s">
        <v>837</v>
      </c>
      <c r="I4" t="b">
        <v>0</v>
      </c>
      <c r="J4" t="b">
        <v>1</v>
      </c>
      <c r="K4" t="s">
        <v>838</v>
      </c>
      <c r="L4" s="30">
        <f t="shared" si="0"/>
        <v>3</v>
      </c>
      <c r="M4" s="30">
        <f t="shared" si="1"/>
        <v>23</v>
      </c>
      <c r="N4" s="30">
        <f t="shared" si="2"/>
        <v>0.681818181818182</v>
      </c>
      <c r="O4" s="30">
        <f t="shared" si="3"/>
        <v>5.22727272727273</v>
      </c>
      <c r="Q4" t="s">
        <v>841</v>
      </c>
    </row>
    <row r="5" spans="1:17">
      <c r="A5" t="s">
        <v>842</v>
      </c>
      <c r="B5">
        <v>250</v>
      </c>
      <c r="C5">
        <f t="shared" si="4"/>
        <v>750</v>
      </c>
      <c r="D5">
        <v>5</v>
      </c>
      <c r="E5">
        <v>3</v>
      </c>
      <c r="F5">
        <v>12</v>
      </c>
      <c r="G5">
        <v>0.6</v>
      </c>
      <c r="H5" t="s">
        <v>837</v>
      </c>
      <c r="I5" t="b">
        <v>1</v>
      </c>
      <c r="J5" t="b">
        <v>1</v>
      </c>
      <c r="K5" t="s">
        <v>838</v>
      </c>
      <c r="L5" s="30">
        <f t="shared" si="0"/>
        <v>10</v>
      </c>
      <c r="M5" s="30">
        <f t="shared" si="1"/>
        <v>30</v>
      </c>
      <c r="N5" s="30">
        <f t="shared" si="2"/>
        <v>2.27272727272727</v>
      </c>
      <c r="O5" s="30">
        <f t="shared" si="3"/>
        <v>6.81818181818182</v>
      </c>
      <c r="Q5" s="2" t="s">
        <v>843</v>
      </c>
    </row>
    <row r="6" spans="1:17">
      <c r="A6" t="s">
        <v>844</v>
      </c>
      <c r="B6">
        <v>150</v>
      </c>
      <c r="C6">
        <f t="shared" si="4"/>
        <v>650</v>
      </c>
      <c r="D6">
        <v>6</v>
      </c>
      <c r="E6">
        <v>1</v>
      </c>
      <c r="F6">
        <v>0</v>
      </c>
      <c r="G6">
        <v>0.2</v>
      </c>
      <c r="H6" t="s">
        <v>837</v>
      </c>
      <c r="I6" t="b">
        <v>1</v>
      </c>
      <c r="J6" t="b">
        <v>1</v>
      </c>
      <c r="K6" t="s">
        <v>838</v>
      </c>
      <c r="L6" s="30">
        <f t="shared" si="0"/>
        <v>6</v>
      </c>
      <c r="M6" s="30">
        <f t="shared" si="1"/>
        <v>26</v>
      </c>
      <c r="N6" s="30">
        <f t="shared" si="2"/>
        <v>1.36363636363636</v>
      </c>
      <c r="O6" s="30">
        <f t="shared" si="3"/>
        <v>5.90909090909091</v>
      </c>
      <c r="Q6" t="s">
        <v>845</v>
      </c>
    </row>
    <row r="7" spans="1:17">
      <c r="A7" t="s">
        <v>846</v>
      </c>
      <c r="B7">
        <v>300</v>
      </c>
      <c r="C7">
        <f t="shared" si="4"/>
        <v>800</v>
      </c>
      <c r="D7">
        <v>5</v>
      </c>
      <c r="E7">
        <v>4</v>
      </c>
      <c r="F7">
        <v>16</v>
      </c>
      <c r="G7">
        <v>0.8</v>
      </c>
      <c r="H7" t="s">
        <v>837</v>
      </c>
      <c r="I7" t="b">
        <v>1</v>
      </c>
      <c r="J7" t="b">
        <v>1</v>
      </c>
      <c r="K7" t="s">
        <v>838</v>
      </c>
      <c r="L7" s="30">
        <f t="shared" si="0"/>
        <v>12</v>
      </c>
      <c r="M7" s="30">
        <f t="shared" si="1"/>
        <v>32</v>
      </c>
      <c r="N7" s="30">
        <f t="shared" si="2"/>
        <v>2.72727272727273</v>
      </c>
      <c r="O7" s="30">
        <f t="shared" si="3"/>
        <v>7.27272727272727</v>
      </c>
      <c r="Q7" t="s">
        <v>847</v>
      </c>
    </row>
    <row r="8" spans="1:17">
      <c r="A8" t="s">
        <v>848</v>
      </c>
      <c r="B8">
        <v>400</v>
      </c>
      <c r="C8">
        <f t="shared" si="4"/>
        <v>900</v>
      </c>
      <c r="D8">
        <v>4</v>
      </c>
      <c r="E8">
        <v>4</v>
      </c>
      <c r="F8">
        <v>24</v>
      </c>
      <c r="G8">
        <v>0.8</v>
      </c>
      <c r="H8" t="s">
        <v>837</v>
      </c>
      <c r="I8" t="b">
        <v>1</v>
      </c>
      <c r="J8" t="b">
        <v>1</v>
      </c>
      <c r="K8" t="s">
        <v>838</v>
      </c>
      <c r="L8" s="30">
        <f t="shared" si="0"/>
        <v>16</v>
      </c>
      <c r="M8" s="30">
        <f t="shared" si="1"/>
        <v>36</v>
      </c>
      <c r="N8" s="30">
        <f t="shared" si="2"/>
        <v>3.63636363636364</v>
      </c>
      <c r="O8" s="30">
        <f t="shared" si="3"/>
        <v>8.18181818181818</v>
      </c>
      <c r="Q8" t="s">
        <v>849</v>
      </c>
    </row>
    <row r="9" spans="1:20">
      <c r="A9" t="s">
        <v>850</v>
      </c>
      <c r="B9">
        <v>30</v>
      </c>
      <c r="C9">
        <f t="shared" si="4"/>
        <v>530</v>
      </c>
      <c r="D9">
        <v>10</v>
      </c>
      <c r="E9">
        <v>2</v>
      </c>
      <c r="F9">
        <v>4</v>
      </c>
      <c r="G9">
        <v>0.4</v>
      </c>
      <c r="H9" t="s">
        <v>837</v>
      </c>
      <c r="I9" t="b">
        <v>0</v>
      </c>
      <c r="J9" t="b">
        <v>1</v>
      </c>
      <c r="K9" t="s">
        <v>838</v>
      </c>
      <c r="L9" s="30">
        <f t="shared" si="0"/>
        <v>1.2</v>
      </c>
      <c r="M9" s="30">
        <f t="shared" si="1"/>
        <v>21.2</v>
      </c>
      <c r="N9" s="30">
        <f t="shared" si="2"/>
        <v>0.272727272727273</v>
      </c>
      <c r="O9" s="30">
        <f t="shared" si="3"/>
        <v>4.81818181818182</v>
      </c>
      <c r="Q9" s="2" t="s">
        <v>851</v>
      </c>
      <c r="S9" t="s">
        <v>852</v>
      </c>
      <c r="T9" t="s">
        <v>853</v>
      </c>
    </row>
    <row r="10" spans="1:22">
      <c r="A10" t="s">
        <v>854</v>
      </c>
      <c r="B10">
        <v>200</v>
      </c>
      <c r="C10">
        <f t="shared" si="4"/>
        <v>700</v>
      </c>
      <c r="D10">
        <v>7</v>
      </c>
      <c r="E10">
        <v>3</v>
      </c>
      <c r="F10">
        <v>20</v>
      </c>
      <c r="G10">
        <v>0.8</v>
      </c>
      <c r="H10" t="s">
        <v>837</v>
      </c>
      <c r="I10" t="b">
        <v>1</v>
      </c>
      <c r="J10" t="b">
        <v>1</v>
      </c>
      <c r="K10" t="s">
        <v>838</v>
      </c>
      <c r="L10" s="30">
        <f t="shared" si="0"/>
        <v>8</v>
      </c>
      <c r="M10" s="30">
        <f t="shared" si="1"/>
        <v>28</v>
      </c>
      <c r="N10" s="30">
        <f t="shared" si="2"/>
        <v>1.81818181818182</v>
      </c>
      <c r="O10" s="30">
        <f t="shared" si="3"/>
        <v>6.36363636363636</v>
      </c>
      <c r="Q10" s="2" t="s">
        <v>855</v>
      </c>
      <c r="S10">
        <v>0</v>
      </c>
      <c r="T10">
        <f>(S10-0.1)</f>
        <v>-0.1</v>
      </c>
      <c r="U10">
        <f>IF(T10&lt;0,T10+0.1,T10)</f>
        <v>0</v>
      </c>
      <c r="V10">
        <f>(U10/0.9)</f>
        <v>0</v>
      </c>
    </row>
    <row r="11" spans="1:22">
      <c r="A11" s="29" t="s">
        <v>856</v>
      </c>
      <c r="B11" s="29">
        <v>25</v>
      </c>
      <c r="C11" s="29">
        <f t="shared" si="4"/>
        <v>525</v>
      </c>
      <c r="D11" s="29">
        <v>6</v>
      </c>
      <c r="E11" s="29">
        <v>1</v>
      </c>
      <c r="F11" s="29">
        <v>0</v>
      </c>
      <c r="G11" s="29">
        <v>0.1</v>
      </c>
      <c r="H11" t="s">
        <v>857</v>
      </c>
      <c r="I11" t="b">
        <v>0</v>
      </c>
      <c r="J11" t="b">
        <v>0</v>
      </c>
      <c r="K11" t="s">
        <v>858</v>
      </c>
      <c r="L11" s="31">
        <f t="shared" si="0"/>
        <v>1</v>
      </c>
      <c r="M11" s="31">
        <f t="shared" si="1"/>
        <v>21</v>
      </c>
      <c r="N11" s="31">
        <f t="shared" si="2"/>
        <v>0.227272727272727</v>
      </c>
      <c r="O11" s="31">
        <f t="shared" si="3"/>
        <v>4.77272727272727</v>
      </c>
      <c r="Q11" t="s">
        <v>859</v>
      </c>
      <c r="S11">
        <v>0.1</v>
      </c>
      <c r="T11">
        <f t="shared" ref="T11:T20" si="5">(S11-0.1)</f>
        <v>0</v>
      </c>
      <c r="U11">
        <f t="shared" ref="U11:U20" si="6">IF(T11&lt;0,T11+0.1,T11)</f>
        <v>0</v>
      </c>
      <c r="V11">
        <f t="shared" ref="V11:V20" si="7">(U11/0.9)</f>
        <v>0</v>
      </c>
    </row>
    <row r="12" spans="1:22">
      <c r="A12" s="29" t="s">
        <v>860</v>
      </c>
      <c r="B12" s="29">
        <v>250</v>
      </c>
      <c r="C12" s="29">
        <f t="shared" si="4"/>
        <v>750</v>
      </c>
      <c r="D12" s="29">
        <v>3</v>
      </c>
      <c r="E12" s="29">
        <v>2</v>
      </c>
      <c r="F12" s="29">
        <v>12</v>
      </c>
      <c r="G12" s="29">
        <v>0.25</v>
      </c>
      <c r="H12" t="s">
        <v>857</v>
      </c>
      <c r="I12" t="b">
        <v>0</v>
      </c>
      <c r="J12" t="b">
        <v>0</v>
      </c>
      <c r="K12" t="s">
        <v>858</v>
      </c>
      <c r="L12" s="31">
        <f t="shared" si="0"/>
        <v>10</v>
      </c>
      <c r="M12" s="31">
        <f t="shared" si="1"/>
        <v>30</v>
      </c>
      <c r="N12" s="31">
        <f t="shared" si="2"/>
        <v>2.27272727272727</v>
      </c>
      <c r="O12" s="31">
        <f t="shared" si="3"/>
        <v>6.81818181818182</v>
      </c>
      <c r="Q12" t="s">
        <v>861</v>
      </c>
      <c r="S12">
        <v>0.2</v>
      </c>
      <c r="T12">
        <f t="shared" si="5"/>
        <v>0.1</v>
      </c>
      <c r="U12">
        <f t="shared" si="6"/>
        <v>0.1</v>
      </c>
      <c r="V12">
        <f t="shared" si="7"/>
        <v>0.111111111111111</v>
      </c>
    </row>
    <row r="13" spans="1:22">
      <c r="A13" s="29" t="s">
        <v>862</v>
      </c>
      <c r="B13" s="29">
        <v>200</v>
      </c>
      <c r="C13" s="29">
        <f t="shared" si="4"/>
        <v>700</v>
      </c>
      <c r="D13" s="29">
        <v>5</v>
      </c>
      <c r="E13" s="29">
        <v>3</v>
      </c>
      <c r="F13" s="29">
        <v>4</v>
      </c>
      <c r="G13" s="29">
        <v>0.4</v>
      </c>
      <c r="H13" t="s">
        <v>857</v>
      </c>
      <c r="I13" t="b">
        <v>0</v>
      </c>
      <c r="J13" t="b">
        <v>0</v>
      </c>
      <c r="K13" t="s">
        <v>858</v>
      </c>
      <c r="L13" s="31">
        <f t="shared" si="0"/>
        <v>8</v>
      </c>
      <c r="M13" s="31">
        <f t="shared" si="1"/>
        <v>28</v>
      </c>
      <c r="N13" s="31">
        <f t="shared" si="2"/>
        <v>1.81818181818182</v>
      </c>
      <c r="O13" s="31">
        <f t="shared" si="3"/>
        <v>6.36363636363636</v>
      </c>
      <c r="Q13" t="s">
        <v>863</v>
      </c>
      <c r="S13">
        <v>0.3</v>
      </c>
      <c r="T13">
        <f t="shared" si="5"/>
        <v>0.2</v>
      </c>
      <c r="U13">
        <f t="shared" si="6"/>
        <v>0.2</v>
      </c>
      <c r="V13">
        <f t="shared" si="7"/>
        <v>0.222222222222222</v>
      </c>
    </row>
    <row r="14" spans="1:22">
      <c r="A14" s="29" t="s">
        <v>864</v>
      </c>
      <c r="B14" s="29">
        <v>150</v>
      </c>
      <c r="C14" s="29">
        <f t="shared" si="4"/>
        <v>650</v>
      </c>
      <c r="D14" s="29">
        <v>5</v>
      </c>
      <c r="E14" s="29">
        <v>1</v>
      </c>
      <c r="F14" s="29">
        <v>0</v>
      </c>
      <c r="G14" s="29">
        <v>0.1</v>
      </c>
      <c r="H14" t="s">
        <v>857</v>
      </c>
      <c r="I14" t="b">
        <v>0</v>
      </c>
      <c r="J14" t="b">
        <v>0</v>
      </c>
      <c r="K14" t="s">
        <v>858</v>
      </c>
      <c r="L14" s="31">
        <f t="shared" si="0"/>
        <v>6</v>
      </c>
      <c r="M14" s="31">
        <f t="shared" si="1"/>
        <v>26</v>
      </c>
      <c r="N14" s="31">
        <f t="shared" si="2"/>
        <v>1.36363636363636</v>
      </c>
      <c r="O14" s="31">
        <f t="shared" si="3"/>
        <v>5.90909090909091</v>
      </c>
      <c r="Q14" t="s">
        <v>865</v>
      </c>
      <c r="S14">
        <v>0.4</v>
      </c>
      <c r="T14">
        <f t="shared" si="5"/>
        <v>0.3</v>
      </c>
      <c r="U14">
        <f t="shared" si="6"/>
        <v>0.3</v>
      </c>
      <c r="V14">
        <f t="shared" si="7"/>
        <v>0.333333333333333</v>
      </c>
    </row>
    <row r="15" spans="1:22">
      <c r="A15" s="29" t="s">
        <v>866</v>
      </c>
      <c r="B15" s="29">
        <v>125</v>
      </c>
      <c r="C15" s="29">
        <f t="shared" si="4"/>
        <v>625</v>
      </c>
      <c r="D15" s="29">
        <v>5</v>
      </c>
      <c r="E15" s="29">
        <v>3</v>
      </c>
      <c r="F15" s="29">
        <v>16</v>
      </c>
      <c r="G15" s="29">
        <v>0</v>
      </c>
      <c r="H15" t="s">
        <v>857</v>
      </c>
      <c r="I15" t="b">
        <v>0</v>
      </c>
      <c r="J15" t="b">
        <v>0</v>
      </c>
      <c r="K15" t="s">
        <v>858</v>
      </c>
      <c r="L15" s="31">
        <f t="shared" si="0"/>
        <v>5</v>
      </c>
      <c r="M15" s="31">
        <f t="shared" si="1"/>
        <v>25</v>
      </c>
      <c r="N15" s="31">
        <f t="shared" si="2"/>
        <v>1.13636363636364</v>
      </c>
      <c r="O15" s="31">
        <f t="shared" si="3"/>
        <v>5.68181818181818</v>
      </c>
      <c r="Q15" t="s">
        <v>867</v>
      </c>
      <c r="S15">
        <v>0.5</v>
      </c>
      <c r="T15">
        <f t="shared" si="5"/>
        <v>0.4</v>
      </c>
      <c r="U15">
        <f t="shared" si="6"/>
        <v>0.4</v>
      </c>
      <c r="V15">
        <f t="shared" si="7"/>
        <v>0.444444444444444</v>
      </c>
    </row>
    <row r="16" spans="1:22">
      <c r="A16" s="29" t="s">
        <v>858</v>
      </c>
      <c r="B16" s="29">
        <v>400</v>
      </c>
      <c r="C16" s="29">
        <f t="shared" si="4"/>
        <v>900</v>
      </c>
      <c r="D16" s="29">
        <v>5</v>
      </c>
      <c r="E16" s="29">
        <v>4</v>
      </c>
      <c r="F16" s="29">
        <v>20</v>
      </c>
      <c r="G16" s="29">
        <f>E16*0.25</f>
        <v>1</v>
      </c>
      <c r="H16" t="s">
        <v>857</v>
      </c>
      <c r="I16" t="b">
        <v>0</v>
      </c>
      <c r="J16" t="b">
        <v>0</v>
      </c>
      <c r="K16" t="s">
        <v>858</v>
      </c>
      <c r="L16" s="31">
        <f t="shared" si="0"/>
        <v>16</v>
      </c>
      <c r="M16" s="31">
        <f t="shared" si="1"/>
        <v>36</v>
      </c>
      <c r="N16" s="31">
        <f t="shared" si="2"/>
        <v>3.63636363636364</v>
      </c>
      <c r="O16" s="31">
        <f t="shared" si="3"/>
        <v>8.18181818181818</v>
      </c>
      <c r="Q16" t="s">
        <v>868</v>
      </c>
      <c r="S16">
        <v>0.6</v>
      </c>
      <c r="T16">
        <f t="shared" si="5"/>
        <v>0.5</v>
      </c>
      <c r="U16">
        <f t="shared" si="6"/>
        <v>0.5</v>
      </c>
      <c r="V16">
        <f t="shared" si="7"/>
        <v>0.555555555555556</v>
      </c>
    </row>
    <row r="17" spans="1:22">
      <c r="A17" s="29" t="s">
        <v>869</v>
      </c>
      <c r="B17" s="29">
        <v>100</v>
      </c>
      <c r="C17" s="29">
        <f t="shared" si="4"/>
        <v>600</v>
      </c>
      <c r="D17" s="29">
        <v>5</v>
      </c>
      <c r="E17" s="29">
        <v>2</v>
      </c>
      <c r="F17" s="29">
        <v>8</v>
      </c>
      <c r="G17" s="29">
        <v>0.3</v>
      </c>
      <c r="H17" t="s">
        <v>857</v>
      </c>
      <c r="I17" t="b">
        <v>0</v>
      </c>
      <c r="J17" t="b">
        <v>0</v>
      </c>
      <c r="K17" t="s">
        <v>858</v>
      </c>
      <c r="L17" s="31">
        <f t="shared" si="0"/>
        <v>4</v>
      </c>
      <c r="M17" s="31">
        <f t="shared" si="1"/>
        <v>24</v>
      </c>
      <c r="N17" s="31">
        <f t="shared" si="2"/>
        <v>0.909090909090909</v>
      </c>
      <c r="O17" s="31">
        <f t="shared" si="3"/>
        <v>5.45454545454545</v>
      </c>
      <c r="Q17" t="s">
        <v>870</v>
      </c>
      <c r="S17">
        <v>0.7</v>
      </c>
      <c r="T17">
        <f t="shared" si="5"/>
        <v>0.6</v>
      </c>
      <c r="U17">
        <f t="shared" si="6"/>
        <v>0.6</v>
      </c>
      <c r="V17">
        <f t="shared" si="7"/>
        <v>0.666666666666667</v>
      </c>
    </row>
    <row r="18" spans="1:22">
      <c r="A18" s="29" t="s">
        <v>871</v>
      </c>
      <c r="B18" s="29">
        <v>1</v>
      </c>
      <c r="C18" s="29">
        <f t="shared" si="4"/>
        <v>501</v>
      </c>
      <c r="D18" s="29">
        <v>0</v>
      </c>
      <c r="E18" s="29">
        <v>0</v>
      </c>
      <c r="F18" s="29">
        <v>100</v>
      </c>
      <c r="G18" s="29">
        <f>E18*0.25</f>
        <v>0</v>
      </c>
      <c r="I18" t="b">
        <v>0</v>
      </c>
      <c r="J18" t="b">
        <v>0</v>
      </c>
      <c r="K18" t="s">
        <v>858</v>
      </c>
      <c r="L18" s="31">
        <f t="shared" si="0"/>
        <v>0.04</v>
      </c>
      <c r="M18" s="31">
        <f t="shared" si="1"/>
        <v>20.04</v>
      </c>
      <c r="N18" s="31">
        <f t="shared" si="2"/>
        <v>0.00909090909090909</v>
      </c>
      <c r="O18" s="31">
        <f t="shared" si="3"/>
        <v>4.55454545454545</v>
      </c>
      <c r="S18">
        <v>0.8</v>
      </c>
      <c r="T18">
        <f t="shared" si="5"/>
        <v>0.7</v>
      </c>
      <c r="U18">
        <f t="shared" si="6"/>
        <v>0.7</v>
      </c>
      <c r="V18">
        <f t="shared" si="7"/>
        <v>0.777777777777778</v>
      </c>
    </row>
    <row r="19" spans="1:22">
      <c r="A19" s="29" t="s">
        <v>872</v>
      </c>
      <c r="B19" s="29">
        <v>50</v>
      </c>
      <c r="C19" s="29">
        <f t="shared" si="4"/>
        <v>550</v>
      </c>
      <c r="D19" s="29">
        <v>0</v>
      </c>
      <c r="E19" s="29">
        <v>0</v>
      </c>
      <c r="F19" s="29">
        <v>100</v>
      </c>
      <c r="G19" s="29">
        <f>E19*0.25</f>
        <v>0</v>
      </c>
      <c r="I19" t="b">
        <v>0</v>
      </c>
      <c r="J19" t="b">
        <v>0</v>
      </c>
      <c r="K19" t="s">
        <v>858</v>
      </c>
      <c r="L19" s="31">
        <f t="shared" si="0"/>
        <v>2</v>
      </c>
      <c r="M19" s="31">
        <f t="shared" si="1"/>
        <v>22</v>
      </c>
      <c r="N19" s="31">
        <f t="shared" si="2"/>
        <v>0.454545454545455</v>
      </c>
      <c r="O19" s="31">
        <f t="shared" si="3"/>
        <v>5</v>
      </c>
      <c r="S19">
        <v>0.9</v>
      </c>
      <c r="T19">
        <f t="shared" si="5"/>
        <v>0.8</v>
      </c>
      <c r="U19">
        <f t="shared" si="6"/>
        <v>0.8</v>
      </c>
      <c r="V19">
        <f t="shared" si="7"/>
        <v>0.888888888888889</v>
      </c>
    </row>
    <row r="20" spans="1:22">
      <c r="A20" t="s">
        <v>873</v>
      </c>
      <c r="B20">
        <v>100</v>
      </c>
      <c r="C20">
        <f t="shared" si="4"/>
        <v>600</v>
      </c>
      <c r="D20">
        <v>3</v>
      </c>
      <c r="E20">
        <v>3</v>
      </c>
      <c r="F20">
        <v>0</v>
      </c>
      <c r="G20">
        <v>2</v>
      </c>
      <c r="H20" t="s">
        <v>874</v>
      </c>
      <c r="I20" t="b">
        <v>0</v>
      </c>
      <c r="J20" t="b">
        <v>0</v>
      </c>
      <c r="K20" t="s">
        <v>178</v>
      </c>
      <c r="L20" s="30">
        <f t="shared" si="0"/>
        <v>4</v>
      </c>
      <c r="M20" s="30">
        <f t="shared" si="1"/>
        <v>24</v>
      </c>
      <c r="N20" s="30">
        <f t="shared" si="2"/>
        <v>0.909090909090909</v>
      </c>
      <c r="O20" s="30">
        <f t="shared" si="3"/>
        <v>5.45454545454545</v>
      </c>
      <c r="Q20" t="s">
        <v>875</v>
      </c>
      <c r="S20">
        <v>1</v>
      </c>
      <c r="T20">
        <f t="shared" si="5"/>
        <v>0.9</v>
      </c>
      <c r="U20">
        <f t="shared" si="6"/>
        <v>0.9</v>
      </c>
      <c r="V20">
        <f t="shared" si="7"/>
        <v>1</v>
      </c>
    </row>
    <row r="21" spans="1:17">
      <c r="A21" t="s">
        <v>611</v>
      </c>
      <c r="B21">
        <v>200</v>
      </c>
      <c r="C21">
        <f t="shared" si="4"/>
        <v>700</v>
      </c>
      <c r="D21">
        <v>7</v>
      </c>
      <c r="E21">
        <v>4</v>
      </c>
      <c r="F21">
        <v>0</v>
      </c>
      <c r="G21">
        <v>2</v>
      </c>
      <c r="H21" t="s">
        <v>874</v>
      </c>
      <c r="I21" t="b">
        <v>0</v>
      </c>
      <c r="J21" t="b">
        <v>0</v>
      </c>
      <c r="K21" t="s">
        <v>178</v>
      </c>
      <c r="L21" s="30">
        <f t="shared" si="0"/>
        <v>8</v>
      </c>
      <c r="M21" s="30">
        <f t="shared" si="1"/>
        <v>28</v>
      </c>
      <c r="N21" s="30">
        <f t="shared" si="2"/>
        <v>1.81818181818182</v>
      </c>
      <c r="O21" s="30">
        <f t="shared" si="3"/>
        <v>6.36363636363636</v>
      </c>
      <c r="Q21" t="s">
        <v>876</v>
      </c>
    </row>
    <row r="22" spans="1:17">
      <c r="A22" t="s">
        <v>877</v>
      </c>
      <c r="B22">
        <v>50</v>
      </c>
      <c r="C22">
        <f t="shared" si="4"/>
        <v>550</v>
      </c>
      <c r="D22">
        <v>10</v>
      </c>
      <c r="E22">
        <v>1</v>
      </c>
      <c r="F22">
        <v>0</v>
      </c>
      <c r="G22">
        <v>1</v>
      </c>
      <c r="H22" t="s">
        <v>874</v>
      </c>
      <c r="I22" t="b">
        <v>0</v>
      </c>
      <c r="J22" t="b">
        <v>0</v>
      </c>
      <c r="K22" t="s">
        <v>178</v>
      </c>
      <c r="L22" s="30">
        <f t="shared" si="0"/>
        <v>2</v>
      </c>
      <c r="M22" s="30">
        <f t="shared" si="1"/>
        <v>22</v>
      </c>
      <c r="N22" s="30">
        <f t="shared" si="2"/>
        <v>0.454545454545455</v>
      </c>
      <c r="O22" s="30">
        <f t="shared" si="3"/>
        <v>5</v>
      </c>
      <c r="Q22" t="s">
        <v>878</v>
      </c>
    </row>
    <row r="23" spans="12:15">
      <c r="L23" s="30"/>
      <c r="M23" s="30"/>
      <c r="N23" s="30"/>
      <c r="O23" s="30"/>
    </row>
    <row r="24" spans="12:15">
      <c r="L24" s="30"/>
      <c r="M24" s="30"/>
      <c r="N24" s="30"/>
      <c r="O24" s="30"/>
    </row>
  </sheetData>
  <mergeCells count="2">
    <mergeCell ref="L1:M1"/>
    <mergeCell ref="N1:O1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workbookViewId="0">
      <selection activeCell="G4" sqref="G4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6" width="19.4272727272727" customWidth="1"/>
    <col min="7" max="8" width="24.2818181818182" customWidth="1"/>
    <col min="9" max="9" width="50.6363636363636" customWidth="1"/>
    <col min="11" max="11" width="25.1454545454545" customWidth="1"/>
  </cols>
  <sheetData>
    <row r="1" spans="1:9">
      <c r="A1" s="5" t="s">
        <v>879</v>
      </c>
      <c r="B1" s="5"/>
      <c r="C1" s="5"/>
      <c r="D1" s="5"/>
      <c r="E1" s="5"/>
      <c r="F1" s="5"/>
      <c r="G1" s="5"/>
      <c r="H1" s="5"/>
      <c r="I1" s="5"/>
    </row>
    <row r="2" spans="1:9">
      <c r="A2" s="5" t="s">
        <v>880</v>
      </c>
      <c r="B2" s="5"/>
      <c r="C2" s="5" t="s">
        <v>881</v>
      </c>
      <c r="D2" s="5"/>
      <c r="E2" s="5" t="s">
        <v>882</v>
      </c>
      <c r="F2" s="5"/>
      <c r="G2" s="5" t="s">
        <v>883</v>
      </c>
      <c r="H2" s="5" t="s">
        <v>465</v>
      </c>
      <c r="I2" s="5" t="s">
        <v>629</v>
      </c>
    </row>
    <row r="3" spans="1:9">
      <c r="A3" s="5" t="s">
        <v>118</v>
      </c>
      <c r="B3" s="5" t="s">
        <v>884</v>
      </c>
      <c r="C3" s="5" t="s">
        <v>118</v>
      </c>
      <c r="D3" s="5" t="s">
        <v>884</v>
      </c>
      <c r="E3" s="5" t="s">
        <v>118</v>
      </c>
      <c r="F3" s="5" t="s">
        <v>884</v>
      </c>
      <c r="G3" s="5"/>
      <c r="H3" s="5"/>
      <c r="I3" s="5"/>
    </row>
    <row r="4" spans="1:9">
      <c r="A4" s="25" t="s">
        <v>874</v>
      </c>
      <c r="B4" s="25">
        <v>1</v>
      </c>
      <c r="C4" s="25"/>
      <c r="D4" s="25"/>
      <c r="E4" s="25" t="s">
        <v>885</v>
      </c>
      <c r="F4" s="25">
        <v>1</v>
      </c>
      <c r="G4" s="25" t="s">
        <v>886</v>
      </c>
      <c r="H4" s="25">
        <v>0</v>
      </c>
      <c r="I4" s="25"/>
    </row>
    <row r="5" spans="1:9">
      <c r="A5" s="25" t="s">
        <v>887</v>
      </c>
      <c r="B5" s="25">
        <v>1</v>
      </c>
      <c r="C5" s="25"/>
      <c r="D5" s="25"/>
      <c r="E5" s="25" t="s">
        <v>888</v>
      </c>
      <c r="F5" s="25">
        <v>1</v>
      </c>
      <c r="G5" s="25" t="s">
        <v>886</v>
      </c>
      <c r="H5" s="25">
        <v>0</v>
      </c>
      <c r="I5" s="25"/>
    </row>
    <row r="6" spans="1:9">
      <c r="A6" s="26" t="s">
        <v>889</v>
      </c>
      <c r="B6" s="26">
        <v>1</v>
      </c>
      <c r="C6" s="26"/>
      <c r="D6" s="26"/>
      <c r="E6" s="26" t="s">
        <v>756</v>
      </c>
      <c r="F6" s="26">
        <v>1</v>
      </c>
      <c r="G6" s="26" t="s">
        <v>890</v>
      </c>
      <c r="H6" s="25">
        <v>0</v>
      </c>
      <c r="I6" s="25" t="s">
        <v>891</v>
      </c>
    </row>
    <row r="7" spans="1:9">
      <c r="A7" s="26" t="s">
        <v>892</v>
      </c>
      <c r="B7" s="26">
        <v>1</v>
      </c>
      <c r="C7" s="26" t="s">
        <v>837</v>
      </c>
      <c r="D7" s="26">
        <v>2</v>
      </c>
      <c r="E7" s="26" t="s">
        <v>893</v>
      </c>
      <c r="F7" s="26">
        <v>2</v>
      </c>
      <c r="G7" s="26" t="s">
        <v>886</v>
      </c>
      <c r="H7" s="26">
        <v>0</v>
      </c>
      <c r="I7" s="26" t="s">
        <v>894</v>
      </c>
    </row>
    <row r="8" spans="1:9">
      <c r="A8" s="26" t="s">
        <v>892</v>
      </c>
      <c r="B8" s="26">
        <v>1</v>
      </c>
      <c r="C8" s="26" t="s">
        <v>837</v>
      </c>
      <c r="D8" s="26">
        <v>10</v>
      </c>
      <c r="E8" s="26" t="s">
        <v>895</v>
      </c>
      <c r="F8" s="26">
        <v>1</v>
      </c>
      <c r="G8" s="26" t="s">
        <v>886</v>
      </c>
      <c r="H8" s="26">
        <v>0</v>
      </c>
      <c r="I8" s="26" t="s">
        <v>896</v>
      </c>
    </row>
    <row r="9" spans="1:9">
      <c r="A9" s="26" t="s">
        <v>837</v>
      </c>
      <c r="B9" s="26">
        <v>5</v>
      </c>
      <c r="C9" s="26" t="s">
        <v>857</v>
      </c>
      <c r="D9" s="26">
        <v>1</v>
      </c>
      <c r="E9" s="26" t="s">
        <v>897</v>
      </c>
      <c r="F9" s="26">
        <v>1</v>
      </c>
      <c r="G9" s="26" t="s">
        <v>886</v>
      </c>
      <c r="H9" s="26">
        <v>0</v>
      </c>
      <c r="I9" s="26" t="s">
        <v>898</v>
      </c>
    </row>
    <row r="10" spans="1:9">
      <c r="A10" s="27" t="s">
        <v>892</v>
      </c>
      <c r="B10" s="27">
        <v>1</v>
      </c>
      <c r="C10" s="27" t="s">
        <v>899</v>
      </c>
      <c r="D10" s="27">
        <v>1</v>
      </c>
      <c r="E10" s="27" t="s">
        <v>900</v>
      </c>
      <c r="F10" s="27">
        <v>1</v>
      </c>
      <c r="G10" s="27" t="s">
        <v>901</v>
      </c>
      <c r="H10" s="27">
        <v>1</v>
      </c>
      <c r="I10" s="27"/>
    </row>
    <row r="11" spans="1:9">
      <c r="A11" s="27" t="s">
        <v>837</v>
      </c>
      <c r="B11" s="27">
        <v>10</v>
      </c>
      <c r="C11" s="27" t="s">
        <v>857</v>
      </c>
      <c r="D11" s="27">
        <v>3</v>
      </c>
      <c r="E11" s="27" t="s">
        <v>902</v>
      </c>
      <c r="F11" s="27">
        <v>1</v>
      </c>
      <c r="G11" s="27" t="s">
        <v>886</v>
      </c>
      <c r="H11" s="27">
        <v>1</v>
      </c>
      <c r="I11" s="27" t="s">
        <v>903</v>
      </c>
    </row>
    <row r="12" spans="1:9">
      <c r="A12" s="27" t="s">
        <v>124</v>
      </c>
      <c r="B12" s="27">
        <v>1</v>
      </c>
      <c r="C12" s="27"/>
      <c r="D12" s="27"/>
      <c r="E12" s="27" t="s">
        <v>122</v>
      </c>
      <c r="F12" s="27">
        <v>1</v>
      </c>
      <c r="G12" s="27" t="s">
        <v>886</v>
      </c>
      <c r="H12" s="27">
        <v>1</v>
      </c>
      <c r="I12" s="27" t="s">
        <v>904</v>
      </c>
    </row>
    <row r="13" spans="1:9">
      <c r="A13" s="27" t="s">
        <v>899</v>
      </c>
      <c r="B13" s="27">
        <v>5</v>
      </c>
      <c r="C13" s="27" t="s">
        <v>893</v>
      </c>
      <c r="D13" s="27">
        <v>2</v>
      </c>
      <c r="E13" s="27" t="s">
        <v>905</v>
      </c>
      <c r="F13" s="27">
        <v>1</v>
      </c>
      <c r="G13" s="27" t="s">
        <v>906</v>
      </c>
      <c r="H13" s="27">
        <v>1</v>
      </c>
      <c r="I13" s="27" t="s">
        <v>907</v>
      </c>
    </row>
    <row r="14" spans="1:12">
      <c r="A14" s="27" t="s">
        <v>899</v>
      </c>
      <c r="B14" s="27">
        <v>5</v>
      </c>
      <c r="C14" s="27" t="s">
        <v>892</v>
      </c>
      <c r="D14" s="27">
        <v>5</v>
      </c>
      <c r="E14" s="27" t="s">
        <v>908</v>
      </c>
      <c r="F14" s="27">
        <v>1</v>
      </c>
      <c r="G14" s="27" t="s">
        <v>906</v>
      </c>
      <c r="H14" s="27">
        <v>1</v>
      </c>
      <c r="I14" s="27" t="s">
        <v>909</v>
      </c>
      <c r="J14" t="s">
        <v>910</v>
      </c>
      <c r="L14" s="10"/>
    </row>
    <row r="15" spans="1:12">
      <c r="A15" s="27" t="s">
        <v>899</v>
      </c>
      <c r="B15" s="27">
        <v>2</v>
      </c>
      <c r="C15" s="27" t="s">
        <v>892</v>
      </c>
      <c r="D15" s="27">
        <v>1</v>
      </c>
      <c r="E15" s="27" t="s">
        <v>911</v>
      </c>
      <c r="F15" s="27">
        <v>1</v>
      </c>
      <c r="G15" s="27" t="s">
        <v>886</v>
      </c>
      <c r="H15" s="27">
        <v>1</v>
      </c>
      <c r="I15" s="27" t="s">
        <v>912</v>
      </c>
      <c r="L15" s="10"/>
    </row>
    <row r="16" spans="1:12">
      <c r="A16" s="26" t="s">
        <v>913</v>
      </c>
      <c r="B16" s="26">
        <v>1</v>
      </c>
      <c r="C16" s="26" t="s">
        <v>857</v>
      </c>
      <c r="D16" s="26">
        <v>5</v>
      </c>
      <c r="E16" s="26" t="s">
        <v>914</v>
      </c>
      <c r="F16" s="26">
        <v>1</v>
      </c>
      <c r="G16" s="26" t="s">
        <v>901</v>
      </c>
      <c r="H16" s="26">
        <v>2</v>
      </c>
      <c r="I16" s="26"/>
      <c r="L16" s="10"/>
    </row>
    <row r="17" spans="1:12">
      <c r="A17" s="26" t="s">
        <v>889</v>
      </c>
      <c r="B17" s="26">
        <v>5</v>
      </c>
      <c r="C17" s="26"/>
      <c r="D17" s="26"/>
      <c r="E17" s="26" t="s">
        <v>915</v>
      </c>
      <c r="F17" s="26">
        <v>1</v>
      </c>
      <c r="G17" s="26" t="s">
        <v>886</v>
      </c>
      <c r="H17" s="26">
        <v>2</v>
      </c>
      <c r="I17" s="26" t="s">
        <v>916</v>
      </c>
      <c r="L17" s="10"/>
    </row>
    <row r="18" spans="1:12">
      <c r="A18" s="26" t="s">
        <v>913</v>
      </c>
      <c r="B18" s="26">
        <v>2</v>
      </c>
      <c r="C18" s="26" t="s">
        <v>899</v>
      </c>
      <c r="D18" s="26">
        <v>5</v>
      </c>
      <c r="E18" s="26" t="s">
        <v>917</v>
      </c>
      <c r="F18" s="26">
        <v>1</v>
      </c>
      <c r="G18" s="26" t="s">
        <v>906</v>
      </c>
      <c r="H18" s="26">
        <v>2</v>
      </c>
      <c r="I18" s="26" t="s">
        <v>918</v>
      </c>
      <c r="L18" s="10"/>
    </row>
    <row r="19" spans="1:12">
      <c r="A19" s="26" t="s">
        <v>913</v>
      </c>
      <c r="B19" s="26">
        <v>1</v>
      </c>
      <c r="C19" s="26" t="s">
        <v>915</v>
      </c>
      <c r="D19" s="26">
        <v>2</v>
      </c>
      <c r="E19" s="26" t="s">
        <v>919</v>
      </c>
      <c r="F19" s="26">
        <v>1</v>
      </c>
      <c r="G19" s="26" t="s">
        <v>886</v>
      </c>
      <c r="H19" s="26">
        <v>2</v>
      </c>
      <c r="I19" s="26" t="s">
        <v>920</v>
      </c>
      <c r="L19" s="10"/>
    </row>
    <row r="20" spans="1:12">
      <c r="A20" s="26" t="s">
        <v>913</v>
      </c>
      <c r="B20" s="26">
        <v>5</v>
      </c>
      <c r="C20" s="26" t="s">
        <v>892</v>
      </c>
      <c r="D20" s="26">
        <v>10</v>
      </c>
      <c r="E20" s="26" t="s">
        <v>921</v>
      </c>
      <c r="F20" s="26">
        <v>1</v>
      </c>
      <c r="G20" s="26" t="s">
        <v>906</v>
      </c>
      <c r="H20" s="26">
        <v>2</v>
      </c>
      <c r="I20" s="26" t="s">
        <v>922</v>
      </c>
      <c r="J20" t="s">
        <v>923</v>
      </c>
      <c r="K20" s="6"/>
      <c r="L20" s="10"/>
    </row>
    <row r="21" spans="1:11">
      <c r="A21" s="26" t="s">
        <v>913</v>
      </c>
      <c r="B21" s="26">
        <v>5</v>
      </c>
      <c r="C21" s="26" t="s">
        <v>915</v>
      </c>
      <c r="D21" s="26">
        <v>5</v>
      </c>
      <c r="E21" s="26" t="s">
        <v>924</v>
      </c>
      <c r="F21" s="26">
        <v>1</v>
      </c>
      <c r="G21" s="26" t="s">
        <v>906</v>
      </c>
      <c r="H21" s="26">
        <v>2</v>
      </c>
      <c r="I21" s="26" t="s">
        <v>925</v>
      </c>
      <c r="K21" s="6"/>
    </row>
    <row r="22" spans="1:11">
      <c r="A22" s="27" t="s">
        <v>926</v>
      </c>
      <c r="B22" s="27">
        <v>3</v>
      </c>
      <c r="C22" s="27"/>
      <c r="D22" s="27"/>
      <c r="E22" s="27" t="s">
        <v>927</v>
      </c>
      <c r="F22" s="27">
        <v>1</v>
      </c>
      <c r="G22" s="27" t="s">
        <v>901</v>
      </c>
      <c r="H22" s="27">
        <v>3</v>
      </c>
      <c r="I22" s="27"/>
      <c r="J22" t="s">
        <v>928</v>
      </c>
      <c r="K22" s="6"/>
    </row>
    <row r="23" spans="1:11">
      <c r="A23" s="27" t="s">
        <v>926</v>
      </c>
      <c r="B23" s="27">
        <v>2</v>
      </c>
      <c r="C23" s="27" t="s">
        <v>889</v>
      </c>
      <c r="D23" s="27">
        <v>4</v>
      </c>
      <c r="E23" s="27" t="s">
        <v>929</v>
      </c>
      <c r="F23" s="27">
        <v>1</v>
      </c>
      <c r="G23" s="27" t="s">
        <v>906</v>
      </c>
      <c r="H23" s="27">
        <v>3</v>
      </c>
      <c r="I23" s="27" t="s">
        <v>930</v>
      </c>
      <c r="J23" t="s">
        <v>931</v>
      </c>
      <c r="K23" s="6"/>
    </row>
    <row r="24" spans="1:11">
      <c r="A24" s="27" t="s">
        <v>932</v>
      </c>
      <c r="B24" s="27">
        <v>4</v>
      </c>
      <c r="C24" s="27" t="s">
        <v>933</v>
      </c>
      <c r="D24" s="27">
        <v>2</v>
      </c>
      <c r="E24" s="27" t="s">
        <v>934</v>
      </c>
      <c r="F24" s="27">
        <v>1</v>
      </c>
      <c r="G24" s="27" t="s">
        <v>886</v>
      </c>
      <c r="H24" s="27">
        <v>3</v>
      </c>
      <c r="I24" s="27" t="s">
        <v>935</v>
      </c>
      <c r="K24" s="6"/>
    </row>
    <row r="25" spans="1:10">
      <c r="A25" s="27" t="s">
        <v>936</v>
      </c>
      <c r="B25" s="27">
        <v>4</v>
      </c>
      <c r="C25" s="27" t="s">
        <v>937</v>
      </c>
      <c r="D25" s="27">
        <v>2</v>
      </c>
      <c r="E25" s="27" t="s">
        <v>938</v>
      </c>
      <c r="F25" s="27">
        <v>1</v>
      </c>
      <c r="G25" s="27" t="s">
        <v>886</v>
      </c>
      <c r="H25" s="27">
        <v>3</v>
      </c>
      <c r="I25" s="27" t="s">
        <v>939</v>
      </c>
      <c r="J25" t="s">
        <v>940</v>
      </c>
    </row>
    <row r="26" customFormat="1" spans="1:9">
      <c r="A26" s="27" t="s">
        <v>926</v>
      </c>
      <c r="B26" s="27">
        <v>1</v>
      </c>
      <c r="C26" s="27" t="s">
        <v>892</v>
      </c>
      <c r="D26" s="27">
        <v>2</v>
      </c>
      <c r="E26" s="27" t="s">
        <v>941</v>
      </c>
      <c r="F26" s="27">
        <v>1</v>
      </c>
      <c r="G26" s="27" t="s">
        <v>886</v>
      </c>
      <c r="H26" s="27">
        <v>3</v>
      </c>
      <c r="I26" s="27" t="s">
        <v>942</v>
      </c>
    </row>
    <row r="27" customFormat="1" spans="1:9">
      <c r="A27" s="26" t="s">
        <v>943</v>
      </c>
      <c r="B27" s="26">
        <v>1</v>
      </c>
      <c r="C27" s="26" t="s">
        <v>857</v>
      </c>
      <c r="D27" s="26">
        <v>20</v>
      </c>
      <c r="E27" s="26" t="s">
        <v>944</v>
      </c>
      <c r="F27" s="26">
        <v>1</v>
      </c>
      <c r="G27" s="26" t="s">
        <v>886</v>
      </c>
      <c r="H27" s="26">
        <v>4</v>
      </c>
      <c r="I27" s="26" t="s">
        <v>945</v>
      </c>
    </row>
    <row r="28" spans="1:11">
      <c r="A28" s="26" t="s">
        <v>946</v>
      </c>
      <c r="B28" s="26">
        <v>4</v>
      </c>
      <c r="C28" s="26" t="s">
        <v>947</v>
      </c>
      <c r="D28" s="26">
        <v>2</v>
      </c>
      <c r="E28" s="26" t="s">
        <v>948</v>
      </c>
      <c r="F28" s="26">
        <v>1</v>
      </c>
      <c r="G28" s="26" t="s">
        <v>886</v>
      </c>
      <c r="H28" s="26">
        <v>4</v>
      </c>
      <c r="I28" s="26" t="s">
        <v>949</v>
      </c>
      <c r="K28" s="6"/>
    </row>
    <row r="29" spans="1:9">
      <c r="A29" s="26" t="s">
        <v>950</v>
      </c>
      <c r="B29" s="26">
        <v>4</v>
      </c>
      <c r="C29" s="26" t="s">
        <v>951</v>
      </c>
      <c r="D29" s="26">
        <v>2</v>
      </c>
      <c r="E29" s="26" t="s">
        <v>952</v>
      </c>
      <c r="F29" s="26">
        <v>1</v>
      </c>
      <c r="G29" s="26" t="s">
        <v>886</v>
      </c>
      <c r="H29" s="26">
        <v>4</v>
      </c>
      <c r="I29" s="26" t="s">
        <v>953</v>
      </c>
    </row>
    <row r="30" spans="1:10">
      <c r="A30" s="26" t="s">
        <v>943</v>
      </c>
      <c r="B30" s="26">
        <v>3</v>
      </c>
      <c r="C30" s="26"/>
      <c r="D30" s="26"/>
      <c r="E30" s="26" t="s">
        <v>954</v>
      </c>
      <c r="F30" s="26">
        <v>1</v>
      </c>
      <c r="G30" s="26" t="s">
        <v>901</v>
      </c>
      <c r="H30" s="26">
        <v>4</v>
      </c>
      <c r="I30" s="26"/>
      <c r="J30" s="8"/>
    </row>
    <row r="36" spans="6:7">
      <c r="F36" s="6"/>
      <c r="G36" s="10"/>
    </row>
    <row r="37" spans="6:9">
      <c r="F37" s="6"/>
      <c r="I37" s="6"/>
    </row>
    <row r="38" spans="6:6">
      <c r="F38" s="10"/>
    </row>
    <row r="39" spans="6:6">
      <c r="F39" s="6"/>
    </row>
    <row r="40" spans="6:6">
      <c r="F40" s="10"/>
    </row>
    <row r="41" spans="9:9">
      <c r="I41" s="10"/>
    </row>
    <row r="45" spans="9:9">
      <c r="I45" s="6"/>
    </row>
    <row r="46" spans="9:9">
      <c r="I46" s="6"/>
    </row>
    <row r="47" spans="9:9">
      <c r="I47" s="6"/>
    </row>
    <row r="48" spans="9:9">
      <c r="I48" s="6"/>
    </row>
  </sheetData>
  <mergeCells count="7">
    <mergeCell ref="A1:I1"/>
    <mergeCell ref="A2:B2"/>
    <mergeCell ref="C2:D2"/>
    <mergeCell ref="E2:F2"/>
    <mergeCell ref="G2:G3"/>
    <mergeCell ref="H2:H3"/>
    <mergeCell ref="I2:I3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9"/>
  <sheetViews>
    <sheetView tabSelected="1" workbookViewId="0">
      <selection activeCell="H3" sqref="H3"/>
    </sheetView>
  </sheetViews>
  <sheetFormatPr defaultColWidth="9.14545454545454" defaultRowHeight="14.5"/>
  <cols>
    <col min="1" max="1" width="22.1454545454545" style="6" customWidth="1"/>
    <col min="2" max="3" width="16.5727272727273" style="6" customWidth="1"/>
    <col min="4" max="4" width="26.8545454545455" style="6" customWidth="1"/>
    <col min="5" max="6" width="16.1454545454545" style="6" customWidth="1"/>
    <col min="7" max="7" width="6.28181818181818" style="6" customWidth="1"/>
    <col min="8" max="8" width="10.7272727272727" style="6" customWidth="1"/>
    <col min="9" max="9" width="6.42727272727273" style="6" customWidth="1"/>
    <col min="10" max="10" width="8" style="6" customWidth="1"/>
    <col min="11" max="11" width="11.2818181818182" style="6" customWidth="1"/>
    <col min="12" max="12" width="63.1818181818182" style="6" customWidth="1"/>
    <col min="13" max="13" width="18.4545454545455" style="6" customWidth="1"/>
    <col min="14" max="14" width="9.14545454545454" style="6"/>
    <col min="15" max="15" width="12.5454545454545" style="6" customWidth="1"/>
    <col min="16" max="16" width="7.85454545454545" style="6" customWidth="1"/>
    <col min="17" max="17" width="10.2727272727273" style="6" customWidth="1"/>
    <col min="18" max="18" width="10.6363636363636" style="6" customWidth="1"/>
    <col min="19" max="19" width="7.85454545454545" style="6" customWidth="1"/>
    <col min="20" max="20" width="12.8545454545455" style="6"/>
    <col min="21" max="16384" width="9.14545454545454" style="6"/>
  </cols>
  <sheetData>
    <row r="1" spans="1:20">
      <c r="A1" s="7" t="s">
        <v>118</v>
      </c>
      <c r="B1" s="7" t="s">
        <v>0</v>
      </c>
      <c r="C1" s="7" t="s">
        <v>955</v>
      </c>
      <c r="D1" s="7" t="s">
        <v>704</v>
      </c>
      <c r="E1" s="7"/>
      <c r="F1" s="7"/>
      <c r="G1" s="7" t="s">
        <v>956</v>
      </c>
      <c r="H1" s="7"/>
      <c r="I1" s="7"/>
      <c r="J1" s="7"/>
      <c r="K1" s="7"/>
      <c r="L1" s="7" t="s">
        <v>629</v>
      </c>
      <c r="M1" s="7" t="s">
        <v>957</v>
      </c>
      <c r="N1" s="7" t="s">
        <v>958</v>
      </c>
      <c r="O1" s="7"/>
      <c r="P1" s="7"/>
      <c r="Q1" s="7"/>
      <c r="R1" s="7"/>
      <c r="S1" s="7"/>
      <c r="T1" s="7"/>
    </row>
    <row r="2" spans="1:20">
      <c r="A2" s="7"/>
      <c r="B2" s="7"/>
      <c r="C2" s="7"/>
      <c r="D2" s="8" t="s">
        <v>774</v>
      </c>
      <c r="E2" s="9" t="s">
        <v>76</v>
      </c>
      <c r="F2" s="9" t="s">
        <v>959</v>
      </c>
      <c r="G2" s="8" t="s">
        <v>167</v>
      </c>
      <c r="H2" s="8" t="s">
        <v>169</v>
      </c>
      <c r="I2" s="8" t="s">
        <v>188</v>
      </c>
      <c r="J2" s="8" t="s">
        <v>173</v>
      </c>
      <c r="K2" s="8" t="s">
        <v>175</v>
      </c>
      <c r="L2" s="7"/>
      <c r="M2" s="7"/>
      <c r="N2" s="8" t="s">
        <v>167</v>
      </c>
      <c r="O2" s="8" t="s">
        <v>169</v>
      </c>
      <c r="P2" s="8" t="s">
        <v>188</v>
      </c>
      <c r="Q2" s="8" t="s">
        <v>173</v>
      </c>
      <c r="R2" s="8" t="s">
        <v>175</v>
      </c>
      <c r="S2" s="8" t="s">
        <v>467</v>
      </c>
      <c r="T2" s="8" t="s">
        <v>489</v>
      </c>
    </row>
    <row r="3" spans="1:20">
      <c r="A3" s="10" t="s">
        <v>122</v>
      </c>
      <c r="B3" s="11" t="s">
        <v>122</v>
      </c>
      <c r="C3" s="11" t="s">
        <v>719</v>
      </c>
      <c r="D3" s="6" t="s">
        <v>960</v>
      </c>
      <c r="E3" s="11" t="s">
        <v>544</v>
      </c>
      <c r="F3" s="11" t="s">
        <v>719</v>
      </c>
      <c r="G3" s="12">
        <v>1</v>
      </c>
      <c r="H3" s="12">
        <v>0.7</v>
      </c>
      <c r="I3" s="12">
        <v>0.5</v>
      </c>
      <c r="J3" s="12">
        <v>0.3</v>
      </c>
      <c r="K3" s="12">
        <v>0.1</v>
      </c>
      <c r="L3" s="6" t="s">
        <v>961</v>
      </c>
      <c r="M3" s="12">
        <f>SUM(G3:K3)</f>
        <v>2.6</v>
      </c>
      <c r="N3" s="19">
        <f>N$48*G3</f>
        <v>30</v>
      </c>
      <c r="O3" s="19">
        <f>O$48*H3</f>
        <v>24.5</v>
      </c>
      <c r="P3" s="19">
        <f>P$48*I3</f>
        <v>20</v>
      </c>
      <c r="Q3" s="19">
        <f>Q$48*J3</f>
        <v>13.5</v>
      </c>
      <c r="R3" s="19">
        <f>R$48*K3</f>
        <v>5</v>
      </c>
      <c r="S3" s="19">
        <f>SUM(N3:R3)</f>
        <v>93</v>
      </c>
      <c r="T3" s="19">
        <f>S3*2/24</f>
        <v>7.75</v>
      </c>
    </row>
    <row r="4" spans="1:20">
      <c r="A4" s="6" t="s">
        <v>962</v>
      </c>
      <c r="B4" s="13" t="s">
        <v>122</v>
      </c>
      <c r="C4" s="13" t="b">
        <v>1</v>
      </c>
      <c r="D4" s="6" t="s">
        <v>960</v>
      </c>
      <c r="E4" s="13">
        <v>0</v>
      </c>
      <c r="F4" s="11" t="s">
        <v>719</v>
      </c>
      <c r="G4" s="12">
        <v>0</v>
      </c>
      <c r="H4" s="12">
        <v>0.2</v>
      </c>
      <c r="I4" s="12">
        <v>0.35</v>
      </c>
      <c r="J4" s="12">
        <v>0.55</v>
      </c>
      <c r="K4" s="12">
        <v>0.6</v>
      </c>
      <c r="L4" s="6" t="s">
        <v>963</v>
      </c>
      <c r="M4" s="12">
        <f>SUM(G4:K4)</f>
        <v>1.7</v>
      </c>
      <c r="N4" s="19">
        <f>N$48*G4</f>
        <v>0</v>
      </c>
      <c r="O4" s="19">
        <f>O$48*H4</f>
        <v>7</v>
      </c>
      <c r="P4" s="19">
        <f>P$48*I4</f>
        <v>14</v>
      </c>
      <c r="Q4" s="19">
        <f>Q$48*J4</f>
        <v>24.75</v>
      </c>
      <c r="R4" s="19">
        <f>R$48*K4</f>
        <v>30</v>
      </c>
      <c r="S4" s="19">
        <f>SUM(N4:R4)</f>
        <v>75.75</v>
      </c>
      <c r="T4" s="19">
        <f>S4*2/24</f>
        <v>6.3125</v>
      </c>
    </row>
    <row r="5" spans="1:20">
      <c r="A5" s="6" t="s">
        <v>964</v>
      </c>
      <c r="B5" s="13" t="s">
        <v>122</v>
      </c>
      <c r="C5" s="13" t="b">
        <v>1</v>
      </c>
      <c r="D5" s="6" t="s">
        <v>960</v>
      </c>
      <c r="E5" s="13">
        <v>2</v>
      </c>
      <c r="F5" s="11" t="s">
        <v>719</v>
      </c>
      <c r="G5" s="12">
        <v>0</v>
      </c>
      <c r="H5" s="12">
        <v>0.1</v>
      </c>
      <c r="I5" s="12">
        <v>0.15</v>
      </c>
      <c r="J5" s="20">
        <v>0.15</v>
      </c>
      <c r="K5" s="12">
        <v>0.3</v>
      </c>
      <c r="L5" s="6" t="s">
        <v>965</v>
      </c>
      <c r="M5" s="12">
        <f>SUM(G5:K5)</f>
        <v>0.7</v>
      </c>
      <c r="N5" s="19">
        <f>N$48*G5</f>
        <v>0</v>
      </c>
      <c r="O5" s="19">
        <f>O$48*H5</f>
        <v>3.5</v>
      </c>
      <c r="P5" s="19">
        <f>P$48*I5</f>
        <v>6</v>
      </c>
      <c r="Q5" s="19">
        <f>Q$48*J5</f>
        <v>6.75</v>
      </c>
      <c r="R5" s="19">
        <f>R$48*K5</f>
        <v>15</v>
      </c>
      <c r="S5" s="19">
        <f>SUM(N5:R5)</f>
        <v>31.25</v>
      </c>
      <c r="T5" s="19">
        <f>S5*2/24</f>
        <v>2.60416666666667</v>
      </c>
    </row>
    <row r="6" spans="1:20">
      <c r="A6" s="6" t="s">
        <v>966</v>
      </c>
      <c r="B6" s="13" t="s">
        <v>874</v>
      </c>
      <c r="C6" s="13" t="b">
        <v>1</v>
      </c>
      <c r="D6" s="6" t="s">
        <v>967</v>
      </c>
      <c r="E6" s="13">
        <v>0</v>
      </c>
      <c r="F6" s="11" t="s">
        <v>719</v>
      </c>
      <c r="G6" s="12">
        <v>0.1</v>
      </c>
      <c r="H6" s="12">
        <v>0.2</v>
      </c>
      <c r="I6" s="12">
        <v>0.35</v>
      </c>
      <c r="J6" s="12">
        <v>0.55</v>
      </c>
      <c r="K6" s="12">
        <v>0.6</v>
      </c>
      <c r="L6" s="6" t="s">
        <v>968</v>
      </c>
      <c r="M6" s="12">
        <f>SUM(G6:K6)</f>
        <v>1.8</v>
      </c>
      <c r="N6" s="21">
        <f>N$49*G6</f>
        <v>1.6</v>
      </c>
      <c r="O6" s="21">
        <f>O$49*H6</f>
        <v>3.6</v>
      </c>
      <c r="P6" s="21">
        <f>P$49*I6</f>
        <v>7</v>
      </c>
      <c r="Q6" s="21">
        <f>Q$49*J6</f>
        <v>12.1</v>
      </c>
      <c r="R6" s="21">
        <f>R$49*K6</f>
        <v>14.4</v>
      </c>
      <c r="S6" s="21">
        <f>SUM(N6:R6)</f>
        <v>38.7</v>
      </c>
      <c r="T6" s="21">
        <f>S6*4/24</f>
        <v>6.45</v>
      </c>
    </row>
    <row r="7" spans="1:20">
      <c r="A7" s="6" t="s">
        <v>885</v>
      </c>
      <c r="B7" s="13" t="s">
        <v>874</v>
      </c>
      <c r="C7" s="13" t="b">
        <v>1</v>
      </c>
      <c r="D7" s="6" t="s">
        <v>967</v>
      </c>
      <c r="E7" s="13">
        <v>1</v>
      </c>
      <c r="F7" s="11" t="s">
        <v>719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M7" s="12"/>
      <c r="N7" s="21"/>
      <c r="O7" s="21"/>
      <c r="P7" s="21"/>
      <c r="Q7" s="21"/>
      <c r="R7" s="21"/>
      <c r="S7" s="21"/>
      <c r="T7" s="21"/>
    </row>
    <row r="8" spans="1:20">
      <c r="A8" s="6" t="s">
        <v>874</v>
      </c>
      <c r="B8" s="11" t="s">
        <v>874</v>
      </c>
      <c r="C8" s="11" t="s">
        <v>710</v>
      </c>
      <c r="D8" s="10" t="s">
        <v>967</v>
      </c>
      <c r="E8" s="11" t="s">
        <v>544</v>
      </c>
      <c r="F8" s="11" t="s">
        <v>719</v>
      </c>
      <c r="G8" s="12">
        <v>0.9</v>
      </c>
      <c r="H8" s="12">
        <v>0.7</v>
      </c>
      <c r="I8" s="12">
        <v>0.5</v>
      </c>
      <c r="J8" s="12">
        <v>0.3</v>
      </c>
      <c r="K8" s="12">
        <v>0.1</v>
      </c>
      <c r="L8" s="6" t="s">
        <v>969</v>
      </c>
      <c r="M8" s="12">
        <f>SUM(G8:K8)</f>
        <v>2.5</v>
      </c>
      <c r="N8" s="21">
        <f>N$49*G8</f>
        <v>14.4</v>
      </c>
      <c r="O8" s="21">
        <f>O$49*H8</f>
        <v>12.6</v>
      </c>
      <c r="P8" s="21">
        <f>P$49*I8</f>
        <v>10</v>
      </c>
      <c r="Q8" s="21">
        <f>Q$49*J8</f>
        <v>6.6</v>
      </c>
      <c r="R8" s="21">
        <f>R$49*K8</f>
        <v>2.4</v>
      </c>
      <c r="S8" s="21">
        <f>SUM(N8:R8)</f>
        <v>46</v>
      </c>
      <c r="T8" s="21">
        <f>S8*4/24</f>
        <v>7.66666666666667</v>
      </c>
    </row>
    <row r="9" spans="1:20">
      <c r="A9" s="10" t="s">
        <v>887</v>
      </c>
      <c r="B9" s="13" t="s">
        <v>874</v>
      </c>
      <c r="C9" s="13" t="b">
        <v>0</v>
      </c>
      <c r="D9" s="6" t="s">
        <v>967</v>
      </c>
      <c r="E9" s="13">
        <v>2</v>
      </c>
      <c r="F9" s="11" t="s">
        <v>719</v>
      </c>
      <c r="G9" s="12">
        <v>0</v>
      </c>
      <c r="H9" s="12">
        <v>0.1</v>
      </c>
      <c r="I9" s="12">
        <v>0.15</v>
      </c>
      <c r="J9" s="12">
        <v>0.15</v>
      </c>
      <c r="K9" s="12">
        <v>0.3</v>
      </c>
      <c r="L9" s="6" t="s">
        <v>970</v>
      </c>
      <c r="M9" s="12">
        <f>SUM(G9:K9)</f>
        <v>0.7</v>
      </c>
      <c r="N9" s="21">
        <f>N$49*G9</f>
        <v>0</v>
      </c>
      <c r="O9" s="21">
        <f>O$49*H9</f>
        <v>1.8</v>
      </c>
      <c r="P9" s="21">
        <f>P$49*I9</f>
        <v>3</v>
      </c>
      <c r="Q9" s="21">
        <f>Q$49*J9</f>
        <v>3.3</v>
      </c>
      <c r="R9" s="21">
        <f>R$49*K9</f>
        <v>7.2</v>
      </c>
      <c r="S9" s="21">
        <f>SUM(N9:R9)</f>
        <v>15.3</v>
      </c>
      <c r="T9" s="21">
        <f>S9*4/24</f>
        <v>2.55</v>
      </c>
    </row>
    <row r="10" spans="1:20">
      <c r="A10" s="10" t="s">
        <v>893</v>
      </c>
      <c r="B10" s="13" t="s">
        <v>874</v>
      </c>
      <c r="C10" s="13" t="b">
        <v>1</v>
      </c>
      <c r="D10" s="6" t="s">
        <v>967</v>
      </c>
      <c r="E10" s="13">
        <v>4</v>
      </c>
      <c r="F10" s="11" t="s">
        <v>719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6" t="s">
        <v>971</v>
      </c>
      <c r="M10" s="12"/>
      <c r="N10" s="21"/>
      <c r="O10" s="21"/>
      <c r="P10" s="21"/>
      <c r="Q10" s="21"/>
      <c r="R10" s="21"/>
      <c r="S10" s="21"/>
      <c r="T10" s="21"/>
    </row>
    <row r="11" spans="1:20">
      <c r="A11" s="6" t="s">
        <v>888</v>
      </c>
      <c r="B11" s="13" t="s">
        <v>874</v>
      </c>
      <c r="C11" s="13" t="b">
        <v>1</v>
      </c>
      <c r="D11" s="6" t="s">
        <v>967</v>
      </c>
      <c r="E11" s="13">
        <v>2</v>
      </c>
      <c r="F11" s="11" t="s">
        <v>719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M11" s="12"/>
      <c r="N11" s="12"/>
      <c r="O11" s="12"/>
      <c r="P11" s="12"/>
      <c r="Q11" s="12"/>
      <c r="R11" s="12"/>
      <c r="S11" s="12"/>
      <c r="T11" s="12"/>
    </row>
    <row r="12" spans="1:20">
      <c r="A12" s="10" t="s">
        <v>932</v>
      </c>
      <c r="B12" s="13" t="s">
        <v>972</v>
      </c>
      <c r="C12" s="13" t="b">
        <v>1</v>
      </c>
      <c r="D12" s="6" t="s">
        <v>600</v>
      </c>
      <c r="E12" s="13">
        <v>1</v>
      </c>
      <c r="F12" s="13" t="b">
        <v>0</v>
      </c>
      <c r="G12" s="12">
        <v>0.25</v>
      </c>
      <c r="H12" s="12">
        <v>0.175</v>
      </c>
      <c r="I12" s="12">
        <v>0.1125</v>
      </c>
      <c r="J12" s="12">
        <v>0.05</v>
      </c>
      <c r="K12" s="12">
        <v>0</v>
      </c>
      <c r="L12" s="6" t="s">
        <v>973</v>
      </c>
      <c r="M12" s="12"/>
      <c r="N12" s="12"/>
      <c r="O12" s="12"/>
      <c r="P12" s="12"/>
      <c r="Q12" s="12"/>
      <c r="R12" s="12"/>
      <c r="S12" s="12"/>
      <c r="T12" s="12"/>
    </row>
    <row r="13" spans="1:20">
      <c r="A13" s="10" t="s">
        <v>933</v>
      </c>
      <c r="B13" s="13" t="s">
        <v>972</v>
      </c>
      <c r="C13" s="13" t="b">
        <v>1</v>
      </c>
      <c r="D13" s="6" t="s">
        <v>600</v>
      </c>
      <c r="E13" s="13">
        <v>2</v>
      </c>
      <c r="F13" s="13" t="b">
        <v>0</v>
      </c>
      <c r="G13" s="12">
        <v>0</v>
      </c>
      <c r="H13" s="12">
        <v>0.05</v>
      </c>
      <c r="I13" s="12">
        <v>0.1</v>
      </c>
      <c r="J13" s="12">
        <v>0.15</v>
      </c>
      <c r="K13" s="12">
        <v>0.2</v>
      </c>
      <c r="L13" s="6" t="s">
        <v>974</v>
      </c>
      <c r="M13" s="12">
        <f t="shared" ref="M13:M25" si="0">SUM(G13:K13)</f>
        <v>0.5</v>
      </c>
      <c r="N13" s="12"/>
      <c r="O13" s="12"/>
      <c r="P13" s="12"/>
      <c r="Q13" s="12"/>
      <c r="R13" s="12"/>
      <c r="S13" s="12"/>
      <c r="T13" s="12"/>
    </row>
    <row r="14" spans="1:20">
      <c r="A14" s="10" t="s">
        <v>946</v>
      </c>
      <c r="B14" s="13" t="s">
        <v>972</v>
      </c>
      <c r="C14" s="13" t="b">
        <v>1</v>
      </c>
      <c r="D14" s="6" t="s">
        <v>601</v>
      </c>
      <c r="E14" s="13" t="s">
        <v>544</v>
      </c>
      <c r="F14" s="13" t="b">
        <v>0</v>
      </c>
      <c r="G14" s="12">
        <v>0.25</v>
      </c>
      <c r="H14" s="12">
        <v>0.175</v>
      </c>
      <c r="I14" s="12">
        <v>0.1125</v>
      </c>
      <c r="J14" s="12">
        <v>0.05</v>
      </c>
      <c r="K14" s="12">
        <v>0</v>
      </c>
      <c r="L14" s="6" t="s">
        <v>975</v>
      </c>
      <c r="M14" s="12">
        <f t="shared" si="0"/>
        <v>0.5875</v>
      </c>
      <c r="N14" s="12"/>
      <c r="O14" s="12"/>
      <c r="P14" s="12"/>
      <c r="Q14" s="12"/>
      <c r="R14" s="12"/>
      <c r="S14" s="12"/>
      <c r="T14" s="12"/>
    </row>
    <row r="15" spans="1:20">
      <c r="A15" s="10" t="s">
        <v>947</v>
      </c>
      <c r="B15" s="13" t="s">
        <v>972</v>
      </c>
      <c r="C15" s="13" t="b">
        <v>1</v>
      </c>
      <c r="D15" s="6" t="s">
        <v>601</v>
      </c>
      <c r="E15" s="13">
        <v>2</v>
      </c>
      <c r="F15" s="13" t="b">
        <v>0</v>
      </c>
      <c r="G15" s="12">
        <v>0</v>
      </c>
      <c r="H15" s="12">
        <v>0.05</v>
      </c>
      <c r="I15" s="12">
        <v>0.1</v>
      </c>
      <c r="J15" s="12">
        <v>0.15</v>
      </c>
      <c r="K15" s="12">
        <v>0.2</v>
      </c>
      <c r="L15" s="6" t="s">
        <v>976</v>
      </c>
      <c r="M15" s="12">
        <f t="shared" si="0"/>
        <v>0.5</v>
      </c>
      <c r="N15" s="12"/>
      <c r="O15" s="12"/>
      <c r="P15" s="12"/>
      <c r="Q15" s="12"/>
      <c r="R15" s="12"/>
      <c r="S15" s="12"/>
      <c r="T15" s="12"/>
    </row>
    <row r="16" spans="1:20">
      <c r="A16" s="10" t="s">
        <v>936</v>
      </c>
      <c r="B16" s="13" t="s">
        <v>972</v>
      </c>
      <c r="C16" s="13" t="b">
        <v>1</v>
      </c>
      <c r="D16" s="6" t="s">
        <v>602</v>
      </c>
      <c r="E16" s="13">
        <v>1</v>
      </c>
      <c r="F16" s="13" t="b">
        <v>0</v>
      </c>
      <c r="G16" s="12">
        <v>0.25</v>
      </c>
      <c r="H16" s="12">
        <v>0.175</v>
      </c>
      <c r="I16" s="12">
        <v>0.1125</v>
      </c>
      <c r="J16" s="12">
        <v>0.05</v>
      </c>
      <c r="K16" s="12">
        <v>0</v>
      </c>
      <c r="L16" s="6" t="s">
        <v>977</v>
      </c>
      <c r="M16" s="12">
        <f t="shared" si="0"/>
        <v>0.5875</v>
      </c>
      <c r="N16" s="12"/>
      <c r="O16" s="12"/>
      <c r="P16" s="12"/>
      <c r="Q16" s="12"/>
      <c r="R16" s="12"/>
      <c r="S16" s="12"/>
      <c r="T16" s="12"/>
    </row>
    <row r="17" spans="1:20">
      <c r="A17" s="10" t="s">
        <v>937</v>
      </c>
      <c r="B17" s="13" t="s">
        <v>972</v>
      </c>
      <c r="C17" s="13" t="b">
        <v>1</v>
      </c>
      <c r="D17" s="6" t="s">
        <v>602</v>
      </c>
      <c r="E17" s="13">
        <v>2</v>
      </c>
      <c r="F17" s="13" t="b">
        <v>0</v>
      </c>
      <c r="G17" s="12">
        <v>0</v>
      </c>
      <c r="H17" s="12">
        <v>0.05</v>
      </c>
      <c r="I17" s="12">
        <v>0.1</v>
      </c>
      <c r="J17" s="12">
        <v>0.15</v>
      </c>
      <c r="K17" s="12">
        <v>0.2</v>
      </c>
      <c r="L17" s="6" t="s">
        <v>978</v>
      </c>
      <c r="M17" s="12">
        <f t="shared" si="0"/>
        <v>0.5</v>
      </c>
      <c r="N17" s="12"/>
      <c r="O17" s="12"/>
      <c r="P17" s="12"/>
      <c r="Q17" s="12"/>
      <c r="R17" s="12"/>
      <c r="S17" s="12"/>
      <c r="T17" s="12"/>
    </row>
    <row r="18" spans="1:20">
      <c r="A18" s="10" t="s">
        <v>950</v>
      </c>
      <c r="B18" s="13" t="s">
        <v>972</v>
      </c>
      <c r="C18" s="13" t="b">
        <v>1</v>
      </c>
      <c r="D18" s="6" t="s">
        <v>599</v>
      </c>
      <c r="E18" s="13" t="s">
        <v>544</v>
      </c>
      <c r="F18" s="13" t="b">
        <v>0</v>
      </c>
      <c r="G18" s="12">
        <v>0.25</v>
      </c>
      <c r="H18" s="12">
        <v>0.175</v>
      </c>
      <c r="I18" s="12">
        <v>0.1125</v>
      </c>
      <c r="J18" s="12">
        <v>0.05</v>
      </c>
      <c r="K18" s="12">
        <v>0</v>
      </c>
      <c r="L18" s="6" t="s">
        <v>979</v>
      </c>
      <c r="M18" s="12">
        <f t="shared" si="0"/>
        <v>0.5875</v>
      </c>
      <c r="N18" s="12"/>
      <c r="O18" s="12"/>
      <c r="P18" s="12"/>
      <c r="Q18" s="12"/>
      <c r="R18" s="12"/>
      <c r="S18" s="12"/>
      <c r="T18" s="12"/>
    </row>
    <row r="19" spans="1:20">
      <c r="A19" s="10" t="s">
        <v>951</v>
      </c>
      <c r="B19" s="13" t="s">
        <v>972</v>
      </c>
      <c r="C19" s="13" t="b">
        <v>1</v>
      </c>
      <c r="D19" s="6" t="s">
        <v>599</v>
      </c>
      <c r="E19" s="13">
        <v>2</v>
      </c>
      <c r="F19" s="13" t="b">
        <v>0</v>
      </c>
      <c r="G19" s="12">
        <v>0</v>
      </c>
      <c r="H19" s="12">
        <v>0.05</v>
      </c>
      <c r="I19" s="12">
        <v>0.1</v>
      </c>
      <c r="J19" s="20">
        <v>0.15</v>
      </c>
      <c r="K19" s="12">
        <v>0.2</v>
      </c>
      <c r="L19" s="6" t="s">
        <v>980</v>
      </c>
      <c r="M19" s="12">
        <f t="shared" si="0"/>
        <v>0.5</v>
      </c>
      <c r="N19" s="12"/>
      <c r="O19" s="12"/>
      <c r="P19" s="12"/>
      <c r="Q19" s="12"/>
      <c r="R19" s="12"/>
      <c r="S19" s="12"/>
      <c r="T19" s="12"/>
    </row>
    <row r="20" spans="1:20">
      <c r="A20" s="10" t="s">
        <v>981</v>
      </c>
      <c r="B20" s="13" t="s">
        <v>972</v>
      </c>
      <c r="C20" s="13" t="b">
        <v>1</v>
      </c>
      <c r="D20" s="6" t="s">
        <v>792</v>
      </c>
      <c r="E20" s="14">
        <v>0.01</v>
      </c>
      <c r="F20" s="14" t="b">
        <v>1</v>
      </c>
      <c r="G20" s="12">
        <v>0</v>
      </c>
      <c r="H20" s="12">
        <v>0.02</v>
      </c>
      <c r="I20" s="12">
        <v>0.03</v>
      </c>
      <c r="J20" s="12">
        <v>0.04</v>
      </c>
      <c r="K20" s="12">
        <v>0.04</v>
      </c>
      <c r="L20" s="6" t="s">
        <v>982</v>
      </c>
      <c r="M20" s="12">
        <f t="shared" si="0"/>
        <v>0.13</v>
      </c>
      <c r="N20" s="12"/>
      <c r="O20" s="12"/>
      <c r="P20" s="12"/>
      <c r="Q20" s="12"/>
      <c r="R20" s="12"/>
      <c r="S20" s="12"/>
      <c r="T20" s="12"/>
    </row>
    <row r="21" spans="1:20">
      <c r="A21" s="10" t="s">
        <v>983</v>
      </c>
      <c r="B21" s="13" t="s">
        <v>972</v>
      </c>
      <c r="C21" s="13" t="b">
        <v>1</v>
      </c>
      <c r="D21" s="6" t="s">
        <v>765</v>
      </c>
      <c r="E21" s="14">
        <v>0.01</v>
      </c>
      <c r="F21" s="14" t="b">
        <v>1</v>
      </c>
      <c r="G21" s="12">
        <v>0</v>
      </c>
      <c r="H21" s="12">
        <v>0.02</v>
      </c>
      <c r="I21" s="12">
        <v>0.03</v>
      </c>
      <c r="J21" s="12">
        <v>0.04</v>
      </c>
      <c r="K21" s="12">
        <v>0.04</v>
      </c>
      <c r="L21" s="6" t="s">
        <v>984</v>
      </c>
      <c r="M21" s="12">
        <f t="shared" si="0"/>
        <v>0.13</v>
      </c>
      <c r="N21" s="12"/>
      <c r="O21" s="12"/>
      <c r="P21" s="12"/>
      <c r="Q21" s="12"/>
      <c r="R21" s="12"/>
      <c r="S21" s="12"/>
      <c r="T21" s="12"/>
    </row>
    <row r="22" spans="1:20">
      <c r="A22" s="10" t="s">
        <v>985</v>
      </c>
      <c r="B22" s="13" t="s">
        <v>972</v>
      </c>
      <c r="C22" s="13" t="b">
        <v>1</v>
      </c>
      <c r="D22" s="6" t="s">
        <v>796</v>
      </c>
      <c r="E22" s="14">
        <v>0.01</v>
      </c>
      <c r="F22" s="14" t="b">
        <v>1</v>
      </c>
      <c r="G22" s="12">
        <v>0</v>
      </c>
      <c r="H22" s="12">
        <v>0.02</v>
      </c>
      <c r="I22" s="12">
        <v>0.03</v>
      </c>
      <c r="J22" s="12">
        <v>0.04</v>
      </c>
      <c r="K22" s="12">
        <v>0.04</v>
      </c>
      <c r="L22" s="6" t="s">
        <v>986</v>
      </c>
      <c r="M22" s="12">
        <f t="shared" si="0"/>
        <v>0.13</v>
      </c>
      <c r="N22" s="12"/>
      <c r="O22" s="12"/>
      <c r="P22" s="12"/>
      <c r="Q22" s="12"/>
      <c r="R22" s="12"/>
      <c r="S22" s="12"/>
      <c r="T22" s="12"/>
    </row>
    <row r="23" spans="1:20">
      <c r="A23" s="10" t="s">
        <v>987</v>
      </c>
      <c r="B23" s="13" t="s">
        <v>972</v>
      </c>
      <c r="C23" s="13" t="b">
        <v>1</v>
      </c>
      <c r="D23" s="6" t="s">
        <v>988</v>
      </c>
      <c r="E23" s="14">
        <v>0.01</v>
      </c>
      <c r="F23" s="14" t="b">
        <v>1</v>
      </c>
      <c r="G23" s="12">
        <v>0</v>
      </c>
      <c r="H23" s="12">
        <v>0.02</v>
      </c>
      <c r="I23" s="12">
        <v>0.03</v>
      </c>
      <c r="J23" s="12">
        <v>0.04</v>
      </c>
      <c r="K23" s="12">
        <v>0.04</v>
      </c>
      <c r="L23" s="6" t="s">
        <v>989</v>
      </c>
      <c r="M23" s="12">
        <f t="shared" si="0"/>
        <v>0.13</v>
      </c>
      <c r="N23" s="12"/>
      <c r="O23" s="12"/>
      <c r="P23" s="12"/>
      <c r="Q23" s="12"/>
      <c r="R23" s="12"/>
      <c r="S23" s="12"/>
      <c r="T23" s="12"/>
    </row>
    <row r="24" spans="1:20">
      <c r="A24" s="10" t="s">
        <v>990</v>
      </c>
      <c r="B24" s="13" t="s">
        <v>972</v>
      </c>
      <c r="C24" s="13" t="b">
        <v>1</v>
      </c>
      <c r="D24" s="6" t="s">
        <v>991</v>
      </c>
      <c r="E24" s="14">
        <v>-0.01</v>
      </c>
      <c r="F24" s="14" t="b">
        <v>1</v>
      </c>
      <c r="G24" s="12">
        <v>0</v>
      </c>
      <c r="H24" s="12">
        <v>0.02</v>
      </c>
      <c r="I24" s="12">
        <v>0.03</v>
      </c>
      <c r="J24" s="12">
        <v>0.04</v>
      </c>
      <c r="K24" s="12">
        <v>0.04</v>
      </c>
      <c r="L24" s="6" t="s">
        <v>992</v>
      </c>
      <c r="M24" s="12">
        <f t="shared" si="0"/>
        <v>0.13</v>
      </c>
      <c r="N24" s="22">
        <f t="shared" ref="N24:N30" si="1">N$50*G25</f>
        <v>10</v>
      </c>
      <c r="O24" s="22">
        <f t="shared" ref="O24:O30" si="2">O$50*H25</f>
        <v>6</v>
      </c>
      <c r="P24" s="22">
        <f t="shared" ref="P24:P30" si="3">P$50*I25</f>
        <v>6</v>
      </c>
      <c r="Q24" s="22">
        <f t="shared" ref="Q24:Q30" si="4">Q$50*J25</f>
        <v>6</v>
      </c>
      <c r="R24" s="22">
        <f t="shared" ref="R24:R30" si="5">R$50*K25</f>
        <v>6.25</v>
      </c>
      <c r="S24" s="22">
        <f t="shared" ref="S24:S30" si="6">SUM(N24:R24)</f>
        <v>34.25</v>
      </c>
      <c r="T24" s="22"/>
    </row>
    <row r="25" spans="1:20">
      <c r="A25" s="6" t="s">
        <v>889</v>
      </c>
      <c r="B25" s="11" t="s">
        <v>993</v>
      </c>
      <c r="C25" s="11" t="s">
        <v>710</v>
      </c>
      <c r="E25" s="15"/>
      <c r="F25" s="13" t="b">
        <v>0</v>
      </c>
      <c r="G25" s="12">
        <v>1</v>
      </c>
      <c r="H25" s="12">
        <v>0.3</v>
      </c>
      <c r="I25" s="12">
        <v>0.2</v>
      </c>
      <c r="J25" s="20">
        <v>0.15</v>
      </c>
      <c r="K25" s="12">
        <v>0.125</v>
      </c>
      <c r="M25" s="12"/>
      <c r="N25" s="22">
        <f t="shared" si="1"/>
        <v>0</v>
      </c>
      <c r="O25" s="22">
        <f t="shared" si="2"/>
        <v>6</v>
      </c>
      <c r="P25" s="22">
        <f t="shared" si="3"/>
        <v>6</v>
      </c>
      <c r="Q25" s="22">
        <f t="shared" si="4"/>
        <v>6</v>
      </c>
      <c r="R25" s="22">
        <f t="shared" si="5"/>
        <v>6.25</v>
      </c>
      <c r="S25" s="22">
        <f t="shared" si="6"/>
        <v>24.25</v>
      </c>
      <c r="T25" s="22"/>
    </row>
    <row r="26" spans="1:20">
      <c r="A26" s="6" t="s">
        <v>899</v>
      </c>
      <c r="B26" s="11" t="s">
        <v>993</v>
      </c>
      <c r="C26" s="11" t="s">
        <v>710</v>
      </c>
      <c r="F26" s="13" t="b">
        <v>0</v>
      </c>
      <c r="G26" s="12">
        <v>0</v>
      </c>
      <c r="H26" s="12">
        <v>0.3</v>
      </c>
      <c r="I26" s="12">
        <v>0.2</v>
      </c>
      <c r="J26" s="20">
        <v>0.15</v>
      </c>
      <c r="K26" s="12">
        <v>0.125</v>
      </c>
      <c r="M26" s="12"/>
      <c r="N26" s="22">
        <f t="shared" si="1"/>
        <v>0</v>
      </c>
      <c r="O26" s="22">
        <f t="shared" si="2"/>
        <v>4</v>
      </c>
      <c r="P26" s="22">
        <f t="shared" si="3"/>
        <v>6</v>
      </c>
      <c r="Q26" s="22">
        <f t="shared" si="4"/>
        <v>6</v>
      </c>
      <c r="R26" s="22">
        <f t="shared" si="5"/>
        <v>6.25</v>
      </c>
      <c r="S26" s="22">
        <f t="shared" si="6"/>
        <v>22.25</v>
      </c>
      <c r="T26" s="22"/>
    </row>
    <row r="27" spans="1:20">
      <c r="A27" s="6" t="s">
        <v>892</v>
      </c>
      <c r="B27" s="11" t="s">
        <v>993</v>
      </c>
      <c r="C27" s="11" t="s">
        <v>710</v>
      </c>
      <c r="F27" s="13" t="b">
        <v>0</v>
      </c>
      <c r="G27" s="12">
        <v>0</v>
      </c>
      <c r="H27" s="12">
        <v>0.2</v>
      </c>
      <c r="I27" s="12">
        <v>0.2</v>
      </c>
      <c r="J27" s="12">
        <v>0.15</v>
      </c>
      <c r="K27" s="12">
        <v>0.125</v>
      </c>
      <c r="M27" s="12"/>
      <c r="N27" s="22">
        <f t="shared" si="1"/>
        <v>0</v>
      </c>
      <c r="O27" s="22">
        <f t="shared" si="2"/>
        <v>2</v>
      </c>
      <c r="P27" s="22">
        <f t="shared" si="3"/>
        <v>4.5</v>
      </c>
      <c r="Q27" s="22">
        <f t="shared" si="4"/>
        <v>6</v>
      </c>
      <c r="R27" s="22">
        <f t="shared" si="5"/>
        <v>6.25</v>
      </c>
      <c r="S27" s="22">
        <f t="shared" si="6"/>
        <v>18.75</v>
      </c>
      <c r="T27" s="22"/>
    </row>
    <row r="28" spans="1:20">
      <c r="A28" s="10" t="s">
        <v>915</v>
      </c>
      <c r="B28" s="11" t="s">
        <v>993</v>
      </c>
      <c r="C28" s="11" t="s">
        <v>710</v>
      </c>
      <c r="F28" s="13" t="b">
        <v>0</v>
      </c>
      <c r="G28" s="12">
        <v>0</v>
      </c>
      <c r="H28" s="12">
        <v>0.1</v>
      </c>
      <c r="I28" s="12">
        <v>0.15</v>
      </c>
      <c r="J28" s="12">
        <v>0.15</v>
      </c>
      <c r="K28" s="12">
        <v>0.125</v>
      </c>
      <c r="M28" s="12"/>
      <c r="N28" s="22">
        <f t="shared" si="1"/>
        <v>0</v>
      </c>
      <c r="O28" s="22">
        <f t="shared" si="2"/>
        <v>0</v>
      </c>
      <c r="P28" s="22">
        <f t="shared" si="3"/>
        <v>3</v>
      </c>
      <c r="Q28" s="22">
        <f t="shared" si="4"/>
        <v>6</v>
      </c>
      <c r="R28" s="22">
        <f t="shared" si="5"/>
        <v>6.25</v>
      </c>
      <c r="S28" s="22">
        <f t="shared" si="6"/>
        <v>15.25</v>
      </c>
      <c r="T28" s="22"/>
    </row>
    <row r="29" spans="1:20">
      <c r="A29" s="10" t="s">
        <v>913</v>
      </c>
      <c r="B29" s="11" t="s">
        <v>993</v>
      </c>
      <c r="C29" s="11" t="s">
        <v>710</v>
      </c>
      <c r="F29" s="13" t="b">
        <v>0</v>
      </c>
      <c r="G29" s="12">
        <v>0</v>
      </c>
      <c r="H29" s="12">
        <v>0</v>
      </c>
      <c r="I29" s="12">
        <v>0.1</v>
      </c>
      <c r="J29" s="12">
        <v>0.15</v>
      </c>
      <c r="K29" s="12">
        <v>0.125</v>
      </c>
      <c r="M29" s="12"/>
      <c r="N29" s="22">
        <f t="shared" si="1"/>
        <v>0</v>
      </c>
      <c r="O29" s="22">
        <f t="shared" si="2"/>
        <v>0</v>
      </c>
      <c r="P29" s="22">
        <f t="shared" si="3"/>
        <v>0</v>
      </c>
      <c r="Q29" s="22">
        <f t="shared" si="4"/>
        <v>2</v>
      </c>
      <c r="R29" s="22">
        <f t="shared" si="5"/>
        <v>6.25</v>
      </c>
      <c r="S29" s="22">
        <f t="shared" si="6"/>
        <v>8.25</v>
      </c>
      <c r="T29" s="22"/>
    </row>
    <row r="30" spans="1:20">
      <c r="A30" s="6" t="s">
        <v>926</v>
      </c>
      <c r="B30" s="11" t="s">
        <v>993</v>
      </c>
      <c r="C30" s="11" t="s">
        <v>710</v>
      </c>
      <c r="F30" s="13" t="b">
        <v>0</v>
      </c>
      <c r="G30" s="12">
        <v>0</v>
      </c>
      <c r="H30" s="12">
        <v>0</v>
      </c>
      <c r="I30" s="12">
        <v>0</v>
      </c>
      <c r="J30" s="12">
        <v>0.05</v>
      </c>
      <c r="K30" s="12">
        <v>0.125</v>
      </c>
      <c r="M30" s="12"/>
      <c r="N30" s="22">
        <f t="shared" si="1"/>
        <v>0</v>
      </c>
      <c r="O30" s="22">
        <f t="shared" si="2"/>
        <v>0</v>
      </c>
      <c r="P30" s="22">
        <f t="shared" si="3"/>
        <v>0</v>
      </c>
      <c r="Q30" s="22">
        <f t="shared" si="4"/>
        <v>2</v>
      </c>
      <c r="R30" s="22">
        <f t="shared" si="5"/>
        <v>6.25</v>
      </c>
      <c r="S30" s="22">
        <f t="shared" si="6"/>
        <v>8.25</v>
      </c>
      <c r="T30" s="22"/>
    </row>
    <row r="31" spans="1:19">
      <c r="A31" s="10" t="s">
        <v>943</v>
      </c>
      <c r="B31" s="11" t="s">
        <v>993</v>
      </c>
      <c r="C31" s="11" t="s">
        <v>710</v>
      </c>
      <c r="F31" s="13" t="b">
        <v>0</v>
      </c>
      <c r="G31" s="12">
        <v>0</v>
      </c>
      <c r="H31" s="12">
        <v>0</v>
      </c>
      <c r="I31" s="12">
        <v>0</v>
      </c>
      <c r="J31" s="12">
        <v>0.05</v>
      </c>
      <c r="K31" s="12">
        <v>0.125</v>
      </c>
      <c r="M31" s="12"/>
      <c r="N31" s="12"/>
      <c r="O31" s="12"/>
      <c r="P31" s="12"/>
      <c r="Q31" s="12"/>
      <c r="R31" s="12"/>
      <c r="S31" s="12"/>
    </row>
    <row r="32" spans="1:19">
      <c r="A32" s="6" t="s">
        <v>857</v>
      </c>
      <c r="B32" s="11" t="s">
        <v>993</v>
      </c>
      <c r="C32" s="11" t="s">
        <v>710</v>
      </c>
      <c r="F32" s="13" t="b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M32" s="12"/>
      <c r="N32" s="12"/>
      <c r="O32" s="12"/>
      <c r="P32" s="12"/>
      <c r="Q32" s="12"/>
      <c r="R32" s="12"/>
      <c r="S32" s="12"/>
    </row>
    <row r="33" spans="1:19">
      <c r="A33" s="6" t="s">
        <v>837</v>
      </c>
      <c r="B33" s="11" t="s">
        <v>993</v>
      </c>
      <c r="C33" s="11" t="s">
        <v>710</v>
      </c>
      <c r="F33" s="13" t="b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M33" s="12"/>
      <c r="N33" s="12"/>
      <c r="O33" s="12"/>
      <c r="P33" s="12"/>
      <c r="Q33" s="12"/>
      <c r="R33" s="12"/>
      <c r="S33" s="12"/>
    </row>
    <row r="34" spans="1:19">
      <c r="A34" s="6" t="s">
        <v>124</v>
      </c>
      <c r="B34" s="11" t="s">
        <v>993</v>
      </c>
      <c r="C34" s="11" t="s">
        <v>710</v>
      </c>
      <c r="F34" s="13" t="b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M34" s="12"/>
      <c r="N34" s="12"/>
      <c r="O34" s="12"/>
      <c r="P34" s="20"/>
      <c r="Q34" s="12"/>
      <c r="R34" s="12"/>
      <c r="S34" s="12"/>
    </row>
    <row r="35" spans="1:19">
      <c r="A35" s="6" t="s">
        <v>902</v>
      </c>
      <c r="B35" s="11" t="s">
        <v>993</v>
      </c>
      <c r="C35" s="11" t="s">
        <v>710</v>
      </c>
      <c r="F35" s="13" t="b">
        <v>0</v>
      </c>
      <c r="G35" s="16" t="s">
        <v>711</v>
      </c>
      <c r="H35" s="16" t="s">
        <v>711</v>
      </c>
      <c r="I35" s="16" t="s">
        <v>711</v>
      </c>
      <c r="J35" s="16" t="s">
        <v>711</v>
      </c>
      <c r="K35" s="16" t="s">
        <v>711</v>
      </c>
      <c r="L35" s="16"/>
      <c r="N35" s="12"/>
      <c r="O35" s="12"/>
      <c r="P35" s="20"/>
      <c r="Q35" s="12"/>
      <c r="R35" s="12"/>
      <c r="S35" s="12"/>
    </row>
    <row r="36" spans="1:19">
      <c r="A36" s="6" t="s">
        <v>897</v>
      </c>
      <c r="B36" s="11" t="s">
        <v>993</v>
      </c>
      <c r="C36" s="11" t="s">
        <v>719</v>
      </c>
      <c r="F36" s="13" t="b">
        <v>0</v>
      </c>
      <c r="G36" s="16" t="s">
        <v>711</v>
      </c>
      <c r="H36" s="16" t="s">
        <v>711</v>
      </c>
      <c r="I36" s="16" t="s">
        <v>711</v>
      </c>
      <c r="J36" s="16" t="s">
        <v>711</v>
      </c>
      <c r="K36" s="16" t="s">
        <v>711</v>
      </c>
      <c r="L36" s="18" t="s">
        <v>994</v>
      </c>
      <c r="N36" s="12"/>
      <c r="O36" s="12"/>
      <c r="P36" s="20"/>
      <c r="Q36" s="12"/>
      <c r="R36" s="12"/>
      <c r="S36" s="12"/>
    </row>
    <row r="37" spans="1:19">
      <c r="A37" s="17" t="s">
        <v>895</v>
      </c>
      <c r="B37" s="11" t="s">
        <v>836</v>
      </c>
      <c r="C37" s="11" t="s">
        <v>710</v>
      </c>
      <c r="F37" s="13" t="b">
        <v>0</v>
      </c>
      <c r="G37" s="16" t="s">
        <v>711</v>
      </c>
      <c r="H37" s="16" t="s">
        <v>711</v>
      </c>
      <c r="I37" s="16" t="s">
        <v>711</v>
      </c>
      <c r="J37" s="16" t="s">
        <v>711</v>
      </c>
      <c r="K37" s="16" t="s">
        <v>711</v>
      </c>
      <c r="L37" s="16"/>
      <c r="N37" s="12"/>
      <c r="O37" s="12"/>
      <c r="P37" s="20"/>
      <c r="Q37" s="12"/>
      <c r="R37" s="12"/>
      <c r="S37" s="12"/>
    </row>
    <row r="38" spans="1:19">
      <c r="A38" s="17" t="s">
        <v>911</v>
      </c>
      <c r="B38" s="11" t="s">
        <v>836</v>
      </c>
      <c r="C38" s="11" t="s">
        <v>710</v>
      </c>
      <c r="F38" s="13" t="b">
        <v>0</v>
      </c>
      <c r="G38" s="16" t="s">
        <v>711</v>
      </c>
      <c r="H38" s="16" t="s">
        <v>711</v>
      </c>
      <c r="I38" s="16" t="s">
        <v>711</v>
      </c>
      <c r="J38" s="16" t="s">
        <v>711</v>
      </c>
      <c r="K38" s="16" t="s">
        <v>711</v>
      </c>
      <c r="L38" s="16"/>
      <c r="N38" s="12"/>
      <c r="O38" s="12"/>
      <c r="P38" s="20"/>
      <c r="Q38" s="12"/>
      <c r="R38" s="12"/>
      <c r="S38" s="12"/>
    </row>
    <row r="39" spans="1:19">
      <c r="A39" s="17" t="s">
        <v>919</v>
      </c>
      <c r="B39" s="11" t="s">
        <v>836</v>
      </c>
      <c r="C39" s="11" t="s">
        <v>710</v>
      </c>
      <c r="F39" s="13" t="b">
        <v>0</v>
      </c>
      <c r="G39" s="16" t="s">
        <v>711</v>
      </c>
      <c r="H39" s="16" t="s">
        <v>711</v>
      </c>
      <c r="I39" s="16" t="s">
        <v>711</v>
      </c>
      <c r="J39" s="16" t="s">
        <v>711</v>
      </c>
      <c r="K39" s="16" t="s">
        <v>711</v>
      </c>
      <c r="L39" s="16"/>
      <c r="N39" s="12"/>
      <c r="O39" s="12"/>
      <c r="P39" s="20"/>
      <c r="Q39" s="12"/>
      <c r="R39" s="12"/>
      <c r="S39" s="12"/>
    </row>
    <row r="40" spans="1:19">
      <c r="A40" s="17" t="s">
        <v>941</v>
      </c>
      <c r="B40" s="11" t="s">
        <v>836</v>
      </c>
      <c r="C40" s="11" t="s">
        <v>710</v>
      </c>
      <c r="F40" s="13" t="b">
        <v>0</v>
      </c>
      <c r="G40" s="16" t="s">
        <v>711</v>
      </c>
      <c r="H40" s="16" t="s">
        <v>711</v>
      </c>
      <c r="I40" s="16" t="s">
        <v>711</v>
      </c>
      <c r="J40" s="16" t="s">
        <v>711</v>
      </c>
      <c r="K40" s="16" t="s">
        <v>711</v>
      </c>
      <c r="L40" s="16"/>
      <c r="N40" s="12"/>
      <c r="O40" s="12"/>
      <c r="P40" s="20"/>
      <c r="Q40" s="12"/>
      <c r="R40" s="12"/>
      <c r="S40" s="12"/>
    </row>
    <row r="41" spans="1:19">
      <c r="A41" s="17" t="s">
        <v>944</v>
      </c>
      <c r="B41" s="11" t="s">
        <v>836</v>
      </c>
      <c r="C41" s="11" t="s">
        <v>710</v>
      </c>
      <c r="F41" s="13" t="b">
        <v>0</v>
      </c>
      <c r="G41" s="16" t="s">
        <v>711</v>
      </c>
      <c r="H41" s="16" t="s">
        <v>711</v>
      </c>
      <c r="I41" s="16" t="s">
        <v>711</v>
      </c>
      <c r="J41" s="16" t="s">
        <v>711</v>
      </c>
      <c r="K41" s="16" t="s">
        <v>711</v>
      </c>
      <c r="L41" s="16"/>
      <c r="N41" s="12"/>
      <c r="O41" s="12"/>
      <c r="P41" s="12"/>
      <c r="Q41" s="12"/>
      <c r="R41" s="12"/>
      <c r="S41" s="12"/>
    </row>
    <row r="42" spans="1:19">
      <c r="A42" s="17" t="s">
        <v>934</v>
      </c>
      <c r="B42" s="11" t="s">
        <v>995</v>
      </c>
      <c r="C42" s="11" t="s">
        <v>719</v>
      </c>
      <c r="D42" s="6" t="s">
        <v>600</v>
      </c>
      <c r="E42" s="6" t="s">
        <v>544</v>
      </c>
      <c r="F42" s="11" t="s">
        <v>719</v>
      </c>
      <c r="G42" s="6" t="s">
        <v>711</v>
      </c>
      <c r="H42" s="6" t="s">
        <v>711</v>
      </c>
      <c r="I42" s="6" t="s">
        <v>711</v>
      </c>
      <c r="J42" s="6" t="s">
        <v>711</v>
      </c>
      <c r="K42" s="6" t="s">
        <v>711</v>
      </c>
      <c r="L42" s="6" t="s">
        <v>996</v>
      </c>
      <c r="N42" s="12"/>
      <c r="O42" s="12"/>
      <c r="P42" s="12"/>
      <c r="Q42" s="12"/>
      <c r="R42" s="12"/>
      <c r="S42" s="12"/>
    </row>
    <row r="43" spans="1:19">
      <c r="A43" s="17" t="s">
        <v>948</v>
      </c>
      <c r="B43" s="11" t="s">
        <v>995</v>
      </c>
      <c r="C43" s="11" t="s">
        <v>719</v>
      </c>
      <c r="D43" s="6" t="s">
        <v>601</v>
      </c>
      <c r="E43" s="6" t="s">
        <v>544</v>
      </c>
      <c r="F43" s="11" t="s">
        <v>719</v>
      </c>
      <c r="G43" s="6" t="s">
        <v>711</v>
      </c>
      <c r="H43" s="6" t="s">
        <v>711</v>
      </c>
      <c r="I43" s="6" t="s">
        <v>711</v>
      </c>
      <c r="J43" s="6" t="s">
        <v>711</v>
      </c>
      <c r="K43" s="6" t="s">
        <v>711</v>
      </c>
      <c r="L43" s="6" t="s">
        <v>997</v>
      </c>
      <c r="N43" s="12"/>
      <c r="O43" s="12"/>
      <c r="P43" s="23"/>
      <c r="Q43" s="12"/>
      <c r="R43" s="12"/>
      <c r="S43" s="12"/>
    </row>
    <row r="44" spans="1:19">
      <c r="A44" s="17" t="s">
        <v>938</v>
      </c>
      <c r="B44" s="11" t="s">
        <v>995</v>
      </c>
      <c r="C44" s="11" t="s">
        <v>719</v>
      </c>
      <c r="D44" s="6" t="s">
        <v>602</v>
      </c>
      <c r="E44" s="6" t="s">
        <v>544</v>
      </c>
      <c r="F44" s="11" t="s">
        <v>719</v>
      </c>
      <c r="G44" s="6" t="s">
        <v>711</v>
      </c>
      <c r="H44" s="6" t="s">
        <v>711</v>
      </c>
      <c r="I44" s="6" t="s">
        <v>711</v>
      </c>
      <c r="J44" s="6" t="s">
        <v>711</v>
      </c>
      <c r="K44" s="6" t="s">
        <v>711</v>
      </c>
      <c r="L44" s="6" t="s">
        <v>998</v>
      </c>
      <c r="N44" s="12"/>
      <c r="O44" s="12"/>
      <c r="P44" s="12"/>
      <c r="Q44" s="12"/>
      <c r="R44" s="12"/>
      <c r="S44" s="12"/>
    </row>
    <row r="45" spans="1:16">
      <c r="A45" s="17" t="s">
        <v>952</v>
      </c>
      <c r="B45" s="11" t="s">
        <v>995</v>
      </c>
      <c r="C45" s="11" t="s">
        <v>719</v>
      </c>
      <c r="D45" s="6" t="s">
        <v>599</v>
      </c>
      <c r="E45" s="6" t="s">
        <v>544</v>
      </c>
      <c r="F45" s="11" t="s">
        <v>719</v>
      </c>
      <c r="G45" s="6" t="s">
        <v>711</v>
      </c>
      <c r="H45" s="6" t="s">
        <v>711</v>
      </c>
      <c r="I45" s="6" t="s">
        <v>711</v>
      </c>
      <c r="J45" s="6" t="s">
        <v>711</v>
      </c>
      <c r="K45" s="6" t="s">
        <v>711</v>
      </c>
      <c r="L45" s="6" t="s">
        <v>999</v>
      </c>
      <c r="P45"/>
    </row>
    <row r="46" spans="1:16">
      <c r="A46" s="18"/>
      <c r="P46"/>
    </row>
    <row r="47" spans="1:16">
      <c r="A47" s="18"/>
      <c r="P47"/>
    </row>
    <row r="48" spans="14:18">
      <c r="N48" s="6" t="s">
        <v>479</v>
      </c>
      <c r="O48" s="6" t="s">
        <v>481</v>
      </c>
      <c r="P48" s="6" t="s">
        <v>482</v>
      </c>
      <c r="Q48" s="6" t="s">
        <v>483</v>
      </c>
      <c r="R48" s="6" t="s">
        <v>484</v>
      </c>
    </row>
    <row r="49" spans="2:18">
      <c r="B49"/>
      <c r="C49"/>
      <c r="M49" s="6" t="s">
        <v>480</v>
      </c>
      <c r="N49" s="6" t="s">
        <v>474</v>
      </c>
      <c r="O49" s="6" t="s">
        <v>486</v>
      </c>
      <c r="P49" s="6" t="s">
        <v>476</v>
      </c>
      <c r="Q49" s="6" t="s">
        <v>487</v>
      </c>
      <c r="R49" s="6" t="s">
        <v>478</v>
      </c>
    </row>
    <row r="50" spans="2:18">
      <c r="B50"/>
      <c r="C50"/>
      <c r="M50" s="6" t="s">
        <v>485</v>
      </c>
      <c r="N50" s="6" t="s">
        <v>473</v>
      </c>
      <c r="O50" s="6" t="s">
        <v>476</v>
      </c>
      <c r="P50" s="6" t="s">
        <v>479</v>
      </c>
      <c r="Q50" s="6" t="s">
        <v>482</v>
      </c>
      <c r="R50" s="6" t="s">
        <v>484</v>
      </c>
    </row>
    <row r="51" spans="2:13">
      <c r="B51"/>
      <c r="C51"/>
      <c r="M51" s="6" t="s">
        <v>488</v>
      </c>
    </row>
    <row r="52" spans="2:3">
      <c r="B52"/>
      <c r="C52"/>
    </row>
    <row r="53" spans="2:17">
      <c r="B53"/>
      <c r="C53"/>
      <c r="N53" s="24"/>
      <c r="O53" s="24"/>
      <c r="P53" s="24"/>
      <c r="Q53" s="24"/>
    </row>
    <row r="54" spans="12:17">
      <c r="L54" s="12"/>
      <c r="M54" s="24" t="s">
        <v>1000</v>
      </c>
      <c r="N54" s="23" t="s">
        <v>517</v>
      </c>
      <c r="O54" s="23" t="s">
        <v>173</v>
      </c>
      <c r="P54" s="23" t="s">
        <v>523</v>
      </c>
      <c r="Q54" s="23" t="s">
        <v>175</v>
      </c>
    </row>
    <row r="55" spans="12:17">
      <c r="L55" s="12"/>
      <c r="M55" s="23" t="s">
        <v>497</v>
      </c>
      <c r="N55" s="12">
        <f>SUM(H3:H5)</f>
        <v>1</v>
      </c>
      <c r="O55" s="12">
        <f>SUM(I3:I5)</f>
        <v>1</v>
      </c>
      <c r="P55" s="12">
        <f>SUM(J3:J5)</f>
        <v>1</v>
      </c>
      <c r="Q55" s="12">
        <f>SUM(K3:K5)</f>
        <v>1</v>
      </c>
    </row>
    <row r="56" spans="12:17">
      <c r="L56" s="24" t="s">
        <v>122</v>
      </c>
      <c r="M56" s="12">
        <f>SUM(G3:G5)</f>
        <v>1</v>
      </c>
      <c r="N56" s="12">
        <f>SUM(H6:H9)</f>
        <v>1</v>
      </c>
      <c r="O56" s="12">
        <f>SUM(I6:I9)</f>
        <v>1</v>
      </c>
      <c r="P56" s="12">
        <f>SUM(J6:J9)</f>
        <v>1</v>
      </c>
      <c r="Q56" s="12">
        <f>SUM(K6:K9)</f>
        <v>1</v>
      </c>
    </row>
    <row r="57" spans="12:17">
      <c r="L57" s="24" t="s">
        <v>874</v>
      </c>
      <c r="M57" s="12">
        <f>SUM(G6:G9)</f>
        <v>1</v>
      </c>
      <c r="N57" s="12">
        <f>SUM(H12:H24)</f>
        <v>1</v>
      </c>
      <c r="O57" s="12">
        <f>SUM(I12:I24)</f>
        <v>1</v>
      </c>
      <c r="P57" s="12">
        <f>SUM(J12:J24)</f>
        <v>1</v>
      </c>
      <c r="Q57" s="12">
        <f>SUM(K12:K24)</f>
        <v>1</v>
      </c>
    </row>
    <row r="58" spans="12:17">
      <c r="L58" s="24" t="s">
        <v>972</v>
      </c>
      <c r="M58" s="12">
        <f>SUM(G12:G24)</f>
        <v>1</v>
      </c>
      <c r="N58" s="12">
        <f>SUM(H25:H34)</f>
        <v>0.9</v>
      </c>
      <c r="O58" s="12">
        <f>SUM(I25:I34)</f>
        <v>0.85</v>
      </c>
      <c r="P58" s="12">
        <f>SUM(J25:J34)</f>
        <v>0.85</v>
      </c>
      <c r="Q58" s="12">
        <f>SUM(K25:K34)</f>
        <v>0.875</v>
      </c>
    </row>
    <row r="59" spans="12:13">
      <c r="L59" s="6" t="s">
        <v>993</v>
      </c>
      <c r="M59" s="12">
        <f>SUM(G25:G34)</f>
        <v>1</v>
      </c>
    </row>
    <row r="60" spans="3:4">
      <c r="C60" s="6" t="s">
        <v>889</v>
      </c>
      <c r="D60" s="11" t="s">
        <v>1001</v>
      </c>
    </row>
    <row r="61" spans="3:4">
      <c r="C61" s="6" t="s">
        <v>899</v>
      </c>
      <c r="D61" s="11" t="s">
        <v>1002</v>
      </c>
    </row>
    <row r="62" spans="3:4">
      <c r="C62" s="10" t="s">
        <v>913</v>
      </c>
      <c r="D62" s="11" t="s">
        <v>1003</v>
      </c>
    </row>
    <row r="63" spans="3:4">
      <c r="C63" s="6" t="s">
        <v>926</v>
      </c>
      <c r="D63" s="11" t="s">
        <v>1004</v>
      </c>
    </row>
    <row r="64" spans="3:4">
      <c r="C64" s="10" t="s">
        <v>943</v>
      </c>
      <c r="D64" s="11" t="s">
        <v>1005</v>
      </c>
    </row>
    <row r="65" spans="3:4">
      <c r="C65" s="6" t="s">
        <v>124</v>
      </c>
      <c r="D65" s="11" t="s">
        <v>1006</v>
      </c>
    </row>
    <row r="67" spans="3:3">
      <c r="C67" s="11"/>
    </row>
    <row r="68" spans="3:3">
      <c r="C68" s="11"/>
    </row>
    <row r="69" spans="3:3">
      <c r="C69" s="11"/>
    </row>
  </sheetData>
  <mergeCells count="8">
    <mergeCell ref="D1:F1"/>
    <mergeCell ref="G1:K1"/>
    <mergeCell ref="N1:T1"/>
    <mergeCell ref="A1:A2"/>
    <mergeCell ref="B1:B2"/>
    <mergeCell ref="C1:C2"/>
    <mergeCell ref="L1:L2"/>
    <mergeCell ref="M1:M2"/>
  </mergeCells>
  <conditionalFormatting sqref="N55:Q58 M56:M59">
    <cfRule type="expression" dxfId="0" priority="2">
      <formula>$M$56&gt;1</formula>
    </cfRule>
  </conditionalFormatting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J1" sqref="J1:N1"/>
    </sheetView>
  </sheetViews>
  <sheetFormatPr defaultColWidth="9.14545454545454" defaultRowHeight="14.5"/>
  <cols>
    <col min="1" max="1" width="20" customWidth="1"/>
    <col min="2" max="2" width="25.8545454545455" customWidth="1"/>
    <col min="3" max="3" width="16.1454545454545" customWidth="1"/>
    <col min="4" max="4" width="13" customWidth="1"/>
    <col min="5" max="5" width="9" customWidth="1"/>
    <col min="6" max="6" width="15.2818181818182" customWidth="1"/>
    <col min="12" max="12" width="13" customWidth="1"/>
    <col min="14" max="14" width="13" customWidth="1"/>
  </cols>
  <sheetData>
    <row r="1" spans="1:14">
      <c r="A1" s="5" t="s">
        <v>1007</v>
      </c>
      <c r="B1" s="5"/>
      <c r="C1" s="5" t="s">
        <v>1008</v>
      </c>
      <c r="D1" s="5"/>
      <c r="E1" s="5" t="s">
        <v>1009</v>
      </c>
      <c r="F1" s="5"/>
      <c r="J1" s="5" t="s">
        <v>1010</v>
      </c>
      <c r="K1" s="5"/>
      <c r="L1" s="5"/>
      <c r="M1" s="5"/>
      <c r="N1" s="5"/>
    </row>
    <row r="2" spans="1:14">
      <c r="A2" s="5"/>
      <c r="B2" s="5"/>
      <c r="C2" s="5"/>
      <c r="D2" s="5"/>
      <c r="E2" s="5"/>
      <c r="F2" s="5"/>
      <c r="J2" t="s">
        <v>167</v>
      </c>
      <c r="K2" t="s">
        <v>171</v>
      </c>
      <c r="L2" t="s">
        <v>169</v>
      </c>
      <c r="M2" t="s">
        <v>173</v>
      </c>
      <c r="N2" t="s">
        <v>175</v>
      </c>
    </row>
    <row r="3" spans="1:9">
      <c r="A3" s="5" t="s">
        <v>1011</v>
      </c>
      <c r="B3" s="5" t="s">
        <v>1012</v>
      </c>
      <c r="C3" s="5" t="s">
        <v>1011</v>
      </c>
      <c r="D3" s="5" t="s">
        <v>1012</v>
      </c>
      <c r="E3" s="5" t="s">
        <v>1011</v>
      </c>
      <c r="F3" s="5" t="s">
        <v>1012</v>
      </c>
      <c r="I3" t="s">
        <v>130</v>
      </c>
    </row>
    <row r="4" spans="1:9">
      <c r="A4" s="2" t="s">
        <v>1013</v>
      </c>
      <c r="B4" s="2" t="s">
        <v>130</v>
      </c>
      <c r="C4" s="2" t="s">
        <v>1014</v>
      </c>
      <c r="I4" t="s">
        <v>133</v>
      </c>
    </row>
    <row r="5" spans="1:9">
      <c r="A5" s="2" t="s">
        <v>1015</v>
      </c>
      <c r="B5" t="s">
        <v>126</v>
      </c>
      <c r="C5" s="2" t="s">
        <v>1016</v>
      </c>
      <c r="I5" t="s">
        <v>145</v>
      </c>
    </row>
    <row r="6" spans="1:9">
      <c r="A6" s="2" t="s">
        <v>1017</v>
      </c>
      <c r="B6" t="s">
        <v>1018</v>
      </c>
      <c r="C6" s="4" t="s">
        <v>1019</v>
      </c>
      <c r="I6" t="s">
        <v>142</v>
      </c>
    </row>
    <row r="7" spans="1:9">
      <c r="A7" s="2" t="s">
        <v>1020</v>
      </c>
      <c r="B7" t="s">
        <v>1021</v>
      </c>
      <c r="C7" s="2" t="s">
        <v>1022</v>
      </c>
      <c r="I7" t="s">
        <v>1023</v>
      </c>
    </row>
    <row r="8" spans="1:3">
      <c r="A8" t="s">
        <v>1024</v>
      </c>
      <c r="B8" t="s">
        <v>1025</v>
      </c>
      <c r="C8" s="2" t="s">
        <v>1026</v>
      </c>
    </row>
    <row r="9" spans="1:3">
      <c r="A9" s="2" t="s">
        <v>1027</v>
      </c>
      <c r="B9" t="s">
        <v>1028</v>
      </c>
      <c r="C9" t="s">
        <v>1029</v>
      </c>
    </row>
    <row r="10" spans="1:3">
      <c r="A10" t="s">
        <v>1030</v>
      </c>
      <c r="B10" t="s">
        <v>1031</v>
      </c>
      <c r="C10" s="2" t="s">
        <v>1032</v>
      </c>
    </row>
    <row r="11" spans="1:3">
      <c r="A11" t="s">
        <v>1033</v>
      </c>
      <c r="B11" t="s">
        <v>1034</v>
      </c>
      <c r="C11" s="2" t="s">
        <v>1035</v>
      </c>
    </row>
    <row r="12" spans="1:2">
      <c r="A12" s="2" t="s">
        <v>1036</v>
      </c>
      <c r="B12" t="s">
        <v>1037</v>
      </c>
    </row>
    <row r="13" spans="1:2">
      <c r="A13" t="s">
        <v>1038</v>
      </c>
      <c r="B13" t="s">
        <v>1039</v>
      </c>
    </row>
    <row r="14" spans="1:1">
      <c r="A14" t="s">
        <v>1040</v>
      </c>
    </row>
    <row r="15" spans="1:2">
      <c r="A15" t="s">
        <v>1041</v>
      </c>
      <c r="B15" t="s">
        <v>1042</v>
      </c>
    </row>
    <row r="16" spans="1:2">
      <c r="A16" t="s">
        <v>1043</v>
      </c>
      <c r="B16" t="s">
        <v>132</v>
      </c>
    </row>
    <row r="17" spans="1:2">
      <c r="A17" t="s">
        <v>1044</v>
      </c>
      <c r="B17" t="s">
        <v>1045</v>
      </c>
    </row>
    <row r="18" spans="1:2">
      <c r="A18" t="s">
        <v>1046</v>
      </c>
      <c r="B18" t="s">
        <v>1047</v>
      </c>
    </row>
    <row r="19" spans="1:2">
      <c r="A19" s="2" t="s">
        <v>1048</v>
      </c>
      <c r="B19" t="s">
        <v>1049</v>
      </c>
    </row>
    <row r="20" spans="1:2">
      <c r="A20" s="2" t="s">
        <v>1050</v>
      </c>
      <c r="B20" t="s">
        <v>1051</v>
      </c>
    </row>
    <row r="21" spans="1:2">
      <c r="A21" s="2" t="s">
        <v>1052</v>
      </c>
      <c r="B21" t="s">
        <v>1053</v>
      </c>
    </row>
    <row r="22" spans="1:2">
      <c r="A22" s="2" t="s">
        <v>1054</v>
      </c>
      <c r="B22" t="s">
        <v>1055</v>
      </c>
    </row>
    <row r="23" spans="1:2">
      <c r="A23" t="s">
        <v>1056</v>
      </c>
      <c r="B23" t="s">
        <v>1057</v>
      </c>
    </row>
    <row r="24" spans="1:1">
      <c r="A24" t="s">
        <v>1058</v>
      </c>
    </row>
    <row r="25" spans="1:1">
      <c r="A25" t="s">
        <v>1023</v>
      </c>
    </row>
    <row r="26" spans="1:1">
      <c r="A26" t="s">
        <v>1059</v>
      </c>
    </row>
  </sheetData>
  <mergeCells count="4">
    <mergeCell ref="J1:N1"/>
    <mergeCell ref="A1:B2"/>
    <mergeCell ref="C1:D2"/>
    <mergeCell ref="E1:F2"/>
  </mergeCell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F10" sqref="F10"/>
    </sheetView>
  </sheetViews>
  <sheetFormatPr defaultColWidth="8.72727272727273" defaultRowHeight="14.5" outlineLevelCol="5"/>
  <cols>
    <col min="1" max="1" width="15.6363636363636" customWidth="1"/>
    <col min="2" max="2" width="19.4545454545455" customWidth="1"/>
    <col min="3" max="4" width="16.0909090909091" customWidth="1"/>
    <col min="5" max="5" width="20" customWidth="1"/>
    <col min="6" max="6" width="244.636363636364" customWidth="1"/>
  </cols>
  <sheetData>
    <row r="1" spans="1:6">
      <c r="A1" t="s">
        <v>1060</v>
      </c>
      <c r="B1" t="s">
        <v>1061</v>
      </c>
      <c r="C1" t="s">
        <v>1062</v>
      </c>
      <c r="D1" t="s">
        <v>1063</v>
      </c>
      <c r="E1" t="s">
        <v>1064</v>
      </c>
      <c r="F1" t="s">
        <v>1065</v>
      </c>
    </row>
    <row r="2" spans="1:6">
      <c r="A2">
        <v>1</v>
      </c>
      <c r="B2" t="s">
        <v>1066</v>
      </c>
      <c r="C2">
        <v>1</v>
      </c>
      <c r="D2" t="b">
        <v>0</v>
      </c>
      <c r="E2" t="s">
        <v>1066</v>
      </c>
      <c r="F2" s="1" t="s">
        <v>1067</v>
      </c>
    </row>
    <row r="3" spans="1:6">
      <c r="A3">
        <v>1</v>
      </c>
      <c r="C3">
        <v>2</v>
      </c>
      <c r="D3" t="b">
        <v>0</v>
      </c>
      <c r="E3" t="s">
        <v>466</v>
      </c>
      <c r="F3" s="1" t="s">
        <v>1068</v>
      </c>
    </row>
    <row r="4" spans="1:6">
      <c r="A4">
        <v>1</v>
      </c>
      <c r="C4">
        <v>3</v>
      </c>
      <c r="D4" t="b">
        <v>0</v>
      </c>
      <c r="E4" t="s">
        <v>1069</v>
      </c>
      <c r="F4" s="1" t="s">
        <v>1070</v>
      </c>
    </row>
    <row r="5" spans="1:6">
      <c r="A5">
        <v>2</v>
      </c>
      <c r="B5" t="s">
        <v>1071</v>
      </c>
      <c r="C5">
        <v>1</v>
      </c>
      <c r="D5" t="b">
        <v>0</v>
      </c>
      <c r="E5" t="s">
        <v>1071</v>
      </c>
      <c r="F5" s="1" t="s">
        <v>1072</v>
      </c>
    </row>
    <row r="6" spans="1:6">
      <c r="A6" s="2">
        <v>3</v>
      </c>
      <c r="B6" s="2" t="s">
        <v>1073</v>
      </c>
      <c r="C6" s="2">
        <v>1</v>
      </c>
      <c r="D6" s="2" t="b">
        <v>0</v>
      </c>
      <c r="E6" s="2" t="s">
        <v>1073</v>
      </c>
      <c r="F6" s="3" t="s">
        <v>1074</v>
      </c>
    </row>
    <row r="7" spans="1:6">
      <c r="A7" s="2">
        <v>4</v>
      </c>
      <c r="B7" s="2" t="s">
        <v>1075</v>
      </c>
      <c r="C7" s="2">
        <v>1</v>
      </c>
      <c r="D7" s="2" t="b">
        <v>1</v>
      </c>
      <c r="E7" s="2" t="s">
        <v>1076</v>
      </c>
      <c r="F7" s="3" t="s">
        <v>1077</v>
      </c>
    </row>
    <row r="8" spans="1:6">
      <c r="A8" s="2">
        <v>5</v>
      </c>
      <c r="B8" s="2" t="s">
        <v>823</v>
      </c>
      <c r="C8" s="2">
        <v>1</v>
      </c>
      <c r="D8" s="2" t="b">
        <v>0</v>
      </c>
      <c r="E8" s="2" t="s">
        <v>823</v>
      </c>
      <c r="F8" s="3" t="s">
        <v>1078</v>
      </c>
    </row>
    <row r="9" spans="1:6">
      <c r="A9" s="4">
        <v>6</v>
      </c>
      <c r="B9" s="4" t="s">
        <v>836</v>
      </c>
      <c r="C9" s="4">
        <v>1</v>
      </c>
      <c r="D9" s="4" t="b">
        <v>0</v>
      </c>
      <c r="E9" s="4" t="s">
        <v>836</v>
      </c>
      <c r="F9" s="1" t="s">
        <v>1079</v>
      </c>
    </row>
    <row r="10" spans="1:6">
      <c r="A10" s="2">
        <v>7</v>
      </c>
      <c r="B10" s="2" t="s">
        <v>1080</v>
      </c>
      <c r="C10" s="2">
        <v>1</v>
      </c>
      <c r="D10" s="2" t="b">
        <v>0</v>
      </c>
      <c r="E10" s="2" t="s">
        <v>1080</v>
      </c>
      <c r="F10" s="3" t="s">
        <v>1081</v>
      </c>
    </row>
    <row r="11" spans="1:6">
      <c r="A11" s="4">
        <v>8</v>
      </c>
      <c r="B11" s="4" t="s">
        <v>4</v>
      </c>
      <c r="C11" s="4">
        <v>1</v>
      </c>
      <c r="D11" s="4" t="b">
        <v>0</v>
      </c>
      <c r="E11" s="4" t="s">
        <v>4</v>
      </c>
      <c r="F11" s="1" t="s">
        <v>1082</v>
      </c>
    </row>
    <row r="12" spans="1:6">
      <c r="A12">
        <v>10</v>
      </c>
      <c r="B12" t="s">
        <v>1083</v>
      </c>
      <c r="C12">
        <v>1</v>
      </c>
      <c r="D12" t="b">
        <v>0</v>
      </c>
      <c r="E12" t="s">
        <v>1083</v>
      </c>
      <c r="F12" s="1" t="s">
        <v>1084</v>
      </c>
    </row>
    <row r="13" spans="1:6">
      <c r="A13">
        <v>10</v>
      </c>
      <c r="C13">
        <v>2</v>
      </c>
      <c r="D13" t="b">
        <v>0</v>
      </c>
      <c r="E13" t="s">
        <v>1085</v>
      </c>
      <c r="F13" s="1" t="s">
        <v>1086</v>
      </c>
    </row>
    <row r="14" spans="1:6">
      <c r="A14">
        <v>10</v>
      </c>
      <c r="C14">
        <v>3</v>
      </c>
      <c r="D14" t="b">
        <v>0</v>
      </c>
      <c r="E14" t="s">
        <v>1087</v>
      </c>
      <c r="F14" s="1" t="s">
        <v>1088</v>
      </c>
    </row>
    <row r="15" spans="1:6">
      <c r="A15">
        <v>11</v>
      </c>
      <c r="B15" t="s">
        <v>1089</v>
      </c>
      <c r="C15">
        <v>1</v>
      </c>
      <c r="D15" t="b">
        <v>0</v>
      </c>
      <c r="E15" t="s">
        <v>1089</v>
      </c>
      <c r="F15" t="s">
        <v>1090</v>
      </c>
    </row>
    <row r="16" spans="1:6">
      <c r="A16">
        <v>11</v>
      </c>
      <c r="C16">
        <v>2</v>
      </c>
      <c r="D16" t="b">
        <v>0</v>
      </c>
      <c r="E16" t="s">
        <v>834</v>
      </c>
      <c r="F16" t="s">
        <v>1091</v>
      </c>
    </row>
    <row r="17" spans="1:6">
      <c r="A17">
        <v>12</v>
      </c>
      <c r="B17" t="s">
        <v>1092</v>
      </c>
      <c r="C17">
        <v>1</v>
      </c>
      <c r="D17" t="b">
        <v>0</v>
      </c>
      <c r="E17" t="s">
        <v>1092</v>
      </c>
      <c r="F17" t="s">
        <v>1093</v>
      </c>
    </row>
    <row r="18" spans="1:6">
      <c r="A18">
        <v>12</v>
      </c>
      <c r="C18">
        <v>2</v>
      </c>
      <c r="D18" t="b">
        <v>0</v>
      </c>
      <c r="E18" t="s">
        <v>706</v>
      </c>
      <c r="F18" t="s">
        <v>1094</v>
      </c>
    </row>
    <row r="19" spans="1:6">
      <c r="A19">
        <v>12</v>
      </c>
      <c r="C19">
        <v>3</v>
      </c>
      <c r="D19" t="b">
        <v>0</v>
      </c>
      <c r="E19" t="s">
        <v>1095</v>
      </c>
      <c r="F19" t="s">
        <v>1096</v>
      </c>
    </row>
    <row r="20" spans="1:6">
      <c r="A20">
        <v>13</v>
      </c>
      <c r="B20" t="s">
        <v>836</v>
      </c>
      <c r="C20">
        <v>1</v>
      </c>
      <c r="D20" t="b">
        <v>0</v>
      </c>
      <c r="E20" t="s">
        <v>836</v>
      </c>
      <c r="F20" t="s">
        <v>1097</v>
      </c>
    </row>
    <row r="21" spans="1:6">
      <c r="A21">
        <v>13</v>
      </c>
      <c r="C21">
        <v>2</v>
      </c>
      <c r="D21" t="b">
        <v>0</v>
      </c>
      <c r="E21" t="s">
        <v>1098</v>
      </c>
      <c r="F21" t="s">
        <v>1099</v>
      </c>
    </row>
    <row r="22" spans="1:6">
      <c r="A22">
        <v>14</v>
      </c>
      <c r="B22" t="s">
        <v>1100</v>
      </c>
      <c r="C22">
        <v>1</v>
      </c>
      <c r="D22" t="b">
        <v>0</v>
      </c>
      <c r="E22" t="s">
        <v>1100</v>
      </c>
      <c r="F22" t="s">
        <v>1101</v>
      </c>
    </row>
    <row r="23" spans="1:6">
      <c r="A23">
        <v>15</v>
      </c>
      <c r="B23" t="s">
        <v>1102</v>
      </c>
      <c r="C23">
        <v>1</v>
      </c>
      <c r="D23" t="b">
        <v>0</v>
      </c>
      <c r="E23" t="s">
        <v>1102</v>
      </c>
      <c r="F23" t="s">
        <v>1103</v>
      </c>
    </row>
    <row r="24" spans="1:6">
      <c r="A24">
        <v>15</v>
      </c>
      <c r="C24">
        <v>2</v>
      </c>
      <c r="D24" t="b">
        <v>0</v>
      </c>
      <c r="E24" t="s">
        <v>1104</v>
      </c>
      <c r="F24" t="s">
        <v>1105</v>
      </c>
    </row>
    <row r="25" spans="1:6">
      <c r="A25">
        <v>15</v>
      </c>
      <c r="C25">
        <v>3</v>
      </c>
      <c r="D25" t="b">
        <v>0</v>
      </c>
      <c r="E25" t="s">
        <v>1106</v>
      </c>
      <c r="F25" t="s">
        <v>1107</v>
      </c>
    </row>
    <row r="26" spans="1:6">
      <c r="A26">
        <v>15</v>
      </c>
      <c r="C26">
        <v>4</v>
      </c>
      <c r="D26" t="b">
        <v>0</v>
      </c>
      <c r="E26" t="s">
        <v>628</v>
      </c>
      <c r="F26" s="1" t="s">
        <v>1108</v>
      </c>
    </row>
    <row r="27" spans="1:6">
      <c r="A27">
        <v>16</v>
      </c>
      <c r="B27" t="s">
        <v>1109</v>
      </c>
      <c r="C27">
        <v>1</v>
      </c>
      <c r="D27" t="b">
        <v>0</v>
      </c>
      <c r="E27" s="2" t="s">
        <v>1110</v>
      </c>
      <c r="F27" t="s">
        <v>1111</v>
      </c>
    </row>
    <row r="28" spans="1:6">
      <c r="A28">
        <v>16</v>
      </c>
      <c r="C28">
        <v>2</v>
      </c>
      <c r="D28" t="b">
        <v>0</v>
      </c>
      <c r="E28" s="4" t="s">
        <v>1112</v>
      </c>
      <c r="F28" t="s">
        <v>1113</v>
      </c>
    </row>
    <row r="29" spans="1:6">
      <c r="A29">
        <v>17</v>
      </c>
      <c r="B29" t="s">
        <v>1114</v>
      </c>
      <c r="C29">
        <v>1</v>
      </c>
      <c r="D29" t="b">
        <v>0</v>
      </c>
      <c r="E29" t="s">
        <v>1114</v>
      </c>
      <c r="F29" t="s">
        <v>1115</v>
      </c>
    </row>
    <row r="30" spans="1:6">
      <c r="A30">
        <v>18</v>
      </c>
      <c r="B30" t="s">
        <v>1116</v>
      </c>
      <c r="C30">
        <v>2</v>
      </c>
      <c r="D30" t="b">
        <v>0</v>
      </c>
      <c r="E30" t="s">
        <v>1116</v>
      </c>
      <c r="F30" t="s">
        <v>1117</v>
      </c>
    </row>
    <row r="31" spans="1:6">
      <c r="A31" s="2">
        <v>19</v>
      </c>
      <c r="B31" s="2" t="s">
        <v>443</v>
      </c>
      <c r="C31" s="2">
        <v>1</v>
      </c>
      <c r="D31" s="2" t="b">
        <v>1</v>
      </c>
      <c r="E31" s="2" t="s">
        <v>443</v>
      </c>
      <c r="F31" s="2" t="s">
        <v>1118</v>
      </c>
    </row>
    <row r="32" spans="1:6">
      <c r="A32" s="2">
        <v>20</v>
      </c>
      <c r="B32" s="2" t="s">
        <v>1119</v>
      </c>
      <c r="C32" s="2">
        <v>1</v>
      </c>
      <c r="D32" s="2" t="b">
        <v>1</v>
      </c>
      <c r="E32" s="2" t="s">
        <v>1119</v>
      </c>
      <c r="F32" s="3" t="s">
        <v>1120</v>
      </c>
    </row>
    <row r="33" spans="1:6">
      <c r="A33" s="2">
        <v>21</v>
      </c>
      <c r="B33" s="2" t="s">
        <v>1121</v>
      </c>
      <c r="C33" s="2">
        <v>1</v>
      </c>
      <c r="D33" s="2" t="b">
        <v>0</v>
      </c>
      <c r="E33" s="2" t="s">
        <v>1121</v>
      </c>
      <c r="F33" s="3" t="s">
        <v>1122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17"/>
      <c r="B1" s="149" t="s">
        <v>1</v>
      </c>
      <c r="C1" s="149" t="s">
        <v>68</v>
      </c>
      <c r="D1" s="150" t="s">
        <v>3</v>
      </c>
      <c r="E1" s="150"/>
      <c r="F1" s="150"/>
      <c r="G1" s="149"/>
      <c r="H1" s="150" t="s">
        <v>4</v>
      </c>
      <c r="I1" s="150"/>
      <c r="J1" s="150"/>
      <c r="K1" s="149"/>
      <c r="L1" s="150" t="s">
        <v>5</v>
      </c>
      <c r="M1" s="150"/>
      <c r="N1" s="150"/>
      <c r="O1" s="149"/>
      <c r="P1" s="150" t="s">
        <v>6</v>
      </c>
      <c r="Q1" s="150"/>
      <c r="R1" s="150"/>
      <c r="S1" s="210"/>
      <c r="T1" s="150" t="s">
        <v>7</v>
      </c>
      <c r="U1" s="150"/>
      <c r="V1" s="150"/>
      <c r="W1" s="210"/>
      <c r="X1" s="150" t="s">
        <v>9</v>
      </c>
      <c r="Y1" s="150"/>
      <c r="Z1" s="150"/>
      <c r="AA1" s="149"/>
      <c r="AB1" s="150" t="s">
        <v>11</v>
      </c>
      <c r="AC1" s="150" t="s">
        <v>69</v>
      </c>
      <c r="AD1" s="224" t="s">
        <v>70</v>
      </c>
      <c r="AE1" s="225" t="s">
        <v>68</v>
      </c>
      <c r="AF1" s="77"/>
      <c r="AG1" s="155"/>
    </row>
    <row r="2" customFormat="1" spans="1:31">
      <c r="A2" s="151"/>
      <c r="B2" s="152"/>
      <c r="C2" s="152"/>
      <c r="D2" s="153" t="s">
        <v>71</v>
      </c>
      <c r="E2" s="153" t="s">
        <v>72</v>
      </c>
      <c r="F2" s="153" t="s">
        <v>73</v>
      </c>
      <c r="G2" s="154" t="s">
        <v>74</v>
      </c>
      <c r="H2" s="153" t="s">
        <v>71</v>
      </c>
      <c r="I2" s="153" t="s">
        <v>72</v>
      </c>
      <c r="J2" s="153" t="s">
        <v>73</v>
      </c>
      <c r="K2" s="154" t="s">
        <v>74</v>
      </c>
      <c r="L2" s="165" t="s">
        <v>71</v>
      </c>
      <c r="M2" s="153" t="s">
        <v>72</v>
      </c>
      <c r="N2" s="153" t="s">
        <v>73</v>
      </c>
      <c r="O2" s="152" t="s">
        <v>74</v>
      </c>
      <c r="P2" s="153" t="s">
        <v>71</v>
      </c>
      <c r="Q2" s="153" t="s">
        <v>72</v>
      </c>
      <c r="R2" s="153" t="s">
        <v>73</v>
      </c>
      <c r="S2" s="152" t="s">
        <v>74</v>
      </c>
      <c r="T2" s="153" t="s">
        <v>71</v>
      </c>
      <c r="U2" s="153" t="s">
        <v>72</v>
      </c>
      <c r="V2" s="153" t="s">
        <v>73</v>
      </c>
      <c r="W2" s="152" t="s">
        <v>74</v>
      </c>
      <c r="X2" s="153" t="s">
        <v>71</v>
      </c>
      <c r="Y2" s="153" t="s">
        <v>72</v>
      </c>
      <c r="Z2" s="153" t="s">
        <v>73</v>
      </c>
      <c r="AA2" s="152" t="s">
        <v>74</v>
      </c>
      <c r="AB2" s="153"/>
      <c r="AC2" s="153"/>
      <c r="AD2" s="226"/>
      <c r="AE2" s="227"/>
    </row>
    <row r="3" customFormat="1" spans="1:31">
      <c r="A3" s="81" t="s">
        <v>20</v>
      </c>
      <c r="B3" s="81" t="b">
        <v>1</v>
      </c>
      <c r="C3" s="123">
        <v>0</v>
      </c>
      <c r="D3" s="88">
        <v>3.5</v>
      </c>
      <c r="E3" s="64">
        <v>4</v>
      </c>
      <c r="F3" s="64">
        <v>35</v>
      </c>
      <c r="G3" s="155">
        <f>$C3*E3+F3</f>
        <v>35</v>
      </c>
      <c r="H3">
        <v>55</v>
      </c>
      <c r="I3" s="64">
        <v>1</v>
      </c>
      <c r="J3" s="64">
        <v>55</v>
      </c>
      <c r="K3" s="155">
        <f>$C3*I3+J3</f>
        <v>55</v>
      </c>
      <c r="L3">
        <v>2</v>
      </c>
      <c r="M3" s="64">
        <v>0.1</v>
      </c>
      <c r="N3" s="64">
        <v>2</v>
      </c>
      <c r="O3" s="155">
        <f>$C3*M3+N3</f>
        <v>2</v>
      </c>
      <c r="P3">
        <v>70</v>
      </c>
      <c r="Q3" s="64">
        <v>1</v>
      </c>
      <c r="R3" s="64">
        <v>70</v>
      </c>
      <c r="S3" s="155">
        <f>$C3*Q3+R3</f>
        <v>70</v>
      </c>
      <c r="T3">
        <v>1.5</v>
      </c>
      <c r="U3" s="64">
        <v>-0.05</v>
      </c>
      <c r="V3" s="64">
        <v>1.5</v>
      </c>
      <c r="W3" s="155">
        <f>$C3*U3+V3</f>
        <v>1.5</v>
      </c>
      <c r="X3">
        <v>3</v>
      </c>
      <c r="Y3" s="64">
        <v>0.2</v>
      </c>
      <c r="Z3" s="64">
        <v>3</v>
      </c>
      <c r="AA3" s="155">
        <f>$C3*Y3+Z3</f>
        <v>3</v>
      </c>
      <c r="AB3" s="77">
        <f t="shared" ref="AB3:AB17" si="0">AA3/100*G3*2+(1-AA3/100)*G3</f>
        <v>36.05</v>
      </c>
      <c r="AC3" s="148">
        <f t="shared" ref="AC3:AC17" si="1">AB3*O3</f>
        <v>72.1</v>
      </c>
      <c r="AD3">
        <f>AC3*(K3/100)</f>
        <v>39.655</v>
      </c>
      <c r="AE3" s="123">
        <v>0</v>
      </c>
    </row>
    <row r="4" customFormat="1" spans="1:31">
      <c r="A4" s="81"/>
      <c r="B4" s="81"/>
      <c r="C4" s="123">
        <v>10</v>
      </c>
      <c r="D4" s="88">
        <v>8.5</v>
      </c>
      <c r="E4" s="64"/>
      <c r="F4" s="64"/>
      <c r="G4" s="155">
        <f>$C4*E3+F3</f>
        <v>75</v>
      </c>
      <c r="H4">
        <v>65</v>
      </c>
      <c r="I4" s="64"/>
      <c r="J4" s="64"/>
      <c r="K4" s="155">
        <f>$C4*I3+J3</f>
        <v>65</v>
      </c>
      <c r="L4">
        <v>3</v>
      </c>
      <c r="M4" s="64"/>
      <c r="N4" s="64"/>
      <c r="O4" s="155">
        <f>$C4*M3+N3</f>
        <v>3</v>
      </c>
      <c r="P4">
        <v>80</v>
      </c>
      <c r="Q4" s="64"/>
      <c r="R4" s="64"/>
      <c r="S4" s="155">
        <f>$C4*Q3+R3</f>
        <v>80</v>
      </c>
      <c r="T4">
        <v>1</v>
      </c>
      <c r="U4" s="64"/>
      <c r="V4" s="64"/>
      <c r="W4" s="155">
        <f>$C4*U3+V3</f>
        <v>1</v>
      </c>
      <c r="X4">
        <v>5</v>
      </c>
      <c r="Y4" s="64"/>
      <c r="Z4" s="64"/>
      <c r="AA4" s="155">
        <f>$C4*Y3+Z3</f>
        <v>5</v>
      </c>
      <c r="AB4" s="77">
        <f t="shared" si="0"/>
        <v>78.75</v>
      </c>
      <c r="AC4" s="148">
        <f t="shared" si="1"/>
        <v>236.25</v>
      </c>
      <c r="AD4">
        <f t="shared" ref="AD4:AD17" si="2">AC4*(K4/100)</f>
        <v>153.5625</v>
      </c>
      <c r="AE4" s="123">
        <v>10</v>
      </c>
    </row>
    <row r="5" s="88" customFormat="1" spans="1:31">
      <c r="A5" s="156"/>
      <c r="B5" s="156"/>
      <c r="C5" s="129">
        <v>20</v>
      </c>
      <c r="D5" s="157">
        <v>11.5</v>
      </c>
      <c r="E5" s="158"/>
      <c r="F5" s="158"/>
      <c r="G5" s="159">
        <f>$C5*E3+F3</f>
        <v>115</v>
      </c>
      <c r="H5" s="157">
        <v>75</v>
      </c>
      <c r="I5" s="158"/>
      <c r="J5" s="158"/>
      <c r="K5" s="159">
        <f>$C5*I3+J3</f>
        <v>75</v>
      </c>
      <c r="L5" s="157">
        <v>4</v>
      </c>
      <c r="M5" s="158"/>
      <c r="N5" s="158"/>
      <c r="O5" s="159">
        <f>$C5*M3+N3</f>
        <v>4</v>
      </c>
      <c r="P5" s="157">
        <v>90</v>
      </c>
      <c r="Q5" s="158"/>
      <c r="R5" s="158"/>
      <c r="S5" s="159">
        <f>$C5*Q3+R3</f>
        <v>90</v>
      </c>
      <c r="T5" s="157">
        <v>0.5</v>
      </c>
      <c r="U5" s="158"/>
      <c r="V5" s="158"/>
      <c r="W5" s="159">
        <f>$C5*U3+V3</f>
        <v>0.5</v>
      </c>
      <c r="X5" s="157">
        <v>7</v>
      </c>
      <c r="Y5" s="158"/>
      <c r="Z5" s="158"/>
      <c r="AA5" s="159">
        <f>$C5*Y3+Z3</f>
        <v>7</v>
      </c>
      <c r="AB5" s="228">
        <f t="shared" si="0"/>
        <v>123.05</v>
      </c>
      <c r="AC5" s="228">
        <f t="shared" si="1"/>
        <v>492.2</v>
      </c>
      <c r="AD5" s="157">
        <f t="shared" si="2"/>
        <v>369.15</v>
      </c>
      <c r="AE5" s="129">
        <v>20</v>
      </c>
    </row>
    <row r="6" customFormat="1" spans="1:31">
      <c r="A6" s="81" t="s">
        <v>28</v>
      </c>
      <c r="B6" s="81" t="b">
        <v>1</v>
      </c>
      <c r="C6" s="123">
        <v>0</v>
      </c>
      <c r="D6" s="88">
        <v>12.5</v>
      </c>
      <c r="E6" s="64">
        <v>10</v>
      </c>
      <c r="F6" s="64">
        <v>60</v>
      </c>
      <c r="G6" s="155">
        <f>$C6*E$6+F$6</f>
        <v>60</v>
      </c>
      <c r="H6">
        <v>70</v>
      </c>
      <c r="I6" s="64">
        <v>1</v>
      </c>
      <c r="J6" s="64">
        <v>70</v>
      </c>
      <c r="K6" s="155">
        <f>$C6*I$6+J$6</f>
        <v>70</v>
      </c>
      <c r="L6">
        <v>0.6</v>
      </c>
      <c r="M6" s="64">
        <v>0.04</v>
      </c>
      <c r="N6" s="64">
        <v>0.6</v>
      </c>
      <c r="O6" s="155">
        <f>$C6*M$6+N$6</f>
        <v>0.6</v>
      </c>
      <c r="P6">
        <v>35</v>
      </c>
      <c r="Q6" s="64">
        <v>1</v>
      </c>
      <c r="R6" s="64">
        <v>35</v>
      </c>
      <c r="S6" s="155">
        <f>$C6*Q$6+R$6</f>
        <v>35</v>
      </c>
      <c r="T6">
        <v>2.75</v>
      </c>
      <c r="U6" s="64">
        <v>-0.025</v>
      </c>
      <c r="V6" s="64">
        <v>2.75</v>
      </c>
      <c r="W6" s="155">
        <f>$C6*U$6+V$6</f>
        <v>2.75</v>
      </c>
      <c r="X6">
        <v>10</v>
      </c>
      <c r="Y6" s="64">
        <v>2.5</v>
      </c>
      <c r="Z6" s="64">
        <v>10</v>
      </c>
      <c r="AA6" s="155">
        <f>$C6*Y$6+Z$6</f>
        <v>10</v>
      </c>
      <c r="AB6" s="77">
        <f t="shared" si="0"/>
        <v>66</v>
      </c>
      <c r="AC6" s="148">
        <f t="shared" si="1"/>
        <v>39.6</v>
      </c>
      <c r="AD6">
        <f t="shared" si="2"/>
        <v>27.72</v>
      </c>
      <c r="AE6" s="123">
        <v>0</v>
      </c>
    </row>
    <row r="7" customFormat="1" spans="1:31">
      <c r="A7" s="81"/>
      <c r="B7" s="81"/>
      <c r="C7" s="123">
        <v>10</v>
      </c>
      <c r="D7" s="88">
        <v>37.5</v>
      </c>
      <c r="E7" s="64"/>
      <c r="F7" s="64"/>
      <c r="G7" s="155">
        <f>$C7*E$6+F$6</f>
        <v>160</v>
      </c>
      <c r="H7">
        <v>80</v>
      </c>
      <c r="I7" s="64"/>
      <c r="J7" s="64"/>
      <c r="K7" s="155">
        <f>$C7*I$6+J$6</f>
        <v>80</v>
      </c>
      <c r="L7">
        <v>1</v>
      </c>
      <c r="M7" s="64"/>
      <c r="N7" s="64"/>
      <c r="O7" s="155">
        <f>$C7*M$6+N$6</f>
        <v>1</v>
      </c>
      <c r="P7">
        <v>45</v>
      </c>
      <c r="Q7" s="64"/>
      <c r="R7" s="64"/>
      <c r="S7" s="155">
        <f>$C7*Q$6+R$6</f>
        <v>45</v>
      </c>
      <c r="T7">
        <v>2.5</v>
      </c>
      <c r="U7" s="64"/>
      <c r="V7" s="64"/>
      <c r="W7" s="155">
        <f>$C7*U$6+V$6</f>
        <v>2.5</v>
      </c>
      <c r="X7">
        <v>30</v>
      </c>
      <c r="Y7" s="64"/>
      <c r="Z7" s="64"/>
      <c r="AA7" s="155">
        <f>$C7*Y$6+Z$6</f>
        <v>35</v>
      </c>
      <c r="AB7" s="77">
        <f t="shared" si="0"/>
        <v>216</v>
      </c>
      <c r="AC7" s="148">
        <f t="shared" si="1"/>
        <v>216</v>
      </c>
      <c r="AD7">
        <f t="shared" si="2"/>
        <v>172.8</v>
      </c>
      <c r="AE7" s="123">
        <v>10</v>
      </c>
    </row>
    <row r="8" customFormat="1" spans="1:31">
      <c r="A8" s="81"/>
      <c r="B8" s="81"/>
      <c r="C8" s="123">
        <v>20</v>
      </c>
      <c r="D8" s="88">
        <v>62.5</v>
      </c>
      <c r="E8" s="64"/>
      <c r="F8" s="64"/>
      <c r="G8" s="155">
        <f>$C8*E$6+F$6</f>
        <v>260</v>
      </c>
      <c r="H8">
        <v>90</v>
      </c>
      <c r="I8" s="64"/>
      <c r="J8" s="64"/>
      <c r="K8" s="155">
        <f>$C8*I$6+J$6</f>
        <v>90</v>
      </c>
      <c r="L8">
        <v>1.4</v>
      </c>
      <c r="M8" s="64"/>
      <c r="N8" s="64"/>
      <c r="O8" s="155">
        <f>$C8*M$6+N$6</f>
        <v>1.4</v>
      </c>
      <c r="P8">
        <v>55</v>
      </c>
      <c r="Q8" s="64"/>
      <c r="R8" s="64"/>
      <c r="S8" s="155">
        <f>$C8*Q$6+R$6</f>
        <v>55</v>
      </c>
      <c r="T8">
        <v>2.25</v>
      </c>
      <c r="U8" s="64"/>
      <c r="V8" s="64"/>
      <c r="W8" s="155">
        <f>$C8*U$6+V$6</f>
        <v>2.25</v>
      </c>
      <c r="X8">
        <v>60</v>
      </c>
      <c r="Y8" s="64"/>
      <c r="Z8" s="64"/>
      <c r="AA8" s="155">
        <f>$C8*Y$6+Z$6</f>
        <v>60</v>
      </c>
      <c r="AB8" s="77">
        <f t="shared" si="0"/>
        <v>416</v>
      </c>
      <c r="AC8" s="148">
        <f t="shared" si="1"/>
        <v>582.4</v>
      </c>
      <c r="AD8" s="157">
        <f t="shared" si="2"/>
        <v>524.16</v>
      </c>
      <c r="AE8" s="129">
        <v>20</v>
      </c>
    </row>
    <row r="9" s="88" customFormat="1" spans="1:31">
      <c r="A9" s="160" t="s">
        <v>35</v>
      </c>
      <c r="B9" s="160" t="b">
        <v>0</v>
      </c>
      <c r="C9" s="135">
        <v>0</v>
      </c>
      <c r="D9" s="161">
        <v>1</v>
      </c>
      <c r="E9" s="162">
        <v>0.6</v>
      </c>
      <c r="F9" s="162">
        <v>10</v>
      </c>
      <c r="G9" s="163">
        <f>$C9*E$9+F$9</f>
        <v>10</v>
      </c>
      <c r="H9" s="161">
        <v>10</v>
      </c>
      <c r="I9" s="162">
        <v>0.5</v>
      </c>
      <c r="J9" s="162">
        <v>10</v>
      </c>
      <c r="K9" s="163">
        <f>$C9*I$9+J$9</f>
        <v>10</v>
      </c>
      <c r="L9" s="161">
        <v>0.75</v>
      </c>
      <c r="M9" s="162">
        <v>0.025</v>
      </c>
      <c r="N9" s="162">
        <v>0.75</v>
      </c>
      <c r="O9" s="163">
        <f>$C9*M$9+N$9</f>
        <v>0.75</v>
      </c>
      <c r="P9" s="161">
        <v>40</v>
      </c>
      <c r="Q9" s="162">
        <v>1</v>
      </c>
      <c r="R9" s="162">
        <v>40</v>
      </c>
      <c r="S9" s="163">
        <f>$C9*Q$9+R$9</f>
        <v>40</v>
      </c>
      <c r="T9" s="161">
        <v>3.5</v>
      </c>
      <c r="U9" s="162">
        <v>-0.05</v>
      </c>
      <c r="V9" s="162">
        <v>3.5</v>
      </c>
      <c r="W9" s="163">
        <f>$C9*U$9+V$9</f>
        <v>3.5</v>
      </c>
      <c r="X9" s="161">
        <v>2</v>
      </c>
      <c r="Y9" s="162">
        <v>0</v>
      </c>
      <c r="Z9" s="162">
        <v>2</v>
      </c>
      <c r="AA9" s="163">
        <f>Z9</f>
        <v>2</v>
      </c>
      <c r="AB9" s="229">
        <f t="shared" si="0"/>
        <v>10.2</v>
      </c>
      <c r="AC9" s="229">
        <f t="shared" si="1"/>
        <v>7.65</v>
      </c>
      <c r="AD9" s="88">
        <f t="shared" si="2"/>
        <v>0.765</v>
      </c>
      <c r="AE9" s="123">
        <v>0</v>
      </c>
    </row>
    <row r="10" customFormat="1" spans="1:31">
      <c r="A10" s="81"/>
      <c r="B10" s="81"/>
      <c r="C10" s="123">
        <v>10</v>
      </c>
      <c r="D10" s="88">
        <v>1.85</v>
      </c>
      <c r="E10" s="64"/>
      <c r="F10" s="64"/>
      <c r="G10" s="155">
        <f>$C10*E$9+F$9</f>
        <v>16</v>
      </c>
      <c r="H10">
        <v>15</v>
      </c>
      <c r="I10" s="64"/>
      <c r="J10" s="64"/>
      <c r="K10" s="155">
        <f>$C10*I$9+J$9</f>
        <v>15</v>
      </c>
      <c r="L10">
        <v>1</v>
      </c>
      <c r="M10" s="64"/>
      <c r="N10" s="64"/>
      <c r="O10" s="155">
        <f>$C10*M$9+N$9</f>
        <v>1</v>
      </c>
      <c r="P10">
        <v>50</v>
      </c>
      <c r="Q10" s="64"/>
      <c r="R10" s="64"/>
      <c r="S10" s="155">
        <f>$C10*Q$9+R$9</f>
        <v>50</v>
      </c>
      <c r="T10">
        <v>3</v>
      </c>
      <c r="U10" s="64"/>
      <c r="V10" s="64"/>
      <c r="W10" s="155">
        <f>$C10*U$9+V$9</f>
        <v>3</v>
      </c>
      <c r="X10">
        <v>2</v>
      </c>
      <c r="Y10" s="64"/>
      <c r="Z10" s="64"/>
      <c r="AA10" s="155">
        <f>Z9</f>
        <v>2</v>
      </c>
      <c r="AB10" s="77">
        <f t="shared" si="0"/>
        <v>16.32</v>
      </c>
      <c r="AC10" s="148">
        <f t="shared" si="1"/>
        <v>16.32</v>
      </c>
      <c r="AD10">
        <f t="shared" si="2"/>
        <v>2.448</v>
      </c>
      <c r="AE10" s="123">
        <v>10</v>
      </c>
    </row>
    <row r="11" s="88" customFormat="1" spans="1:31">
      <c r="A11" s="156"/>
      <c r="B11" s="156"/>
      <c r="C11" s="129">
        <v>20</v>
      </c>
      <c r="D11" s="157">
        <v>2.05</v>
      </c>
      <c r="E11" s="158"/>
      <c r="F11" s="158"/>
      <c r="G11" s="159">
        <f>$C11*E$9+F$9</f>
        <v>22</v>
      </c>
      <c r="H11" s="157">
        <v>20</v>
      </c>
      <c r="I11" s="158"/>
      <c r="J11" s="158"/>
      <c r="K11" s="159">
        <f>$C11*I$9+J$9</f>
        <v>20</v>
      </c>
      <c r="L11" s="157">
        <v>1.25</v>
      </c>
      <c r="M11" s="158"/>
      <c r="N11" s="158"/>
      <c r="O11" s="159">
        <f>$C11*M$9+N$9</f>
        <v>1.25</v>
      </c>
      <c r="P11" s="157">
        <v>60</v>
      </c>
      <c r="Q11" s="158"/>
      <c r="R11" s="158"/>
      <c r="S11" s="159">
        <f>$C11*Q$9+R$9</f>
        <v>60</v>
      </c>
      <c r="T11" s="157">
        <v>2.5</v>
      </c>
      <c r="U11" s="158"/>
      <c r="V11" s="158"/>
      <c r="W11" s="159">
        <f>$C11*U$9+V$9</f>
        <v>2.5</v>
      </c>
      <c r="X11" s="157">
        <v>2</v>
      </c>
      <c r="Y11" s="158"/>
      <c r="Z11" s="158"/>
      <c r="AA11" s="159">
        <f>Z9</f>
        <v>2</v>
      </c>
      <c r="AB11" s="228">
        <f t="shared" si="0"/>
        <v>22.44</v>
      </c>
      <c r="AC11" s="228">
        <f t="shared" si="1"/>
        <v>28.05</v>
      </c>
      <c r="AD11" s="157">
        <f t="shared" si="2"/>
        <v>5.61</v>
      </c>
      <c r="AE11" s="129">
        <v>20</v>
      </c>
    </row>
    <row r="12" customFormat="1" spans="1:31">
      <c r="A12" s="81" t="s">
        <v>42</v>
      </c>
      <c r="B12" s="81" t="b">
        <v>0</v>
      </c>
      <c r="C12" s="123">
        <v>0</v>
      </c>
      <c r="D12" s="88">
        <v>3.3</v>
      </c>
      <c r="E12" s="64">
        <v>1</v>
      </c>
      <c r="F12" s="64">
        <v>21</v>
      </c>
      <c r="G12" s="155">
        <f>$C12*E$12+F$12</f>
        <v>21</v>
      </c>
      <c r="H12">
        <v>60</v>
      </c>
      <c r="I12" s="64">
        <v>0.5</v>
      </c>
      <c r="J12" s="64">
        <v>60</v>
      </c>
      <c r="K12" s="155">
        <f>$C12*I$12+J$12</f>
        <v>60</v>
      </c>
      <c r="L12">
        <v>5.5</v>
      </c>
      <c r="M12" s="64">
        <v>0.2</v>
      </c>
      <c r="N12" s="64">
        <v>5.5</v>
      </c>
      <c r="O12" s="155">
        <f>$C12*M$12+N$12</f>
        <v>5.5</v>
      </c>
      <c r="P12">
        <v>57.5</v>
      </c>
      <c r="Q12" s="64">
        <v>1</v>
      </c>
      <c r="R12" s="64">
        <v>57.5</v>
      </c>
      <c r="S12" s="155">
        <f>$C12*Q$12+R$12</f>
        <v>57.5</v>
      </c>
      <c r="T12">
        <v>2.5</v>
      </c>
      <c r="U12" s="64">
        <v>-0.05</v>
      </c>
      <c r="V12" s="64">
        <v>2.5</v>
      </c>
      <c r="W12" s="155">
        <f>$C12*U$12+V$12</f>
        <v>2.5</v>
      </c>
      <c r="X12">
        <v>1</v>
      </c>
      <c r="Y12" s="64">
        <v>0.05</v>
      </c>
      <c r="Z12" s="64">
        <v>1</v>
      </c>
      <c r="AA12" s="155">
        <f>$C12*Y$12+Z$12</f>
        <v>1</v>
      </c>
      <c r="AB12" s="77">
        <f t="shared" si="0"/>
        <v>21.21</v>
      </c>
      <c r="AC12" s="148">
        <f t="shared" si="1"/>
        <v>116.655</v>
      </c>
      <c r="AD12">
        <f t="shared" si="2"/>
        <v>69.993</v>
      </c>
      <c r="AE12" s="123">
        <v>0</v>
      </c>
    </row>
    <row r="13" customFormat="1" spans="1:31">
      <c r="A13" s="81"/>
      <c r="B13" s="81"/>
      <c r="C13" s="123">
        <v>10</v>
      </c>
      <c r="D13" s="88">
        <v>6.2</v>
      </c>
      <c r="E13" s="64"/>
      <c r="F13" s="64"/>
      <c r="G13" s="155">
        <f>$C13*E$12+F$12</f>
        <v>31</v>
      </c>
      <c r="H13">
        <v>65</v>
      </c>
      <c r="I13" s="64"/>
      <c r="J13" s="64"/>
      <c r="K13" s="155">
        <f>$C13*I$12+J$12</f>
        <v>65</v>
      </c>
      <c r="L13">
        <v>7.5</v>
      </c>
      <c r="M13" s="64"/>
      <c r="N13" s="64"/>
      <c r="O13" s="155">
        <f>$C13*M$12+N$12</f>
        <v>7.5</v>
      </c>
      <c r="P13">
        <v>67.5</v>
      </c>
      <c r="Q13" s="64"/>
      <c r="R13" s="64"/>
      <c r="S13" s="155">
        <f>$C13*Q$12+R$12</f>
        <v>67.5</v>
      </c>
      <c r="T13">
        <v>2</v>
      </c>
      <c r="U13" s="64"/>
      <c r="V13" s="64"/>
      <c r="W13" s="155">
        <f>$C13*U$12+V$12</f>
        <v>2</v>
      </c>
      <c r="X13">
        <v>1.5</v>
      </c>
      <c r="Y13" s="64"/>
      <c r="Z13" s="64"/>
      <c r="AA13" s="155">
        <f>$C13*Y$12+Z$12</f>
        <v>1.5</v>
      </c>
      <c r="AB13" s="77">
        <f t="shared" si="0"/>
        <v>31.465</v>
      </c>
      <c r="AC13" s="148">
        <f t="shared" si="1"/>
        <v>235.9875</v>
      </c>
      <c r="AD13">
        <f t="shared" si="2"/>
        <v>153.391875</v>
      </c>
      <c r="AE13" s="123">
        <v>10</v>
      </c>
    </row>
    <row r="14" customFormat="1" spans="1:31">
      <c r="A14" s="156"/>
      <c r="B14" s="156"/>
      <c r="C14" s="129">
        <v>20</v>
      </c>
      <c r="D14" s="157">
        <v>9.1</v>
      </c>
      <c r="E14" s="158"/>
      <c r="F14" s="158"/>
      <c r="G14" s="159">
        <f>$C14*E$12+F$12</f>
        <v>41</v>
      </c>
      <c r="H14" s="157">
        <v>70</v>
      </c>
      <c r="I14" s="158"/>
      <c r="J14" s="158"/>
      <c r="K14" s="159">
        <f>$C14*I$12+J$12</f>
        <v>70</v>
      </c>
      <c r="L14" s="157">
        <v>9.5</v>
      </c>
      <c r="M14" s="158"/>
      <c r="N14" s="158"/>
      <c r="O14" s="159">
        <f>$C14*M$12+N$12</f>
        <v>9.5</v>
      </c>
      <c r="P14" s="157">
        <v>77.5</v>
      </c>
      <c r="Q14" s="158"/>
      <c r="R14" s="158"/>
      <c r="S14" s="159">
        <f>$C14*Q$12+R$12</f>
        <v>77.5</v>
      </c>
      <c r="T14" s="157">
        <v>1.5</v>
      </c>
      <c r="U14" s="158"/>
      <c r="V14" s="158"/>
      <c r="W14" s="159">
        <f>$C14*U$12+V$12</f>
        <v>1.5</v>
      </c>
      <c r="X14" s="157">
        <v>2</v>
      </c>
      <c r="Y14" s="158"/>
      <c r="Z14" s="158"/>
      <c r="AA14" s="159">
        <f>$C14*Y$12+Z$12</f>
        <v>2</v>
      </c>
      <c r="AB14" s="228">
        <f t="shared" si="0"/>
        <v>41.82</v>
      </c>
      <c r="AC14" s="228">
        <f t="shared" si="1"/>
        <v>397.29</v>
      </c>
      <c r="AD14" s="157">
        <f t="shared" si="2"/>
        <v>278.103</v>
      </c>
      <c r="AE14" s="129">
        <v>20</v>
      </c>
    </row>
    <row r="15" s="88" customFormat="1" spans="1:31">
      <c r="A15" s="81" t="s">
        <v>49</v>
      </c>
      <c r="B15" s="81" t="b">
        <v>0</v>
      </c>
      <c r="C15" s="123">
        <v>0</v>
      </c>
      <c r="D15" s="88">
        <v>2.75</v>
      </c>
      <c r="E15" s="164">
        <v>4.25</v>
      </c>
      <c r="F15" s="164">
        <v>30</v>
      </c>
      <c r="G15" s="155">
        <f>$C15*E$15+F$15</f>
        <v>30</v>
      </c>
      <c r="H15" s="88">
        <v>30</v>
      </c>
      <c r="I15" s="164">
        <v>0.5</v>
      </c>
      <c r="J15" s="164">
        <v>30</v>
      </c>
      <c r="K15" s="155">
        <f>$C15*I$15+J$15</f>
        <v>30</v>
      </c>
      <c r="L15" s="88">
        <v>2.75</v>
      </c>
      <c r="M15" s="164">
        <v>0.0125</v>
      </c>
      <c r="N15" s="164">
        <v>2.75</v>
      </c>
      <c r="O15" s="155">
        <f>$C15*M$15+N$15</f>
        <v>2.75</v>
      </c>
      <c r="P15" s="88">
        <v>10</v>
      </c>
      <c r="Q15" s="164">
        <v>1</v>
      </c>
      <c r="R15" s="164">
        <v>10</v>
      </c>
      <c r="S15" s="155">
        <f>$C15*Q$15+R$15</f>
        <v>10</v>
      </c>
      <c r="T15" s="88">
        <v>5</v>
      </c>
      <c r="U15" s="164">
        <v>0</v>
      </c>
      <c r="V15" s="164">
        <v>5</v>
      </c>
      <c r="W15" s="155">
        <f>$C15*U$15+V$15</f>
        <v>5</v>
      </c>
      <c r="X15" s="88">
        <v>2</v>
      </c>
      <c r="Y15" s="164">
        <v>0.4</v>
      </c>
      <c r="Z15" s="164">
        <v>2</v>
      </c>
      <c r="AA15" s="155">
        <f>$C15*Y$15+Z$15</f>
        <v>2</v>
      </c>
      <c r="AB15" s="148">
        <f t="shared" si="0"/>
        <v>30.6</v>
      </c>
      <c r="AC15" s="148">
        <f t="shared" si="1"/>
        <v>84.15</v>
      </c>
      <c r="AD15" s="88">
        <f t="shared" si="2"/>
        <v>25.245</v>
      </c>
      <c r="AE15" s="123">
        <v>0</v>
      </c>
    </row>
    <row r="16" customFormat="1" spans="1:31">
      <c r="A16" s="81"/>
      <c r="B16" s="81"/>
      <c r="C16" s="123">
        <v>10</v>
      </c>
      <c r="D16" s="88">
        <v>7.5</v>
      </c>
      <c r="E16" s="64"/>
      <c r="F16" s="64"/>
      <c r="G16" s="155">
        <f>$C16*E$15+F$15</f>
        <v>72.5</v>
      </c>
      <c r="H16">
        <v>35</v>
      </c>
      <c r="I16" s="64"/>
      <c r="J16" s="64"/>
      <c r="K16" s="155">
        <f>$C16*I$15+J$15</f>
        <v>35</v>
      </c>
      <c r="L16">
        <v>2.88</v>
      </c>
      <c r="M16" s="64"/>
      <c r="N16" s="64"/>
      <c r="O16" s="155">
        <f>$C16*M$15+N$15</f>
        <v>2.875</v>
      </c>
      <c r="P16">
        <v>20</v>
      </c>
      <c r="Q16" s="64"/>
      <c r="R16" s="64"/>
      <c r="S16" s="155">
        <f>$C16*Q$15+R$15</f>
        <v>20</v>
      </c>
      <c r="T16">
        <v>5</v>
      </c>
      <c r="U16" s="64"/>
      <c r="V16" s="64"/>
      <c r="W16" s="155">
        <f>$C16*U$15+V$15</f>
        <v>5</v>
      </c>
      <c r="X16">
        <v>6</v>
      </c>
      <c r="Y16" s="64"/>
      <c r="Z16" s="64"/>
      <c r="AA16" s="155">
        <f>$C16*Y$15+Z$15</f>
        <v>6</v>
      </c>
      <c r="AB16" s="77">
        <f t="shared" si="0"/>
        <v>76.85</v>
      </c>
      <c r="AC16" s="148">
        <f t="shared" si="1"/>
        <v>220.94375</v>
      </c>
      <c r="AD16">
        <f t="shared" si="2"/>
        <v>77.3303125</v>
      </c>
      <c r="AE16" s="123">
        <v>10</v>
      </c>
    </row>
    <row r="17" s="88" customFormat="1" spans="1:31">
      <c r="A17" s="152"/>
      <c r="B17" s="152"/>
      <c r="C17" s="154">
        <v>20</v>
      </c>
      <c r="D17" s="165">
        <v>11.25</v>
      </c>
      <c r="E17" s="153"/>
      <c r="F17" s="153"/>
      <c r="G17" s="166">
        <f>$C17*E$15+F$15</f>
        <v>115</v>
      </c>
      <c r="H17" s="165">
        <v>40</v>
      </c>
      <c r="I17" s="153"/>
      <c r="J17" s="153"/>
      <c r="K17" s="166">
        <f>$C17*I$15+J$15</f>
        <v>40</v>
      </c>
      <c r="L17" s="165">
        <v>3</v>
      </c>
      <c r="M17" s="153"/>
      <c r="N17" s="153"/>
      <c r="O17" s="166">
        <f>$C17*M$15+N$15</f>
        <v>3</v>
      </c>
      <c r="P17" s="165">
        <v>30</v>
      </c>
      <c r="Q17" s="153"/>
      <c r="R17" s="153"/>
      <c r="S17" s="166">
        <f>$C17*Q$15+R$15</f>
        <v>30</v>
      </c>
      <c r="T17" s="165">
        <v>5</v>
      </c>
      <c r="U17" s="153"/>
      <c r="V17" s="153"/>
      <c r="W17" s="166">
        <f>$C17*U$15+V$15</f>
        <v>5</v>
      </c>
      <c r="X17" s="165">
        <v>10</v>
      </c>
      <c r="Y17" s="153"/>
      <c r="Z17" s="153"/>
      <c r="AA17" s="166">
        <f>$C17*Y$15+Z$15</f>
        <v>10</v>
      </c>
      <c r="AB17" s="230">
        <f t="shared" si="0"/>
        <v>126.5</v>
      </c>
      <c r="AC17" s="230">
        <f t="shared" si="1"/>
        <v>379.5</v>
      </c>
      <c r="AD17" s="165">
        <f t="shared" si="2"/>
        <v>151.8</v>
      </c>
      <c r="AE17" s="154">
        <v>20</v>
      </c>
    </row>
    <row r="18" customFormat="1" spans="1:34">
      <c r="A18" s="64"/>
      <c r="D18" s="64"/>
      <c r="E18" s="64"/>
      <c r="F18" s="64"/>
      <c r="G18" s="77"/>
      <c r="I18" s="64"/>
      <c r="J18" s="64"/>
      <c r="K18" s="64"/>
      <c r="L18" s="77"/>
      <c r="N18" s="64"/>
      <c r="O18" s="64"/>
      <c r="P18" s="64"/>
      <c r="Q18" s="77"/>
      <c r="S18" s="64"/>
      <c r="T18" s="64"/>
      <c r="U18" s="64"/>
      <c r="V18" s="77"/>
      <c r="X18" s="64"/>
      <c r="Y18" s="64"/>
      <c r="Z18" s="64"/>
      <c r="AA18" s="77"/>
      <c r="AC18" s="64"/>
      <c r="AD18" s="64"/>
      <c r="AE18" s="64"/>
      <c r="AF18" s="77"/>
      <c r="AG18" s="77"/>
      <c r="AH18" s="77"/>
    </row>
    <row r="19" customFormat="1" spans="1:26">
      <c r="A19" s="117" t="s">
        <v>0</v>
      </c>
      <c r="B19" s="150" t="s">
        <v>75</v>
      </c>
      <c r="C19" s="149"/>
      <c r="D19" s="167" t="s">
        <v>76</v>
      </c>
      <c r="E19" s="167"/>
      <c r="F19" s="167"/>
      <c r="G19" s="167"/>
      <c r="H19" s="167"/>
      <c r="I19" s="167"/>
      <c r="J19" s="194" t="s">
        <v>8</v>
      </c>
      <c r="K19" s="195" t="s">
        <v>10</v>
      </c>
      <c r="L19" s="194" t="s">
        <v>3</v>
      </c>
      <c r="M19" s="194" t="s">
        <v>4</v>
      </c>
      <c r="N19" s="194" t="s">
        <v>5</v>
      </c>
      <c r="O19" s="194" t="s">
        <v>6</v>
      </c>
      <c r="P19" s="194" t="s">
        <v>7</v>
      </c>
      <c r="Q19" s="194" t="s">
        <v>9</v>
      </c>
      <c r="R19" s="211" t="s">
        <v>77</v>
      </c>
      <c r="S19" s="211" t="s">
        <v>11</v>
      </c>
      <c r="T19" s="212" t="s">
        <v>78</v>
      </c>
      <c r="U19" s="211" t="s">
        <v>79</v>
      </c>
      <c r="V19" s="211" t="s">
        <v>80</v>
      </c>
      <c r="W19" s="213" t="s">
        <v>81</v>
      </c>
      <c r="X19" s="214" t="s">
        <v>69</v>
      </c>
      <c r="Y19" s="231" t="s">
        <v>70</v>
      </c>
      <c r="Z19" s="232" t="s">
        <v>82</v>
      </c>
    </row>
    <row r="20" customFormat="1" spans="1:26">
      <c r="A20" s="82"/>
      <c r="B20" s="64"/>
      <c r="C20" s="81"/>
      <c r="D20" s="168" t="s">
        <v>3</v>
      </c>
      <c r="E20" s="169" t="s">
        <v>4</v>
      </c>
      <c r="F20" s="170" t="s">
        <v>5</v>
      </c>
      <c r="G20" s="169" t="s">
        <v>6</v>
      </c>
      <c r="H20" s="170" t="s">
        <v>7</v>
      </c>
      <c r="I20" s="169" t="s">
        <v>9</v>
      </c>
      <c r="J20" s="196"/>
      <c r="K20" s="197"/>
      <c r="L20" s="198"/>
      <c r="M20" s="198"/>
      <c r="N20" s="198"/>
      <c r="O20" s="198"/>
      <c r="P20" s="198"/>
      <c r="Q20" s="198"/>
      <c r="R20" s="215"/>
      <c r="S20" s="215"/>
      <c r="T20" s="216"/>
      <c r="U20" s="215"/>
      <c r="V20" s="215"/>
      <c r="W20" s="217"/>
      <c r="X20" s="218"/>
      <c r="Y20" s="233"/>
      <c r="Z20" s="234"/>
    </row>
    <row r="21" customFormat="1" spans="1:26">
      <c r="A21" s="117" t="s">
        <v>20</v>
      </c>
      <c r="B21" s="150" t="s">
        <v>23</v>
      </c>
      <c r="C21" s="149"/>
      <c r="D21" s="171">
        <v>1</v>
      </c>
      <c r="E21" s="172">
        <v>1</v>
      </c>
      <c r="F21" s="173">
        <v>1.3</v>
      </c>
      <c r="G21" s="174">
        <v>1</v>
      </c>
      <c r="H21" s="173">
        <v>1.5</v>
      </c>
      <c r="I21" s="199">
        <v>1</v>
      </c>
      <c r="J21" s="200">
        <v>10</v>
      </c>
      <c r="K21" s="201">
        <v>1</v>
      </c>
      <c r="L21" s="202">
        <f>G$5*D21</f>
        <v>115</v>
      </c>
      <c r="M21" s="202">
        <f>$K$5*E21</f>
        <v>75</v>
      </c>
      <c r="N21" s="202">
        <f>O$5*F21</f>
        <v>5.2</v>
      </c>
      <c r="O21" s="202">
        <f>S$5*G21</f>
        <v>90</v>
      </c>
      <c r="P21" s="202">
        <f>W$5*H21</f>
        <v>0.75</v>
      </c>
      <c r="Q21" s="202">
        <f>AA$5*I21</f>
        <v>7</v>
      </c>
      <c r="R21" s="143">
        <f t="shared" ref="R21:R45" si="3">Q21/100*L21*2+(1-Q21/100)*L21</f>
        <v>123.05</v>
      </c>
      <c r="S21" s="143">
        <f>R21*K21</f>
        <v>123.05</v>
      </c>
      <c r="T21" s="143">
        <f>J21/N21</f>
        <v>1.92307692307692</v>
      </c>
      <c r="U21" s="143">
        <f t="shared" ref="U21:U45" si="4">J21/N21+P21</f>
        <v>2.67307692307692</v>
      </c>
      <c r="V21" s="143">
        <f t="shared" ref="V21:V45" si="5">R21*K21*J21</f>
        <v>1230.5</v>
      </c>
      <c r="W21" s="143">
        <f t="shared" ref="W21:W45" si="6">V21*M21/100</f>
        <v>922.875</v>
      </c>
      <c r="X21" s="219">
        <f>W21/T21</f>
        <v>479.895</v>
      </c>
      <c r="Y21" s="235">
        <f t="shared" ref="Y21:Y45" si="7">W21/U21</f>
        <v>345.248201438849</v>
      </c>
      <c r="Z21" s="235">
        <f>100/X21*Y21-100</f>
        <v>-28.0575539568345</v>
      </c>
    </row>
    <row r="22" customFormat="1" spans="1:26">
      <c r="A22" s="82"/>
      <c r="B22" s="64" t="s">
        <v>24</v>
      </c>
      <c r="C22" s="81"/>
      <c r="D22" s="168">
        <v>1.7</v>
      </c>
      <c r="E22" s="175">
        <v>0.8</v>
      </c>
      <c r="F22" s="170">
        <v>1</v>
      </c>
      <c r="G22" s="169">
        <v>1</v>
      </c>
      <c r="H22" s="170">
        <v>1</v>
      </c>
      <c r="I22" s="186">
        <v>1</v>
      </c>
      <c r="J22" s="202">
        <v>6</v>
      </c>
      <c r="K22" s="203">
        <v>1</v>
      </c>
      <c r="L22" s="202">
        <f>G$5*D22</f>
        <v>195.5</v>
      </c>
      <c r="M22" s="202">
        <f>$K$5*E22</f>
        <v>60</v>
      </c>
      <c r="N22" s="202">
        <f>O$5*F22</f>
        <v>4</v>
      </c>
      <c r="O22" s="202">
        <f>S$5*G22</f>
        <v>90</v>
      </c>
      <c r="P22" s="202">
        <f>W$5*H22</f>
        <v>0.5</v>
      </c>
      <c r="Q22" s="202">
        <f>AA$5*I22</f>
        <v>7</v>
      </c>
      <c r="R22" s="143">
        <f t="shared" si="3"/>
        <v>209.185</v>
      </c>
      <c r="S22" s="143">
        <f t="shared" ref="S22:S45" si="8">R22*K22</f>
        <v>209.185</v>
      </c>
      <c r="T22" s="143">
        <f t="shared" ref="T22:T45" si="9">J22/N22</f>
        <v>1.5</v>
      </c>
      <c r="U22" s="143">
        <f t="shared" si="4"/>
        <v>2</v>
      </c>
      <c r="V22" s="143">
        <f t="shared" si="5"/>
        <v>1255.11</v>
      </c>
      <c r="W22" s="143">
        <f t="shared" si="6"/>
        <v>753.066</v>
      </c>
      <c r="X22" s="219">
        <f t="shared" ref="X22:X45" si="10">W22/T22</f>
        <v>502.044</v>
      </c>
      <c r="Y22" s="235">
        <f t="shared" si="7"/>
        <v>376.533</v>
      </c>
      <c r="Z22" s="235">
        <f t="shared" ref="Z22:Z45" si="11">100/X22*Y22-100</f>
        <v>-25</v>
      </c>
    </row>
    <row r="23" customFormat="1" spans="1:37">
      <c r="A23" s="82"/>
      <c r="B23" s="64" t="s">
        <v>25</v>
      </c>
      <c r="C23" s="81"/>
      <c r="D23" s="168">
        <v>1</v>
      </c>
      <c r="E23" s="175">
        <v>1</v>
      </c>
      <c r="F23" s="170">
        <v>1</v>
      </c>
      <c r="G23" s="169">
        <v>0.6</v>
      </c>
      <c r="H23" s="170">
        <v>0.2</v>
      </c>
      <c r="I23" s="186">
        <v>1</v>
      </c>
      <c r="J23" s="202">
        <v>12</v>
      </c>
      <c r="K23" s="203">
        <v>1</v>
      </c>
      <c r="L23" s="202">
        <f>G$5*D23</f>
        <v>115</v>
      </c>
      <c r="M23" s="202">
        <f>$K$5*E23</f>
        <v>75</v>
      </c>
      <c r="N23" s="202">
        <f>O$5*F23</f>
        <v>4</v>
      </c>
      <c r="O23" s="202">
        <f>S$5*G23</f>
        <v>54</v>
      </c>
      <c r="P23" s="202">
        <f>W$5*H23</f>
        <v>0.1</v>
      </c>
      <c r="Q23" s="202">
        <f>AA$5*I23</f>
        <v>7</v>
      </c>
      <c r="R23" s="143">
        <f t="shared" si="3"/>
        <v>123.05</v>
      </c>
      <c r="S23" s="143">
        <f t="shared" si="8"/>
        <v>123.05</v>
      </c>
      <c r="T23" s="143">
        <f t="shared" si="9"/>
        <v>3</v>
      </c>
      <c r="U23" s="143">
        <f t="shared" si="4"/>
        <v>3.1</v>
      </c>
      <c r="V23" s="143">
        <f t="shared" si="5"/>
        <v>1476.6</v>
      </c>
      <c r="W23" s="143">
        <f t="shared" si="6"/>
        <v>1107.45</v>
      </c>
      <c r="X23" s="219">
        <f t="shared" si="10"/>
        <v>369.15</v>
      </c>
      <c r="Y23" s="235">
        <f t="shared" si="7"/>
        <v>357.241935483871</v>
      </c>
      <c r="Z23" s="235">
        <f t="shared" si="11"/>
        <v>-3.2258064516129</v>
      </c>
      <c r="AG23" s="147" t="s">
        <v>20</v>
      </c>
      <c r="AH23" s="148" t="s">
        <v>28</v>
      </c>
      <c r="AI23" s="148" t="s">
        <v>42</v>
      </c>
      <c r="AJ23" s="148" t="s">
        <v>35</v>
      </c>
      <c r="AK23" s="148" t="s">
        <v>49</v>
      </c>
    </row>
    <row r="24" customFormat="1" spans="1:37">
      <c r="A24" s="82"/>
      <c r="B24" s="64" t="s">
        <v>26</v>
      </c>
      <c r="C24" s="81"/>
      <c r="D24" s="168">
        <v>1</v>
      </c>
      <c r="E24" s="175">
        <v>1.35</v>
      </c>
      <c r="F24" s="170">
        <v>0.85</v>
      </c>
      <c r="G24" s="169">
        <v>1</v>
      </c>
      <c r="H24" s="170">
        <v>1</v>
      </c>
      <c r="I24" s="186">
        <v>1</v>
      </c>
      <c r="J24" s="202">
        <v>8</v>
      </c>
      <c r="K24" s="203">
        <v>1</v>
      </c>
      <c r="L24" s="202">
        <f>G$5*D24</f>
        <v>115</v>
      </c>
      <c r="M24" s="202">
        <f>$K$5*E24</f>
        <v>101.25</v>
      </c>
      <c r="N24" s="202">
        <f>O$5*F24</f>
        <v>3.4</v>
      </c>
      <c r="O24" s="202">
        <f>S$5*G24</f>
        <v>90</v>
      </c>
      <c r="P24" s="202">
        <f>W$5*H24</f>
        <v>0.5</v>
      </c>
      <c r="Q24" s="202">
        <f>AA$5*I24</f>
        <v>7</v>
      </c>
      <c r="R24" s="143">
        <f t="shared" si="3"/>
        <v>123.05</v>
      </c>
      <c r="S24" s="143">
        <f t="shared" si="8"/>
        <v>123.05</v>
      </c>
      <c r="T24" s="143">
        <f t="shared" si="9"/>
        <v>2.35294117647059</v>
      </c>
      <c r="U24" s="143">
        <f t="shared" si="4"/>
        <v>2.85294117647059</v>
      </c>
      <c r="V24" s="143">
        <f t="shared" si="5"/>
        <v>984.4</v>
      </c>
      <c r="W24" s="143">
        <f t="shared" si="6"/>
        <v>996.705</v>
      </c>
      <c r="X24" s="219">
        <f t="shared" si="10"/>
        <v>423.599625</v>
      </c>
      <c r="Y24" s="235">
        <f t="shared" si="7"/>
        <v>349.360515463917</v>
      </c>
      <c r="Z24" s="235">
        <f t="shared" si="11"/>
        <v>-17.5257731958763</v>
      </c>
      <c r="AF24" s="148">
        <v>0</v>
      </c>
      <c r="AG24" s="77">
        <v>39.655</v>
      </c>
      <c r="AH24" s="77">
        <v>27.72</v>
      </c>
      <c r="AI24" s="77">
        <v>69.993</v>
      </c>
      <c r="AJ24" s="148">
        <f>AD9*10</f>
        <v>7.65</v>
      </c>
      <c r="AK24" s="148">
        <v>25.245</v>
      </c>
    </row>
    <row r="25" customFormat="1" spans="1:37">
      <c r="A25" s="82"/>
      <c r="B25" s="64" t="s">
        <v>27</v>
      </c>
      <c r="C25" s="81"/>
      <c r="D25" s="168">
        <v>1.4</v>
      </c>
      <c r="E25" s="175">
        <v>1</v>
      </c>
      <c r="F25" s="170">
        <v>1</v>
      </c>
      <c r="G25" s="169">
        <v>0.4</v>
      </c>
      <c r="H25" s="170">
        <v>1</v>
      </c>
      <c r="I25" s="186">
        <v>1</v>
      </c>
      <c r="J25" s="202">
        <v>6</v>
      </c>
      <c r="K25" s="203">
        <v>1</v>
      </c>
      <c r="L25" s="202">
        <f>G$5*D25</f>
        <v>161</v>
      </c>
      <c r="M25" s="202">
        <f>$K$5*E25</f>
        <v>75</v>
      </c>
      <c r="N25" s="202">
        <f>O$5*F25</f>
        <v>4</v>
      </c>
      <c r="O25" s="202">
        <f>S$5*G25</f>
        <v>36</v>
      </c>
      <c r="P25" s="202">
        <f>W$5*H25</f>
        <v>0.5</v>
      </c>
      <c r="Q25" s="202">
        <f>AA$5*I25</f>
        <v>7</v>
      </c>
      <c r="R25" s="143">
        <f t="shared" si="3"/>
        <v>172.27</v>
      </c>
      <c r="S25" s="143">
        <f t="shared" si="8"/>
        <v>172.27</v>
      </c>
      <c r="T25" s="145">
        <f t="shared" si="9"/>
        <v>1.5</v>
      </c>
      <c r="U25" s="145">
        <f t="shared" si="4"/>
        <v>2</v>
      </c>
      <c r="V25" s="143">
        <f t="shared" si="5"/>
        <v>1033.62</v>
      </c>
      <c r="W25" s="145">
        <f t="shared" si="6"/>
        <v>775.215</v>
      </c>
      <c r="X25" s="220">
        <f t="shared" si="10"/>
        <v>516.81</v>
      </c>
      <c r="Y25" s="236">
        <f t="shared" si="7"/>
        <v>387.6075</v>
      </c>
      <c r="Z25" s="235">
        <f t="shared" si="11"/>
        <v>-25</v>
      </c>
      <c r="AF25" s="148">
        <v>10</v>
      </c>
      <c r="AG25" s="77">
        <v>153.5625</v>
      </c>
      <c r="AH25" s="77">
        <v>172.8</v>
      </c>
      <c r="AI25" s="77">
        <v>153.391875</v>
      </c>
      <c r="AJ25" s="148">
        <f>AD10*10</f>
        <v>24.48</v>
      </c>
      <c r="AK25" s="77">
        <v>77.3303125</v>
      </c>
    </row>
    <row r="26" customFormat="1" spans="1:37">
      <c r="A26" s="176" t="s">
        <v>28</v>
      </c>
      <c r="B26" s="162" t="s">
        <v>30</v>
      </c>
      <c r="C26" s="160"/>
      <c r="D26" s="177">
        <v>1</v>
      </c>
      <c r="E26" s="178">
        <v>1</v>
      </c>
      <c r="F26" s="179">
        <v>1.5</v>
      </c>
      <c r="G26" s="178">
        <v>1</v>
      </c>
      <c r="H26" s="180">
        <v>1</v>
      </c>
      <c r="I26" s="178">
        <v>0.3</v>
      </c>
      <c r="J26" s="204">
        <v>5</v>
      </c>
      <c r="K26" s="205">
        <v>1</v>
      </c>
      <c r="L26" s="204">
        <f t="shared" ref="L26:L30" si="12">G$8*D26</f>
        <v>260</v>
      </c>
      <c r="M26" s="204">
        <f t="shared" ref="M26:M30" si="13">K$8*E26</f>
        <v>90</v>
      </c>
      <c r="N26" s="204">
        <f t="shared" ref="N26:N30" si="14">O$8*F26</f>
        <v>2.1</v>
      </c>
      <c r="O26" s="204">
        <f t="shared" ref="O26:O30" si="15">S$8*G26</f>
        <v>55</v>
      </c>
      <c r="P26" s="204">
        <f t="shared" ref="P26:P30" si="16">W$8</f>
        <v>2.25</v>
      </c>
      <c r="Q26" s="204">
        <f t="shared" ref="Q26:Q30" si="17">AA$8*I26</f>
        <v>18</v>
      </c>
      <c r="R26" s="221">
        <f t="shared" si="3"/>
        <v>306.8</v>
      </c>
      <c r="S26" s="221">
        <f t="shared" si="8"/>
        <v>306.8</v>
      </c>
      <c r="T26" s="143">
        <f t="shared" si="9"/>
        <v>2.38095238095238</v>
      </c>
      <c r="U26" s="143">
        <f t="shared" si="4"/>
        <v>4.63095238095238</v>
      </c>
      <c r="V26" s="221">
        <f t="shared" si="5"/>
        <v>1534</v>
      </c>
      <c r="W26" s="143">
        <f t="shared" si="6"/>
        <v>1380.6</v>
      </c>
      <c r="X26" s="219">
        <f t="shared" si="10"/>
        <v>579.852</v>
      </c>
      <c r="Y26" s="235">
        <f t="shared" si="7"/>
        <v>298.12442159383</v>
      </c>
      <c r="Z26" s="235">
        <f t="shared" si="11"/>
        <v>-48.586118251928</v>
      </c>
      <c r="AF26" s="148">
        <v>20</v>
      </c>
      <c r="AG26" s="148">
        <v>369.15</v>
      </c>
      <c r="AH26" s="148">
        <v>524.16</v>
      </c>
      <c r="AI26" s="148">
        <v>278.103</v>
      </c>
      <c r="AJ26" s="148">
        <f>AD11*10</f>
        <v>56.1</v>
      </c>
      <c r="AK26" s="148">
        <v>151.8</v>
      </c>
    </row>
    <row r="27" customFormat="1" spans="1:26">
      <c r="A27" s="82"/>
      <c r="B27" s="64" t="s">
        <v>31</v>
      </c>
      <c r="C27" s="81"/>
      <c r="D27" s="168">
        <v>0.8</v>
      </c>
      <c r="E27" s="169">
        <v>1.2</v>
      </c>
      <c r="F27" s="170">
        <v>1</v>
      </c>
      <c r="G27" s="169">
        <v>1</v>
      </c>
      <c r="H27" s="181">
        <v>1</v>
      </c>
      <c r="I27" s="169">
        <v>1</v>
      </c>
      <c r="J27" s="202">
        <v>4</v>
      </c>
      <c r="K27" s="203">
        <v>1</v>
      </c>
      <c r="L27" s="202">
        <f t="shared" si="12"/>
        <v>208</v>
      </c>
      <c r="M27" s="202">
        <f t="shared" si="13"/>
        <v>108</v>
      </c>
      <c r="N27" s="202">
        <f t="shared" si="14"/>
        <v>1.4</v>
      </c>
      <c r="O27" s="202">
        <f t="shared" si="15"/>
        <v>55</v>
      </c>
      <c r="P27" s="202">
        <f t="shared" si="16"/>
        <v>2.25</v>
      </c>
      <c r="Q27" s="202">
        <f t="shared" si="17"/>
        <v>60</v>
      </c>
      <c r="R27" s="143">
        <f t="shared" si="3"/>
        <v>332.8</v>
      </c>
      <c r="S27" s="143">
        <f t="shared" si="8"/>
        <v>332.8</v>
      </c>
      <c r="T27" s="143">
        <f t="shared" si="9"/>
        <v>2.85714285714286</v>
      </c>
      <c r="U27" s="143">
        <f t="shared" si="4"/>
        <v>5.10714285714286</v>
      </c>
      <c r="V27" s="143">
        <f t="shared" si="5"/>
        <v>1331.2</v>
      </c>
      <c r="W27" s="143">
        <f t="shared" si="6"/>
        <v>1437.696</v>
      </c>
      <c r="X27" s="219">
        <f t="shared" si="10"/>
        <v>503.1936</v>
      </c>
      <c r="Y27" s="235">
        <f t="shared" si="7"/>
        <v>281.506909090909</v>
      </c>
      <c r="Z27" s="235">
        <f t="shared" si="11"/>
        <v>-44.0559440559441</v>
      </c>
    </row>
    <row r="28" customFormat="1" spans="1:36">
      <c r="A28" s="82"/>
      <c r="B28" s="64" t="s">
        <v>32</v>
      </c>
      <c r="C28" s="81"/>
      <c r="D28" s="168">
        <v>1</v>
      </c>
      <c r="E28" s="169">
        <v>0.7</v>
      </c>
      <c r="F28" s="170">
        <v>1</v>
      </c>
      <c r="G28" s="169">
        <v>1</v>
      </c>
      <c r="H28" s="181">
        <v>1</v>
      </c>
      <c r="I28" s="169">
        <v>1.4</v>
      </c>
      <c r="J28" s="202">
        <v>8</v>
      </c>
      <c r="K28" s="203">
        <v>1</v>
      </c>
      <c r="L28" s="202">
        <f t="shared" si="12"/>
        <v>260</v>
      </c>
      <c r="M28" s="202">
        <f t="shared" si="13"/>
        <v>63</v>
      </c>
      <c r="N28" s="202">
        <f t="shared" si="14"/>
        <v>1.4</v>
      </c>
      <c r="O28" s="202">
        <f t="shared" si="15"/>
        <v>55</v>
      </c>
      <c r="P28" s="202">
        <f t="shared" si="16"/>
        <v>2.25</v>
      </c>
      <c r="Q28" s="202">
        <f t="shared" si="17"/>
        <v>84</v>
      </c>
      <c r="R28" s="143">
        <f t="shared" si="3"/>
        <v>478.4</v>
      </c>
      <c r="S28" s="143">
        <f t="shared" si="8"/>
        <v>478.4</v>
      </c>
      <c r="T28" s="143">
        <f t="shared" si="9"/>
        <v>5.71428571428571</v>
      </c>
      <c r="U28" s="143">
        <f t="shared" si="4"/>
        <v>7.96428571428571</v>
      </c>
      <c r="V28" s="143">
        <f t="shared" si="5"/>
        <v>3827.2</v>
      </c>
      <c r="W28" s="143">
        <f t="shared" si="6"/>
        <v>2411.136</v>
      </c>
      <c r="X28" s="219">
        <f t="shared" si="10"/>
        <v>421.9488</v>
      </c>
      <c r="Y28" s="235">
        <f t="shared" si="7"/>
        <v>302.743533632287</v>
      </c>
      <c r="Z28" s="235">
        <f t="shared" si="11"/>
        <v>-28.2511210762332</v>
      </c>
      <c r="AH28" s="148"/>
      <c r="AJ28" s="148"/>
    </row>
    <row r="29" customFormat="1" spans="1:36">
      <c r="A29" s="82"/>
      <c r="B29" s="64" t="s">
        <v>33</v>
      </c>
      <c r="C29" s="81"/>
      <c r="D29" s="168">
        <v>1.5</v>
      </c>
      <c r="E29" s="169">
        <v>1</v>
      </c>
      <c r="F29" s="170">
        <v>1</v>
      </c>
      <c r="G29" s="169">
        <v>0.4</v>
      </c>
      <c r="H29" s="181">
        <v>1</v>
      </c>
      <c r="I29" s="169">
        <v>1</v>
      </c>
      <c r="J29" s="202">
        <v>3</v>
      </c>
      <c r="K29" s="203">
        <v>1</v>
      </c>
      <c r="L29" s="202">
        <f t="shared" si="12"/>
        <v>390</v>
      </c>
      <c r="M29" s="202">
        <f t="shared" si="13"/>
        <v>90</v>
      </c>
      <c r="N29" s="202">
        <f t="shared" si="14"/>
        <v>1.4</v>
      </c>
      <c r="O29" s="202">
        <f t="shared" si="15"/>
        <v>22</v>
      </c>
      <c r="P29" s="202">
        <f t="shared" si="16"/>
        <v>2.25</v>
      </c>
      <c r="Q29" s="202">
        <f t="shared" si="17"/>
        <v>60</v>
      </c>
      <c r="R29" s="143">
        <f t="shared" si="3"/>
        <v>624</v>
      </c>
      <c r="S29" s="143">
        <f t="shared" si="8"/>
        <v>624</v>
      </c>
      <c r="T29" s="143">
        <f t="shared" si="9"/>
        <v>2.14285714285714</v>
      </c>
      <c r="U29" s="143">
        <f t="shared" si="4"/>
        <v>4.39285714285714</v>
      </c>
      <c r="V29" s="143">
        <f t="shared" si="5"/>
        <v>1872</v>
      </c>
      <c r="W29" s="143">
        <f t="shared" si="6"/>
        <v>1684.8</v>
      </c>
      <c r="X29" s="219">
        <f t="shared" si="10"/>
        <v>786.24</v>
      </c>
      <c r="Y29" s="235">
        <f t="shared" si="7"/>
        <v>383.531707317073</v>
      </c>
      <c r="Z29" s="235">
        <f t="shared" si="11"/>
        <v>-51.219512195122</v>
      </c>
      <c r="AC29" s="77"/>
      <c r="AD29" s="147"/>
      <c r="AH29" s="148"/>
      <c r="AJ29" s="148"/>
    </row>
    <row r="30" customFormat="1" spans="1:36">
      <c r="A30" s="128"/>
      <c r="B30" s="158" t="s">
        <v>34</v>
      </c>
      <c r="C30" s="156"/>
      <c r="D30" s="182">
        <v>1</v>
      </c>
      <c r="E30" s="183">
        <v>1</v>
      </c>
      <c r="F30" s="184">
        <v>1</v>
      </c>
      <c r="G30" s="183">
        <v>2</v>
      </c>
      <c r="H30" s="185">
        <v>1</v>
      </c>
      <c r="I30" s="183">
        <v>0.5</v>
      </c>
      <c r="J30" s="206">
        <v>8</v>
      </c>
      <c r="K30" s="207">
        <v>1</v>
      </c>
      <c r="L30" s="206">
        <f t="shared" si="12"/>
        <v>260</v>
      </c>
      <c r="M30" s="206">
        <f t="shared" si="13"/>
        <v>90</v>
      </c>
      <c r="N30" s="206">
        <f t="shared" si="14"/>
        <v>1.4</v>
      </c>
      <c r="O30" s="206">
        <f t="shared" si="15"/>
        <v>110</v>
      </c>
      <c r="P30" s="206">
        <f t="shared" si="16"/>
        <v>2.25</v>
      </c>
      <c r="Q30" s="206">
        <f t="shared" si="17"/>
        <v>30</v>
      </c>
      <c r="R30" s="145">
        <f t="shared" si="3"/>
        <v>338</v>
      </c>
      <c r="S30" s="145">
        <f t="shared" si="8"/>
        <v>338</v>
      </c>
      <c r="T30" s="145">
        <f t="shared" si="9"/>
        <v>5.71428571428571</v>
      </c>
      <c r="U30" s="145">
        <f t="shared" si="4"/>
        <v>7.96428571428571</v>
      </c>
      <c r="V30" s="145">
        <f t="shared" si="5"/>
        <v>2704</v>
      </c>
      <c r="W30" s="145">
        <f t="shared" si="6"/>
        <v>2433.6</v>
      </c>
      <c r="X30" s="220">
        <f t="shared" si="10"/>
        <v>425.88</v>
      </c>
      <c r="Y30" s="236">
        <f t="shared" si="7"/>
        <v>305.564125560538</v>
      </c>
      <c r="Z30" s="235">
        <f t="shared" si="11"/>
        <v>-28.2511210762332</v>
      </c>
      <c r="AC30" s="77"/>
      <c r="AH30" s="148"/>
      <c r="AJ30" s="148"/>
    </row>
    <row r="31" customFormat="1" spans="1:29">
      <c r="A31" s="82" t="s">
        <v>35</v>
      </c>
      <c r="B31" s="64" t="s">
        <v>37</v>
      </c>
      <c r="C31" s="81"/>
      <c r="D31" s="168">
        <v>1</v>
      </c>
      <c r="E31" s="186">
        <v>1</v>
      </c>
      <c r="F31" s="170">
        <v>1</v>
      </c>
      <c r="G31" s="169">
        <v>1</v>
      </c>
      <c r="H31" s="170">
        <v>0.5</v>
      </c>
      <c r="I31" s="175">
        <v>0.8</v>
      </c>
      <c r="J31" s="202">
        <v>14</v>
      </c>
      <c r="K31" s="203">
        <v>20</v>
      </c>
      <c r="L31" s="202">
        <f t="shared" ref="L31:L35" si="18">G$11*D31</f>
        <v>22</v>
      </c>
      <c r="M31" s="202">
        <f t="shared" ref="M31:M35" si="19">K$11*E31</f>
        <v>20</v>
      </c>
      <c r="N31" s="202">
        <f t="shared" ref="N31:N35" si="20">O$11*F31</f>
        <v>1.25</v>
      </c>
      <c r="O31" s="202">
        <f t="shared" ref="O31:O35" si="21">S$11*G31</f>
        <v>60</v>
      </c>
      <c r="P31" s="202">
        <f t="shared" ref="P31:P35" si="22">W$11*H31</f>
        <v>1.25</v>
      </c>
      <c r="Q31" s="202">
        <f t="shared" ref="Q31:Q35" si="23">AA$11*I31</f>
        <v>1.6</v>
      </c>
      <c r="R31" s="143">
        <f t="shared" si="3"/>
        <v>22.352</v>
      </c>
      <c r="S31" s="143">
        <f t="shared" si="8"/>
        <v>447.04</v>
      </c>
      <c r="T31" s="143">
        <f t="shared" si="9"/>
        <v>11.2</v>
      </c>
      <c r="U31" s="143">
        <f t="shared" si="4"/>
        <v>12.45</v>
      </c>
      <c r="V31" s="143">
        <f t="shared" si="5"/>
        <v>6258.56</v>
      </c>
      <c r="W31" s="143">
        <f t="shared" si="6"/>
        <v>1251.712</v>
      </c>
      <c r="X31" s="219">
        <f t="shared" si="10"/>
        <v>111.76</v>
      </c>
      <c r="Y31" s="235">
        <f t="shared" si="7"/>
        <v>100.539116465863</v>
      </c>
      <c r="Z31" s="235">
        <f t="shared" si="11"/>
        <v>-10.0401606425703</v>
      </c>
      <c r="AC31" s="148"/>
    </row>
    <row r="32" customFormat="1" spans="1:34">
      <c r="A32" s="82"/>
      <c r="B32" s="64" t="s">
        <v>38</v>
      </c>
      <c r="C32" s="81"/>
      <c r="D32" s="168">
        <v>0.7</v>
      </c>
      <c r="E32" s="186">
        <v>1</v>
      </c>
      <c r="F32" s="170">
        <v>2</v>
      </c>
      <c r="G32" s="169">
        <v>1</v>
      </c>
      <c r="H32" s="170">
        <v>1</v>
      </c>
      <c r="I32" s="175">
        <v>1</v>
      </c>
      <c r="J32" s="202">
        <v>10</v>
      </c>
      <c r="K32" s="203">
        <v>20</v>
      </c>
      <c r="L32" s="202">
        <f t="shared" si="18"/>
        <v>15.4</v>
      </c>
      <c r="M32" s="202">
        <f t="shared" si="19"/>
        <v>20</v>
      </c>
      <c r="N32" s="202">
        <f t="shared" si="20"/>
        <v>2.5</v>
      </c>
      <c r="O32" s="202">
        <f t="shared" si="21"/>
        <v>60</v>
      </c>
      <c r="P32" s="202">
        <f t="shared" si="22"/>
        <v>2.5</v>
      </c>
      <c r="Q32" s="202">
        <f t="shared" si="23"/>
        <v>2</v>
      </c>
      <c r="R32" s="143">
        <f t="shared" si="3"/>
        <v>15.708</v>
      </c>
      <c r="S32" s="143">
        <f t="shared" si="8"/>
        <v>314.16</v>
      </c>
      <c r="T32" s="143">
        <f t="shared" si="9"/>
        <v>4</v>
      </c>
      <c r="U32" s="143">
        <f t="shared" si="4"/>
        <v>6.5</v>
      </c>
      <c r="V32" s="143">
        <f t="shared" si="5"/>
        <v>3141.6</v>
      </c>
      <c r="W32" s="143">
        <f t="shared" si="6"/>
        <v>628.32</v>
      </c>
      <c r="X32" s="219">
        <f t="shared" si="10"/>
        <v>157.08</v>
      </c>
      <c r="Y32" s="235">
        <f t="shared" si="7"/>
        <v>96.6646153846154</v>
      </c>
      <c r="Z32" s="235">
        <f t="shared" si="11"/>
        <v>-38.4615384615385</v>
      </c>
      <c r="AC32" s="148"/>
      <c r="AH32" s="148"/>
    </row>
    <row r="33" customFormat="1" spans="1:34">
      <c r="A33" s="82"/>
      <c r="B33" s="64" t="s">
        <v>39</v>
      </c>
      <c r="C33" s="81"/>
      <c r="D33" s="168">
        <v>1.75</v>
      </c>
      <c r="E33" s="186">
        <v>1</v>
      </c>
      <c r="F33" s="170">
        <v>1</v>
      </c>
      <c r="G33" s="169">
        <v>1</v>
      </c>
      <c r="H33" s="170">
        <v>2</v>
      </c>
      <c r="I33" s="175">
        <v>1</v>
      </c>
      <c r="J33" s="202">
        <v>12</v>
      </c>
      <c r="K33" s="203">
        <v>15</v>
      </c>
      <c r="L33" s="202">
        <f t="shared" si="18"/>
        <v>38.5</v>
      </c>
      <c r="M33" s="202">
        <f t="shared" si="19"/>
        <v>20</v>
      </c>
      <c r="N33" s="202">
        <f t="shared" si="20"/>
        <v>1.25</v>
      </c>
      <c r="O33" s="202">
        <f t="shared" si="21"/>
        <v>60</v>
      </c>
      <c r="P33" s="202">
        <f t="shared" si="22"/>
        <v>5</v>
      </c>
      <c r="Q33" s="202">
        <f t="shared" si="23"/>
        <v>2</v>
      </c>
      <c r="R33" s="143">
        <f t="shared" si="3"/>
        <v>39.27</v>
      </c>
      <c r="S33" s="143">
        <f t="shared" si="8"/>
        <v>589.05</v>
      </c>
      <c r="T33" s="143">
        <f t="shared" si="9"/>
        <v>9.6</v>
      </c>
      <c r="U33" s="143">
        <f t="shared" si="4"/>
        <v>14.6</v>
      </c>
      <c r="V33" s="143">
        <f t="shared" si="5"/>
        <v>7068.6</v>
      </c>
      <c r="W33" s="143">
        <f t="shared" si="6"/>
        <v>1413.72</v>
      </c>
      <c r="X33" s="219">
        <f t="shared" si="10"/>
        <v>147.2625</v>
      </c>
      <c r="Y33" s="235">
        <f t="shared" si="7"/>
        <v>96.8301369863014</v>
      </c>
      <c r="Z33" s="235">
        <f t="shared" si="11"/>
        <v>-34.2465753424658</v>
      </c>
      <c r="AC33" s="148"/>
      <c r="AH33" s="148"/>
    </row>
    <row r="34" customFormat="1" spans="1:34">
      <c r="A34" s="82"/>
      <c r="B34" s="64" t="s">
        <v>40</v>
      </c>
      <c r="C34" s="81"/>
      <c r="D34" s="168">
        <v>1</v>
      </c>
      <c r="E34" s="186">
        <v>1</v>
      </c>
      <c r="F34" s="170">
        <v>1</v>
      </c>
      <c r="G34" s="169">
        <v>0.5</v>
      </c>
      <c r="H34" s="170">
        <v>1</v>
      </c>
      <c r="I34" s="175">
        <v>1.2</v>
      </c>
      <c r="J34" s="202">
        <v>8</v>
      </c>
      <c r="K34" s="203">
        <v>24</v>
      </c>
      <c r="L34" s="202">
        <f t="shared" si="18"/>
        <v>22</v>
      </c>
      <c r="M34" s="202">
        <f t="shared" si="19"/>
        <v>20</v>
      </c>
      <c r="N34" s="202">
        <f t="shared" si="20"/>
        <v>1.25</v>
      </c>
      <c r="O34" s="202">
        <f t="shared" si="21"/>
        <v>30</v>
      </c>
      <c r="P34" s="202">
        <f t="shared" si="22"/>
        <v>2.5</v>
      </c>
      <c r="Q34" s="202">
        <f t="shared" si="23"/>
        <v>2.4</v>
      </c>
      <c r="R34" s="143">
        <f t="shared" si="3"/>
        <v>22.528</v>
      </c>
      <c r="S34" s="143">
        <f t="shared" si="8"/>
        <v>540.672</v>
      </c>
      <c r="T34" s="143">
        <f t="shared" si="9"/>
        <v>6.4</v>
      </c>
      <c r="U34" s="143">
        <f t="shared" si="4"/>
        <v>8.9</v>
      </c>
      <c r="V34" s="143">
        <f t="shared" si="5"/>
        <v>4325.376</v>
      </c>
      <c r="W34" s="143">
        <f t="shared" si="6"/>
        <v>865.0752</v>
      </c>
      <c r="X34" s="219">
        <f t="shared" si="10"/>
        <v>135.168</v>
      </c>
      <c r="Y34" s="235">
        <f t="shared" si="7"/>
        <v>97.1994606741573</v>
      </c>
      <c r="Z34" s="235">
        <f t="shared" si="11"/>
        <v>-28.0898876404494</v>
      </c>
      <c r="AH34" s="148"/>
    </row>
    <row r="35" customFormat="1" spans="1:29">
      <c r="A35" s="82"/>
      <c r="B35" s="64" t="s">
        <v>41</v>
      </c>
      <c r="C35" s="81"/>
      <c r="D35" s="168">
        <v>1</v>
      </c>
      <c r="E35" s="186">
        <v>1</v>
      </c>
      <c r="F35" s="170">
        <v>0.6</v>
      </c>
      <c r="G35" s="169">
        <v>2</v>
      </c>
      <c r="H35" s="170">
        <v>1</v>
      </c>
      <c r="I35" s="175">
        <v>1</v>
      </c>
      <c r="J35" s="202">
        <v>20</v>
      </c>
      <c r="K35" s="203">
        <v>30</v>
      </c>
      <c r="L35" s="202">
        <f t="shared" si="18"/>
        <v>22</v>
      </c>
      <c r="M35" s="202">
        <f t="shared" si="19"/>
        <v>20</v>
      </c>
      <c r="N35" s="202">
        <f t="shared" si="20"/>
        <v>0.75</v>
      </c>
      <c r="O35" s="202">
        <f t="shared" si="21"/>
        <v>120</v>
      </c>
      <c r="P35" s="202">
        <f t="shared" si="22"/>
        <v>2.5</v>
      </c>
      <c r="Q35" s="202">
        <f t="shared" si="23"/>
        <v>2</v>
      </c>
      <c r="R35" s="143">
        <f t="shared" si="3"/>
        <v>22.44</v>
      </c>
      <c r="S35" s="143">
        <f t="shared" si="8"/>
        <v>673.2</v>
      </c>
      <c r="T35" s="145">
        <f t="shared" si="9"/>
        <v>26.6666666666667</v>
      </c>
      <c r="U35" s="145">
        <f t="shared" si="4"/>
        <v>29.1666666666667</v>
      </c>
      <c r="V35" s="143">
        <f t="shared" si="5"/>
        <v>13464</v>
      </c>
      <c r="W35" s="145">
        <f t="shared" si="6"/>
        <v>2692.8</v>
      </c>
      <c r="X35" s="220">
        <f t="shared" si="10"/>
        <v>100.98</v>
      </c>
      <c r="Y35" s="236">
        <f t="shared" si="7"/>
        <v>92.3245714285714</v>
      </c>
      <c r="Z35" s="235">
        <f t="shared" si="11"/>
        <v>-8.57142857142857</v>
      </c>
      <c r="AC35" s="148"/>
    </row>
    <row r="36" customFormat="1" spans="1:29">
      <c r="A36" s="176" t="s">
        <v>42</v>
      </c>
      <c r="B36" s="162" t="s">
        <v>51</v>
      </c>
      <c r="C36" s="160"/>
      <c r="D36" s="187">
        <v>1</v>
      </c>
      <c r="E36" s="178">
        <v>1.5</v>
      </c>
      <c r="F36" s="179">
        <v>1</v>
      </c>
      <c r="G36" s="178">
        <v>1</v>
      </c>
      <c r="H36" s="179">
        <v>1.5</v>
      </c>
      <c r="I36" s="178">
        <v>1</v>
      </c>
      <c r="J36" s="204">
        <v>30</v>
      </c>
      <c r="K36" s="205">
        <v>1</v>
      </c>
      <c r="L36" s="204">
        <f t="shared" ref="L36:L40" si="24">G$14*D36</f>
        <v>41</v>
      </c>
      <c r="M36" s="204">
        <f t="shared" ref="M36:M40" si="25">K$14*E36</f>
        <v>105</v>
      </c>
      <c r="N36" s="204">
        <f t="shared" ref="N36:N40" si="26">O$14*F36</f>
        <v>9.5</v>
      </c>
      <c r="O36" s="204">
        <f t="shared" ref="O36:O40" si="27">S$14*G36</f>
        <v>77.5</v>
      </c>
      <c r="P36" s="204">
        <f t="shared" ref="P36:P40" si="28">W$14*H36</f>
        <v>2.25</v>
      </c>
      <c r="Q36" s="204">
        <f t="shared" ref="Q36:Q40" si="29">AA$14*I36</f>
        <v>2</v>
      </c>
      <c r="R36" s="221">
        <f t="shared" si="3"/>
        <v>41.82</v>
      </c>
      <c r="S36" s="221">
        <f t="shared" si="8"/>
        <v>41.82</v>
      </c>
      <c r="T36" s="143">
        <f t="shared" si="9"/>
        <v>3.15789473684211</v>
      </c>
      <c r="U36" s="143">
        <f t="shared" si="4"/>
        <v>5.40789473684211</v>
      </c>
      <c r="V36" s="221">
        <f t="shared" si="5"/>
        <v>1254.6</v>
      </c>
      <c r="W36" s="143">
        <f t="shared" si="6"/>
        <v>1317.33</v>
      </c>
      <c r="X36" s="219">
        <f t="shared" si="10"/>
        <v>417.1545</v>
      </c>
      <c r="Y36" s="235">
        <f t="shared" si="7"/>
        <v>243.593868613139</v>
      </c>
      <c r="Z36" s="235">
        <f t="shared" si="11"/>
        <v>-41.6058394160584</v>
      </c>
      <c r="AC36" s="148"/>
    </row>
    <row r="37" customFormat="1" spans="1:26">
      <c r="A37" s="82"/>
      <c r="B37" s="64" t="s">
        <v>45</v>
      </c>
      <c r="C37" s="81"/>
      <c r="D37" s="188">
        <v>1</v>
      </c>
      <c r="E37" s="169">
        <v>1</v>
      </c>
      <c r="F37" s="170">
        <v>1.4</v>
      </c>
      <c r="G37" s="169">
        <v>0.5</v>
      </c>
      <c r="H37" s="170">
        <v>1</v>
      </c>
      <c r="I37" s="169">
        <v>1</v>
      </c>
      <c r="J37" s="202">
        <v>40</v>
      </c>
      <c r="K37" s="203">
        <v>1</v>
      </c>
      <c r="L37" s="202">
        <f t="shared" si="24"/>
        <v>41</v>
      </c>
      <c r="M37" s="202">
        <f t="shared" si="25"/>
        <v>70</v>
      </c>
      <c r="N37" s="202">
        <f t="shared" si="26"/>
        <v>13.3</v>
      </c>
      <c r="O37" s="202">
        <f t="shared" si="27"/>
        <v>38.75</v>
      </c>
      <c r="P37" s="202">
        <f t="shared" si="28"/>
        <v>1.5</v>
      </c>
      <c r="Q37" s="202">
        <f t="shared" si="29"/>
        <v>2</v>
      </c>
      <c r="R37" s="143">
        <f t="shared" si="3"/>
        <v>41.82</v>
      </c>
      <c r="S37" s="143">
        <f t="shared" si="8"/>
        <v>41.82</v>
      </c>
      <c r="T37" s="143">
        <f t="shared" si="9"/>
        <v>3.00751879699248</v>
      </c>
      <c r="U37" s="143">
        <f t="shared" si="4"/>
        <v>4.50751879699248</v>
      </c>
      <c r="V37" s="143">
        <f t="shared" si="5"/>
        <v>1672.8</v>
      </c>
      <c r="W37" s="143">
        <f t="shared" si="6"/>
        <v>1170.96</v>
      </c>
      <c r="X37" s="219">
        <f t="shared" si="10"/>
        <v>389.3442</v>
      </c>
      <c r="Y37" s="235">
        <f t="shared" si="7"/>
        <v>259.779282735613</v>
      </c>
      <c r="Z37" s="235">
        <f t="shared" si="11"/>
        <v>-33.2777314428691</v>
      </c>
    </row>
    <row r="38" customFormat="1" spans="1:29">
      <c r="A38" s="82"/>
      <c r="B38" s="64" t="s">
        <v>46</v>
      </c>
      <c r="C38" s="81"/>
      <c r="D38" s="188">
        <v>1</v>
      </c>
      <c r="E38" s="169">
        <v>1</v>
      </c>
      <c r="F38" s="170">
        <v>0.8</v>
      </c>
      <c r="G38" s="169">
        <v>1</v>
      </c>
      <c r="H38" s="170">
        <v>1</v>
      </c>
      <c r="I38" s="169">
        <v>25</v>
      </c>
      <c r="J38" s="202">
        <v>35</v>
      </c>
      <c r="K38" s="203">
        <v>1</v>
      </c>
      <c r="L38" s="202">
        <f t="shared" si="24"/>
        <v>41</v>
      </c>
      <c r="M38" s="202">
        <f t="shared" si="25"/>
        <v>70</v>
      </c>
      <c r="N38" s="202">
        <f t="shared" si="26"/>
        <v>7.6</v>
      </c>
      <c r="O38" s="202">
        <f t="shared" si="27"/>
        <v>77.5</v>
      </c>
      <c r="P38" s="202">
        <f t="shared" si="28"/>
        <v>1.5</v>
      </c>
      <c r="Q38" s="202">
        <f t="shared" si="29"/>
        <v>50</v>
      </c>
      <c r="R38" s="143">
        <f t="shared" si="3"/>
        <v>61.5</v>
      </c>
      <c r="S38" s="143">
        <f t="shared" si="8"/>
        <v>61.5</v>
      </c>
      <c r="T38" s="143">
        <f t="shared" si="9"/>
        <v>4.60526315789474</v>
      </c>
      <c r="U38" s="143">
        <f t="shared" si="4"/>
        <v>6.10526315789474</v>
      </c>
      <c r="V38" s="143">
        <f t="shared" si="5"/>
        <v>2152.5</v>
      </c>
      <c r="W38" s="143">
        <f t="shared" si="6"/>
        <v>1506.75</v>
      </c>
      <c r="X38" s="219">
        <f t="shared" si="10"/>
        <v>327.18</v>
      </c>
      <c r="Y38" s="235">
        <f t="shared" si="7"/>
        <v>246.79525862069</v>
      </c>
      <c r="Z38" s="235">
        <f t="shared" si="11"/>
        <v>-24.5689655172414</v>
      </c>
      <c r="AC38" s="148"/>
    </row>
    <row r="39" customFormat="1" spans="1:29">
      <c r="A39" s="82"/>
      <c r="B39" s="64" t="s">
        <v>47</v>
      </c>
      <c r="C39" s="81"/>
      <c r="D39" s="188">
        <v>1</v>
      </c>
      <c r="E39" s="169">
        <v>0.6</v>
      </c>
      <c r="F39" s="170">
        <v>1</v>
      </c>
      <c r="G39" s="169">
        <v>1</v>
      </c>
      <c r="H39" s="170">
        <v>0.5</v>
      </c>
      <c r="I39" s="169">
        <v>1</v>
      </c>
      <c r="J39" s="202">
        <v>20</v>
      </c>
      <c r="K39" s="203">
        <v>2</v>
      </c>
      <c r="L39" s="202">
        <f t="shared" si="24"/>
        <v>41</v>
      </c>
      <c r="M39" s="202">
        <f t="shared" si="25"/>
        <v>42</v>
      </c>
      <c r="N39" s="202">
        <f t="shared" si="26"/>
        <v>9.5</v>
      </c>
      <c r="O39" s="202">
        <f t="shared" si="27"/>
        <v>77.5</v>
      </c>
      <c r="P39" s="202">
        <f t="shared" si="28"/>
        <v>0.75</v>
      </c>
      <c r="Q39" s="202">
        <f t="shared" si="29"/>
        <v>2</v>
      </c>
      <c r="R39" s="143">
        <f t="shared" si="3"/>
        <v>41.82</v>
      </c>
      <c r="S39" s="143">
        <f t="shared" si="8"/>
        <v>83.64</v>
      </c>
      <c r="T39" s="143">
        <f t="shared" si="9"/>
        <v>2.10526315789474</v>
      </c>
      <c r="U39" s="143">
        <f t="shared" si="4"/>
        <v>2.85526315789474</v>
      </c>
      <c r="V39" s="143">
        <f t="shared" si="5"/>
        <v>1672.8</v>
      </c>
      <c r="W39" s="143">
        <f t="shared" si="6"/>
        <v>702.576</v>
      </c>
      <c r="X39" s="219">
        <f t="shared" si="10"/>
        <v>333.7236</v>
      </c>
      <c r="Y39" s="235">
        <f t="shared" si="7"/>
        <v>246.063483870968</v>
      </c>
      <c r="Z39" s="235">
        <f t="shared" si="11"/>
        <v>-26.2672811059908</v>
      </c>
      <c r="AC39" s="148"/>
    </row>
    <row r="40" customFormat="1" spans="1:26">
      <c r="A40" s="128"/>
      <c r="B40" s="158" t="s">
        <v>48</v>
      </c>
      <c r="C40" s="156"/>
      <c r="D40" s="189">
        <v>1</v>
      </c>
      <c r="E40" s="183">
        <v>1</v>
      </c>
      <c r="F40" s="184">
        <v>1</v>
      </c>
      <c r="G40" s="183">
        <v>2</v>
      </c>
      <c r="H40" s="184">
        <v>1</v>
      </c>
      <c r="I40" s="183">
        <v>0</v>
      </c>
      <c r="J40" s="206">
        <v>80</v>
      </c>
      <c r="K40" s="207">
        <v>1</v>
      </c>
      <c r="L40" s="206">
        <f t="shared" si="24"/>
        <v>41</v>
      </c>
      <c r="M40" s="206">
        <f t="shared" si="25"/>
        <v>70</v>
      </c>
      <c r="N40" s="206">
        <f t="shared" si="26"/>
        <v>9.5</v>
      </c>
      <c r="O40" s="206">
        <f t="shared" si="27"/>
        <v>155</v>
      </c>
      <c r="P40" s="206">
        <f t="shared" si="28"/>
        <v>1.5</v>
      </c>
      <c r="Q40" s="206">
        <f t="shared" si="29"/>
        <v>0</v>
      </c>
      <c r="R40" s="145">
        <f t="shared" si="3"/>
        <v>41</v>
      </c>
      <c r="S40" s="145">
        <f t="shared" si="8"/>
        <v>41</v>
      </c>
      <c r="T40" s="145">
        <f t="shared" si="9"/>
        <v>8.42105263157895</v>
      </c>
      <c r="U40" s="145">
        <f t="shared" si="4"/>
        <v>9.92105263157895</v>
      </c>
      <c r="V40" s="145">
        <f t="shared" si="5"/>
        <v>3280</v>
      </c>
      <c r="W40" s="145">
        <f t="shared" si="6"/>
        <v>2296</v>
      </c>
      <c r="X40" s="220">
        <f t="shared" si="10"/>
        <v>272.65</v>
      </c>
      <c r="Y40" s="236">
        <f t="shared" si="7"/>
        <v>231.427055702918</v>
      </c>
      <c r="Z40" s="235">
        <f t="shared" si="11"/>
        <v>-15.1193633952255</v>
      </c>
    </row>
    <row r="41" customFormat="1" spans="1:29">
      <c r="A41" s="82" t="s">
        <v>49</v>
      </c>
      <c r="B41" s="64" t="s">
        <v>58</v>
      </c>
      <c r="C41" s="81"/>
      <c r="D41" s="168">
        <v>1</v>
      </c>
      <c r="E41" s="169">
        <v>1</v>
      </c>
      <c r="F41" s="170">
        <v>1</v>
      </c>
      <c r="G41" s="186">
        <v>1</v>
      </c>
      <c r="H41" s="170">
        <v>1.3</v>
      </c>
      <c r="I41" s="169">
        <v>5</v>
      </c>
      <c r="J41" s="202">
        <v>70</v>
      </c>
      <c r="K41" s="203">
        <v>1</v>
      </c>
      <c r="L41" s="202">
        <f t="shared" ref="L41:L45" si="30">G$17*D41</f>
        <v>115</v>
      </c>
      <c r="M41" s="202">
        <f t="shared" ref="M41:M45" si="31">K$17*E41</f>
        <v>40</v>
      </c>
      <c r="N41" s="202">
        <f t="shared" ref="N41:N45" si="32">O$17*F41</f>
        <v>3</v>
      </c>
      <c r="O41" s="202">
        <f t="shared" ref="O41:O45" si="33">S$17*G41</f>
        <v>30</v>
      </c>
      <c r="P41" s="202">
        <f t="shared" ref="P41:P45" si="34">W$17*H41</f>
        <v>6.5</v>
      </c>
      <c r="Q41" s="202">
        <f t="shared" ref="Q41:Q45" si="35">AA$17*I41</f>
        <v>50</v>
      </c>
      <c r="R41" s="143">
        <f t="shared" si="3"/>
        <v>172.5</v>
      </c>
      <c r="S41" s="143">
        <f t="shared" si="8"/>
        <v>172.5</v>
      </c>
      <c r="T41" s="143">
        <f t="shared" si="9"/>
        <v>23.3333333333333</v>
      </c>
      <c r="U41" s="143">
        <f t="shared" si="4"/>
        <v>29.8333333333333</v>
      </c>
      <c r="V41" s="143">
        <f t="shared" si="5"/>
        <v>12075</v>
      </c>
      <c r="W41" s="143">
        <f t="shared" si="6"/>
        <v>4830</v>
      </c>
      <c r="X41" s="219">
        <f t="shared" si="10"/>
        <v>207</v>
      </c>
      <c r="Y41" s="235">
        <f t="shared" si="7"/>
        <v>161.899441340782</v>
      </c>
      <c r="Z41" s="235">
        <f t="shared" si="11"/>
        <v>-21.7877094972067</v>
      </c>
      <c r="AC41" s="148"/>
    </row>
    <row r="42" customFormat="1" spans="1:29">
      <c r="A42" s="82"/>
      <c r="B42" s="64" t="s">
        <v>52</v>
      </c>
      <c r="C42" s="81"/>
      <c r="D42" s="168">
        <v>0.8</v>
      </c>
      <c r="E42" s="169">
        <v>1</v>
      </c>
      <c r="F42" s="170">
        <v>3</v>
      </c>
      <c r="G42" s="186">
        <v>1</v>
      </c>
      <c r="H42" s="170">
        <v>1</v>
      </c>
      <c r="I42" s="169">
        <v>1</v>
      </c>
      <c r="J42" s="202">
        <v>60</v>
      </c>
      <c r="K42" s="203">
        <v>1</v>
      </c>
      <c r="L42" s="202">
        <f t="shared" si="30"/>
        <v>92</v>
      </c>
      <c r="M42" s="202">
        <f t="shared" si="31"/>
        <v>40</v>
      </c>
      <c r="N42" s="202">
        <f t="shared" si="32"/>
        <v>9</v>
      </c>
      <c r="O42" s="202">
        <f t="shared" si="33"/>
        <v>30</v>
      </c>
      <c r="P42" s="202">
        <f t="shared" si="34"/>
        <v>5</v>
      </c>
      <c r="Q42" s="202">
        <f t="shared" si="35"/>
        <v>10</v>
      </c>
      <c r="R42" s="143">
        <f t="shared" si="3"/>
        <v>101.2</v>
      </c>
      <c r="S42" s="143">
        <f t="shared" si="8"/>
        <v>101.2</v>
      </c>
      <c r="T42" s="143">
        <f t="shared" si="9"/>
        <v>6.66666666666667</v>
      </c>
      <c r="U42" s="143">
        <f t="shared" si="4"/>
        <v>11.6666666666667</v>
      </c>
      <c r="V42" s="143">
        <f t="shared" si="5"/>
        <v>6072</v>
      </c>
      <c r="W42" s="143">
        <f t="shared" si="6"/>
        <v>2428.8</v>
      </c>
      <c r="X42" s="219">
        <f t="shared" si="10"/>
        <v>364.32</v>
      </c>
      <c r="Y42" s="235">
        <f t="shared" si="7"/>
        <v>208.182857142857</v>
      </c>
      <c r="Z42" s="235">
        <f t="shared" si="11"/>
        <v>-42.8571428571429</v>
      </c>
      <c r="AC42" s="148"/>
    </row>
    <row r="43" customFormat="1" spans="1:26">
      <c r="A43" s="82"/>
      <c r="B43" s="64" t="s">
        <v>53</v>
      </c>
      <c r="C43" s="81"/>
      <c r="D43" s="168">
        <v>1</v>
      </c>
      <c r="E43" s="169">
        <v>1.6</v>
      </c>
      <c r="F43" s="170">
        <v>0.8</v>
      </c>
      <c r="G43" s="186">
        <v>1</v>
      </c>
      <c r="H43" s="170">
        <v>1</v>
      </c>
      <c r="I43" s="169">
        <v>1</v>
      </c>
      <c r="J43" s="202">
        <v>60</v>
      </c>
      <c r="K43" s="203">
        <v>1</v>
      </c>
      <c r="L43" s="202">
        <f t="shared" si="30"/>
        <v>115</v>
      </c>
      <c r="M43" s="202">
        <f t="shared" si="31"/>
        <v>64</v>
      </c>
      <c r="N43" s="202">
        <f t="shared" si="32"/>
        <v>2.4</v>
      </c>
      <c r="O43" s="202">
        <f t="shared" si="33"/>
        <v>30</v>
      </c>
      <c r="P43" s="202">
        <f t="shared" si="34"/>
        <v>5</v>
      </c>
      <c r="Q43" s="202">
        <f t="shared" si="35"/>
        <v>10</v>
      </c>
      <c r="R43" s="143">
        <f t="shared" si="3"/>
        <v>126.5</v>
      </c>
      <c r="S43" s="143">
        <f t="shared" si="8"/>
        <v>126.5</v>
      </c>
      <c r="T43" s="143">
        <f t="shared" si="9"/>
        <v>25</v>
      </c>
      <c r="U43" s="143">
        <f t="shared" si="4"/>
        <v>30</v>
      </c>
      <c r="V43" s="143">
        <f t="shared" si="5"/>
        <v>7590</v>
      </c>
      <c r="W43" s="143">
        <f t="shared" si="6"/>
        <v>4857.6</v>
      </c>
      <c r="X43" s="219">
        <f t="shared" si="10"/>
        <v>194.304</v>
      </c>
      <c r="Y43" s="235">
        <f t="shared" si="7"/>
        <v>161.92</v>
      </c>
      <c r="Z43" s="235">
        <f t="shared" si="11"/>
        <v>-16.6666666666667</v>
      </c>
    </row>
    <row r="44" customFormat="1" spans="1:29">
      <c r="A44" s="82"/>
      <c r="B44" s="64" t="s">
        <v>54</v>
      </c>
      <c r="C44" s="81"/>
      <c r="D44" s="168">
        <v>1.6</v>
      </c>
      <c r="E44" s="169">
        <v>1</v>
      </c>
      <c r="F44" s="170">
        <v>1</v>
      </c>
      <c r="G44" s="186">
        <v>1</v>
      </c>
      <c r="H44" s="170">
        <v>1</v>
      </c>
      <c r="I44" s="169">
        <v>0.2</v>
      </c>
      <c r="J44" s="202">
        <v>50</v>
      </c>
      <c r="K44" s="203">
        <v>1</v>
      </c>
      <c r="L44" s="202">
        <f t="shared" si="30"/>
        <v>184</v>
      </c>
      <c r="M44" s="202">
        <f t="shared" si="31"/>
        <v>40</v>
      </c>
      <c r="N44" s="202">
        <f t="shared" si="32"/>
        <v>3</v>
      </c>
      <c r="O44" s="202">
        <f t="shared" si="33"/>
        <v>30</v>
      </c>
      <c r="P44" s="202">
        <f t="shared" si="34"/>
        <v>5</v>
      </c>
      <c r="Q44" s="202">
        <f t="shared" si="35"/>
        <v>2</v>
      </c>
      <c r="R44" s="143">
        <f t="shared" si="3"/>
        <v>187.68</v>
      </c>
      <c r="S44" s="143">
        <f t="shared" si="8"/>
        <v>187.68</v>
      </c>
      <c r="T44" s="143">
        <f t="shared" si="9"/>
        <v>16.6666666666667</v>
      </c>
      <c r="U44" s="143">
        <f t="shared" si="4"/>
        <v>21.6666666666667</v>
      </c>
      <c r="V44" s="143">
        <f t="shared" si="5"/>
        <v>9384</v>
      </c>
      <c r="W44" s="143">
        <f t="shared" si="6"/>
        <v>3753.6</v>
      </c>
      <c r="X44" s="219">
        <f t="shared" si="10"/>
        <v>225.216</v>
      </c>
      <c r="Y44" s="235">
        <f t="shared" si="7"/>
        <v>173.243076923077</v>
      </c>
      <c r="Z44" s="235">
        <f t="shared" si="11"/>
        <v>-23.0769230769231</v>
      </c>
      <c r="AC44" s="148"/>
    </row>
    <row r="45" customFormat="1" spans="1:29">
      <c r="A45" s="151"/>
      <c r="B45" s="153" t="s">
        <v>55</v>
      </c>
      <c r="C45" s="152"/>
      <c r="D45" s="190">
        <v>1</v>
      </c>
      <c r="E45" s="191">
        <v>0.7</v>
      </c>
      <c r="F45" s="192">
        <v>1</v>
      </c>
      <c r="G45" s="193">
        <v>1</v>
      </c>
      <c r="H45" s="192">
        <v>0.6</v>
      </c>
      <c r="I45" s="191">
        <v>1</v>
      </c>
      <c r="J45" s="208">
        <v>40</v>
      </c>
      <c r="K45" s="209">
        <v>2</v>
      </c>
      <c r="L45" s="208">
        <f t="shared" si="30"/>
        <v>115</v>
      </c>
      <c r="M45" s="208">
        <f t="shared" si="31"/>
        <v>28</v>
      </c>
      <c r="N45" s="208">
        <f t="shared" si="32"/>
        <v>3</v>
      </c>
      <c r="O45" s="208">
        <f t="shared" si="33"/>
        <v>30</v>
      </c>
      <c r="P45" s="208">
        <f t="shared" si="34"/>
        <v>3</v>
      </c>
      <c r="Q45" s="208">
        <f t="shared" si="35"/>
        <v>10</v>
      </c>
      <c r="R45" s="222">
        <f t="shared" si="3"/>
        <v>126.5</v>
      </c>
      <c r="S45" s="222">
        <f t="shared" si="8"/>
        <v>253</v>
      </c>
      <c r="T45" s="222">
        <f t="shared" si="9"/>
        <v>13.3333333333333</v>
      </c>
      <c r="U45" s="222">
        <f t="shared" si="4"/>
        <v>16.3333333333333</v>
      </c>
      <c r="V45" s="222">
        <f t="shared" si="5"/>
        <v>10120</v>
      </c>
      <c r="W45" s="222">
        <f t="shared" si="6"/>
        <v>2833.6</v>
      </c>
      <c r="X45" s="223">
        <f t="shared" si="10"/>
        <v>212.52</v>
      </c>
      <c r="Y45" s="237">
        <f t="shared" si="7"/>
        <v>173.485714285714</v>
      </c>
      <c r="Z45" s="235">
        <f t="shared" si="11"/>
        <v>-18.3673469387755</v>
      </c>
      <c r="AC45" s="148"/>
    </row>
    <row r="46" spans="1:11">
      <c r="A46" s="64" t="s">
        <v>83</v>
      </c>
      <c r="B46" s="81" t="s">
        <v>84</v>
      </c>
      <c r="C46" s="82"/>
      <c r="D46" s="170">
        <v>1.2</v>
      </c>
      <c r="E46" s="170">
        <v>0.8</v>
      </c>
      <c r="F46" s="170"/>
      <c r="G46" s="170"/>
      <c r="H46" s="170"/>
      <c r="I46" s="170"/>
      <c r="J46" s="202"/>
      <c r="K46" s="202"/>
    </row>
    <row r="47" spans="1:11">
      <c r="A47" s="64"/>
      <c r="B47" s="81" t="s">
        <v>85</v>
      </c>
      <c r="C47" s="82"/>
      <c r="D47" s="170"/>
      <c r="E47" s="170"/>
      <c r="F47" s="170"/>
      <c r="G47" s="170"/>
      <c r="H47" s="170"/>
      <c r="I47" s="170"/>
      <c r="J47" s="202">
        <v>1.25</v>
      </c>
      <c r="K47" s="202"/>
    </row>
    <row r="48" spans="1:11">
      <c r="A48" s="64"/>
      <c r="B48" s="81" t="s">
        <v>86</v>
      </c>
      <c r="C48" s="82"/>
      <c r="D48" s="170"/>
      <c r="E48" s="170">
        <v>1.2</v>
      </c>
      <c r="F48" s="170"/>
      <c r="G48" s="170"/>
      <c r="H48" s="170"/>
      <c r="I48" s="170"/>
      <c r="J48" s="202">
        <v>0.75</v>
      </c>
      <c r="K48" s="202"/>
    </row>
    <row r="49" spans="1:11">
      <c r="A49" s="64"/>
      <c r="B49" s="81" t="s">
        <v>87</v>
      </c>
      <c r="C49" s="82"/>
      <c r="D49" s="170"/>
      <c r="E49" s="170"/>
      <c r="F49" s="170"/>
      <c r="G49" s="170">
        <v>0.75</v>
      </c>
      <c r="H49" s="170"/>
      <c r="I49" s="170">
        <v>1.5</v>
      </c>
      <c r="J49" s="202"/>
      <c r="K49" s="202"/>
    </row>
    <row r="50" spans="1:11">
      <c r="A50" s="64"/>
      <c r="B50" s="81" t="s">
        <v>88</v>
      </c>
      <c r="C50" s="82"/>
      <c r="D50" s="170"/>
      <c r="E50" s="170"/>
      <c r="F50" s="170">
        <v>1.25</v>
      </c>
      <c r="G50" s="170"/>
      <c r="H50" s="170"/>
      <c r="I50" s="170">
        <v>0.8</v>
      </c>
      <c r="J50" s="202"/>
      <c r="K50" s="202"/>
    </row>
    <row r="51" spans="1:11">
      <c r="A51" s="64"/>
      <c r="B51" s="81" t="s">
        <v>89</v>
      </c>
      <c r="C51" s="82"/>
      <c r="D51" s="170"/>
      <c r="E51" s="170"/>
      <c r="F51" s="170"/>
      <c r="G51" s="170"/>
      <c r="H51" s="170">
        <v>0.6</v>
      </c>
      <c r="I51" s="170"/>
      <c r="J51" s="202">
        <v>0.75</v>
      </c>
      <c r="K51" s="202"/>
    </row>
    <row r="52" spans="1:11">
      <c r="A52" s="64"/>
      <c r="B52" s="81" t="s">
        <v>90</v>
      </c>
      <c r="C52" s="82"/>
      <c r="D52" s="170">
        <v>0.9</v>
      </c>
      <c r="E52" s="170"/>
      <c r="F52" s="170"/>
      <c r="G52" s="170">
        <v>1.5</v>
      </c>
      <c r="H52" s="170"/>
      <c r="I52" s="170"/>
      <c r="J52" s="202"/>
      <c r="K52" s="202"/>
    </row>
    <row r="53" spans="1:11">
      <c r="A53" s="64"/>
      <c r="B53" s="81" t="s">
        <v>91</v>
      </c>
      <c r="C53" s="82"/>
      <c r="D53" s="170"/>
      <c r="E53" s="170">
        <v>0.75</v>
      </c>
      <c r="F53" s="170"/>
      <c r="G53" s="170"/>
      <c r="H53" s="170"/>
      <c r="I53" s="170"/>
      <c r="J53" s="202"/>
      <c r="K53" s="202">
        <v>2</v>
      </c>
    </row>
    <row r="54" spans="1:11">
      <c r="A54" s="64"/>
      <c r="B54" s="64" t="s">
        <v>92</v>
      </c>
      <c r="C54" s="64"/>
      <c r="D54" s="170"/>
      <c r="E54" s="170"/>
      <c r="F54" s="170">
        <v>1.5</v>
      </c>
      <c r="G54" s="170">
        <v>0.5</v>
      </c>
      <c r="H54" s="170">
        <v>0.5</v>
      </c>
      <c r="I54" s="170">
        <v>0.1</v>
      </c>
      <c r="J54" s="202">
        <v>1.5</v>
      </c>
      <c r="K54" s="202"/>
    </row>
    <row r="55" spans="1:11">
      <c r="A55" s="64"/>
      <c r="B55" s="164" t="s">
        <v>93</v>
      </c>
      <c r="C55" s="164"/>
      <c r="D55" s="170">
        <v>1.5</v>
      </c>
      <c r="E55" s="170"/>
      <c r="F55" s="170">
        <v>0.8</v>
      </c>
      <c r="G55" s="170"/>
      <c r="H55" s="170"/>
      <c r="I55" s="170">
        <v>1.5</v>
      </c>
      <c r="J55" s="202">
        <v>0.8</v>
      </c>
      <c r="K55" s="202"/>
    </row>
    <row r="56" spans="1:11">
      <c r="A56" s="64"/>
      <c r="B56" s="81" t="s">
        <v>94</v>
      </c>
      <c r="C56" s="82"/>
      <c r="D56" s="170"/>
      <c r="E56" s="170">
        <v>1.5</v>
      </c>
      <c r="F56" s="170">
        <v>0.3</v>
      </c>
      <c r="G56" s="170"/>
      <c r="H56" s="170"/>
      <c r="I56" s="170">
        <v>1.5</v>
      </c>
      <c r="J56" s="202"/>
      <c r="K56" s="202"/>
    </row>
    <row r="57" spans="1:11">
      <c r="A57" s="64"/>
      <c r="B57" s="81" t="s">
        <v>95</v>
      </c>
      <c r="C57" s="82"/>
      <c r="D57" s="170">
        <v>2</v>
      </c>
      <c r="E57" s="170">
        <v>1.2</v>
      </c>
      <c r="F57" s="170">
        <v>0.8</v>
      </c>
      <c r="G57" s="170"/>
      <c r="H57" s="170">
        <v>2</v>
      </c>
      <c r="I57" s="170">
        <v>1.2</v>
      </c>
      <c r="J57" s="202">
        <v>1.2</v>
      </c>
      <c r="K57" s="202"/>
    </row>
    <row r="58" spans="1:11">
      <c r="A58" s="64"/>
      <c r="B58" s="81" t="s">
        <v>96</v>
      </c>
      <c r="C58" s="82"/>
      <c r="D58" s="170"/>
      <c r="E58" s="170">
        <v>0.1</v>
      </c>
      <c r="F58" s="170"/>
      <c r="G58" s="170"/>
      <c r="H58" s="170"/>
      <c r="I58" s="170"/>
      <c r="J58" s="202"/>
      <c r="K58" s="202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workbookViewId="0">
      <selection activeCell="C16" sqref="C16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9" width="9.42727272727273" customWidth="1"/>
    <col min="10" max="10" width="7.71818181818182" customWidth="1"/>
    <col min="11" max="11" width="10.2818181818182" customWidth="1"/>
    <col min="12" max="12" width="17" customWidth="1"/>
    <col min="13" max="13" width="9" customWidth="1"/>
    <col min="14" max="14" width="6.14545454545455" customWidth="1"/>
    <col min="15" max="15" width="7.85454545454545" customWidth="1"/>
    <col min="16" max="16" width="8.57272727272727" customWidth="1"/>
    <col min="17" max="17" width="7.42727272727273" customWidth="1"/>
    <col min="18" max="18" width="37.1454545454545" customWidth="1"/>
    <col min="19" max="19" width="9" customWidth="1"/>
    <col min="20" max="20" width="10.1454545454545" customWidth="1"/>
    <col min="21" max="21" width="11" customWidth="1"/>
    <col min="22" max="22" width="12.2818181818182" customWidth="1"/>
    <col min="23" max="23" width="14" customWidth="1"/>
    <col min="24" max="24" width="15.2818181818182" customWidth="1"/>
    <col min="25" max="25" width="13.8545454545455" customWidth="1"/>
    <col min="26" max="26" width="15" customWidth="1"/>
    <col min="27" max="28" width="16.8545454545455" customWidth="1"/>
    <col min="29" max="29" width="12.2818181818182" customWidth="1"/>
    <col min="30" max="30" width="11.7181818181818"/>
  </cols>
  <sheetData>
    <row r="1" customFormat="1" spans="1:16">
      <c r="A1" s="109" t="s">
        <v>0</v>
      </c>
      <c r="B1" s="110" t="s">
        <v>97</v>
      </c>
      <c r="C1" s="109" t="s">
        <v>75</v>
      </c>
      <c r="D1" s="111" t="s">
        <v>3</v>
      </c>
      <c r="E1" s="112" t="s">
        <v>5</v>
      </c>
      <c r="F1" s="112" t="s">
        <v>98</v>
      </c>
      <c r="G1" s="112" t="s">
        <v>4</v>
      </c>
      <c r="H1" s="112" t="s">
        <v>99</v>
      </c>
      <c r="I1" s="112" t="s">
        <v>8</v>
      </c>
      <c r="J1" s="137" t="s">
        <v>100</v>
      </c>
      <c r="K1" s="138" t="s">
        <v>12</v>
      </c>
      <c r="L1" s="137" t="s">
        <v>101</v>
      </c>
      <c r="M1" s="137" t="s">
        <v>13</v>
      </c>
      <c r="N1" s="139" t="s">
        <v>14</v>
      </c>
      <c r="P1" t="s">
        <v>102</v>
      </c>
    </row>
    <row r="2" customFormat="1" spans="1:14">
      <c r="A2" s="113"/>
      <c r="B2" s="114"/>
      <c r="C2" s="113"/>
      <c r="D2" s="115"/>
      <c r="E2" s="116"/>
      <c r="F2" s="116"/>
      <c r="G2" s="116"/>
      <c r="H2" s="116"/>
      <c r="I2" s="116"/>
      <c r="J2" s="140"/>
      <c r="K2" s="141"/>
      <c r="L2" s="140"/>
      <c r="M2" s="140"/>
      <c r="N2" s="142"/>
    </row>
    <row r="3" customFormat="1" spans="1:18">
      <c r="A3" s="117" t="s">
        <v>20</v>
      </c>
      <c r="B3" s="118" t="b">
        <v>1</v>
      </c>
      <c r="C3" s="117" t="s">
        <v>23</v>
      </c>
      <c r="D3" s="119">
        <v>21</v>
      </c>
      <c r="E3" s="120">
        <v>3</v>
      </c>
      <c r="F3" s="120">
        <v>0.85</v>
      </c>
      <c r="G3" s="121">
        <v>55</v>
      </c>
      <c r="H3" s="122">
        <v>20</v>
      </c>
      <c r="I3" s="120">
        <v>10</v>
      </c>
      <c r="J3" s="143">
        <f>D3*1</f>
        <v>21</v>
      </c>
      <c r="K3" s="143">
        <f>I3/E3</f>
        <v>3.33333333333333</v>
      </c>
      <c r="L3" s="143">
        <f>K3+F3</f>
        <v>4.18333333333333</v>
      </c>
      <c r="M3" s="143">
        <f>J3*I3</f>
        <v>210</v>
      </c>
      <c r="N3" s="144">
        <f>M3/L3</f>
        <v>50.199203187251</v>
      </c>
      <c r="P3">
        <f>(J3/E3)/200</f>
        <v>0.035</v>
      </c>
      <c r="R3" t="s">
        <v>103</v>
      </c>
    </row>
    <row r="4" customFormat="1" spans="1:18">
      <c r="A4" s="82"/>
      <c r="B4" s="123" t="b">
        <v>0</v>
      </c>
      <c r="C4" s="82" t="s">
        <v>24</v>
      </c>
      <c r="D4" s="124">
        <v>13</v>
      </c>
      <c r="E4" s="125">
        <v>5</v>
      </c>
      <c r="F4" s="125">
        <v>0.7</v>
      </c>
      <c r="G4" s="126">
        <v>60</v>
      </c>
      <c r="H4" s="127">
        <v>20</v>
      </c>
      <c r="I4" s="125">
        <v>12</v>
      </c>
      <c r="J4" s="143">
        <f>D4</f>
        <v>13</v>
      </c>
      <c r="K4" s="143">
        <f t="shared" ref="K4:K17" si="0">I4/E4</f>
        <v>2.4</v>
      </c>
      <c r="L4" s="143">
        <f t="shared" ref="L4:L17" si="1">K4+F4</f>
        <v>3.1</v>
      </c>
      <c r="M4" s="143">
        <f t="shared" ref="M4:M17" si="2">J4*I4</f>
        <v>156</v>
      </c>
      <c r="N4" s="144">
        <f t="shared" ref="N4:N17" si="3">M4/L4</f>
        <v>50.3225806451613</v>
      </c>
      <c r="P4">
        <f t="shared" ref="P4:P17" si="4">(J4/E4)/200</f>
        <v>0.013</v>
      </c>
      <c r="R4" t="s">
        <v>104</v>
      </c>
    </row>
    <row r="5" customFormat="1" ht="15" customHeight="1" spans="1:25">
      <c r="A5" s="128"/>
      <c r="B5" s="129" t="b">
        <v>0</v>
      </c>
      <c r="C5" s="128" t="s">
        <v>32</v>
      </c>
      <c r="D5" s="130">
        <v>25</v>
      </c>
      <c r="E5" s="131">
        <v>6</v>
      </c>
      <c r="F5" s="131">
        <v>2</v>
      </c>
      <c r="G5" s="132">
        <v>65</v>
      </c>
      <c r="H5" s="133">
        <v>40</v>
      </c>
      <c r="I5" s="131">
        <v>6</v>
      </c>
      <c r="J5" s="145">
        <f t="shared" ref="J4:J17" si="5">D5*1</f>
        <v>25</v>
      </c>
      <c r="K5" s="145">
        <f t="shared" si="0"/>
        <v>1</v>
      </c>
      <c r="L5" s="145">
        <f t="shared" si="1"/>
        <v>3</v>
      </c>
      <c r="M5" s="145">
        <f t="shared" si="2"/>
        <v>150</v>
      </c>
      <c r="N5" s="146">
        <f t="shared" si="3"/>
        <v>50</v>
      </c>
      <c r="P5">
        <f t="shared" si="4"/>
        <v>0.0208333333333333</v>
      </c>
      <c r="R5" t="s">
        <v>105</v>
      </c>
      <c r="U5" s="147"/>
      <c r="V5" s="148"/>
      <c r="W5" s="148"/>
      <c r="X5" s="148"/>
      <c r="Y5" s="148"/>
    </row>
    <row r="6" customFormat="1" spans="1:25">
      <c r="A6" s="82" t="s">
        <v>28</v>
      </c>
      <c r="B6" s="123" t="b">
        <v>0</v>
      </c>
      <c r="C6" s="82" t="s">
        <v>30</v>
      </c>
      <c r="D6" s="124">
        <v>67</v>
      </c>
      <c r="E6" s="125">
        <v>1</v>
      </c>
      <c r="F6" s="125">
        <v>2</v>
      </c>
      <c r="G6" s="134">
        <v>70</v>
      </c>
      <c r="H6" s="127">
        <v>80</v>
      </c>
      <c r="I6" s="125">
        <v>6</v>
      </c>
      <c r="J6" s="143">
        <f t="shared" si="5"/>
        <v>67</v>
      </c>
      <c r="K6" s="143">
        <f t="shared" si="0"/>
        <v>6</v>
      </c>
      <c r="L6" s="143">
        <f t="shared" si="1"/>
        <v>8</v>
      </c>
      <c r="M6" s="143">
        <f t="shared" si="2"/>
        <v>402</v>
      </c>
      <c r="N6" s="144">
        <f t="shared" si="3"/>
        <v>50.25</v>
      </c>
      <c r="P6">
        <f t="shared" si="4"/>
        <v>0.335</v>
      </c>
      <c r="R6" t="s">
        <v>106</v>
      </c>
      <c r="T6" s="148"/>
      <c r="U6" s="148"/>
      <c r="V6" s="148"/>
      <c r="W6" s="148"/>
      <c r="X6" s="148"/>
      <c r="Y6" s="148"/>
    </row>
    <row r="7" customFormat="1" spans="1:24">
      <c r="A7" s="82"/>
      <c r="B7" s="123" t="b">
        <v>1</v>
      </c>
      <c r="C7" s="82" t="s">
        <v>33</v>
      </c>
      <c r="D7" s="124">
        <v>42</v>
      </c>
      <c r="E7" s="125">
        <v>2</v>
      </c>
      <c r="F7" s="125">
        <v>2</v>
      </c>
      <c r="G7" s="126">
        <v>70</v>
      </c>
      <c r="H7" s="127">
        <v>100</v>
      </c>
      <c r="I7" s="125">
        <v>6</v>
      </c>
      <c r="J7" s="143">
        <f t="shared" si="5"/>
        <v>42</v>
      </c>
      <c r="K7" s="143">
        <f t="shared" si="0"/>
        <v>3</v>
      </c>
      <c r="L7" s="143">
        <f t="shared" si="1"/>
        <v>5</v>
      </c>
      <c r="M7" s="143">
        <f t="shared" si="2"/>
        <v>252</v>
      </c>
      <c r="N7" s="144">
        <f t="shared" si="3"/>
        <v>50.4</v>
      </c>
      <c r="P7">
        <f t="shared" si="4"/>
        <v>0.105</v>
      </c>
      <c r="R7" t="s">
        <v>107</v>
      </c>
      <c r="V7" s="148"/>
      <c r="X7" s="148"/>
    </row>
    <row r="8" customFormat="1" spans="1:24">
      <c r="A8" s="128"/>
      <c r="B8" s="129" t="b">
        <v>0</v>
      </c>
      <c r="C8" s="128" t="s">
        <v>34</v>
      </c>
      <c r="D8" s="130">
        <v>60</v>
      </c>
      <c r="E8" s="131">
        <v>1</v>
      </c>
      <c r="F8" s="131">
        <v>3</v>
      </c>
      <c r="G8" s="132">
        <v>70</v>
      </c>
      <c r="H8" s="133">
        <v>80</v>
      </c>
      <c r="I8" s="131">
        <v>6</v>
      </c>
      <c r="J8" s="145">
        <f t="shared" si="5"/>
        <v>60</v>
      </c>
      <c r="K8" s="145">
        <f t="shared" si="0"/>
        <v>6</v>
      </c>
      <c r="L8" s="145">
        <f t="shared" si="1"/>
        <v>9</v>
      </c>
      <c r="M8" s="145">
        <f t="shared" si="2"/>
        <v>360</v>
      </c>
      <c r="N8" s="146">
        <f t="shared" si="3"/>
        <v>40</v>
      </c>
      <c r="P8">
        <f t="shared" si="4"/>
        <v>0.3</v>
      </c>
      <c r="R8" t="s">
        <v>108</v>
      </c>
      <c r="V8" s="148"/>
      <c r="X8" s="148"/>
    </row>
    <row r="9" customFormat="1" spans="1:18">
      <c r="A9" s="82" t="s">
        <v>35</v>
      </c>
      <c r="B9" s="123" t="b">
        <v>1</v>
      </c>
      <c r="C9" s="82" t="s">
        <v>37</v>
      </c>
      <c r="D9" s="124">
        <v>3</v>
      </c>
      <c r="E9" s="125">
        <v>4</v>
      </c>
      <c r="F9" s="125">
        <v>2.1</v>
      </c>
      <c r="G9" s="126">
        <v>20</v>
      </c>
      <c r="H9" s="127">
        <v>75</v>
      </c>
      <c r="I9" s="125">
        <v>6</v>
      </c>
      <c r="J9" s="143">
        <f>D9*10</f>
        <v>30</v>
      </c>
      <c r="K9" s="143">
        <f t="shared" si="0"/>
        <v>1.5</v>
      </c>
      <c r="L9" s="143">
        <f t="shared" si="1"/>
        <v>3.6</v>
      </c>
      <c r="M9" s="143">
        <f t="shared" si="2"/>
        <v>180</v>
      </c>
      <c r="N9" s="144">
        <f t="shared" si="3"/>
        <v>50</v>
      </c>
      <c r="P9">
        <f t="shared" si="4"/>
        <v>0.0375</v>
      </c>
      <c r="R9" t="s">
        <v>109</v>
      </c>
    </row>
    <row r="10" customFormat="1" spans="1:22">
      <c r="A10" s="82"/>
      <c r="B10" s="123" t="b">
        <v>0</v>
      </c>
      <c r="C10" s="82" t="s">
        <v>39</v>
      </c>
      <c r="D10" s="124">
        <v>5</v>
      </c>
      <c r="E10" s="125">
        <v>1.4</v>
      </c>
      <c r="F10" s="125">
        <v>2.8</v>
      </c>
      <c r="G10" s="126">
        <v>20</v>
      </c>
      <c r="H10" s="127">
        <v>75</v>
      </c>
      <c r="I10" s="125">
        <v>10</v>
      </c>
      <c r="J10" s="143">
        <f>D10*10</f>
        <v>50</v>
      </c>
      <c r="K10" s="143">
        <f t="shared" si="0"/>
        <v>7.14285714285714</v>
      </c>
      <c r="L10" s="143">
        <f t="shared" si="1"/>
        <v>9.94285714285714</v>
      </c>
      <c r="M10" s="143">
        <f t="shared" si="2"/>
        <v>500</v>
      </c>
      <c r="N10" s="144">
        <f t="shared" si="3"/>
        <v>50.2873563218391</v>
      </c>
      <c r="P10">
        <f t="shared" si="4"/>
        <v>0.178571428571429</v>
      </c>
      <c r="R10" t="s">
        <v>110</v>
      </c>
      <c r="V10" s="148"/>
    </row>
    <row r="11" customFormat="1" spans="1:22">
      <c r="A11" s="128"/>
      <c r="B11" s="129" t="b">
        <v>0</v>
      </c>
      <c r="C11" s="128" t="s">
        <v>40</v>
      </c>
      <c r="D11" s="130">
        <v>5</v>
      </c>
      <c r="E11" s="131">
        <v>6</v>
      </c>
      <c r="F11" s="131">
        <v>1.6</v>
      </c>
      <c r="G11" s="132">
        <v>40</v>
      </c>
      <c r="H11" s="133">
        <v>50</v>
      </c>
      <c r="I11" s="131">
        <v>2</v>
      </c>
      <c r="J11" s="145">
        <f>D11*10</f>
        <v>50</v>
      </c>
      <c r="K11" s="145">
        <f t="shared" si="0"/>
        <v>0.333333333333333</v>
      </c>
      <c r="L11" s="145">
        <f t="shared" si="1"/>
        <v>1.93333333333333</v>
      </c>
      <c r="M11" s="145">
        <f t="shared" si="2"/>
        <v>100</v>
      </c>
      <c r="N11" s="146">
        <f t="shared" si="3"/>
        <v>51.7241379310345</v>
      </c>
      <c r="P11">
        <f t="shared" si="4"/>
        <v>0.0416666666666667</v>
      </c>
      <c r="R11" t="s">
        <v>111</v>
      </c>
      <c r="V11" s="148"/>
    </row>
    <row r="12" customFormat="1" spans="1:18">
      <c r="A12" s="82" t="s">
        <v>42</v>
      </c>
      <c r="B12" s="123" t="b">
        <v>0</v>
      </c>
      <c r="C12" s="82" t="s">
        <v>51</v>
      </c>
      <c r="D12" s="124">
        <v>6</v>
      </c>
      <c r="E12" s="125">
        <v>12</v>
      </c>
      <c r="F12" s="125">
        <v>1.1</v>
      </c>
      <c r="G12" s="134">
        <v>30</v>
      </c>
      <c r="H12" s="127">
        <v>10</v>
      </c>
      <c r="I12" s="125">
        <v>30</v>
      </c>
      <c r="J12" s="143">
        <f t="shared" si="5"/>
        <v>6</v>
      </c>
      <c r="K12" s="143">
        <f t="shared" si="0"/>
        <v>2.5</v>
      </c>
      <c r="L12" s="143">
        <f t="shared" si="1"/>
        <v>3.6</v>
      </c>
      <c r="M12" s="143">
        <f t="shared" si="2"/>
        <v>180</v>
      </c>
      <c r="N12" s="144">
        <f t="shared" si="3"/>
        <v>50</v>
      </c>
      <c r="P12">
        <f t="shared" si="4"/>
        <v>0.0025</v>
      </c>
      <c r="R12" t="s">
        <v>112</v>
      </c>
    </row>
    <row r="13" customFormat="1" spans="1:18">
      <c r="A13" s="82"/>
      <c r="B13" s="135" t="b">
        <v>1</v>
      </c>
      <c r="C13" s="82" t="s">
        <v>54</v>
      </c>
      <c r="D13" s="124">
        <v>7</v>
      </c>
      <c r="E13" s="125">
        <v>9</v>
      </c>
      <c r="F13" s="125">
        <v>1.4</v>
      </c>
      <c r="G13" s="126">
        <v>30</v>
      </c>
      <c r="H13" s="127">
        <v>10</v>
      </c>
      <c r="I13" s="125">
        <v>50</v>
      </c>
      <c r="J13" s="143">
        <f t="shared" si="5"/>
        <v>7</v>
      </c>
      <c r="K13" s="143">
        <f t="shared" si="0"/>
        <v>5.55555555555556</v>
      </c>
      <c r="L13" s="143">
        <f t="shared" si="1"/>
        <v>6.95555555555556</v>
      </c>
      <c r="M13" s="143">
        <f t="shared" si="2"/>
        <v>350</v>
      </c>
      <c r="N13" s="144">
        <f t="shared" si="3"/>
        <v>50.3194888178914</v>
      </c>
      <c r="P13">
        <f t="shared" si="4"/>
        <v>0.00388888888888889</v>
      </c>
      <c r="R13" t="s">
        <v>106</v>
      </c>
    </row>
    <row r="14" customFormat="1" spans="1:18">
      <c r="A14" s="128"/>
      <c r="B14" s="136" t="b">
        <v>1</v>
      </c>
      <c r="C14" s="128" t="s">
        <v>53</v>
      </c>
      <c r="D14" s="130">
        <v>10</v>
      </c>
      <c r="E14" s="131">
        <v>6</v>
      </c>
      <c r="F14" s="131">
        <v>0.8</v>
      </c>
      <c r="G14" s="132">
        <v>30</v>
      </c>
      <c r="H14" s="133">
        <v>10</v>
      </c>
      <c r="I14" s="131">
        <v>25</v>
      </c>
      <c r="J14" s="145">
        <f t="shared" si="5"/>
        <v>10</v>
      </c>
      <c r="K14" s="145">
        <f t="shared" si="0"/>
        <v>4.16666666666667</v>
      </c>
      <c r="L14" s="145">
        <f t="shared" si="1"/>
        <v>4.96666666666667</v>
      </c>
      <c r="M14" s="145">
        <f t="shared" si="2"/>
        <v>250</v>
      </c>
      <c r="N14" s="146">
        <f t="shared" si="3"/>
        <v>50.3355704697987</v>
      </c>
      <c r="P14">
        <f t="shared" si="4"/>
        <v>0.00833333333333333</v>
      </c>
      <c r="R14" t="s">
        <v>113</v>
      </c>
    </row>
    <row r="15" customFormat="1" spans="2:2">
      <c r="B15" s="77"/>
    </row>
    <row r="16" spans="2:3">
      <c r="B16" t="s">
        <v>114</v>
      </c>
      <c r="C16">
        <v>50</v>
      </c>
    </row>
    <row r="17" spans="4:7">
      <c r="D17" t="s">
        <v>115</v>
      </c>
      <c r="E17" t="s">
        <v>116</v>
      </c>
      <c r="F17" t="s">
        <v>116</v>
      </c>
      <c r="G17" t="s">
        <v>117</v>
      </c>
    </row>
    <row r="18" spans="4:7">
      <c r="D18">
        <f>0.08*C16+1</f>
        <v>5</v>
      </c>
      <c r="E18">
        <f>0.02*C16+1</f>
        <v>2</v>
      </c>
      <c r="F18">
        <f>1-0.01*C16</f>
        <v>0.5</v>
      </c>
      <c r="G18">
        <f>0.01*C16+1</f>
        <v>1.5</v>
      </c>
    </row>
    <row r="19" spans="1:14">
      <c r="A19" s="109" t="s">
        <v>0</v>
      </c>
      <c r="B19" s="110" t="s">
        <v>97</v>
      </c>
      <c r="C19" s="109" t="s">
        <v>75</v>
      </c>
      <c r="D19" s="111" t="s">
        <v>3</v>
      </c>
      <c r="E19" s="112" t="s">
        <v>5</v>
      </c>
      <c r="F19" s="112" t="s">
        <v>98</v>
      </c>
      <c r="G19" s="112" t="s">
        <v>4</v>
      </c>
      <c r="H19" s="112" t="s">
        <v>99</v>
      </c>
      <c r="I19" s="112" t="s">
        <v>8</v>
      </c>
      <c r="J19" s="137" t="s">
        <v>100</v>
      </c>
      <c r="K19" s="138" t="s">
        <v>12</v>
      </c>
      <c r="L19" s="137" t="s">
        <v>101</v>
      </c>
      <c r="M19" s="137" t="s">
        <v>13</v>
      </c>
      <c r="N19" s="139" t="s">
        <v>14</v>
      </c>
    </row>
    <row r="20" spans="1:14">
      <c r="A20" s="113"/>
      <c r="B20" s="114"/>
      <c r="C20" s="113"/>
      <c r="D20" s="115"/>
      <c r="E20" s="116"/>
      <c r="F20" s="116"/>
      <c r="G20" s="116"/>
      <c r="H20" s="116"/>
      <c r="I20" s="116"/>
      <c r="J20" s="140"/>
      <c r="K20" s="141"/>
      <c r="L20" s="140"/>
      <c r="M20" s="140"/>
      <c r="N20" s="142"/>
    </row>
    <row r="21" spans="1:14">
      <c r="A21" s="117" t="s">
        <v>20</v>
      </c>
      <c r="B21" s="118" t="b">
        <v>1</v>
      </c>
      <c r="C21" s="117" t="s">
        <v>23</v>
      </c>
      <c r="D21" s="119">
        <f>D3*D$18</f>
        <v>105</v>
      </c>
      <c r="E21" s="120">
        <f>E3*E$18</f>
        <v>6</v>
      </c>
      <c r="F21" s="120">
        <f>F3*F$18</f>
        <v>0.425</v>
      </c>
      <c r="G21" s="121">
        <f>G3*G$18</f>
        <v>82.5</v>
      </c>
      <c r="H21" s="122">
        <v>20</v>
      </c>
      <c r="I21" s="120">
        <v>10</v>
      </c>
      <c r="J21" s="143">
        <f t="shared" ref="J21:J26" si="6">D21*1</f>
        <v>105</v>
      </c>
      <c r="K21" s="143">
        <f t="shared" ref="K21:K35" si="7">I21/E21</f>
        <v>1.66666666666667</v>
      </c>
      <c r="L21" s="143">
        <f t="shared" ref="L21:L35" si="8">K21+F21</f>
        <v>2.09166666666667</v>
      </c>
      <c r="M21" s="143">
        <f t="shared" ref="M21:M35" si="9">J21*I21</f>
        <v>1050</v>
      </c>
      <c r="N21" s="144">
        <f t="shared" ref="N21:N35" si="10">M21/L21</f>
        <v>501.99203187251</v>
      </c>
    </row>
    <row r="22" spans="1:14">
      <c r="A22" s="82"/>
      <c r="B22" s="123" t="b">
        <v>0</v>
      </c>
      <c r="C22" s="82" t="s">
        <v>24</v>
      </c>
      <c r="D22" s="124">
        <f t="shared" ref="D22:D35" si="11">D4*D$18</f>
        <v>65</v>
      </c>
      <c r="E22" s="125">
        <f t="shared" ref="E22:E35" si="12">E4*E$18</f>
        <v>10</v>
      </c>
      <c r="F22" s="125">
        <f t="shared" ref="F22:F35" si="13">F4*F$18</f>
        <v>0.35</v>
      </c>
      <c r="G22" s="126">
        <f t="shared" ref="G22:G35" si="14">G4*G$18</f>
        <v>90</v>
      </c>
      <c r="H22" s="127">
        <v>20</v>
      </c>
      <c r="I22" s="125">
        <v>12</v>
      </c>
      <c r="J22" s="143">
        <f t="shared" si="6"/>
        <v>65</v>
      </c>
      <c r="K22" s="143">
        <f t="shared" si="7"/>
        <v>1.2</v>
      </c>
      <c r="L22" s="143">
        <f t="shared" si="8"/>
        <v>1.55</v>
      </c>
      <c r="M22" s="143">
        <f t="shared" si="9"/>
        <v>780</v>
      </c>
      <c r="N22" s="144">
        <f t="shared" si="10"/>
        <v>503.225806451613</v>
      </c>
    </row>
    <row r="23" spans="1:14">
      <c r="A23" s="128"/>
      <c r="B23" s="129" t="b">
        <v>0</v>
      </c>
      <c r="C23" s="128" t="s">
        <v>32</v>
      </c>
      <c r="D23" s="130">
        <f t="shared" si="11"/>
        <v>125</v>
      </c>
      <c r="E23" s="131">
        <f t="shared" si="12"/>
        <v>12</v>
      </c>
      <c r="F23" s="131">
        <f t="shared" si="13"/>
        <v>1</v>
      </c>
      <c r="G23" s="132">
        <f t="shared" si="14"/>
        <v>97.5</v>
      </c>
      <c r="H23" s="133">
        <v>40</v>
      </c>
      <c r="I23" s="131">
        <v>6</v>
      </c>
      <c r="J23" s="145">
        <f t="shared" si="6"/>
        <v>125</v>
      </c>
      <c r="K23" s="145">
        <f t="shared" si="7"/>
        <v>0.5</v>
      </c>
      <c r="L23" s="145">
        <f t="shared" si="8"/>
        <v>1.5</v>
      </c>
      <c r="M23" s="145">
        <f t="shared" si="9"/>
        <v>750</v>
      </c>
      <c r="N23" s="146">
        <f t="shared" si="10"/>
        <v>500</v>
      </c>
    </row>
    <row r="24" spans="1:14">
      <c r="A24" s="82" t="s">
        <v>28</v>
      </c>
      <c r="B24" s="123" t="b">
        <v>0</v>
      </c>
      <c r="C24" s="82" t="s">
        <v>30</v>
      </c>
      <c r="D24" s="124">
        <f t="shared" si="11"/>
        <v>335</v>
      </c>
      <c r="E24" s="125">
        <f t="shared" si="12"/>
        <v>2</v>
      </c>
      <c r="F24" s="125">
        <f t="shared" si="13"/>
        <v>1</v>
      </c>
      <c r="G24" s="134">
        <f t="shared" si="14"/>
        <v>105</v>
      </c>
      <c r="H24" s="127">
        <v>80</v>
      </c>
      <c r="I24" s="125">
        <v>6</v>
      </c>
      <c r="J24" s="143">
        <f t="shared" si="6"/>
        <v>335</v>
      </c>
      <c r="K24" s="143">
        <f t="shared" si="7"/>
        <v>3</v>
      </c>
      <c r="L24" s="143">
        <f t="shared" si="8"/>
        <v>4</v>
      </c>
      <c r="M24" s="143">
        <f t="shared" si="9"/>
        <v>2010</v>
      </c>
      <c r="N24" s="144">
        <f t="shared" si="10"/>
        <v>502.5</v>
      </c>
    </row>
    <row r="25" spans="1:14">
      <c r="A25" s="82"/>
      <c r="B25" s="123" t="b">
        <v>1</v>
      </c>
      <c r="C25" s="82" t="s">
        <v>33</v>
      </c>
      <c r="D25" s="124">
        <f t="shared" si="11"/>
        <v>210</v>
      </c>
      <c r="E25" s="125">
        <f t="shared" si="12"/>
        <v>4</v>
      </c>
      <c r="F25" s="125">
        <f t="shared" si="13"/>
        <v>1</v>
      </c>
      <c r="G25" s="126">
        <f t="shared" si="14"/>
        <v>105</v>
      </c>
      <c r="H25" s="127">
        <v>100</v>
      </c>
      <c r="I25" s="125">
        <v>6</v>
      </c>
      <c r="J25" s="143">
        <f t="shared" si="6"/>
        <v>210</v>
      </c>
      <c r="K25" s="143">
        <f t="shared" si="7"/>
        <v>1.5</v>
      </c>
      <c r="L25" s="143">
        <f t="shared" si="8"/>
        <v>2.5</v>
      </c>
      <c r="M25" s="143">
        <f t="shared" si="9"/>
        <v>1260</v>
      </c>
      <c r="N25" s="144">
        <f t="shared" si="10"/>
        <v>504</v>
      </c>
    </row>
    <row r="26" spans="1:14">
      <c r="A26" s="128"/>
      <c r="B26" s="129" t="b">
        <v>0</v>
      </c>
      <c r="C26" s="128" t="s">
        <v>34</v>
      </c>
      <c r="D26" s="130">
        <f t="shared" si="11"/>
        <v>300</v>
      </c>
      <c r="E26" s="131">
        <f t="shared" si="12"/>
        <v>2</v>
      </c>
      <c r="F26" s="131">
        <f t="shared" si="13"/>
        <v>1.5</v>
      </c>
      <c r="G26" s="132">
        <f t="shared" si="14"/>
        <v>105</v>
      </c>
      <c r="H26" s="133">
        <v>80</v>
      </c>
      <c r="I26" s="131">
        <v>6</v>
      </c>
      <c r="J26" s="145">
        <f t="shared" si="6"/>
        <v>300</v>
      </c>
      <c r="K26" s="145">
        <f t="shared" si="7"/>
        <v>3</v>
      </c>
      <c r="L26" s="145">
        <f t="shared" si="8"/>
        <v>4.5</v>
      </c>
      <c r="M26" s="145">
        <f t="shared" si="9"/>
        <v>1800</v>
      </c>
      <c r="N26" s="146">
        <f t="shared" si="10"/>
        <v>400</v>
      </c>
    </row>
    <row r="27" spans="1:14">
      <c r="A27" s="82" t="s">
        <v>35</v>
      </c>
      <c r="B27" s="123" t="b">
        <v>1</v>
      </c>
      <c r="C27" s="82" t="s">
        <v>37</v>
      </c>
      <c r="D27" s="124">
        <f t="shared" si="11"/>
        <v>15</v>
      </c>
      <c r="E27" s="125">
        <f t="shared" si="12"/>
        <v>8</v>
      </c>
      <c r="F27" s="125">
        <f t="shared" si="13"/>
        <v>1.05</v>
      </c>
      <c r="G27" s="126">
        <f t="shared" si="14"/>
        <v>30</v>
      </c>
      <c r="H27" s="127">
        <v>75</v>
      </c>
      <c r="I27" s="125">
        <v>6</v>
      </c>
      <c r="J27" s="143">
        <f t="shared" ref="J27:J29" si="15">D27*10</f>
        <v>150</v>
      </c>
      <c r="K27" s="143">
        <f t="shared" si="7"/>
        <v>0.75</v>
      </c>
      <c r="L27" s="143">
        <f t="shared" si="8"/>
        <v>1.8</v>
      </c>
      <c r="M27" s="143">
        <f t="shared" si="9"/>
        <v>900</v>
      </c>
      <c r="N27" s="144">
        <f t="shared" si="10"/>
        <v>500</v>
      </c>
    </row>
    <row r="28" spans="1:14">
      <c r="A28" s="82"/>
      <c r="B28" s="123" t="b">
        <v>0</v>
      </c>
      <c r="C28" s="82" t="s">
        <v>39</v>
      </c>
      <c r="D28" s="124">
        <f t="shared" si="11"/>
        <v>25</v>
      </c>
      <c r="E28" s="125">
        <f t="shared" si="12"/>
        <v>2.8</v>
      </c>
      <c r="F28" s="125">
        <f t="shared" si="13"/>
        <v>1.4</v>
      </c>
      <c r="G28" s="126">
        <f t="shared" si="14"/>
        <v>30</v>
      </c>
      <c r="H28" s="127">
        <v>75</v>
      </c>
      <c r="I28" s="125">
        <v>10</v>
      </c>
      <c r="J28" s="143">
        <f t="shared" si="15"/>
        <v>250</v>
      </c>
      <c r="K28" s="143">
        <f t="shared" si="7"/>
        <v>3.57142857142857</v>
      </c>
      <c r="L28" s="143">
        <f t="shared" si="8"/>
        <v>4.97142857142857</v>
      </c>
      <c r="M28" s="143">
        <f t="shared" si="9"/>
        <v>2500</v>
      </c>
      <c r="N28" s="144">
        <f t="shared" si="10"/>
        <v>502.873563218391</v>
      </c>
    </row>
    <row r="29" spans="1:14">
      <c r="A29" s="128"/>
      <c r="B29" s="129" t="b">
        <v>0</v>
      </c>
      <c r="C29" s="128" t="s">
        <v>40</v>
      </c>
      <c r="D29" s="130">
        <f t="shared" si="11"/>
        <v>25</v>
      </c>
      <c r="E29" s="131">
        <f t="shared" si="12"/>
        <v>12</v>
      </c>
      <c r="F29" s="131">
        <f t="shared" si="13"/>
        <v>0.8</v>
      </c>
      <c r="G29" s="132">
        <f t="shared" si="14"/>
        <v>60</v>
      </c>
      <c r="H29" s="133">
        <v>50</v>
      </c>
      <c r="I29" s="131">
        <v>2</v>
      </c>
      <c r="J29" s="145">
        <f t="shared" si="15"/>
        <v>250</v>
      </c>
      <c r="K29" s="145">
        <f t="shared" si="7"/>
        <v>0.166666666666667</v>
      </c>
      <c r="L29" s="145">
        <f t="shared" si="8"/>
        <v>0.966666666666667</v>
      </c>
      <c r="M29" s="145">
        <f t="shared" si="9"/>
        <v>500</v>
      </c>
      <c r="N29" s="146">
        <f t="shared" si="10"/>
        <v>517.241379310345</v>
      </c>
    </row>
    <row r="30" spans="1:14">
      <c r="A30" s="82" t="s">
        <v>42</v>
      </c>
      <c r="B30" s="123" t="b">
        <v>0</v>
      </c>
      <c r="C30" s="82" t="s">
        <v>51</v>
      </c>
      <c r="D30" s="124">
        <f t="shared" si="11"/>
        <v>30</v>
      </c>
      <c r="E30" s="125">
        <f t="shared" si="12"/>
        <v>24</v>
      </c>
      <c r="F30" s="125">
        <f t="shared" si="13"/>
        <v>0.55</v>
      </c>
      <c r="G30" s="134">
        <f t="shared" si="14"/>
        <v>45</v>
      </c>
      <c r="H30" s="127">
        <v>10</v>
      </c>
      <c r="I30" s="125">
        <v>30</v>
      </c>
      <c r="J30" s="143">
        <f>D30*1</f>
        <v>30</v>
      </c>
      <c r="K30" s="143">
        <f t="shared" si="7"/>
        <v>1.25</v>
      </c>
      <c r="L30" s="143">
        <f t="shared" si="8"/>
        <v>1.8</v>
      </c>
      <c r="M30" s="143">
        <f t="shared" si="9"/>
        <v>900</v>
      </c>
      <c r="N30" s="144">
        <f t="shared" si="10"/>
        <v>500</v>
      </c>
    </row>
    <row r="31" spans="1:14">
      <c r="A31" s="82"/>
      <c r="B31" s="135" t="b">
        <v>1</v>
      </c>
      <c r="C31" s="82" t="s">
        <v>54</v>
      </c>
      <c r="D31" s="124">
        <f t="shared" si="11"/>
        <v>35</v>
      </c>
      <c r="E31" s="125">
        <f t="shared" si="12"/>
        <v>18</v>
      </c>
      <c r="F31" s="125">
        <f t="shared" si="13"/>
        <v>0.7</v>
      </c>
      <c r="G31" s="126">
        <f t="shared" si="14"/>
        <v>45</v>
      </c>
      <c r="H31" s="127">
        <v>10</v>
      </c>
      <c r="I31" s="125">
        <v>50</v>
      </c>
      <c r="J31" s="143">
        <f>D31*1</f>
        <v>35</v>
      </c>
      <c r="K31" s="143">
        <f t="shared" si="7"/>
        <v>2.77777777777778</v>
      </c>
      <c r="L31" s="143">
        <f t="shared" si="8"/>
        <v>3.47777777777778</v>
      </c>
      <c r="M31" s="143">
        <f t="shared" si="9"/>
        <v>1750</v>
      </c>
      <c r="N31" s="144">
        <f t="shared" si="10"/>
        <v>503.194888178914</v>
      </c>
    </row>
    <row r="32" spans="1:14">
      <c r="A32" s="128"/>
      <c r="B32" s="136" t="b">
        <v>1</v>
      </c>
      <c r="C32" s="128" t="s">
        <v>53</v>
      </c>
      <c r="D32" s="130">
        <f t="shared" si="11"/>
        <v>50</v>
      </c>
      <c r="E32" s="131">
        <f t="shared" si="12"/>
        <v>12</v>
      </c>
      <c r="F32" s="131">
        <f t="shared" si="13"/>
        <v>0.4</v>
      </c>
      <c r="G32" s="132">
        <f t="shared" si="14"/>
        <v>45</v>
      </c>
      <c r="H32" s="133">
        <v>10</v>
      </c>
      <c r="I32" s="131">
        <v>25</v>
      </c>
      <c r="J32" s="145">
        <f>D32*1</f>
        <v>50</v>
      </c>
      <c r="K32" s="145">
        <f t="shared" si="7"/>
        <v>2.08333333333333</v>
      </c>
      <c r="L32" s="145">
        <f t="shared" si="8"/>
        <v>2.48333333333333</v>
      </c>
      <c r="M32" s="145">
        <f t="shared" si="9"/>
        <v>1250</v>
      </c>
      <c r="N32" s="146">
        <f t="shared" si="10"/>
        <v>503.355704697987</v>
      </c>
    </row>
  </sheetData>
  <mergeCells count="36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J19:J20"/>
    <mergeCell ref="K1:K2"/>
    <mergeCell ref="K19:K20"/>
    <mergeCell ref="L1:L2"/>
    <mergeCell ref="L19:L20"/>
    <mergeCell ref="M1:M2"/>
    <mergeCell ref="M19:M20"/>
    <mergeCell ref="N1:N2"/>
    <mergeCell ref="N19:N2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2"/>
  <sheetViews>
    <sheetView workbookViewId="0">
      <selection activeCell="C29" sqref="C29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9" max="20" width="12.8545454545455"/>
    <col min="21" max="21" width="16.7181818181818" customWidth="1"/>
  </cols>
  <sheetData>
    <row r="1" spans="1:21">
      <c r="A1" s="96" t="s">
        <v>118</v>
      </c>
      <c r="B1" s="97" t="s">
        <v>119</v>
      </c>
      <c r="C1" s="97" t="s">
        <v>120</v>
      </c>
      <c r="D1" s="97" t="s">
        <v>121</v>
      </c>
      <c r="E1" s="97" t="s">
        <v>122</v>
      </c>
      <c r="F1" s="97" t="s">
        <v>123</v>
      </c>
      <c r="G1" s="97" t="s">
        <v>124</v>
      </c>
      <c r="H1" s="97" t="s">
        <v>125</v>
      </c>
      <c r="I1" s="97" t="s">
        <v>126</v>
      </c>
      <c r="J1" s="97" t="s">
        <v>127</v>
      </c>
      <c r="K1" s="97"/>
      <c r="L1" s="97"/>
      <c r="M1" s="97"/>
      <c r="N1" s="97"/>
      <c r="O1" s="97"/>
      <c r="R1" t="s">
        <v>128</v>
      </c>
      <c r="U1" t="s">
        <v>129</v>
      </c>
    </row>
    <row r="2" spans="1:22">
      <c r="A2" s="96"/>
      <c r="B2" s="96"/>
      <c r="C2" s="97"/>
      <c r="D2" s="97"/>
      <c r="E2" s="97"/>
      <c r="F2" s="97"/>
      <c r="G2" s="97"/>
      <c r="H2" s="97"/>
      <c r="I2" s="97"/>
      <c r="J2" s="97" t="s">
        <v>130</v>
      </c>
      <c r="K2" s="97" t="s">
        <v>123</v>
      </c>
      <c r="L2" s="97" t="s">
        <v>131</v>
      </c>
      <c r="M2" s="97" t="s">
        <v>132</v>
      </c>
      <c r="N2" s="97" t="s">
        <v>133</v>
      </c>
      <c r="O2" s="97" t="s">
        <v>134</v>
      </c>
      <c r="S2">
        <v>18</v>
      </c>
      <c r="T2">
        <f t="shared" ref="T2:T7" si="0">ABS(S2-24)</f>
        <v>6</v>
      </c>
      <c r="U2">
        <f>1-T2/6</f>
        <v>0</v>
      </c>
      <c r="V2">
        <v>0</v>
      </c>
    </row>
    <row r="3" spans="1:21">
      <c r="A3" s="98" t="s">
        <v>135</v>
      </c>
      <c r="B3" s="99" t="s">
        <v>136</v>
      </c>
      <c r="C3" s="100">
        <v>-5</v>
      </c>
      <c r="D3" s="101">
        <v>1</v>
      </c>
      <c r="E3" s="100">
        <v>1</v>
      </c>
      <c r="F3" s="100">
        <v>0</v>
      </c>
      <c r="G3" s="100">
        <v>0</v>
      </c>
      <c r="H3" s="100">
        <v>3</v>
      </c>
      <c r="I3" s="106">
        <v>0</v>
      </c>
      <c r="J3" s="107">
        <v>0.3</v>
      </c>
      <c r="K3" s="107"/>
      <c r="L3" s="107"/>
      <c r="M3" s="107"/>
      <c r="N3" s="107">
        <v>0.1</v>
      </c>
      <c r="O3" s="107">
        <v>1</v>
      </c>
      <c r="S3">
        <v>19</v>
      </c>
      <c r="T3">
        <f t="shared" si="0"/>
        <v>5</v>
      </c>
      <c r="U3">
        <f t="shared" ref="U3:U14" si="1">1-T3/6</f>
        <v>0.166666666666667</v>
      </c>
    </row>
    <row r="4" spans="1:21">
      <c r="A4" s="98" t="s">
        <v>130</v>
      </c>
      <c r="B4" s="99" t="s">
        <v>137</v>
      </c>
      <c r="C4" s="100">
        <v>-5</v>
      </c>
      <c r="D4" s="101">
        <v>0.9</v>
      </c>
      <c r="E4" s="100">
        <v>2</v>
      </c>
      <c r="F4" s="100">
        <v>0</v>
      </c>
      <c r="G4" s="100">
        <v>0</v>
      </c>
      <c r="H4" s="100">
        <v>3</v>
      </c>
      <c r="I4" s="106">
        <v>0</v>
      </c>
      <c r="J4" s="107">
        <v>0.7</v>
      </c>
      <c r="K4" s="107"/>
      <c r="L4" s="107"/>
      <c r="M4" s="107"/>
      <c r="N4" s="107"/>
      <c r="O4" s="107">
        <v>0.8</v>
      </c>
      <c r="S4">
        <v>20</v>
      </c>
      <c r="T4">
        <f t="shared" si="0"/>
        <v>4</v>
      </c>
      <c r="U4">
        <f t="shared" si="1"/>
        <v>0.333333333333333</v>
      </c>
    </row>
    <row r="5" spans="1:22">
      <c r="A5" s="98" t="s">
        <v>138</v>
      </c>
      <c r="B5" s="99" t="s">
        <v>139</v>
      </c>
      <c r="C5" s="100">
        <v>-5</v>
      </c>
      <c r="D5" s="101">
        <v>0.8</v>
      </c>
      <c r="E5" s="100">
        <v>3</v>
      </c>
      <c r="F5" s="100">
        <v>0</v>
      </c>
      <c r="G5" s="100">
        <v>0</v>
      </c>
      <c r="H5" s="100">
        <v>2</v>
      </c>
      <c r="I5" s="106">
        <v>1</v>
      </c>
      <c r="J5" s="107">
        <v>1</v>
      </c>
      <c r="K5" s="107"/>
      <c r="L5" s="107"/>
      <c r="M5" s="107"/>
      <c r="N5" s="107"/>
      <c r="O5" s="107">
        <v>0.6</v>
      </c>
      <c r="S5">
        <v>21</v>
      </c>
      <c r="T5">
        <f t="shared" si="0"/>
        <v>3</v>
      </c>
      <c r="U5">
        <f t="shared" si="1"/>
        <v>0.5</v>
      </c>
      <c r="V5">
        <v>0.5</v>
      </c>
    </row>
    <row r="6" spans="1:21">
      <c r="A6" s="98" t="s">
        <v>140</v>
      </c>
      <c r="B6" s="99" t="s">
        <v>141</v>
      </c>
      <c r="C6" s="100">
        <v>0</v>
      </c>
      <c r="D6" s="101">
        <v>0.6</v>
      </c>
      <c r="E6" s="100">
        <v>0</v>
      </c>
      <c r="F6" s="100">
        <v>1</v>
      </c>
      <c r="G6" s="100">
        <v>0</v>
      </c>
      <c r="H6" s="100">
        <v>3</v>
      </c>
      <c r="I6" s="106">
        <v>0</v>
      </c>
      <c r="J6" s="107"/>
      <c r="K6" s="107">
        <v>0.3</v>
      </c>
      <c r="L6" s="107"/>
      <c r="M6" s="107"/>
      <c r="N6" s="107"/>
      <c r="O6" s="107">
        <v>1</v>
      </c>
      <c r="S6">
        <v>22</v>
      </c>
      <c r="T6">
        <f t="shared" si="0"/>
        <v>2</v>
      </c>
      <c r="U6">
        <f t="shared" si="1"/>
        <v>0.666666666666667</v>
      </c>
    </row>
    <row r="7" spans="1:21">
      <c r="A7" s="98" t="s">
        <v>142</v>
      </c>
      <c r="B7" s="99" t="s">
        <v>143</v>
      </c>
      <c r="C7" s="100">
        <v>-5</v>
      </c>
      <c r="D7" s="101">
        <v>0.4</v>
      </c>
      <c r="E7" s="100">
        <v>0</v>
      </c>
      <c r="F7" s="100">
        <v>2</v>
      </c>
      <c r="G7" s="100">
        <v>0</v>
      </c>
      <c r="H7" s="100">
        <v>2</v>
      </c>
      <c r="I7" s="106">
        <v>0</v>
      </c>
      <c r="J7" s="107"/>
      <c r="K7" s="107">
        <v>0.7</v>
      </c>
      <c r="L7" s="107"/>
      <c r="M7" s="107"/>
      <c r="N7" s="107"/>
      <c r="O7" s="107">
        <v>1</v>
      </c>
      <c r="S7">
        <v>23</v>
      </c>
      <c r="T7">
        <f t="shared" si="0"/>
        <v>1</v>
      </c>
      <c r="U7">
        <f t="shared" si="1"/>
        <v>0.833333333333333</v>
      </c>
    </row>
    <row r="8" ht="15" customHeight="1" spans="1:22">
      <c r="A8" s="98" t="s">
        <v>123</v>
      </c>
      <c r="B8" s="99" t="s">
        <v>144</v>
      </c>
      <c r="C8" s="100">
        <v>-5</v>
      </c>
      <c r="D8" s="101">
        <v>0.2</v>
      </c>
      <c r="E8" s="100">
        <v>0</v>
      </c>
      <c r="F8" s="100">
        <v>3</v>
      </c>
      <c r="G8" s="100">
        <v>0</v>
      </c>
      <c r="H8" s="100">
        <v>1</v>
      </c>
      <c r="I8" s="106">
        <v>0</v>
      </c>
      <c r="J8" s="107"/>
      <c r="K8" s="107">
        <v>1</v>
      </c>
      <c r="L8" s="107"/>
      <c r="M8" s="107"/>
      <c r="N8" s="107"/>
      <c r="O8" s="107">
        <v>1</v>
      </c>
      <c r="S8">
        <v>0</v>
      </c>
      <c r="T8">
        <v>0</v>
      </c>
      <c r="U8">
        <f t="shared" si="1"/>
        <v>1</v>
      </c>
      <c r="V8">
        <v>1</v>
      </c>
    </row>
    <row r="9" spans="1:21">
      <c r="A9" s="98" t="s">
        <v>145</v>
      </c>
      <c r="B9" s="99" t="s">
        <v>146</v>
      </c>
      <c r="C9" s="100">
        <v>5</v>
      </c>
      <c r="D9" s="101">
        <v>1</v>
      </c>
      <c r="E9" s="100">
        <v>-1</v>
      </c>
      <c r="F9" s="100">
        <v>0</v>
      </c>
      <c r="G9" s="100">
        <v>0</v>
      </c>
      <c r="H9" s="100">
        <v>4</v>
      </c>
      <c r="I9" s="106">
        <v>0</v>
      </c>
      <c r="J9" s="107"/>
      <c r="K9" s="107"/>
      <c r="L9" s="107"/>
      <c r="M9" s="107"/>
      <c r="N9" s="107"/>
      <c r="O9" s="107">
        <v>1</v>
      </c>
      <c r="S9">
        <v>1</v>
      </c>
      <c r="T9">
        <v>1</v>
      </c>
      <c r="U9">
        <f t="shared" si="1"/>
        <v>0.833333333333333</v>
      </c>
    </row>
    <row r="10" spans="1:21">
      <c r="A10" s="98" t="s">
        <v>147</v>
      </c>
      <c r="B10" s="99" t="s">
        <v>148</v>
      </c>
      <c r="C10" s="100">
        <v>0</v>
      </c>
      <c r="D10" s="101">
        <v>1</v>
      </c>
      <c r="E10" s="100">
        <v>0</v>
      </c>
      <c r="F10" s="100">
        <v>0</v>
      </c>
      <c r="G10" s="100">
        <v>0</v>
      </c>
      <c r="H10" s="100">
        <v>3</v>
      </c>
      <c r="I10" s="106">
        <v>0</v>
      </c>
      <c r="J10" s="107"/>
      <c r="K10" s="107"/>
      <c r="L10" s="107">
        <v>0.2</v>
      </c>
      <c r="M10" s="107"/>
      <c r="N10" s="107">
        <v>0.1</v>
      </c>
      <c r="O10" s="107">
        <v>0.65</v>
      </c>
      <c r="S10">
        <v>2</v>
      </c>
      <c r="T10">
        <v>2</v>
      </c>
      <c r="U10">
        <f t="shared" si="1"/>
        <v>0.666666666666667</v>
      </c>
    </row>
    <row r="11" spans="1:22">
      <c r="A11" s="98" t="s">
        <v>149</v>
      </c>
      <c r="B11" s="99" t="s">
        <v>150</v>
      </c>
      <c r="C11" s="100">
        <v>0</v>
      </c>
      <c r="D11" s="101">
        <v>1</v>
      </c>
      <c r="E11" s="100">
        <v>0</v>
      </c>
      <c r="F11" s="100">
        <v>0</v>
      </c>
      <c r="G11" s="100">
        <v>0</v>
      </c>
      <c r="H11" s="100">
        <v>2</v>
      </c>
      <c r="I11" s="106">
        <v>0</v>
      </c>
      <c r="J11" s="107"/>
      <c r="K11" s="107"/>
      <c r="L11" s="107">
        <v>0.4</v>
      </c>
      <c r="M11" s="107"/>
      <c r="N11" s="107">
        <v>0.1</v>
      </c>
      <c r="O11" s="107">
        <v>0.4</v>
      </c>
      <c r="S11">
        <v>3</v>
      </c>
      <c r="T11">
        <v>3</v>
      </c>
      <c r="U11">
        <f t="shared" si="1"/>
        <v>0.5</v>
      </c>
      <c r="V11">
        <v>0.5</v>
      </c>
    </row>
    <row r="12" spans="1:21">
      <c r="A12" s="98" t="s">
        <v>132</v>
      </c>
      <c r="B12" s="99" t="s">
        <v>151</v>
      </c>
      <c r="C12" s="100">
        <v>-10</v>
      </c>
      <c r="D12" s="101">
        <v>0.8</v>
      </c>
      <c r="E12" s="100">
        <v>0</v>
      </c>
      <c r="F12" s="100">
        <v>0</v>
      </c>
      <c r="G12" s="100">
        <v>2</v>
      </c>
      <c r="H12" s="100">
        <v>1</v>
      </c>
      <c r="I12" s="106">
        <v>1</v>
      </c>
      <c r="J12" s="107"/>
      <c r="K12" s="107"/>
      <c r="L12" s="107"/>
      <c r="M12" s="107">
        <v>1</v>
      </c>
      <c r="N12" s="107"/>
      <c r="O12" s="107">
        <v>0.6</v>
      </c>
      <c r="S12">
        <v>4</v>
      </c>
      <c r="T12">
        <v>4</v>
      </c>
      <c r="U12">
        <f t="shared" si="1"/>
        <v>0.333333333333333</v>
      </c>
    </row>
    <row r="13" ht="15" customHeight="1" spans="1:21">
      <c r="A13" s="98" t="s">
        <v>152</v>
      </c>
      <c r="B13" s="99" t="s">
        <v>153</v>
      </c>
      <c r="C13" s="100">
        <v>5</v>
      </c>
      <c r="D13" s="101">
        <v>0.2</v>
      </c>
      <c r="E13" s="100">
        <v>-1</v>
      </c>
      <c r="F13" s="100">
        <v>1</v>
      </c>
      <c r="G13" s="100">
        <v>0</v>
      </c>
      <c r="H13" s="100">
        <v>4</v>
      </c>
      <c r="I13" s="106">
        <v>2</v>
      </c>
      <c r="J13" s="107"/>
      <c r="K13" s="107"/>
      <c r="L13" s="107">
        <v>1</v>
      </c>
      <c r="M13" s="107"/>
      <c r="N13" s="107">
        <v>1</v>
      </c>
      <c r="O13" s="107">
        <v>0.2</v>
      </c>
      <c r="P13" s="6" t="s">
        <v>154</v>
      </c>
      <c r="S13">
        <v>5</v>
      </c>
      <c r="T13">
        <v>5</v>
      </c>
      <c r="U13">
        <f t="shared" si="1"/>
        <v>0.166666666666667</v>
      </c>
    </row>
    <row r="14" spans="1:22">
      <c r="A14" s="98" t="s">
        <v>155</v>
      </c>
      <c r="B14" s="99" t="s">
        <v>156</v>
      </c>
      <c r="C14" s="100">
        <v>0</v>
      </c>
      <c r="D14" s="101">
        <v>1</v>
      </c>
      <c r="E14" s="100">
        <v>0</v>
      </c>
      <c r="F14" s="100">
        <v>0</v>
      </c>
      <c r="G14" s="100">
        <v>0</v>
      </c>
      <c r="H14" s="100">
        <v>1</v>
      </c>
      <c r="I14" s="106">
        <v>3</v>
      </c>
      <c r="J14" s="107">
        <v>0.5</v>
      </c>
      <c r="K14" s="107"/>
      <c r="L14" s="107"/>
      <c r="M14" s="107">
        <v>0.2</v>
      </c>
      <c r="N14" s="107"/>
      <c r="O14" s="107">
        <v>0.4</v>
      </c>
      <c r="P14" s="6" t="s">
        <v>157</v>
      </c>
      <c r="S14">
        <v>6</v>
      </c>
      <c r="T14">
        <v>6</v>
      </c>
      <c r="U14">
        <f t="shared" si="1"/>
        <v>0</v>
      </c>
      <c r="V14">
        <v>0</v>
      </c>
    </row>
    <row r="15" spans="1:16">
      <c r="A15" s="98" t="s">
        <v>158</v>
      </c>
      <c r="B15" s="99" t="s">
        <v>159</v>
      </c>
      <c r="C15" s="100">
        <v>10</v>
      </c>
      <c r="D15" s="101">
        <v>1</v>
      </c>
      <c r="E15" s="100">
        <v>-2</v>
      </c>
      <c r="F15" s="100">
        <v>0</v>
      </c>
      <c r="G15" s="100">
        <v>0</v>
      </c>
      <c r="H15" s="100">
        <v>3</v>
      </c>
      <c r="I15" s="106">
        <v>0</v>
      </c>
      <c r="J15" s="107"/>
      <c r="K15" s="107"/>
      <c r="L15" s="107">
        <v>0.5</v>
      </c>
      <c r="M15" s="107"/>
      <c r="N15" s="107"/>
      <c r="O15" s="107">
        <v>1</v>
      </c>
      <c r="P15" s="6" t="s">
        <v>160</v>
      </c>
    </row>
    <row r="16" spans="1:20">
      <c r="A16" s="98" t="s">
        <v>161</v>
      </c>
      <c r="B16" s="99" t="s">
        <v>162</v>
      </c>
      <c r="C16" s="100">
        <v>-20</v>
      </c>
      <c r="D16" s="101">
        <v>0.8</v>
      </c>
      <c r="E16" s="100">
        <v>0</v>
      </c>
      <c r="F16" s="100">
        <v>0</v>
      </c>
      <c r="G16" s="100">
        <v>3</v>
      </c>
      <c r="H16" s="100">
        <v>3</v>
      </c>
      <c r="I16" s="106">
        <v>1</v>
      </c>
      <c r="J16" s="107"/>
      <c r="K16" s="107"/>
      <c r="L16" s="107"/>
      <c r="M16" s="107">
        <v>1</v>
      </c>
      <c r="N16" s="107">
        <v>0.8</v>
      </c>
      <c r="O16" s="107">
        <v>0.6</v>
      </c>
      <c r="P16" s="6" t="s">
        <v>163</v>
      </c>
      <c r="S16" t="s">
        <v>128</v>
      </c>
      <c r="T16" t="s">
        <v>129</v>
      </c>
    </row>
    <row r="17" spans="1:19">
      <c r="A17" s="98" t="s">
        <v>164</v>
      </c>
      <c r="B17" s="99" t="s">
        <v>165</v>
      </c>
      <c r="C17" s="100">
        <v>-5</v>
      </c>
      <c r="D17" s="101">
        <v>0.6</v>
      </c>
      <c r="E17" s="100">
        <v>1</v>
      </c>
      <c r="F17" s="100">
        <v>0</v>
      </c>
      <c r="G17" s="100">
        <v>0</v>
      </c>
      <c r="H17" s="100">
        <v>2</v>
      </c>
      <c r="I17" s="106">
        <v>2</v>
      </c>
      <c r="J17" s="107">
        <v>0.5</v>
      </c>
      <c r="K17" s="107"/>
      <c r="L17" s="107"/>
      <c r="M17" s="107">
        <v>0.2</v>
      </c>
      <c r="N17" s="107">
        <v>1</v>
      </c>
      <c r="O17" s="107">
        <v>0.4</v>
      </c>
      <c r="P17" s="6" t="s">
        <v>166</v>
      </c>
      <c r="S17">
        <v>6</v>
      </c>
    </row>
    <row r="18" spans="14:14">
      <c r="N18" s="6"/>
    </row>
    <row r="19" spans="1:13">
      <c r="A19" t="s">
        <v>167</v>
      </c>
      <c r="J19" s="35"/>
      <c r="K19" s="35"/>
      <c r="L19" s="35"/>
      <c r="M19" s="35"/>
    </row>
    <row r="20" spans="1:13">
      <c r="A20" s="102"/>
      <c r="B20" s="102" t="s">
        <v>135</v>
      </c>
      <c r="C20" s="102" t="s">
        <v>140</v>
      </c>
      <c r="D20" s="102" t="s">
        <v>142</v>
      </c>
      <c r="E20" s="102" t="s">
        <v>123</v>
      </c>
      <c r="F20" s="102" t="s">
        <v>145</v>
      </c>
      <c r="G20" s="102" t="s">
        <v>147</v>
      </c>
      <c r="H20" s="102" t="s">
        <v>149</v>
      </c>
      <c r="J20" s="35"/>
      <c r="K20" s="35"/>
      <c r="L20" s="35"/>
      <c r="M20" s="35"/>
    </row>
    <row r="21" spans="1:13">
      <c r="A21" s="103" t="s">
        <v>135</v>
      </c>
      <c r="B21" s="104">
        <v>0.05</v>
      </c>
      <c r="C21" s="105">
        <v>0.1</v>
      </c>
      <c r="D21" s="105">
        <v>0.15</v>
      </c>
      <c r="E21" s="105">
        <v>0.1</v>
      </c>
      <c r="F21" s="105">
        <v>0.1</v>
      </c>
      <c r="G21" s="105">
        <v>0.1</v>
      </c>
      <c r="H21" s="105">
        <v>0.1</v>
      </c>
      <c r="I21">
        <f>SUM(B21:H21)</f>
        <v>0.7</v>
      </c>
      <c r="J21" s="108">
        <f>I21/(SUM(I$21:I$27))</f>
        <v>0.1</v>
      </c>
      <c r="K21" s="35"/>
      <c r="L21" s="35"/>
      <c r="M21" s="35"/>
    </row>
    <row r="22" spans="1:13">
      <c r="A22" s="103" t="s">
        <v>140</v>
      </c>
      <c r="B22" s="104">
        <v>0.1</v>
      </c>
      <c r="C22" s="105">
        <v>0.05</v>
      </c>
      <c r="D22" s="105">
        <v>0.1</v>
      </c>
      <c r="E22" s="105">
        <v>0.1</v>
      </c>
      <c r="F22" s="105">
        <v>0.15</v>
      </c>
      <c r="G22" s="105">
        <v>0.1</v>
      </c>
      <c r="H22" s="105">
        <v>0.15</v>
      </c>
      <c r="I22">
        <f t="shared" ref="I22:I28" si="2">SUM(B22:H22)</f>
        <v>0.75</v>
      </c>
      <c r="J22" s="108">
        <f t="shared" ref="J22:J27" si="3">I22/(SUM(I$21:I$27))</f>
        <v>0.107142857142857</v>
      </c>
      <c r="K22" s="35"/>
      <c r="L22" s="35"/>
      <c r="M22" s="35"/>
    </row>
    <row r="23" spans="1:13">
      <c r="A23" s="103" t="s">
        <v>142</v>
      </c>
      <c r="B23" s="104">
        <v>0.05</v>
      </c>
      <c r="C23" s="105">
        <v>0.1</v>
      </c>
      <c r="D23" s="105">
        <v>0.05</v>
      </c>
      <c r="E23" s="105">
        <v>0.15</v>
      </c>
      <c r="F23" s="105">
        <v>0.15</v>
      </c>
      <c r="G23" s="105">
        <v>0.1</v>
      </c>
      <c r="H23" s="105">
        <v>0.1</v>
      </c>
      <c r="I23">
        <f t="shared" si="2"/>
        <v>0.7</v>
      </c>
      <c r="J23" s="108">
        <f t="shared" si="3"/>
        <v>0.1</v>
      </c>
      <c r="K23" s="35"/>
      <c r="L23" s="35"/>
      <c r="M23" s="35"/>
    </row>
    <row r="24" spans="1:13">
      <c r="A24" s="103" t="s">
        <v>123</v>
      </c>
      <c r="B24" s="104">
        <v>0.05</v>
      </c>
      <c r="C24" s="105">
        <v>0.1</v>
      </c>
      <c r="D24" s="105">
        <v>0.25</v>
      </c>
      <c r="E24" s="105">
        <v>0.05</v>
      </c>
      <c r="F24" s="105">
        <v>0.1</v>
      </c>
      <c r="G24" s="105">
        <v>0.1</v>
      </c>
      <c r="H24" s="105">
        <v>0.1</v>
      </c>
      <c r="I24">
        <f t="shared" si="2"/>
        <v>0.75</v>
      </c>
      <c r="J24" s="108">
        <f t="shared" si="3"/>
        <v>0.107142857142857</v>
      </c>
      <c r="K24" s="35"/>
      <c r="L24" s="35"/>
      <c r="M24" s="35"/>
    </row>
    <row r="25" spans="1:13">
      <c r="A25" s="103" t="s">
        <v>145</v>
      </c>
      <c r="B25" s="104">
        <v>0.2</v>
      </c>
      <c r="C25" s="105">
        <v>0.25</v>
      </c>
      <c r="D25" s="105">
        <v>0.15</v>
      </c>
      <c r="E25" s="105">
        <v>0.2</v>
      </c>
      <c r="F25" s="105">
        <v>0.1</v>
      </c>
      <c r="G25" s="105">
        <v>0.25</v>
      </c>
      <c r="H25" s="105">
        <v>0.25</v>
      </c>
      <c r="I25">
        <f t="shared" si="2"/>
        <v>1.4</v>
      </c>
      <c r="J25" s="108">
        <f t="shared" si="3"/>
        <v>0.2</v>
      </c>
      <c r="K25" s="35"/>
      <c r="L25" s="35"/>
      <c r="M25" s="35"/>
    </row>
    <row r="26" spans="1:13">
      <c r="A26" s="103" t="s">
        <v>147</v>
      </c>
      <c r="B26" s="104">
        <v>0.25</v>
      </c>
      <c r="C26" s="105">
        <v>0.2</v>
      </c>
      <c r="D26" s="105">
        <v>0.15</v>
      </c>
      <c r="E26" s="105">
        <v>0.2</v>
      </c>
      <c r="F26" s="105">
        <v>0.2</v>
      </c>
      <c r="G26" s="105">
        <v>0.1</v>
      </c>
      <c r="H26" s="105">
        <v>0.25</v>
      </c>
      <c r="I26">
        <f t="shared" si="2"/>
        <v>1.35</v>
      </c>
      <c r="J26" s="108">
        <f t="shared" si="3"/>
        <v>0.192857142857143</v>
      </c>
      <c r="K26" s="35"/>
      <c r="L26" s="35"/>
      <c r="M26" s="35"/>
    </row>
    <row r="27" spans="1:13">
      <c r="A27" s="103" t="s">
        <v>149</v>
      </c>
      <c r="B27" s="104">
        <v>0.3</v>
      </c>
      <c r="C27" s="105">
        <v>0.2</v>
      </c>
      <c r="D27" s="105">
        <v>0.15</v>
      </c>
      <c r="E27" s="105">
        <v>0.2</v>
      </c>
      <c r="F27" s="105">
        <v>0.2</v>
      </c>
      <c r="G27" s="105">
        <v>0.25</v>
      </c>
      <c r="H27" s="105">
        <v>0.05</v>
      </c>
      <c r="I27">
        <f t="shared" si="2"/>
        <v>1.35</v>
      </c>
      <c r="J27" s="108">
        <f t="shared" si="3"/>
        <v>0.192857142857143</v>
      </c>
      <c r="K27" s="35"/>
      <c r="L27" s="35"/>
      <c r="M27" s="35"/>
    </row>
    <row r="28" spans="1:13">
      <c r="A28" t="s">
        <v>168</v>
      </c>
      <c r="B28">
        <f>SUM(B21:B27)</f>
        <v>1</v>
      </c>
      <c r="C28">
        <f t="shared" ref="C28:H28" si="4">SUM(C21:C27)</f>
        <v>1</v>
      </c>
      <c r="D28">
        <f t="shared" si="4"/>
        <v>1</v>
      </c>
      <c r="E28">
        <f t="shared" si="4"/>
        <v>1</v>
      </c>
      <c r="F28">
        <f t="shared" si="4"/>
        <v>1</v>
      </c>
      <c r="G28">
        <f t="shared" si="4"/>
        <v>1</v>
      </c>
      <c r="H28">
        <f t="shared" si="4"/>
        <v>1</v>
      </c>
      <c r="J28" s="35"/>
      <c r="K28" s="35"/>
      <c r="L28" s="35"/>
      <c r="M28" s="35"/>
    </row>
    <row r="30" spans="1:1">
      <c r="A30" t="s">
        <v>169</v>
      </c>
    </row>
    <row r="31" spans="1:11">
      <c r="A31" s="102"/>
      <c r="B31" s="102" t="s">
        <v>135</v>
      </c>
      <c r="C31" s="102" t="s">
        <v>130</v>
      </c>
      <c r="D31" s="102" t="s">
        <v>138</v>
      </c>
      <c r="E31" s="102" t="s">
        <v>142</v>
      </c>
      <c r="F31" s="102" t="s">
        <v>123</v>
      </c>
      <c r="G31" s="102" t="s">
        <v>147</v>
      </c>
      <c r="H31" s="102" t="s">
        <v>149</v>
      </c>
      <c r="I31" s="102" t="s">
        <v>132</v>
      </c>
      <c r="J31" s="102" t="s">
        <v>170</v>
      </c>
      <c r="K31" s="102" t="s">
        <v>155</v>
      </c>
    </row>
    <row r="32" spans="1:13">
      <c r="A32" s="103" t="s">
        <v>135</v>
      </c>
      <c r="B32" s="104">
        <v>0.1</v>
      </c>
      <c r="C32" s="105">
        <v>0.15</v>
      </c>
      <c r="D32" s="105">
        <v>0.1</v>
      </c>
      <c r="E32" s="105">
        <v>0.15</v>
      </c>
      <c r="F32" s="105">
        <v>0.15</v>
      </c>
      <c r="G32" s="105">
        <v>0.15</v>
      </c>
      <c r="H32" s="105">
        <v>0.25</v>
      </c>
      <c r="I32" s="105">
        <v>0.2</v>
      </c>
      <c r="J32" s="105">
        <v>0.1</v>
      </c>
      <c r="K32" s="105">
        <v>0.1</v>
      </c>
      <c r="L32">
        <f>SUM(B32:K32)</f>
        <v>1.45</v>
      </c>
      <c r="M32" s="108">
        <f>L32/(SUM(L$32:L$41))</f>
        <v>0.145</v>
      </c>
    </row>
    <row r="33" spans="1:13">
      <c r="A33" s="103" t="s">
        <v>130</v>
      </c>
      <c r="B33" s="104">
        <v>0.15</v>
      </c>
      <c r="C33" s="105">
        <v>0.05</v>
      </c>
      <c r="D33" s="105">
        <v>0.2</v>
      </c>
      <c r="E33" s="105">
        <v>0.1</v>
      </c>
      <c r="F33" s="105">
        <v>0.1</v>
      </c>
      <c r="G33" s="105">
        <v>0.1</v>
      </c>
      <c r="H33" s="105">
        <v>0.15</v>
      </c>
      <c r="I33" s="105">
        <v>0.2</v>
      </c>
      <c r="J33" s="105">
        <v>0.15</v>
      </c>
      <c r="K33" s="105">
        <v>0.15</v>
      </c>
      <c r="L33">
        <f t="shared" ref="L33:L41" si="5">SUM(B33:K33)</f>
        <v>1.35</v>
      </c>
      <c r="M33" s="108">
        <f t="shared" ref="M33:M41" si="6">L33/(SUM(L$32:L$41))</f>
        <v>0.135</v>
      </c>
    </row>
    <row r="34" spans="1:13">
      <c r="A34" s="103" t="s">
        <v>138</v>
      </c>
      <c r="B34" s="104">
        <v>0.1</v>
      </c>
      <c r="C34" s="105">
        <v>0.15</v>
      </c>
      <c r="D34" s="105">
        <v>0.05</v>
      </c>
      <c r="E34" s="105">
        <v>0.05</v>
      </c>
      <c r="F34" s="105">
        <v>0.05</v>
      </c>
      <c r="G34" s="105">
        <v>0.05</v>
      </c>
      <c r="H34" s="105">
        <v>0.1</v>
      </c>
      <c r="I34" s="105">
        <v>0.15</v>
      </c>
      <c r="J34" s="105">
        <v>0.2</v>
      </c>
      <c r="K34" s="105">
        <v>0.2</v>
      </c>
      <c r="L34">
        <f t="shared" si="5"/>
        <v>1.1</v>
      </c>
      <c r="M34" s="108">
        <f t="shared" si="6"/>
        <v>0.11</v>
      </c>
    </row>
    <row r="35" spans="1:13">
      <c r="A35" s="103" t="s">
        <v>142</v>
      </c>
      <c r="B35" s="104">
        <v>0.1</v>
      </c>
      <c r="C35" s="105">
        <v>0.05</v>
      </c>
      <c r="D35" s="105">
        <v>0</v>
      </c>
      <c r="E35" s="105">
        <v>0.05</v>
      </c>
      <c r="F35" s="105">
        <v>0.15</v>
      </c>
      <c r="G35" s="105">
        <v>0.15</v>
      </c>
      <c r="H35" s="105">
        <v>0.05</v>
      </c>
      <c r="I35" s="105">
        <v>0.05</v>
      </c>
      <c r="J35" s="105">
        <v>0.1</v>
      </c>
      <c r="K35" s="105">
        <v>0</v>
      </c>
      <c r="L35">
        <f t="shared" si="5"/>
        <v>0.7</v>
      </c>
      <c r="M35" s="108">
        <f t="shared" si="6"/>
        <v>0.07</v>
      </c>
    </row>
    <row r="36" spans="1:13">
      <c r="A36" s="103" t="s">
        <v>123</v>
      </c>
      <c r="B36" s="104">
        <v>0.05</v>
      </c>
      <c r="C36" s="105">
        <v>0.05</v>
      </c>
      <c r="D36" s="105">
        <v>0</v>
      </c>
      <c r="E36" s="105">
        <v>0.2</v>
      </c>
      <c r="F36" s="105">
        <v>0.05</v>
      </c>
      <c r="G36" s="105">
        <v>0.1</v>
      </c>
      <c r="H36" s="105">
        <v>0.05</v>
      </c>
      <c r="I36" s="105">
        <v>0</v>
      </c>
      <c r="J36" s="105">
        <v>0.1</v>
      </c>
      <c r="K36" s="105">
        <v>0</v>
      </c>
      <c r="L36">
        <f t="shared" si="5"/>
        <v>0.6</v>
      </c>
      <c r="M36" s="108">
        <f t="shared" si="6"/>
        <v>0.06</v>
      </c>
    </row>
    <row r="37" spans="1:13">
      <c r="A37" s="103" t="s">
        <v>147</v>
      </c>
      <c r="B37" s="104">
        <v>0.15</v>
      </c>
      <c r="C37" s="105">
        <v>0.15</v>
      </c>
      <c r="D37" s="105">
        <v>0.2</v>
      </c>
      <c r="E37" s="105">
        <v>0.15</v>
      </c>
      <c r="F37" s="105">
        <v>0.2</v>
      </c>
      <c r="G37" s="105">
        <v>0.05</v>
      </c>
      <c r="H37" s="105">
        <v>0.1</v>
      </c>
      <c r="I37" s="105">
        <v>0.1</v>
      </c>
      <c r="J37" s="105">
        <v>0.1</v>
      </c>
      <c r="K37" s="105">
        <v>0.2</v>
      </c>
      <c r="L37">
        <f t="shared" si="5"/>
        <v>1.4</v>
      </c>
      <c r="M37" s="108">
        <f t="shared" si="6"/>
        <v>0.14</v>
      </c>
    </row>
    <row r="38" spans="1:13">
      <c r="A38" s="103" t="s">
        <v>149</v>
      </c>
      <c r="B38" s="104">
        <v>0.15</v>
      </c>
      <c r="C38" s="105">
        <v>0.2</v>
      </c>
      <c r="D38" s="105">
        <v>0.2</v>
      </c>
      <c r="E38" s="105">
        <v>0.15</v>
      </c>
      <c r="F38" s="105">
        <v>0.15</v>
      </c>
      <c r="G38" s="105">
        <v>0.2</v>
      </c>
      <c r="H38" s="105">
        <v>0.05</v>
      </c>
      <c r="I38" s="105">
        <v>0.15</v>
      </c>
      <c r="J38" s="105">
        <v>0.15</v>
      </c>
      <c r="K38" s="105">
        <v>0.2</v>
      </c>
      <c r="L38">
        <f t="shared" si="5"/>
        <v>1.6</v>
      </c>
      <c r="M38" s="108">
        <f t="shared" si="6"/>
        <v>0.16</v>
      </c>
    </row>
    <row r="39" spans="1:13">
      <c r="A39" s="103" t="s">
        <v>132</v>
      </c>
      <c r="B39" s="104">
        <v>0.1</v>
      </c>
      <c r="C39" s="105">
        <v>0.1</v>
      </c>
      <c r="D39" s="105">
        <v>0.15</v>
      </c>
      <c r="E39" s="105">
        <v>0.05</v>
      </c>
      <c r="F39" s="105">
        <v>0.05</v>
      </c>
      <c r="G39" s="105">
        <v>0.1</v>
      </c>
      <c r="H39" s="105">
        <v>0.15</v>
      </c>
      <c r="I39" s="105">
        <v>0.05</v>
      </c>
      <c r="J39" s="105">
        <v>0.05</v>
      </c>
      <c r="K39" s="105">
        <v>0.1</v>
      </c>
      <c r="L39">
        <f t="shared" si="5"/>
        <v>0.9</v>
      </c>
      <c r="M39" s="108">
        <f t="shared" si="6"/>
        <v>0.09</v>
      </c>
    </row>
    <row r="40" spans="1:13">
      <c r="A40" s="103" t="s">
        <v>170</v>
      </c>
      <c r="B40" s="104">
        <v>0.05</v>
      </c>
      <c r="C40" s="105">
        <v>0.05</v>
      </c>
      <c r="D40" s="105">
        <v>0.05</v>
      </c>
      <c r="E40" s="105">
        <v>0.05</v>
      </c>
      <c r="F40" s="105">
        <v>0.05</v>
      </c>
      <c r="G40" s="105">
        <v>0.05</v>
      </c>
      <c r="H40" s="105">
        <v>0.05</v>
      </c>
      <c r="I40" s="105">
        <v>0.05</v>
      </c>
      <c r="J40" s="105">
        <v>0</v>
      </c>
      <c r="K40" s="105">
        <v>0.05</v>
      </c>
      <c r="L40">
        <f t="shared" si="5"/>
        <v>0.45</v>
      </c>
      <c r="M40" s="108">
        <f t="shared" si="6"/>
        <v>0.045</v>
      </c>
    </row>
    <row r="41" spans="1:13">
      <c r="A41" s="103" t="s">
        <v>155</v>
      </c>
      <c r="B41" s="104">
        <v>0.05</v>
      </c>
      <c r="C41" s="105">
        <v>0.05</v>
      </c>
      <c r="D41" s="105">
        <v>0.05</v>
      </c>
      <c r="E41" s="105">
        <v>0.05</v>
      </c>
      <c r="F41" s="105">
        <v>0.05</v>
      </c>
      <c r="G41" s="105">
        <v>0.05</v>
      </c>
      <c r="H41" s="105">
        <v>0.05</v>
      </c>
      <c r="I41" s="105">
        <v>0.05</v>
      </c>
      <c r="J41" s="105">
        <v>0.05</v>
      </c>
      <c r="K41" s="105">
        <v>0</v>
      </c>
      <c r="L41">
        <f t="shared" si="5"/>
        <v>0.45</v>
      </c>
      <c r="M41" s="108">
        <f t="shared" si="6"/>
        <v>0.045</v>
      </c>
    </row>
    <row r="42" spans="1:11">
      <c r="A42" t="s">
        <v>168</v>
      </c>
      <c r="B42">
        <f>SUM(B32:B41)</f>
        <v>1</v>
      </c>
      <c r="C42">
        <f t="shared" ref="C42:K42" si="7">SUM(C32:C41)</f>
        <v>1</v>
      </c>
      <c r="D42">
        <f t="shared" si="7"/>
        <v>1</v>
      </c>
      <c r="E42">
        <f t="shared" si="7"/>
        <v>1</v>
      </c>
      <c r="F42">
        <f t="shared" si="7"/>
        <v>1</v>
      </c>
      <c r="G42">
        <f t="shared" si="7"/>
        <v>1</v>
      </c>
      <c r="H42">
        <f t="shared" si="7"/>
        <v>1</v>
      </c>
      <c r="I42">
        <f t="shared" si="7"/>
        <v>1</v>
      </c>
      <c r="J42">
        <f t="shared" si="7"/>
        <v>1</v>
      </c>
      <c r="K42">
        <f t="shared" si="7"/>
        <v>1</v>
      </c>
    </row>
    <row r="44" spans="1:1">
      <c r="A44" t="s">
        <v>171</v>
      </c>
    </row>
    <row r="45" spans="1:10">
      <c r="A45" s="102"/>
      <c r="B45" s="102" t="s">
        <v>140</v>
      </c>
      <c r="C45" s="102" t="s">
        <v>142</v>
      </c>
      <c r="D45" s="102" t="s">
        <v>123</v>
      </c>
      <c r="E45" s="102" t="s">
        <v>145</v>
      </c>
      <c r="F45" s="102" t="s">
        <v>147</v>
      </c>
      <c r="G45" s="102" t="s">
        <v>149</v>
      </c>
      <c r="H45" s="102" t="s">
        <v>164</v>
      </c>
      <c r="I45" s="102" t="s">
        <v>155</v>
      </c>
      <c r="J45" s="102" t="s">
        <v>172</v>
      </c>
    </row>
    <row r="46" spans="1:12">
      <c r="A46" s="103" t="s">
        <v>140</v>
      </c>
      <c r="B46" s="105">
        <v>0.05</v>
      </c>
      <c r="C46" s="105">
        <v>0.1</v>
      </c>
      <c r="D46" s="105">
        <v>0.1</v>
      </c>
      <c r="E46" s="105">
        <v>0.15</v>
      </c>
      <c r="F46" s="105">
        <v>0.15</v>
      </c>
      <c r="G46" s="105">
        <v>0.15</v>
      </c>
      <c r="H46" s="105">
        <v>0.1</v>
      </c>
      <c r="I46" s="105">
        <v>0.1</v>
      </c>
      <c r="J46" s="105">
        <v>0.1</v>
      </c>
      <c r="K46">
        <f>SUM(B46:J46)</f>
        <v>1</v>
      </c>
      <c r="L46" s="108">
        <f>K46/SUM(K$46:K$54)</f>
        <v>0.111111111111111</v>
      </c>
    </row>
    <row r="47" spans="1:12">
      <c r="A47" s="103" t="s">
        <v>142</v>
      </c>
      <c r="B47" s="105">
        <v>0.15</v>
      </c>
      <c r="C47" s="105">
        <v>0.05</v>
      </c>
      <c r="D47" s="105">
        <v>0.1</v>
      </c>
      <c r="E47" s="105">
        <v>0.1</v>
      </c>
      <c r="F47" s="105">
        <v>0.1</v>
      </c>
      <c r="G47" s="105">
        <v>0.1</v>
      </c>
      <c r="H47" s="105">
        <v>0.05</v>
      </c>
      <c r="I47" s="105">
        <v>0.05</v>
      </c>
      <c r="J47" s="105">
        <v>0.1</v>
      </c>
      <c r="K47">
        <f t="shared" ref="K47:K54" si="8">SUM(B47:J47)</f>
        <v>0.8</v>
      </c>
      <c r="L47" s="108">
        <f t="shared" ref="L47:L54" si="9">K47/SUM(K$46:K$54)</f>
        <v>0.0888888888888889</v>
      </c>
    </row>
    <row r="48" spans="1:12">
      <c r="A48" s="103" t="s">
        <v>123</v>
      </c>
      <c r="B48" s="105">
        <v>0.1</v>
      </c>
      <c r="C48" s="105">
        <v>0.1</v>
      </c>
      <c r="D48" s="105">
        <v>0.05</v>
      </c>
      <c r="E48" s="105">
        <v>0.05</v>
      </c>
      <c r="F48" s="105">
        <v>0.05</v>
      </c>
      <c r="G48" s="105">
        <v>0.05</v>
      </c>
      <c r="H48" s="105">
        <v>0.05</v>
      </c>
      <c r="I48" s="105">
        <v>0.05</v>
      </c>
      <c r="J48" s="105">
        <v>0.05</v>
      </c>
      <c r="K48">
        <f t="shared" si="8"/>
        <v>0.55</v>
      </c>
      <c r="L48" s="108">
        <f t="shared" si="9"/>
        <v>0.0611111111111111</v>
      </c>
    </row>
    <row r="49" spans="1:12">
      <c r="A49" s="103" t="s">
        <v>145</v>
      </c>
      <c r="B49" s="105">
        <v>0.2</v>
      </c>
      <c r="C49" s="105">
        <v>0.2</v>
      </c>
      <c r="D49" s="105">
        <v>0.2</v>
      </c>
      <c r="E49" s="105">
        <v>0.05</v>
      </c>
      <c r="F49" s="105">
        <v>0.2</v>
      </c>
      <c r="G49" s="105">
        <v>0.2</v>
      </c>
      <c r="H49" s="105">
        <v>0.25</v>
      </c>
      <c r="I49" s="105">
        <v>0.25</v>
      </c>
      <c r="J49" s="105">
        <v>0.25</v>
      </c>
      <c r="K49">
        <f t="shared" si="8"/>
        <v>1.8</v>
      </c>
      <c r="L49" s="108">
        <f t="shared" si="9"/>
        <v>0.2</v>
      </c>
    </row>
    <row r="50" spans="1:12">
      <c r="A50" s="103" t="s">
        <v>147</v>
      </c>
      <c r="B50" s="105">
        <v>0.15</v>
      </c>
      <c r="C50" s="105">
        <v>0.2</v>
      </c>
      <c r="D50" s="105">
        <v>0.2</v>
      </c>
      <c r="E50" s="105">
        <v>0.2</v>
      </c>
      <c r="F50" s="105">
        <v>0.05</v>
      </c>
      <c r="G50" s="105">
        <v>0.25</v>
      </c>
      <c r="H50" s="105">
        <v>0.25</v>
      </c>
      <c r="I50" s="105">
        <v>0.25</v>
      </c>
      <c r="J50" s="105">
        <v>0.2</v>
      </c>
      <c r="K50">
        <f t="shared" si="8"/>
        <v>1.75</v>
      </c>
      <c r="L50" s="108">
        <f t="shared" si="9"/>
        <v>0.194444444444444</v>
      </c>
    </row>
    <row r="51" spans="1:12">
      <c r="A51" s="103" t="s">
        <v>149</v>
      </c>
      <c r="B51" s="105">
        <v>0.15</v>
      </c>
      <c r="C51" s="105">
        <v>0.15</v>
      </c>
      <c r="D51" s="105">
        <v>0.15</v>
      </c>
      <c r="E51" s="105">
        <v>0.2</v>
      </c>
      <c r="F51" s="105">
        <v>0.2</v>
      </c>
      <c r="G51" s="105">
        <v>0.05</v>
      </c>
      <c r="H51" s="105">
        <v>0.2</v>
      </c>
      <c r="I51" s="105">
        <v>0.25</v>
      </c>
      <c r="J51" s="105">
        <v>0.2</v>
      </c>
      <c r="K51">
        <f t="shared" si="8"/>
        <v>1.55</v>
      </c>
      <c r="L51" s="108">
        <f t="shared" si="9"/>
        <v>0.172222222222222</v>
      </c>
    </row>
    <row r="52" spans="1:12">
      <c r="A52" s="103" t="s">
        <v>164</v>
      </c>
      <c r="B52" s="105">
        <v>0.05</v>
      </c>
      <c r="C52" s="105">
        <v>0.05</v>
      </c>
      <c r="D52" s="105">
        <v>0.05</v>
      </c>
      <c r="E52" s="105">
        <v>0.05</v>
      </c>
      <c r="F52" s="105">
        <v>0.05</v>
      </c>
      <c r="G52" s="105">
        <v>0.05</v>
      </c>
      <c r="H52" s="105">
        <v>0</v>
      </c>
      <c r="I52" s="105">
        <v>0</v>
      </c>
      <c r="J52" s="105">
        <v>0</v>
      </c>
      <c r="K52">
        <f t="shared" si="8"/>
        <v>0.3</v>
      </c>
      <c r="L52" s="108">
        <f t="shared" si="9"/>
        <v>0.0333333333333333</v>
      </c>
    </row>
    <row r="53" spans="1:12">
      <c r="A53" s="103" t="s">
        <v>155</v>
      </c>
      <c r="B53" s="105">
        <v>0.1</v>
      </c>
      <c r="C53" s="105">
        <v>0.1</v>
      </c>
      <c r="D53" s="105">
        <v>0.1</v>
      </c>
      <c r="E53" s="105">
        <v>0.1</v>
      </c>
      <c r="F53" s="105">
        <v>0.1</v>
      </c>
      <c r="G53" s="105">
        <v>0.1</v>
      </c>
      <c r="H53" s="105">
        <v>0.1</v>
      </c>
      <c r="I53" s="105">
        <v>0</v>
      </c>
      <c r="J53" s="105">
        <v>0.1</v>
      </c>
      <c r="K53">
        <f t="shared" si="8"/>
        <v>0.8</v>
      </c>
      <c r="L53" s="108">
        <f t="shared" si="9"/>
        <v>0.0888888888888889</v>
      </c>
    </row>
    <row r="54" spans="1:12">
      <c r="A54" s="103" t="s">
        <v>172</v>
      </c>
      <c r="B54" s="105">
        <v>0.05</v>
      </c>
      <c r="C54" s="105">
        <v>0.05</v>
      </c>
      <c r="D54" s="105">
        <v>0.05</v>
      </c>
      <c r="E54" s="105">
        <v>0.1</v>
      </c>
      <c r="F54" s="105">
        <v>0.1</v>
      </c>
      <c r="G54" s="105">
        <v>0.05</v>
      </c>
      <c r="H54" s="105">
        <v>0</v>
      </c>
      <c r="I54" s="105">
        <v>0.05</v>
      </c>
      <c r="J54" s="105">
        <v>0</v>
      </c>
      <c r="K54">
        <f t="shared" si="8"/>
        <v>0.45</v>
      </c>
      <c r="L54" s="108">
        <f t="shared" si="9"/>
        <v>0.05</v>
      </c>
    </row>
    <row r="55" spans="1:10">
      <c r="A55" t="s">
        <v>168</v>
      </c>
      <c r="B55">
        <f>SUM(B46:B54)</f>
        <v>1</v>
      </c>
      <c r="C55">
        <f t="shared" ref="C55:J55" si="10">SUM(C46:C54)</f>
        <v>1</v>
      </c>
      <c r="D55">
        <f t="shared" si="10"/>
        <v>1</v>
      </c>
      <c r="E55">
        <f t="shared" si="10"/>
        <v>1</v>
      </c>
      <c r="F55">
        <f t="shared" si="10"/>
        <v>1</v>
      </c>
      <c r="G55">
        <f t="shared" si="10"/>
        <v>1</v>
      </c>
      <c r="H55">
        <f t="shared" si="10"/>
        <v>1</v>
      </c>
      <c r="I55">
        <f t="shared" si="10"/>
        <v>1</v>
      </c>
      <c r="J55">
        <f t="shared" si="10"/>
        <v>1</v>
      </c>
    </row>
    <row r="57" spans="1:1">
      <c r="A57" t="s">
        <v>173</v>
      </c>
    </row>
    <row r="58" spans="1:9">
      <c r="A58" s="102"/>
      <c r="B58" s="102" t="s">
        <v>135</v>
      </c>
      <c r="C58" s="102" t="s">
        <v>130</v>
      </c>
      <c r="D58" s="102" t="s">
        <v>138</v>
      </c>
      <c r="E58" s="102" t="s">
        <v>123</v>
      </c>
      <c r="F58" s="102" t="s">
        <v>149</v>
      </c>
      <c r="G58" s="102" t="s">
        <v>132</v>
      </c>
      <c r="H58" s="102" t="s">
        <v>164</v>
      </c>
      <c r="I58" s="102" t="s">
        <v>174</v>
      </c>
    </row>
    <row r="59" spans="1:11">
      <c r="A59" s="103" t="s">
        <v>135</v>
      </c>
      <c r="B59" s="104">
        <v>0.05</v>
      </c>
      <c r="C59" s="105">
        <v>0.2</v>
      </c>
      <c r="D59" s="105">
        <v>0.15</v>
      </c>
      <c r="E59" s="105">
        <v>0.25</v>
      </c>
      <c r="F59" s="105">
        <v>0.2</v>
      </c>
      <c r="G59" s="105">
        <v>0.2</v>
      </c>
      <c r="H59" s="105">
        <v>0.15</v>
      </c>
      <c r="I59" s="105">
        <v>0.2</v>
      </c>
      <c r="J59">
        <f>SUM(B59:I59)</f>
        <v>1.4</v>
      </c>
      <c r="K59" s="108">
        <f>J59/SUM(J$59:J$66)</f>
        <v>0.175</v>
      </c>
    </row>
    <row r="60" spans="1:11">
      <c r="A60" s="103" t="s">
        <v>130</v>
      </c>
      <c r="B60" s="104">
        <v>0.15</v>
      </c>
      <c r="C60" s="105">
        <v>0.05</v>
      </c>
      <c r="D60" s="105">
        <v>0.15</v>
      </c>
      <c r="E60" s="105">
        <v>0.15</v>
      </c>
      <c r="F60" s="105">
        <v>0.2</v>
      </c>
      <c r="G60" s="105">
        <v>0.15</v>
      </c>
      <c r="H60" s="105">
        <v>0.15</v>
      </c>
      <c r="I60" s="105">
        <v>0.1</v>
      </c>
      <c r="J60">
        <f t="shared" ref="J60:J66" si="11">SUM(B60:I60)</f>
        <v>1.1</v>
      </c>
      <c r="K60" s="108">
        <f t="shared" ref="K60:K66" si="12">J60/SUM(J$59:J$66)</f>
        <v>0.1375</v>
      </c>
    </row>
    <row r="61" spans="1:11">
      <c r="A61" s="103" t="s">
        <v>138</v>
      </c>
      <c r="B61" s="104">
        <v>0.1</v>
      </c>
      <c r="C61" s="105">
        <v>0.2</v>
      </c>
      <c r="D61" s="105">
        <v>0.05</v>
      </c>
      <c r="E61" s="105">
        <v>0.1</v>
      </c>
      <c r="F61" s="105">
        <v>0.1</v>
      </c>
      <c r="G61" s="105">
        <v>0.15</v>
      </c>
      <c r="H61" s="105">
        <v>0.2</v>
      </c>
      <c r="I61" s="105">
        <v>0.05</v>
      </c>
      <c r="J61">
        <f t="shared" si="11"/>
        <v>0.95</v>
      </c>
      <c r="K61" s="108">
        <f t="shared" si="12"/>
        <v>0.11875</v>
      </c>
    </row>
    <row r="62" spans="1:11">
      <c r="A62" s="103" t="s">
        <v>123</v>
      </c>
      <c r="B62" s="104">
        <v>0.25</v>
      </c>
      <c r="C62" s="105">
        <v>0.1</v>
      </c>
      <c r="D62" s="105">
        <v>0.15</v>
      </c>
      <c r="E62" s="105">
        <v>0.05</v>
      </c>
      <c r="F62" s="105">
        <v>0.15</v>
      </c>
      <c r="G62" s="105">
        <v>0.05</v>
      </c>
      <c r="H62" s="105">
        <v>0.1</v>
      </c>
      <c r="I62" s="105">
        <v>0.2</v>
      </c>
      <c r="J62">
        <f t="shared" si="11"/>
        <v>1.05</v>
      </c>
      <c r="K62" s="108">
        <f t="shared" si="12"/>
        <v>0.13125</v>
      </c>
    </row>
    <row r="63" spans="1:11">
      <c r="A63" s="103" t="s">
        <v>149</v>
      </c>
      <c r="B63" s="104">
        <v>0.25</v>
      </c>
      <c r="C63" s="105">
        <v>0.2</v>
      </c>
      <c r="D63" s="105">
        <v>0.15</v>
      </c>
      <c r="E63" s="105">
        <v>0.25</v>
      </c>
      <c r="F63" s="105">
        <v>0.05</v>
      </c>
      <c r="G63" s="105">
        <v>0.25</v>
      </c>
      <c r="H63" s="105">
        <v>0.25</v>
      </c>
      <c r="I63" s="105">
        <v>0.35</v>
      </c>
      <c r="J63">
        <f t="shared" si="11"/>
        <v>1.75</v>
      </c>
      <c r="K63" s="108">
        <f t="shared" si="12"/>
        <v>0.21875</v>
      </c>
    </row>
    <row r="64" spans="1:11">
      <c r="A64" s="103" t="s">
        <v>132</v>
      </c>
      <c r="B64" s="104">
        <v>0.1</v>
      </c>
      <c r="C64" s="105">
        <v>0.1</v>
      </c>
      <c r="D64" s="105">
        <v>0.1</v>
      </c>
      <c r="E64" s="105">
        <v>0.1</v>
      </c>
      <c r="F64" s="105">
        <v>0.2</v>
      </c>
      <c r="G64" s="105">
        <v>0.05</v>
      </c>
      <c r="H64" s="105">
        <v>0.1</v>
      </c>
      <c r="I64" s="105">
        <v>0.05</v>
      </c>
      <c r="J64">
        <f t="shared" si="11"/>
        <v>0.8</v>
      </c>
      <c r="K64" s="108">
        <f t="shared" si="12"/>
        <v>0.1</v>
      </c>
    </row>
    <row r="65" spans="1:11">
      <c r="A65" s="103" t="s">
        <v>164</v>
      </c>
      <c r="B65" s="104">
        <v>0.05</v>
      </c>
      <c r="C65" s="105">
        <v>0.05</v>
      </c>
      <c r="D65" s="105">
        <v>0.1</v>
      </c>
      <c r="E65" s="105">
        <v>0.05</v>
      </c>
      <c r="F65" s="105">
        <v>0.05</v>
      </c>
      <c r="G65" s="105">
        <v>0.05</v>
      </c>
      <c r="H65" s="105">
        <v>0</v>
      </c>
      <c r="I65" s="105">
        <v>0.05</v>
      </c>
      <c r="J65">
        <f t="shared" si="11"/>
        <v>0.4</v>
      </c>
      <c r="K65" s="108">
        <f t="shared" si="12"/>
        <v>0.05</v>
      </c>
    </row>
    <row r="66" spans="1:11">
      <c r="A66" s="103" t="s">
        <v>174</v>
      </c>
      <c r="B66" s="104">
        <v>0.05</v>
      </c>
      <c r="C66" s="105">
        <v>0.1</v>
      </c>
      <c r="D66" s="105">
        <v>0.15</v>
      </c>
      <c r="E66" s="105">
        <v>0.05</v>
      </c>
      <c r="F66" s="105">
        <v>0.05</v>
      </c>
      <c r="G66" s="105">
        <v>0.1</v>
      </c>
      <c r="H66" s="105">
        <v>0.05</v>
      </c>
      <c r="I66" s="105">
        <v>0</v>
      </c>
      <c r="J66">
        <f t="shared" si="11"/>
        <v>0.55</v>
      </c>
      <c r="K66" s="108">
        <f t="shared" si="12"/>
        <v>0.06875</v>
      </c>
    </row>
    <row r="67" spans="1:9">
      <c r="A67" t="s">
        <v>168</v>
      </c>
      <c r="B67">
        <f>SUM(B59:B66)</f>
        <v>1</v>
      </c>
      <c r="C67">
        <f t="shared" ref="C67:I67" si="13">SUM(C59:C66)</f>
        <v>1</v>
      </c>
      <c r="D67">
        <f t="shared" si="13"/>
        <v>1</v>
      </c>
      <c r="E67">
        <f t="shared" si="13"/>
        <v>1</v>
      </c>
      <c r="F67">
        <f t="shared" si="13"/>
        <v>1</v>
      </c>
      <c r="G67">
        <f t="shared" si="13"/>
        <v>1</v>
      </c>
      <c r="H67">
        <f t="shared" si="13"/>
        <v>1</v>
      </c>
      <c r="I67">
        <f t="shared" si="13"/>
        <v>1</v>
      </c>
    </row>
    <row r="69" spans="1:1">
      <c r="A69" t="s">
        <v>175</v>
      </c>
    </row>
    <row r="70" spans="1:10">
      <c r="A70" s="102"/>
      <c r="B70" s="102" t="s">
        <v>140</v>
      </c>
      <c r="C70" s="102" t="s">
        <v>142</v>
      </c>
      <c r="D70" s="102" t="s">
        <v>145</v>
      </c>
      <c r="E70" s="102" t="s">
        <v>147</v>
      </c>
      <c r="F70" s="102" t="s">
        <v>172</v>
      </c>
      <c r="G70" s="102" t="s">
        <v>176</v>
      </c>
      <c r="H70" s="102" t="s">
        <v>155</v>
      </c>
      <c r="I70" s="35"/>
      <c r="J70" s="35"/>
    </row>
    <row r="71" spans="1:10">
      <c r="A71" s="103" t="s">
        <v>140</v>
      </c>
      <c r="B71" s="105">
        <v>0.05</v>
      </c>
      <c r="C71" s="105">
        <v>0.1</v>
      </c>
      <c r="D71" s="105">
        <v>0.2</v>
      </c>
      <c r="E71" s="105">
        <v>0.2</v>
      </c>
      <c r="F71" s="105">
        <v>0.2</v>
      </c>
      <c r="G71" s="105">
        <v>0.2</v>
      </c>
      <c r="H71" s="105">
        <v>0.1</v>
      </c>
      <c r="I71" s="35">
        <f>SUM(B71:H71)</f>
        <v>1.05</v>
      </c>
      <c r="J71" s="108">
        <f>I71/SUM(I$71:I$77)</f>
        <v>0.15</v>
      </c>
    </row>
    <row r="72" spans="1:10">
      <c r="A72" s="103" t="s">
        <v>142</v>
      </c>
      <c r="B72" s="105">
        <v>0.1</v>
      </c>
      <c r="C72" s="105">
        <v>0.05</v>
      </c>
      <c r="D72" s="105">
        <v>0.1</v>
      </c>
      <c r="E72" s="105">
        <v>0.1</v>
      </c>
      <c r="F72" s="105">
        <v>0.05</v>
      </c>
      <c r="G72" s="105">
        <v>0.1</v>
      </c>
      <c r="H72" s="105">
        <v>0.05</v>
      </c>
      <c r="I72" s="35">
        <f t="shared" ref="I72:I77" si="14">SUM(B72:H72)</f>
        <v>0.55</v>
      </c>
      <c r="J72" s="108">
        <f t="shared" ref="J72:J77" si="15">I72/SUM(I$71:I$77)</f>
        <v>0.0785714285714286</v>
      </c>
    </row>
    <row r="73" spans="1:10">
      <c r="A73" s="103" t="s">
        <v>145</v>
      </c>
      <c r="B73" s="105">
        <v>0.3</v>
      </c>
      <c r="C73" s="105">
        <v>0.3</v>
      </c>
      <c r="D73" s="105">
        <v>0.05</v>
      </c>
      <c r="E73" s="105">
        <v>0.35</v>
      </c>
      <c r="F73" s="105">
        <v>0.25</v>
      </c>
      <c r="G73" s="105">
        <v>0.3</v>
      </c>
      <c r="H73" s="105">
        <v>0.25</v>
      </c>
      <c r="I73" s="35">
        <f t="shared" si="14"/>
        <v>1.8</v>
      </c>
      <c r="J73" s="108">
        <f t="shared" si="15"/>
        <v>0.257142857142857</v>
      </c>
    </row>
    <row r="74" spans="1:10">
      <c r="A74" s="103" t="s">
        <v>147</v>
      </c>
      <c r="B74" s="105">
        <v>0.25</v>
      </c>
      <c r="C74" s="105">
        <v>0.25</v>
      </c>
      <c r="D74" s="105">
        <v>0.35</v>
      </c>
      <c r="E74" s="105">
        <v>0.05</v>
      </c>
      <c r="F74" s="105">
        <v>0.3</v>
      </c>
      <c r="G74" s="105">
        <v>0.2</v>
      </c>
      <c r="H74" s="105">
        <v>0.4</v>
      </c>
      <c r="I74" s="35">
        <f t="shared" si="14"/>
        <v>1.8</v>
      </c>
      <c r="J74" s="108">
        <f t="shared" si="15"/>
        <v>0.257142857142857</v>
      </c>
    </row>
    <row r="75" spans="1:10">
      <c r="A75" s="103" t="s">
        <v>172</v>
      </c>
      <c r="B75" s="105">
        <v>0.1</v>
      </c>
      <c r="C75" s="105">
        <v>0.1</v>
      </c>
      <c r="D75" s="105">
        <v>0.1</v>
      </c>
      <c r="E75" s="105">
        <v>0.1</v>
      </c>
      <c r="F75" s="105">
        <v>0</v>
      </c>
      <c r="G75" s="105">
        <v>0.1</v>
      </c>
      <c r="H75" s="105">
        <v>0.1</v>
      </c>
      <c r="I75" s="35">
        <f t="shared" si="14"/>
        <v>0.6</v>
      </c>
      <c r="J75" s="108">
        <f t="shared" si="15"/>
        <v>0.0857142857142857</v>
      </c>
    </row>
    <row r="76" spans="1:10">
      <c r="A76" s="103" t="s">
        <v>176</v>
      </c>
      <c r="B76" s="105">
        <v>0.1</v>
      </c>
      <c r="C76" s="105">
        <v>0.1</v>
      </c>
      <c r="D76" s="105">
        <v>0.1</v>
      </c>
      <c r="E76" s="105">
        <v>0.1</v>
      </c>
      <c r="F76" s="105">
        <v>0.1</v>
      </c>
      <c r="G76" s="105">
        <v>0</v>
      </c>
      <c r="H76" s="105">
        <v>0.1</v>
      </c>
      <c r="I76" s="35">
        <f t="shared" si="14"/>
        <v>0.6</v>
      </c>
      <c r="J76" s="108">
        <f t="shared" si="15"/>
        <v>0.0857142857142857</v>
      </c>
    </row>
    <row r="77" spans="1:10">
      <c r="A77" s="103" t="s">
        <v>155</v>
      </c>
      <c r="B77" s="105">
        <v>0.1</v>
      </c>
      <c r="C77" s="105">
        <v>0.1</v>
      </c>
      <c r="D77" s="105">
        <v>0.1</v>
      </c>
      <c r="E77" s="105">
        <v>0.1</v>
      </c>
      <c r="F77" s="105">
        <v>0.1</v>
      </c>
      <c r="G77" s="105">
        <v>0.1</v>
      </c>
      <c r="H77" s="105">
        <v>0</v>
      </c>
      <c r="I77" s="35">
        <f t="shared" si="14"/>
        <v>0.6</v>
      </c>
      <c r="J77" s="108">
        <f t="shared" si="15"/>
        <v>0.0857142857142857</v>
      </c>
    </row>
    <row r="78" spans="1:8">
      <c r="A78" t="s">
        <v>168</v>
      </c>
      <c r="B78">
        <f>SUM(B71:B77)</f>
        <v>1</v>
      </c>
      <c r="C78">
        <f t="shared" ref="C78:H78" si="16">SUM(C71:C77)</f>
        <v>1</v>
      </c>
      <c r="D78">
        <f t="shared" si="16"/>
        <v>1</v>
      </c>
      <c r="E78">
        <f t="shared" si="16"/>
        <v>1</v>
      </c>
      <c r="F78">
        <f t="shared" si="16"/>
        <v>1</v>
      </c>
      <c r="G78">
        <f t="shared" si="16"/>
        <v>1</v>
      </c>
      <c r="H78">
        <f t="shared" si="16"/>
        <v>1</v>
      </c>
    </row>
    <row r="85" spans="11:14">
      <c r="K85" s="35"/>
      <c r="L85" s="35"/>
      <c r="M85" s="35"/>
      <c r="N85" s="35"/>
    </row>
    <row r="86" spans="11:14">
      <c r="K86" s="35"/>
      <c r="L86" s="35"/>
      <c r="M86" s="35"/>
      <c r="N86" s="35"/>
    </row>
    <row r="87" spans="11:14">
      <c r="K87" s="35"/>
      <c r="L87" s="35"/>
      <c r="M87" s="35"/>
      <c r="N87" s="35"/>
    </row>
    <row r="88" spans="11:14">
      <c r="K88" s="35"/>
      <c r="L88" s="35"/>
      <c r="M88" s="35"/>
      <c r="N88" s="35"/>
    </row>
    <row r="89" spans="11:14">
      <c r="K89" s="35"/>
      <c r="L89" s="35"/>
      <c r="M89" s="35"/>
      <c r="N89" s="35"/>
    </row>
    <row r="90" spans="11:14">
      <c r="K90" s="35"/>
      <c r="L90" s="35"/>
      <c r="M90" s="35"/>
      <c r="N90" s="35"/>
    </row>
    <row r="91" spans="11:14">
      <c r="K91" s="35"/>
      <c r="L91" s="35"/>
      <c r="M91" s="35"/>
      <c r="N91" s="35"/>
    </row>
    <row r="92" spans="11:14">
      <c r="K92" s="35"/>
      <c r="L92" s="35"/>
      <c r="M92" s="35"/>
      <c r="N92" s="35"/>
    </row>
    <row r="93" spans="11:14">
      <c r="K93" s="35"/>
      <c r="L93" s="35"/>
      <c r="M93" s="35"/>
      <c r="N93" s="35"/>
    </row>
    <row r="94" spans="11:14">
      <c r="K94" s="35"/>
      <c r="L94" s="35"/>
      <c r="M94" s="35"/>
      <c r="N94" s="35"/>
    </row>
    <row r="95" spans="11:14">
      <c r="K95" s="35"/>
      <c r="L95" s="35"/>
      <c r="M95" s="35"/>
      <c r="N95" s="35"/>
    </row>
    <row r="96" spans="11:14">
      <c r="K96" s="35"/>
      <c r="L96" s="35"/>
      <c r="M96" s="35"/>
      <c r="N96" s="35"/>
    </row>
    <row r="97" spans="11:14">
      <c r="K97" s="35"/>
      <c r="L97" s="35"/>
      <c r="M97" s="35"/>
      <c r="N97" s="35"/>
    </row>
    <row r="98" spans="11:14">
      <c r="K98" s="35"/>
      <c r="L98" s="35"/>
      <c r="M98" s="35"/>
      <c r="N98" s="35"/>
    </row>
    <row r="99" spans="11:14">
      <c r="K99" s="35"/>
      <c r="L99" s="35"/>
      <c r="M99" s="35"/>
      <c r="N99" s="35"/>
    </row>
    <row r="100" spans="11:14">
      <c r="K100" s="35"/>
      <c r="L100" s="35"/>
      <c r="M100" s="35"/>
      <c r="N100" s="35"/>
    </row>
    <row r="101" spans="11:14">
      <c r="K101" s="35"/>
      <c r="L101" s="35"/>
      <c r="M101" s="35"/>
      <c r="N101" s="35"/>
    </row>
    <row r="102" spans="11:14">
      <c r="K102" s="35"/>
      <c r="L102" s="35"/>
      <c r="M102" s="35"/>
      <c r="N102" s="35"/>
    </row>
  </sheetData>
  <mergeCells count="1">
    <mergeCell ref="J1:O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5"/>
  <sheetViews>
    <sheetView workbookViewId="0">
      <selection activeCell="Q26" sqref="Q26"/>
    </sheetView>
  </sheetViews>
  <sheetFormatPr defaultColWidth="9.14545454545454" defaultRowHeight="14.5"/>
  <cols>
    <col min="1" max="1" width="17" customWidth="1"/>
    <col min="2" max="2" width="17.7181818181818" style="88" customWidth="1"/>
    <col min="3" max="3" width="9.71818181818182" style="89" customWidth="1"/>
    <col min="4" max="4" width="11.8545454545455" style="88" customWidth="1"/>
    <col min="5" max="5" width="12" style="89" customWidth="1"/>
    <col min="6" max="6" width="9.42727272727273" style="88" customWidth="1"/>
    <col min="7" max="7" width="11" style="89" customWidth="1"/>
    <col min="8" max="8" width="12.1454545454545" style="88" customWidth="1"/>
    <col min="9" max="9" width="12" style="89" customWidth="1"/>
    <col min="10" max="10" width="11.2818181818182" style="88" customWidth="1"/>
    <col min="11" max="11" width="11.2818181818182" style="89" customWidth="1"/>
    <col min="12" max="12" width="16.5727272727273" style="88" customWidth="1"/>
    <col min="13" max="13" width="9.85454545454546" style="89" customWidth="1"/>
    <col min="14" max="16" width="12.1454545454545" style="88" customWidth="1"/>
    <col min="17" max="17" width="11.5727272727273" style="88" customWidth="1"/>
    <col min="18" max="18" width="15.1454545454545" customWidth="1"/>
    <col min="19" max="19" width="12.6363636363636" customWidth="1"/>
    <col min="20" max="20" width="11.1818181818182" customWidth="1"/>
    <col min="21" max="21" width="12.1818181818182" customWidth="1"/>
  </cols>
  <sheetData>
    <row r="1" spans="1:22">
      <c r="A1" s="88" t="s">
        <v>177</v>
      </c>
      <c r="C1" s="89" t="s">
        <v>178</v>
      </c>
      <c r="E1" s="89" t="s">
        <v>179</v>
      </c>
      <c r="G1" s="89" t="s">
        <v>180</v>
      </c>
      <c r="I1" s="89" t="s">
        <v>181</v>
      </c>
      <c r="K1" s="89" t="s">
        <v>182</v>
      </c>
      <c r="M1" s="89" t="s">
        <v>183</v>
      </c>
      <c r="O1" s="89" t="s">
        <v>184</v>
      </c>
      <c r="R1" s="64" t="s">
        <v>185</v>
      </c>
      <c r="S1" s="64"/>
      <c r="T1" s="64"/>
      <c r="U1" s="64"/>
      <c r="V1" s="64"/>
    </row>
    <row r="2" spans="1:22">
      <c r="A2" s="90" t="s">
        <v>186</v>
      </c>
      <c r="B2" s="90" t="s">
        <v>187</v>
      </c>
      <c r="C2" s="91" t="s">
        <v>186</v>
      </c>
      <c r="D2" s="92" t="s">
        <v>187</v>
      </c>
      <c r="E2" s="91" t="s">
        <v>186</v>
      </c>
      <c r="F2" s="92" t="s">
        <v>187</v>
      </c>
      <c r="G2" s="91" t="s">
        <v>186</v>
      </c>
      <c r="H2" s="92" t="s">
        <v>187</v>
      </c>
      <c r="I2" s="91" t="s">
        <v>186</v>
      </c>
      <c r="J2" s="92" t="s">
        <v>187</v>
      </c>
      <c r="K2" s="91" t="s">
        <v>186</v>
      </c>
      <c r="L2" s="92" t="s">
        <v>187</v>
      </c>
      <c r="M2" s="91" t="s">
        <v>186</v>
      </c>
      <c r="N2" s="90" t="s">
        <v>187</v>
      </c>
      <c r="O2" s="91" t="s">
        <v>186</v>
      </c>
      <c r="P2" s="90" t="s">
        <v>187</v>
      </c>
      <c r="R2" s="94" t="s">
        <v>167</v>
      </c>
      <c r="S2" s="94" t="s">
        <v>169</v>
      </c>
      <c r="T2" s="94" t="s">
        <v>188</v>
      </c>
      <c r="U2" s="94" t="s">
        <v>173</v>
      </c>
      <c r="V2" s="2" t="s">
        <v>175</v>
      </c>
    </row>
    <row r="3" spans="1:22">
      <c r="A3" s="88" t="s">
        <v>189</v>
      </c>
      <c r="B3" s="88" t="s">
        <v>190</v>
      </c>
      <c r="C3" s="89" t="s">
        <v>191</v>
      </c>
      <c r="D3" s="88" t="s">
        <v>192</v>
      </c>
      <c r="E3" s="89" t="s">
        <v>193</v>
      </c>
      <c r="F3" s="88" t="s">
        <v>179</v>
      </c>
      <c r="G3" s="89" t="s">
        <v>194</v>
      </c>
      <c r="H3" s="88" t="s">
        <v>195</v>
      </c>
      <c r="I3" s="89" t="s">
        <v>196</v>
      </c>
      <c r="J3" s="88" t="s">
        <v>197</v>
      </c>
      <c r="K3" s="89" t="s">
        <v>198</v>
      </c>
      <c r="L3" s="88" t="s">
        <v>199</v>
      </c>
      <c r="M3" s="89" t="s">
        <v>200</v>
      </c>
      <c r="N3" s="88" t="s">
        <v>201</v>
      </c>
      <c r="O3" s="89" t="s">
        <v>202</v>
      </c>
      <c r="P3" s="88" t="s">
        <v>203</v>
      </c>
      <c r="R3" s="88" t="s">
        <v>204</v>
      </c>
      <c r="S3" s="95" t="s">
        <v>205</v>
      </c>
      <c r="T3" s="40" t="s">
        <v>206</v>
      </c>
      <c r="U3" s="40" t="s">
        <v>207</v>
      </c>
      <c r="V3" s="40" t="s">
        <v>208</v>
      </c>
    </row>
    <row r="4" spans="1:22">
      <c r="A4" s="88" t="s">
        <v>209</v>
      </c>
      <c r="B4" s="88" t="s">
        <v>210</v>
      </c>
      <c r="C4" s="89" t="s">
        <v>211</v>
      </c>
      <c r="D4" s="88" t="s">
        <v>212</v>
      </c>
      <c r="E4" s="89" t="s">
        <v>213</v>
      </c>
      <c r="G4" s="89" t="s">
        <v>214</v>
      </c>
      <c r="H4" s="88" t="s">
        <v>215</v>
      </c>
      <c r="I4" s="89" t="s">
        <v>216</v>
      </c>
      <c r="J4" s="88" t="s">
        <v>217</v>
      </c>
      <c r="K4" s="89" t="s">
        <v>218</v>
      </c>
      <c r="L4" s="88" t="s">
        <v>181</v>
      </c>
      <c r="M4" s="89" t="s">
        <v>219</v>
      </c>
      <c r="N4" s="88" t="s">
        <v>220</v>
      </c>
      <c r="O4" s="89" t="s">
        <v>184</v>
      </c>
      <c r="P4" s="88" t="s">
        <v>221</v>
      </c>
      <c r="R4" s="88" t="s">
        <v>222</v>
      </c>
      <c r="S4" s="95" t="s">
        <v>223</v>
      </c>
      <c r="T4" s="40" t="s">
        <v>224</v>
      </c>
      <c r="U4" s="40" t="s">
        <v>225</v>
      </c>
      <c r="V4" s="40" t="s">
        <v>226</v>
      </c>
    </row>
    <row r="5" spans="1:24">
      <c r="A5" s="88" t="s">
        <v>227</v>
      </c>
      <c r="B5" s="88" t="s">
        <v>228</v>
      </c>
      <c r="C5" s="89" t="s">
        <v>229</v>
      </c>
      <c r="D5" s="88" t="s">
        <v>230</v>
      </c>
      <c r="E5" s="89" t="s">
        <v>231</v>
      </c>
      <c r="G5" s="89" t="s">
        <v>232</v>
      </c>
      <c r="H5" s="88" t="s">
        <v>233</v>
      </c>
      <c r="I5" s="89" t="s">
        <v>234</v>
      </c>
      <c r="J5" s="88" t="s">
        <v>235</v>
      </c>
      <c r="K5" s="89" t="s">
        <v>236</v>
      </c>
      <c r="L5" s="88" t="s">
        <v>237</v>
      </c>
      <c r="M5" s="89" t="s">
        <v>238</v>
      </c>
      <c r="N5" s="88" t="s">
        <v>239</v>
      </c>
      <c r="O5" s="89" t="s">
        <v>240</v>
      </c>
      <c r="P5" s="88" t="s">
        <v>241</v>
      </c>
      <c r="R5" s="40" t="s">
        <v>242</v>
      </c>
      <c r="S5" s="88" t="s">
        <v>243</v>
      </c>
      <c r="T5" s="40" t="s">
        <v>244</v>
      </c>
      <c r="U5" s="40" t="s">
        <v>245</v>
      </c>
      <c r="V5" t="s">
        <v>246</v>
      </c>
      <c r="W5" s="40"/>
      <c r="X5" s="40"/>
    </row>
    <row r="6" spans="1:24">
      <c r="A6" s="88" t="s">
        <v>247</v>
      </c>
      <c r="B6" s="88" t="s">
        <v>248</v>
      </c>
      <c r="C6" s="89" t="s">
        <v>249</v>
      </c>
      <c r="D6" s="88" t="s">
        <v>250</v>
      </c>
      <c r="E6" s="89" t="s">
        <v>251</v>
      </c>
      <c r="G6" s="89" t="s">
        <v>252</v>
      </c>
      <c r="H6" s="88" t="s">
        <v>253</v>
      </c>
      <c r="I6" s="89" t="s">
        <v>254</v>
      </c>
      <c r="J6" s="88" t="s">
        <v>255</v>
      </c>
      <c r="K6" s="89" t="s">
        <v>256</v>
      </c>
      <c r="L6" s="88" t="s">
        <v>257</v>
      </c>
      <c r="M6" s="89" t="s">
        <v>258</v>
      </c>
      <c r="N6" s="88" t="s">
        <v>259</v>
      </c>
      <c r="O6" s="89" t="s">
        <v>260</v>
      </c>
      <c r="P6" s="88" t="s">
        <v>261</v>
      </c>
      <c r="R6" t="s">
        <v>262</v>
      </c>
      <c r="S6" t="s">
        <v>263</v>
      </c>
      <c r="T6" s="40" t="s">
        <v>264</v>
      </c>
      <c r="U6" s="40" t="s">
        <v>265</v>
      </c>
      <c r="V6" t="s">
        <v>266</v>
      </c>
      <c r="W6" s="40"/>
      <c r="X6" s="40"/>
    </row>
    <row r="7" spans="1:24">
      <c r="A7" s="88" t="s">
        <v>267</v>
      </c>
      <c r="B7" s="88" t="s">
        <v>268</v>
      </c>
      <c r="C7" s="89" t="s">
        <v>269</v>
      </c>
      <c r="D7" s="88" t="s">
        <v>270</v>
      </c>
      <c r="E7" s="89" t="s">
        <v>271</v>
      </c>
      <c r="G7" s="89" t="s">
        <v>272</v>
      </c>
      <c r="H7" s="88" t="s">
        <v>273</v>
      </c>
      <c r="I7" s="89" t="s">
        <v>274</v>
      </c>
      <c r="J7" s="88" t="s">
        <v>275</v>
      </c>
      <c r="K7" s="89" t="s">
        <v>276</v>
      </c>
      <c r="L7" s="88" t="s">
        <v>277</v>
      </c>
      <c r="M7" s="89" t="s">
        <v>278</v>
      </c>
      <c r="N7" s="88" t="s">
        <v>279</v>
      </c>
      <c r="O7" s="89" t="s">
        <v>280</v>
      </c>
      <c r="P7" s="88" t="s">
        <v>281</v>
      </c>
      <c r="R7" t="s">
        <v>282</v>
      </c>
      <c r="S7" s="88" t="s">
        <v>283</v>
      </c>
      <c r="T7" s="40" t="s">
        <v>284</v>
      </c>
      <c r="U7" s="40" t="s">
        <v>285</v>
      </c>
      <c r="V7" s="88" t="s">
        <v>286</v>
      </c>
      <c r="W7" s="40"/>
      <c r="X7" s="40"/>
    </row>
    <row r="8" spans="1:24">
      <c r="A8" s="88" t="s">
        <v>287</v>
      </c>
      <c r="B8" s="88" t="s">
        <v>288</v>
      </c>
      <c r="C8" s="89" t="s">
        <v>289</v>
      </c>
      <c r="D8" s="88" t="s">
        <v>290</v>
      </c>
      <c r="E8" s="89" t="s">
        <v>291</v>
      </c>
      <c r="H8" s="88" t="s">
        <v>292</v>
      </c>
      <c r="I8" s="89" t="s">
        <v>293</v>
      </c>
      <c r="J8" s="88" t="s">
        <v>294</v>
      </c>
      <c r="K8" s="89" t="s">
        <v>295</v>
      </c>
      <c r="L8" s="88" t="s">
        <v>296</v>
      </c>
      <c r="M8" s="89" t="s">
        <v>297</v>
      </c>
      <c r="N8" s="88" t="s">
        <v>298</v>
      </c>
      <c r="O8" s="89" t="s">
        <v>299</v>
      </c>
      <c r="P8" s="88" t="s">
        <v>300</v>
      </c>
      <c r="R8" s="95" t="s">
        <v>301</v>
      </c>
      <c r="S8" t="s">
        <v>302</v>
      </c>
      <c r="T8" t="s">
        <v>303</v>
      </c>
      <c r="U8" s="88" t="s">
        <v>304</v>
      </c>
      <c r="V8" s="88" t="s">
        <v>305</v>
      </c>
      <c r="W8" s="40"/>
      <c r="X8" s="40"/>
    </row>
    <row r="9" spans="1:24">
      <c r="A9" s="88" t="s">
        <v>306</v>
      </c>
      <c r="B9" s="88" t="s">
        <v>307</v>
      </c>
      <c r="C9" s="89" t="s">
        <v>308</v>
      </c>
      <c r="D9" s="88" t="s">
        <v>309</v>
      </c>
      <c r="E9" s="89" t="s">
        <v>310</v>
      </c>
      <c r="I9" s="89" t="s">
        <v>311</v>
      </c>
      <c r="J9" s="88" t="s">
        <v>312</v>
      </c>
      <c r="L9" s="88" t="s">
        <v>313</v>
      </c>
      <c r="M9" s="89" t="s">
        <v>314</v>
      </c>
      <c r="N9" s="88" t="s">
        <v>217</v>
      </c>
      <c r="O9" s="89" t="s">
        <v>315</v>
      </c>
      <c r="P9" s="88" t="s">
        <v>316</v>
      </c>
      <c r="R9" t="s">
        <v>317</v>
      </c>
      <c r="S9" t="s">
        <v>318</v>
      </c>
      <c r="T9" t="s">
        <v>319</v>
      </c>
      <c r="U9" s="88" t="s">
        <v>320</v>
      </c>
      <c r="W9" s="40"/>
      <c r="X9" s="40"/>
    </row>
    <row r="10" spans="1:21">
      <c r="A10" s="88" t="s">
        <v>321</v>
      </c>
      <c r="B10" s="88" t="s">
        <v>322</v>
      </c>
      <c r="C10" s="89" t="s">
        <v>323</v>
      </c>
      <c r="D10" s="88" t="s">
        <v>324</v>
      </c>
      <c r="E10" s="89" t="s">
        <v>325</v>
      </c>
      <c r="I10" s="89" t="s">
        <v>326</v>
      </c>
      <c r="J10" s="88" t="s">
        <v>327</v>
      </c>
      <c r="M10" s="89" t="s">
        <v>328</v>
      </c>
      <c r="N10" s="88" t="s">
        <v>329</v>
      </c>
      <c r="O10" s="89" t="s">
        <v>330</v>
      </c>
      <c r="P10" s="88" t="s">
        <v>331</v>
      </c>
      <c r="S10" s="88" t="s">
        <v>332</v>
      </c>
      <c r="T10" t="s">
        <v>333</v>
      </c>
      <c r="U10" t="s">
        <v>334</v>
      </c>
    </row>
    <row r="11" spans="1:21">
      <c r="A11" s="88" t="s">
        <v>335</v>
      </c>
      <c r="B11" s="88" t="s">
        <v>336</v>
      </c>
      <c r="C11" s="89" t="s">
        <v>337</v>
      </c>
      <c r="D11" s="88" t="s">
        <v>338</v>
      </c>
      <c r="E11" s="89" t="s">
        <v>339</v>
      </c>
      <c r="I11" s="89" t="s">
        <v>340</v>
      </c>
      <c r="J11" s="88" t="s">
        <v>341</v>
      </c>
      <c r="M11" s="93" t="s">
        <v>342</v>
      </c>
      <c r="N11" s="88" t="s">
        <v>343</v>
      </c>
      <c r="O11" s="89" t="s">
        <v>344</v>
      </c>
      <c r="P11" s="88" t="s">
        <v>345</v>
      </c>
      <c r="S11" s="88" t="s">
        <v>206</v>
      </c>
      <c r="T11" t="s">
        <v>346</v>
      </c>
      <c r="U11" t="s">
        <v>347</v>
      </c>
    </row>
    <row r="12" spans="1:20">
      <c r="A12" s="88" t="s">
        <v>348</v>
      </c>
      <c r="B12" s="88" t="s">
        <v>349</v>
      </c>
      <c r="C12" s="89" t="s">
        <v>350</v>
      </c>
      <c r="D12" s="88" t="s">
        <v>351</v>
      </c>
      <c r="E12" s="89" t="s">
        <v>352</v>
      </c>
      <c r="J12" s="88" t="s">
        <v>353</v>
      </c>
      <c r="M12" s="89" t="s">
        <v>354</v>
      </c>
      <c r="N12" s="88" t="s">
        <v>355</v>
      </c>
      <c r="O12" s="89" t="s">
        <v>356</v>
      </c>
      <c r="P12" s="88" t="s">
        <v>357</v>
      </c>
      <c r="S12" t="s">
        <v>244</v>
      </c>
      <c r="T12" t="s">
        <v>358</v>
      </c>
    </row>
    <row r="13" spans="1:19">
      <c r="A13" s="88" t="s">
        <v>359</v>
      </c>
      <c r="B13" s="88" t="s">
        <v>360</v>
      </c>
      <c r="C13" s="89" t="s">
        <v>361</v>
      </c>
      <c r="D13" s="88" t="s">
        <v>362</v>
      </c>
      <c r="E13" s="89" t="s">
        <v>363</v>
      </c>
      <c r="J13" s="88" t="s">
        <v>364</v>
      </c>
      <c r="M13" s="89" t="s">
        <v>365</v>
      </c>
      <c r="N13" s="88" t="s">
        <v>366</v>
      </c>
      <c r="O13" s="89"/>
      <c r="P13" s="88" t="s">
        <v>367</v>
      </c>
      <c r="S13" s="88" t="s">
        <v>368</v>
      </c>
    </row>
    <row r="14" spans="1:20">
      <c r="A14" s="88" t="s">
        <v>369</v>
      </c>
      <c r="B14" s="88" t="s">
        <v>248</v>
      </c>
      <c r="C14" s="89" t="s">
        <v>370</v>
      </c>
      <c r="D14" s="88" t="s">
        <v>371</v>
      </c>
      <c r="E14" s="89" t="s">
        <v>372</v>
      </c>
      <c r="J14" s="88" t="s">
        <v>373</v>
      </c>
      <c r="M14" s="89" t="s">
        <v>374</v>
      </c>
      <c r="N14" s="88" t="s">
        <v>375</v>
      </c>
      <c r="O14" s="89"/>
      <c r="T14" s="88"/>
    </row>
    <row r="15" spans="1:17">
      <c r="A15" s="88" t="s">
        <v>376</v>
      </c>
      <c r="B15" s="88" t="s">
        <v>268</v>
      </c>
      <c r="C15" s="89" t="s">
        <v>377</v>
      </c>
      <c r="D15" s="88" t="s">
        <v>378</v>
      </c>
      <c r="E15" s="89" t="s">
        <v>379</v>
      </c>
      <c r="M15" s="89" t="s">
        <v>197</v>
      </c>
      <c r="N15" s="88" t="s">
        <v>380</v>
      </c>
      <c r="O15" s="89"/>
      <c r="Q15"/>
    </row>
    <row r="16" spans="1:17">
      <c r="A16" s="88" t="s">
        <v>381</v>
      </c>
      <c r="B16" s="88" t="s">
        <v>382</v>
      </c>
      <c r="C16" s="89" t="s">
        <v>383</v>
      </c>
      <c r="D16" s="88" t="s">
        <v>384</v>
      </c>
      <c r="E16" s="89" t="s">
        <v>385</v>
      </c>
      <c r="M16" s="89" t="s">
        <v>386</v>
      </c>
      <c r="N16" s="88" t="s">
        <v>387</v>
      </c>
      <c r="O16" s="89"/>
      <c r="Q16"/>
    </row>
    <row r="17" spans="1:17">
      <c r="A17" s="88" t="s">
        <v>388</v>
      </c>
      <c r="B17" s="88" t="s">
        <v>389</v>
      </c>
      <c r="D17" s="88" t="s">
        <v>390</v>
      </c>
      <c r="M17" s="89" t="s">
        <v>364</v>
      </c>
      <c r="N17" s="88" t="s">
        <v>391</v>
      </c>
      <c r="O17" s="89"/>
      <c r="Q17"/>
    </row>
    <row r="18" spans="1:17">
      <c r="A18" s="88" t="s">
        <v>392</v>
      </c>
      <c r="B18" s="88" t="s">
        <v>393</v>
      </c>
      <c r="L18"/>
      <c r="M18" s="89" t="s">
        <v>394</v>
      </c>
      <c r="N18" t="s">
        <v>395</v>
      </c>
      <c r="O18" s="89"/>
      <c r="P18"/>
      <c r="Q18"/>
    </row>
    <row r="19" spans="1:17">
      <c r="A19" s="88" t="s">
        <v>382</v>
      </c>
      <c r="B19" s="88" t="s">
        <v>396</v>
      </c>
      <c r="L19"/>
      <c r="M19" s="89" t="s">
        <v>236</v>
      </c>
      <c r="N19" s="88" t="s">
        <v>397</v>
      </c>
      <c r="O19" s="89"/>
      <c r="Q19"/>
    </row>
    <row r="20" spans="1:17">
      <c r="A20" s="88" t="s">
        <v>398</v>
      </c>
      <c r="B20" s="88" t="s">
        <v>399</v>
      </c>
      <c r="L20"/>
      <c r="M20" s="89" t="s">
        <v>400</v>
      </c>
      <c r="N20" s="88" t="s">
        <v>401</v>
      </c>
      <c r="O20" s="89"/>
      <c r="Q20"/>
    </row>
    <row r="21" spans="1:17">
      <c r="A21" s="88" t="s">
        <v>402</v>
      </c>
      <c r="B21" s="88" t="s">
        <v>403</v>
      </c>
      <c r="L21"/>
      <c r="M21" s="89" t="s">
        <v>404</v>
      </c>
      <c r="N21" s="88" t="s">
        <v>405</v>
      </c>
      <c r="O21" s="89"/>
      <c r="Q21"/>
    </row>
    <row r="22" spans="1:17">
      <c r="A22" s="88" t="s">
        <v>406</v>
      </c>
      <c r="B22" s="88" t="s">
        <v>407</v>
      </c>
      <c r="L22"/>
      <c r="M22" s="89" t="s">
        <v>408</v>
      </c>
      <c r="N22" s="88" t="s">
        <v>409</v>
      </c>
      <c r="O22" s="89"/>
      <c r="Q22"/>
    </row>
    <row r="23" spans="1:17">
      <c r="A23" s="88" t="s">
        <v>410</v>
      </c>
      <c r="B23" s="88" t="s">
        <v>411</v>
      </c>
      <c r="L23"/>
      <c r="M23" s="89" t="s">
        <v>412</v>
      </c>
      <c r="N23" s="88" t="s">
        <v>413</v>
      </c>
      <c r="O23" s="89"/>
      <c r="Q23"/>
    </row>
    <row r="24" spans="1:17">
      <c r="A24" s="88" t="s">
        <v>414</v>
      </c>
      <c r="B24" s="88" t="s">
        <v>348</v>
      </c>
      <c r="L24"/>
      <c r="M24" s="89" t="s">
        <v>415</v>
      </c>
      <c r="O24" s="89"/>
      <c r="Q24"/>
    </row>
    <row r="25" spans="1:17">
      <c r="A25" s="88" t="s">
        <v>416</v>
      </c>
      <c r="B25" s="88" t="s">
        <v>417</v>
      </c>
      <c r="L25"/>
      <c r="M25" s="89" t="s">
        <v>418</v>
      </c>
      <c r="O25" s="89"/>
      <c r="Q25"/>
    </row>
    <row r="26" spans="1:17">
      <c r="A26" s="88" t="s">
        <v>419</v>
      </c>
      <c r="B26" s="88" t="s">
        <v>420</v>
      </c>
      <c r="L26"/>
      <c r="M26" s="89" t="s">
        <v>421</v>
      </c>
      <c r="O26" s="89"/>
      <c r="Q26"/>
    </row>
    <row r="27" spans="1:17">
      <c r="A27" s="88" t="s">
        <v>422</v>
      </c>
      <c r="B27" s="88" t="s">
        <v>411</v>
      </c>
      <c r="L27"/>
      <c r="O27" s="89"/>
      <c r="Q27"/>
    </row>
    <row r="28" spans="1:20">
      <c r="A28" s="88" t="s">
        <v>423</v>
      </c>
      <c r="B28" s="88" t="s">
        <v>424</v>
      </c>
      <c r="L28"/>
      <c r="O28" s="89"/>
      <c r="Q28"/>
      <c r="T28" s="88"/>
    </row>
    <row r="29" spans="1:20">
      <c r="A29" s="88" t="s">
        <v>425</v>
      </c>
      <c r="B29" s="88" t="s">
        <v>426</v>
      </c>
      <c r="L29"/>
      <c r="O29" s="89"/>
      <c r="Q29"/>
      <c r="T29" s="88"/>
    </row>
    <row r="30" spans="1:20">
      <c r="A30" t="s">
        <v>427</v>
      </c>
      <c r="B30" s="88" t="s">
        <v>428</v>
      </c>
      <c r="L30"/>
      <c r="O30" s="89"/>
      <c r="Q30"/>
      <c r="T30" s="88"/>
    </row>
    <row r="31" spans="1:22">
      <c r="A31" t="s">
        <v>429</v>
      </c>
      <c r="B31" s="88" t="s">
        <v>430</v>
      </c>
      <c r="K31" s="93"/>
      <c r="L31" s="6"/>
      <c r="M31" s="93"/>
      <c r="O31" s="93"/>
      <c r="Q31" s="6"/>
      <c r="R31" s="6"/>
      <c r="T31" s="88"/>
      <c r="U31" s="6"/>
      <c r="V31" s="6"/>
    </row>
    <row r="32" spans="1:22">
      <c r="A32" t="s">
        <v>431</v>
      </c>
      <c r="B32" s="88" t="s">
        <v>432</v>
      </c>
      <c r="K32" s="93"/>
      <c r="L32" s="6"/>
      <c r="M32" s="93"/>
      <c r="O32" s="93"/>
      <c r="Q32" s="6"/>
      <c r="R32" s="6"/>
      <c r="T32" s="88"/>
      <c r="U32" s="6"/>
      <c r="V32" s="6"/>
    </row>
    <row r="33" spans="1:22">
      <c r="A33" t="s">
        <v>433</v>
      </c>
      <c r="B33" s="88" t="s">
        <v>434</v>
      </c>
      <c r="K33" s="93"/>
      <c r="L33" s="6"/>
      <c r="M33" s="93"/>
      <c r="O33" s="93"/>
      <c r="Q33" s="6"/>
      <c r="R33" s="6"/>
      <c r="T33" s="88"/>
      <c r="U33" s="6"/>
      <c r="V33" s="6"/>
    </row>
    <row r="34" spans="1:20">
      <c r="A34" t="s">
        <v>435</v>
      </c>
      <c r="B34" s="88" t="s">
        <v>436</v>
      </c>
      <c r="O34" s="89"/>
      <c r="T34" s="88"/>
    </row>
    <row r="35" spans="1:20">
      <c r="A35" t="s">
        <v>437</v>
      </c>
      <c r="B35" s="88" t="s">
        <v>438</v>
      </c>
      <c r="O35" s="89"/>
      <c r="T35" s="88"/>
    </row>
    <row r="36" spans="2:20">
      <c r="B36" s="88" t="s">
        <v>439</v>
      </c>
      <c r="O36" s="89"/>
      <c r="T36" s="88"/>
    </row>
    <row r="37" spans="2:20">
      <c r="B37" s="88" t="s">
        <v>440</v>
      </c>
      <c r="T37" s="88"/>
    </row>
    <row r="38" spans="2:2">
      <c r="B38" s="88" t="s">
        <v>369</v>
      </c>
    </row>
    <row r="39" spans="2:2">
      <c r="B39" s="88" t="s">
        <v>441</v>
      </c>
    </row>
    <row r="40" spans="2:2">
      <c r="B40" s="88" t="s">
        <v>442</v>
      </c>
    </row>
    <row r="41" spans="2:2">
      <c r="B41" s="88" t="s">
        <v>443</v>
      </c>
    </row>
    <row r="42" spans="2:2">
      <c r="B42" s="88" t="s">
        <v>444</v>
      </c>
    </row>
    <row r="43" spans="2:2">
      <c r="B43" s="88" t="s">
        <v>445</v>
      </c>
    </row>
    <row r="44" spans="2:2">
      <c r="B44" s="88" t="s">
        <v>446</v>
      </c>
    </row>
    <row r="45" spans="2:2">
      <c r="B45" s="88" t="s">
        <v>447</v>
      </c>
    </row>
    <row r="46" spans="2:2">
      <c r="B46" s="88" t="s">
        <v>448</v>
      </c>
    </row>
    <row r="47" spans="2:2">
      <c r="B47" s="88" t="s">
        <v>449</v>
      </c>
    </row>
    <row r="48" spans="2:2">
      <c r="B48" s="88" t="s">
        <v>450</v>
      </c>
    </row>
    <row r="49" spans="2:2">
      <c r="B49" s="88" t="s">
        <v>451</v>
      </c>
    </row>
    <row r="50" spans="2:2">
      <c r="B50" s="88" t="s">
        <v>452</v>
      </c>
    </row>
    <row r="51" spans="2:2">
      <c r="B51" s="88" t="s">
        <v>453</v>
      </c>
    </row>
    <row r="52" spans="2:2">
      <c r="B52" s="88" t="s">
        <v>454</v>
      </c>
    </row>
    <row r="53" spans="2:2">
      <c r="B53" s="88" t="s">
        <v>455</v>
      </c>
    </row>
    <row r="54" spans="2:2">
      <c r="B54" s="88" t="s">
        <v>456</v>
      </c>
    </row>
    <row r="55" spans="2:2">
      <c r="B55" s="88" t="s">
        <v>457</v>
      </c>
    </row>
    <row r="56" spans="2:2">
      <c r="B56" s="88" t="s">
        <v>458</v>
      </c>
    </row>
    <row r="57" spans="2:2">
      <c r="B57" s="88" t="s">
        <v>459</v>
      </c>
    </row>
    <row r="58" spans="2:2">
      <c r="B58" s="88" t="s">
        <v>460</v>
      </c>
    </row>
    <row r="59" spans="2:2">
      <c r="B59" s="88" t="s">
        <v>461</v>
      </c>
    </row>
    <row r="60" spans="2:2">
      <c r="B60" s="88" t="s">
        <v>462</v>
      </c>
    </row>
    <row r="61" spans="2:2">
      <c r="B61" s="88" t="s">
        <v>463</v>
      </c>
    </row>
    <row r="62" spans="2:2">
      <c r="B62" s="88" t="s">
        <v>464</v>
      </c>
    </row>
    <row r="65" spans="2:2">
      <c r="B65"/>
    </row>
  </sheetData>
  <mergeCells count="1">
    <mergeCell ref="R1:V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0"/>
  <sheetViews>
    <sheetView workbookViewId="0">
      <selection activeCell="L8" sqref="L8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7.85454545454545" customWidth="1"/>
    <col min="12" max="12" width="16.0909090909091" customWidth="1"/>
    <col min="13" max="13" width="13" customWidth="1"/>
    <col min="14" max="14" width="14.7272727272727" customWidth="1"/>
    <col min="17" max="17" width="12.8181818181818"/>
  </cols>
  <sheetData>
    <row r="1" spans="1:14">
      <c r="A1" s="78" t="s">
        <v>118</v>
      </c>
      <c r="B1" s="78" t="s">
        <v>465</v>
      </c>
      <c r="C1" s="78" t="s">
        <v>120</v>
      </c>
      <c r="D1" s="78" t="s">
        <v>466</v>
      </c>
      <c r="E1" s="78" t="s">
        <v>182</v>
      </c>
      <c r="F1" s="78" t="s">
        <v>181</v>
      </c>
      <c r="G1" s="78" t="s">
        <v>183</v>
      </c>
      <c r="H1" s="78" t="s">
        <v>180</v>
      </c>
      <c r="I1" s="78" t="s">
        <v>178</v>
      </c>
      <c r="J1" s="78" t="s">
        <v>177</v>
      </c>
      <c r="K1" s="78" t="s">
        <v>467</v>
      </c>
      <c r="L1" s="78" t="s">
        <v>468</v>
      </c>
      <c r="M1" s="78" t="s">
        <v>469</v>
      </c>
      <c r="N1" s="78" t="s">
        <v>470</v>
      </c>
    </row>
    <row r="2" spans="1:14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7">
      <c r="A3" s="79" t="s">
        <v>167</v>
      </c>
      <c r="B3" s="80">
        <v>0</v>
      </c>
      <c r="C3" s="81">
        <v>3</v>
      </c>
      <c r="D3" s="82">
        <v>1</v>
      </c>
      <c r="E3" s="82">
        <f>E$10*$D3</f>
        <v>1</v>
      </c>
      <c r="F3" s="82">
        <f>F$10*$D3</f>
        <v>2</v>
      </c>
      <c r="G3" s="82">
        <f>G$10*$D3</f>
        <v>1</v>
      </c>
      <c r="H3" s="82">
        <v>0</v>
      </c>
      <c r="I3" s="82">
        <f>I$10*$D3</f>
        <v>2</v>
      </c>
      <c r="J3" s="82">
        <f>J$10*$D3</f>
        <v>5</v>
      </c>
      <c r="K3" s="82">
        <f>SUM(D3:J3)+K$10+1</f>
        <v>24</v>
      </c>
      <c r="L3" s="11" t="s">
        <v>471</v>
      </c>
      <c r="M3" s="11" t="s">
        <v>472</v>
      </c>
      <c r="N3" s="11" t="s">
        <v>473</v>
      </c>
      <c r="Q3">
        <f>K3/D3/1.5</f>
        <v>16</v>
      </c>
    </row>
    <row r="4" spans="1:17">
      <c r="A4" s="79" t="s">
        <v>169</v>
      </c>
      <c r="B4" s="80">
        <v>1</v>
      </c>
      <c r="C4" s="81">
        <v>1</v>
      </c>
      <c r="D4" s="82">
        <v>2</v>
      </c>
      <c r="E4" s="82">
        <f>E$10*$D4</f>
        <v>2</v>
      </c>
      <c r="F4" s="82">
        <f>F$10*$D4</f>
        <v>4</v>
      </c>
      <c r="G4" s="82">
        <f>G$10*$D4</f>
        <v>2</v>
      </c>
      <c r="H4" s="82">
        <v>1</v>
      </c>
      <c r="I4" s="82">
        <f>I$10*$D4</f>
        <v>4</v>
      </c>
      <c r="J4" s="82">
        <f>J$10*$D4</f>
        <v>10</v>
      </c>
      <c r="K4" s="82">
        <f>SUM(D4:J4)+K$10+1</f>
        <v>37</v>
      </c>
      <c r="L4" s="11" t="s">
        <v>474</v>
      </c>
      <c r="M4" s="11" t="s">
        <v>471</v>
      </c>
      <c r="N4" s="11" t="s">
        <v>475</v>
      </c>
      <c r="Q4">
        <f>K4/D4/1.5</f>
        <v>12.3333333333333</v>
      </c>
    </row>
    <row r="5" spans="1:17">
      <c r="A5" s="79" t="s">
        <v>188</v>
      </c>
      <c r="B5" s="80">
        <v>2</v>
      </c>
      <c r="C5" s="81">
        <v>2</v>
      </c>
      <c r="D5" s="82">
        <v>3</v>
      </c>
      <c r="E5" s="82">
        <f>E$10*$D5</f>
        <v>3</v>
      </c>
      <c r="F5" s="82">
        <f>F$10*$D5</f>
        <v>6</v>
      </c>
      <c r="G5" s="82">
        <f>G$10*$D5</f>
        <v>3</v>
      </c>
      <c r="H5" s="82">
        <v>1</v>
      </c>
      <c r="I5" s="82">
        <f>I$10*$D5</f>
        <v>6</v>
      </c>
      <c r="J5" s="82">
        <f>J$10*$D5</f>
        <v>15</v>
      </c>
      <c r="K5" s="82">
        <f>SUM(D5:J5)+K$10+1</f>
        <v>49</v>
      </c>
      <c r="L5" s="11" t="s">
        <v>476</v>
      </c>
      <c r="M5" s="11" t="s">
        <v>474</v>
      </c>
      <c r="N5" s="11" t="s">
        <v>476</v>
      </c>
      <c r="Q5">
        <f>K5/D5/1.5</f>
        <v>10.8888888888889</v>
      </c>
    </row>
    <row r="6" spans="1:17">
      <c r="A6" s="79" t="s">
        <v>173</v>
      </c>
      <c r="B6" s="80">
        <v>3</v>
      </c>
      <c r="C6" s="81">
        <v>4</v>
      </c>
      <c r="D6" s="82">
        <v>4</v>
      </c>
      <c r="E6" s="82">
        <f>E$10*$D6</f>
        <v>4</v>
      </c>
      <c r="F6" s="82">
        <f>F$10*$D6</f>
        <v>8</v>
      </c>
      <c r="G6" s="82">
        <f>G$10*$D6</f>
        <v>4</v>
      </c>
      <c r="H6" s="82">
        <v>1</v>
      </c>
      <c r="I6" s="82">
        <f>I$10*$D6</f>
        <v>8</v>
      </c>
      <c r="J6" s="82">
        <f>J$10*$D6</f>
        <v>20</v>
      </c>
      <c r="K6" s="82">
        <f>SUM(D6:J6)+K$10+1</f>
        <v>61</v>
      </c>
      <c r="L6" s="11" t="s">
        <v>476</v>
      </c>
      <c r="M6" s="11" t="s">
        <v>476</v>
      </c>
      <c r="N6" s="11" t="s">
        <v>477</v>
      </c>
      <c r="Q6">
        <f>K6/D6/1.5</f>
        <v>10.1666666666667</v>
      </c>
    </row>
    <row r="7" spans="1:17">
      <c r="A7" s="79" t="s">
        <v>175</v>
      </c>
      <c r="B7" s="80">
        <v>4</v>
      </c>
      <c r="C7" s="81">
        <v>5</v>
      </c>
      <c r="D7" s="82">
        <v>5</v>
      </c>
      <c r="E7" s="82">
        <f>E$10*$D7</f>
        <v>5</v>
      </c>
      <c r="F7" s="82">
        <f>F$10*$D7</f>
        <v>10</v>
      </c>
      <c r="G7" s="82">
        <f>G$10*$D7</f>
        <v>5</v>
      </c>
      <c r="H7" s="82">
        <v>1</v>
      </c>
      <c r="I7" s="82">
        <f>I$10*$D7</f>
        <v>10</v>
      </c>
      <c r="J7" s="82">
        <f>J$10*$D7</f>
        <v>25</v>
      </c>
      <c r="K7" s="82">
        <f>SUM(D7:J7)+K$10+1</f>
        <v>73</v>
      </c>
      <c r="L7" s="11" t="s">
        <v>476</v>
      </c>
      <c r="M7" s="11" t="s">
        <v>478</v>
      </c>
      <c r="N7" s="11" t="s">
        <v>479</v>
      </c>
      <c r="Q7">
        <f>K7/D7/1.5</f>
        <v>9.73333333333333</v>
      </c>
    </row>
    <row r="8" spans="15:16">
      <c r="O8">
        <v>24</v>
      </c>
      <c r="P8">
        <v>22</v>
      </c>
    </row>
    <row r="9" spans="15:16">
      <c r="O9">
        <v>36</v>
      </c>
      <c r="P9">
        <v>33</v>
      </c>
    </row>
    <row r="10" spans="4:16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  <c r="O10">
        <v>48</v>
      </c>
      <c r="P10">
        <v>44</v>
      </c>
    </row>
    <row r="11" spans="15:16">
      <c r="O11">
        <v>60</v>
      </c>
      <c r="P11">
        <v>55</v>
      </c>
    </row>
    <row r="12" spans="15:16">
      <c r="O12">
        <v>72</v>
      </c>
      <c r="P12">
        <v>66</v>
      </c>
    </row>
    <row r="15" spans="7:12">
      <c r="G15" s="6" t="s">
        <v>480</v>
      </c>
      <c r="H15" s="6" t="s">
        <v>479</v>
      </c>
      <c r="I15" s="6" t="s">
        <v>481</v>
      </c>
      <c r="J15" s="6" t="s">
        <v>482</v>
      </c>
      <c r="K15" s="6" t="s">
        <v>483</v>
      </c>
      <c r="L15" s="6" t="s">
        <v>484</v>
      </c>
    </row>
    <row r="16" spans="7:12">
      <c r="G16" s="6" t="s">
        <v>485</v>
      </c>
      <c r="H16" s="6" t="s">
        <v>474</v>
      </c>
      <c r="I16" s="6" t="s">
        <v>486</v>
      </c>
      <c r="J16" s="6" t="s">
        <v>476</v>
      </c>
      <c r="K16" s="6" t="s">
        <v>487</v>
      </c>
      <c r="L16" s="6" t="s">
        <v>478</v>
      </c>
    </row>
    <row r="17" spans="7:12">
      <c r="G17" s="6" t="s">
        <v>488</v>
      </c>
      <c r="H17" s="6" t="s">
        <v>473</v>
      </c>
      <c r="I17" s="6" t="s">
        <v>476</v>
      </c>
      <c r="J17" s="6" t="s">
        <v>479</v>
      </c>
      <c r="K17" s="6" t="s">
        <v>482</v>
      </c>
      <c r="L17" s="6" t="s">
        <v>484</v>
      </c>
    </row>
    <row r="18" spans="13:18">
      <c r="M18" s="88"/>
      <c r="N18" s="88"/>
      <c r="O18" s="88"/>
      <c r="P18" s="88"/>
      <c r="Q18" s="88"/>
      <c r="R18" s="88"/>
    </row>
    <row r="19" spans="13:22">
      <c r="M19" s="6" t="s">
        <v>489</v>
      </c>
      <c r="N19" s="6" t="s">
        <v>118</v>
      </c>
      <c r="P19" s="6" t="s">
        <v>490</v>
      </c>
      <c r="Q19" s="6" t="s">
        <v>118</v>
      </c>
      <c r="S19" s="6" t="s">
        <v>491</v>
      </c>
      <c r="V19" s="6" t="s">
        <v>492</v>
      </c>
    </row>
    <row r="20" spans="13:23">
      <c r="M20" s="6" t="s">
        <v>493</v>
      </c>
      <c r="N20" s="6" t="s">
        <v>494</v>
      </c>
      <c r="P20" s="6" t="s">
        <v>495</v>
      </c>
      <c r="Q20" s="6" t="s">
        <v>496</v>
      </c>
      <c r="S20" s="6" t="s">
        <v>497</v>
      </c>
      <c r="V20" s="6" t="s">
        <v>135</v>
      </c>
      <c r="W20" s="6" t="s">
        <v>498</v>
      </c>
    </row>
    <row r="21" spans="13:23">
      <c r="M21" s="6" t="s">
        <v>499</v>
      </c>
      <c r="N21" s="6" t="s">
        <v>500</v>
      </c>
      <c r="P21" s="6" t="s">
        <v>501</v>
      </c>
      <c r="Q21" s="6" t="s">
        <v>502</v>
      </c>
      <c r="S21" s="6" t="s">
        <v>503</v>
      </c>
      <c r="V21" s="6" t="s">
        <v>130</v>
      </c>
      <c r="W21" s="6" t="s">
        <v>504</v>
      </c>
    </row>
    <row r="22" spans="13:23">
      <c r="M22" s="6" t="s">
        <v>505</v>
      </c>
      <c r="N22" s="6" t="s">
        <v>506</v>
      </c>
      <c r="P22" s="6" t="s">
        <v>507</v>
      </c>
      <c r="S22" s="6" t="s">
        <v>173</v>
      </c>
      <c r="V22" s="6" t="s">
        <v>138</v>
      </c>
      <c r="W22" s="6" t="s">
        <v>508</v>
      </c>
    </row>
    <row r="23" spans="1:23">
      <c r="A23" s="83" t="s">
        <v>509</v>
      </c>
      <c r="B23" s="83"/>
      <c r="C23" s="84" t="s">
        <v>510</v>
      </c>
      <c r="D23" s="84"/>
      <c r="E23" s="84" t="s">
        <v>511</v>
      </c>
      <c r="F23" s="84"/>
      <c r="G23" s="84" t="s">
        <v>512</v>
      </c>
      <c r="H23" s="84"/>
      <c r="M23" s="6" t="s">
        <v>513</v>
      </c>
      <c r="N23" s="6" t="s">
        <v>514</v>
      </c>
      <c r="P23" s="6" t="s">
        <v>515</v>
      </c>
      <c r="Q23" s="6" t="s">
        <v>516</v>
      </c>
      <c r="S23" s="6" t="s">
        <v>517</v>
      </c>
      <c r="V23" s="6" t="s">
        <v>140</v>
      </c>
      <c r="W23" s="6" t="s">
        <v>518</v>
      </c>
    </row>
    <row r="24" spans="1:23">
      <c r="A24" s="83"/>
      <c r="B24" s="83"/>
      <c r="C24" s="83" t="s">
        <v>519</v>
      </c>
      <c r="D24" s="83" t="s">
        <v>520</v>
      </c>
      <c r="E24" s="83" t="s">
        <v>519</v>
      </c>
      <c r="F24" s="83" t="s">
        <v>520</v>
      </c>
      <c r="G24" s="83" t="s">
        <v>519</v>
      </c>
      <c r="H24" s="83" t="s">
        <v>520</v>
      </c>
      <c r="M24" s="6" t="s">
        <v>521</v>
      </c>
      <c r="N24" s="6" t="s">
        <v>434</v>
      </c>
      <c r="P24" s="6" t="s">
        <v>522</v>
      </c>
      <c r="S24" s="6" t="s">
        <v>523</v>
      </c>
      <c r="V24" s="6" t="s">
        <v>142</v>
      </c>
      <c r="W24" s="6" t="s">
        <v>524</v>
      </c>
    </row>
    <row r="25" spans="1:23">
      <c r="A25" s="85" t="s">
        <v>525</v>
      </c>
      <c r="B25" s="85"/>
      <c r="C25" s="86" t="s">
        <v>526</v>
      </c>
      <c r="D25" s="87"/>
      <c r="E25" s="86" t="s">
        <v>527</v>
      </c>
      <c r="F25" s="87" t="s">
        <v>528</v>
      </c>
      <c r="G25" s="86" t="s">
        <v>529</v>
      </c>
      <c r="H25" s="87" t="s">
        <v>530</v>
      </c>
      <c r="M25" s="6" t="s">
        <v>531</v>
      </c>
      <c r="N25" s="6" t="s">
        <v>532</v>
      </c>
      <c r="P25" s="6" t="s">
        <v>533</v>
      </c>
      <c r="Q25" s="6" t="s">
        <v>534</v>
      </c>
      <c r="V25" s="6" t="s">
        <v>123</v>
      </c>
      <c r="W25" s="6" t="s">
        <v>535</v>
      </c>
    </row>
    <row r="26" spans="1:23">
      <c r="A26" s="85" t="s">
        <v>536</v>
      </c>
      <c r="B26" s="85"/>
      <c r="C26" s="86" t="s">
        <v>537</v>
      </c>
      <c r="D26" s="87"/>
      <c r="E26" s="86" t="s">
        <v>538</v>
      </c>
      <c r="F26" s="87" t="s">
        <v>539</v>
      </c>
      <c r="G26" s="86" t="s">
        <v>540</v>
      </c>
      <c r="H26" s="87" t="s">
        <v>541</v>
      </c>
      <c r="M26" s="6" t="s">
        <v>542</v>
      </c>
      <c r="N26" s="6" t="s">
        <v>543</v>
      </c>
      <c r="P26" s="6" t="s">
        <v>544</v>
      </c>
      <c r="Q26" s="6" t="s">
        <v>545</v>
      </c>
      <c r="V26" s="6" t="s">
        <v>145</v>
      </c>
      <c r="W26" s="6" t="s">
        <v>546</v>
      </c>
    </row>
    <row r="27" spans="1:23">
      <c r="A27" s="85" t="s">
        <v>547</v>
      </c>
      <c r="B27" s="85"/>
      <c r="C27" s="86" t="s">
        <v>548</v>
      </c>
      <c r="D27" s="87"/>
      <c r="E27" s="86" t="s">
        <v>549</v>
      </c>
      <c r="F27" s="87" t="s">
        <v>550</v>
      </c>
      <c r="G27" s="86" t="s">
        <v>551</v>
      </c>
      <c r="H27" s="87" t="s">
        <v>552</v>
      </c>
      <c r="M27" s="6" t="s">
        <v>553</v>
      </c>
      <c r="N27" s="6" t="s">
        <v>554</v>
      </c>
      <c r="V27" s="6" t="s">
        <v>147</v>
      </c>
      <c r="W27" s="6" t="s">
        <v>555</v>
      </c>
    </row>
    <row r="28" spans="1:23">
      <c r="A28" s="85" t="s">
        <v>556</v>
      </c>
      <c r="B28" s="85"/>
      <c r="C28" s="86" t="s">
        <v>557</v>
      </c>
      <c r="D28" s="87"/>
      <c r="E28" s="86" t="s">
        <v>558</v>
      </c>
      <c r="F28" s="87"/>
      <c r="G28" s="86" t="s">
        <v>559</v>
      </c>
      <c r="H28" s="87" t="s">
        <v>560</v>
      </c>
      <c r="M28" s="6"/>
      <c r="N28" s="6"/>
      <c r="O28" s="6"/>
      <c r="P28" s="6"/>
      <c r="Q28" s="6"/>
      <c r="R28" s="6"/>
      <c r="S28" s="6"/>
      <c r="T28" s="6"/>
      <c r="U28" s="6"/>
      <c r="V28" s="6" t="s">
        <v>149</v>
      </c>
      <c r="W28" s="6" t="s">
        <v>561</v>
      </c>
    </row>
    <row r="29" spans="1:23">
      <c r="A29" s="85" t="s">
        <v>562</v>
      </c>
      <c r="B29" s="85"/>
      <c r="C29" s="86" t="s">
        <v>563</v>
      </c>
      <c r="D29" s="87"/>
      <c r="E29" s="86" t="s">
        <v>564</v>
      </c>
      <c r="F29" s="87"/>
      <c r="G29" s="86" t="s">
        <v>565</v>
      </c>
      <c r="H29" s="87" t="s">
        <v>566</v>
      </c>
      <c r="M29" s="6"/>
      <c r="N29" s="6"/>
      <c r="O29" s="6"/>
      <c r="P29" s="6"/>
      <c r="Q29" s="6"/>
      <c r="R29" s="6"/>
      <c r="S29" s="6"/>
      <c r="T29" s="6"/>
      <c r="U29" s="6"/>
      <c r="V29" s="6" t="s">
        <v>132</v>
      </c>
      <c r="W29" s="6" t="s">
        <v>567</v>
      </c>
    </row>
    <row r="30" spans="1:23">
      <c r="A30" s="85" t="s">
        <v>568</v>
      </c>
      <c r="B30" s="85"/>
      <c r="C30" s="86" t="s">
        <v>569</v>
      </c>
      <c r="D30" s="87"/>
      <c r="E30" s="86"/>
      <c r="F30" s="87"/>
      <c r="G30" s="86" t="s">
        <v>570</v>
      </c>
      <c r="H30" s="87" t="s">
        <v>529</v>
      </c>
      <c r="M30" s="6"/>
      <c r="N30" s="6"/>
      <c r="O30" s="6"/>
      <c r="P30" s="6"/>
      <c r="Q30" s="6"/>
      <c r="R30" s="6"/>
      <c r="S30" s="6"/>
      <c r="T30" s="6"/>
      <c r="U30" s="6"/>
      <c r="V30" s="6" t="s">
        <v>152</v>
      </c>
      <c r="W30" s="6" t="s">
        <v>571</v>
      </c>
    </row>
    <row r="31" spans="1:23">
      <c r="A31" s="85" t="s">
        <v>572</v>
      </c>
      <c r="B31" s="85"/>
      <c r="C31" s="86" t="s">
        <v>573</v>
      </c>
      <c r="D31" s="87"/>
      <c r="E31" s="86"/>
      <c r="F31" s="87"/>
      <c r="G31" s="86" t="s">
        <v>574</v>
      </c>
      <c r="H31" s="87"/>
      <c r="M31" s="6"/>
      <c r="N31" s="6"/>
      <c r="O31" s="6"/>
      <c r="P31" s="6"/>
      <c r="Q31" s="6"/>
      <c r="R31" s="6"/>
      <c r="S31" s="6"/>
      <c r="T31" s="6"/>
      <c r="U31" s="6"/>
      <c r="V31" s="6" t="s">
        <v>155</v>
      </c>
      <c r="W31" s="6" t="s">
        <v>575</v>
      </c>
    </row>
    <row r="32" spans="1:22">
      <c r="A32" s="85" t="s">
        <v>576</v>
      </c>
      <c r="B32" s="85"/>
      <c r="C32" s="86" t="s">
        <v>577</v>
      </c>
      <c r="D32" s="87"/>
      <c r="E32" s="86"/>
      <c r="F32" s="87"/>
      <c r="G32" s="86" t="s">
        <v>578</v>
      </c>
      <c r="H32" s="87"/>
      <c r="M32" s="6" t="s">
        <v>579</v>
      </c>
      <c r="V32" s="6" t="s">
        <v>158</v>
      </c>
    </row>
    <row r="33" spans="1:22">
      <c r="A33" s="85" t="s">
        <v>580</v>
      </c>
      <c r="B33" s="85"/>
      <c r="C33" s="86" t="s">
        <v>581</v>
      </c>
      <c r="D33" s="87"/>
      <c r="E33" s="86"/>
      <c r="F33" s="87"/>
      <c r="G33" s="86" t="s">
        <v>582</v>
      </c>
      <c r="H33" s="87"/>
      <c r="M33" s="6"/>
      <c r="N33" s="6"/>
      <c r="O33" s="6"/>
      <c r="P33" s="6"/>
      <c r="Q33" s="6"/>
      <c r="R33" s="6"/>
      <c r="S33" s="6"/>
      <c r="T33" s="6"/>
      <c r="U33" s="6"/>
      <c r="V33" s="6" t="s">
        <v>583</v>
      </c>
    </row>
    <row r="34" spans="1:23">
      <c r="A34" s="85" t="s">
        <v>584</v>
      </c>
      <c r="B34" s="85"/>
      <c r="C34" s="86"/>
      <c r="D34" s="87"/>
      <c r="E34" s="86"/>
      <c r="F34" s="87"/>
      <c r="G34" s="86" t="s">
        <v>585</v>
      </c>
      <c r="H34" s="87"/>
      <c r="M34" s="6" t="s">
        <v>586</v>
      </c>
      <c r="V34" s="6" t="s">
        <v>161</v>
      </c>
      <c r="W34" s="6" t="s">
        <v>587</v>
      </c>
    </row>
    <row r="35" spans="1:22">
      <c r="A35" s="85" t="s">
        <v>588</v>
      </c>
      <c r="B35" s="85"/>
      <c r="C35" s="86"/>
      <c r="D35" s="87"/>
      <c r="E35" s="86"/>
      <c r="F35" s="87"/>
      <c r="G35" s="86" t="s">
        <v>589</v>
      </c>
      <c r="H35" s="87"/>
      <c r="M35" s="6"/>
      <c r="N35" s="6"/>
      <c r="O35" s="6"/>
      <c r="P35" s="6"/>
      <c r="Q35" s="6"/>
      <c r="R35" s="6"/>
      <c r="S35" s="6"/>
      <c r="T35" s="6"/>
      <c r="U35" s="6"/>
      <c r="V35" s="6" t="s">
        <v>164</v>
      </c>
    </row>
    <row r="36" spans="1:22">
      <c r="A36" s="85" t="s">
        <v>590</v>
      </c>
      <c r="B36" s="85"/>
      <c r="C36" s="86"/>
      <c r="D36" s="87"/>
      <c r="E36" s="86"/>
      <c r="F36" s="87"/>
      <c r="G36" s="86" t="s">
        <v>566</v>
      </c>
      <c r="H36" s="87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>
      <c r="A37" s="85"/>
      <c r="B37" s="85"/>
      <c r="C37" s="86"/>
      <c r="D37" s="87"/>
      <c r="E37" s="86"/>
      <c r="F37" s="87"/>
      <c r="G37" s="86" t="s">
        <v>591</v>
      </c>
      <c r="H37" s="87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8">
      <c r="A38" s="85"/>
      <c r="B38" s="85"/>
      <c r="C38" s="86"/>
      <c r="D38" s="87"/>
      <c r="E38" s="86"/>
      <c r="F38" s="87"/>
      <c r="G38" s="86" t="s">
        <v>592</v>
      </c>
      <c r="H38" s="87"/>
    </row>
    <row r="39" spans="1:8">
      <c r="A39" s="85"/>
      <c r="B39" s="85"/>
      <c r="C39" s="86"/>
      <c r="D39" s="87"/>
      <c r="E39" s="86"/>
      <c r="F39" s="87"/>
      <c r="G39" s="86" t="s">
        <v>560</v>
      </c>
      <c r="H39" s="87"/>
    </row>
    <row r="40" spans="1:8">
      <c r="A40" s="85"/>
      <c r="B40" s="85"/>
      <c r="C40" s="86"/>
      <c r="D40" s="87"/>
      <c r="E40" s="86"/>
      <c r="F40" s="87"/>
      <c r="G40" s="86"/>
      <c r="H40" s="87"/>
    </row>
  </sheetData>
  <mergeCells count="17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zoomScale="115" zoomScaleNormal="115" workbookViewId="0">
      <selection activeCell="E13" sqref="E13"/>
    </sheetView>
  </sheetViews>
  <sheetFormatPr defaultColWidth="9.14545454545454" defaultRowHeight="14.5"/>
  <cols>
    <col min="1" max="1" width="14.7181818181818" customWidth="1"/>
    <col min="2" max="2" width="13.7181818181818" customWidth="1"/>
    <col min="3" max="3" width="11.1454545454545" customWidth="1"/>
    <col min="4" max="4" width="11" customWidth="1"/>
    <col min="5" max="5" width="9.14545454545454" customWidth="1"/>
    <col min="6" max="6" width="11.1454545454545" customWidth="1"/>
    <col min="7" max="7" width="11.4272727272727" customWidth="1"/>
    <col min="8" max="8" width="14.4272727272727" customWidth="1"/>
    <col min="9" max="9" width="11.7181818181818" customWidth="1"/>
    <col min="10" max="10" width="17.8545454545455" customWidth="1"/>
    <col min="11" max="11" width="19.1454545454545" customWidth="1"/>
    <col min="12" max="12" width="12.7909090909091" customWidth="1"/>
    <col min="13" max="13" width="23.7909090909091" customWidth="1"/>
    <col min="14" max="14" width="29.1454545454545" customWidth="1"/>
  </cols>
  <sheetData>
    <row r="1" spans="1:14">
      <c r="A1" s="64" t="s">
        <v>118</v>
      </c>
      <c r="B1" s="64"/>
      <c r="C1" s="64"/>
      <c r="D1" s="64" t="s">
        <v>593</v>
      </c>
      <c r="E1" s="64"/>
      <c r="F1" s="64"/>
      <c r="G1" s="64"/>
      <c r="H1" s="64" t="s">
        <v>594</v>
      </c>
      <c r="I1" s="74" t="s">
        <v>595</v>
      </c>
      <c r="J1" s="74" t="s">
        <v>596</v>
      </c>
      <c r="K1" s="74" t="s">
        <v>597</v>
      </c>
      <c r="L1" s="74" t="s">
        <v>598</v>
      </c>
      <c r="M1" s="64"/>
      <c r="N1" s="64"/>
    </row>
    <row r="2" spans="1:14">
      <c r="A2" s="64"/>
      <c r="B2" s="64"/>
      <c r="C2" s="64"/>
      <c r="D2" s="5" t="s">
        <v>599</v>
      </c>
      <c r="E2" s="5" t="s">
        <v>600</v>
      </c>
      <c r="F2" s="5" t="s">
        <v>601</v>
      </c>
      <c r="G2" s="5" t="s">
        <v>602</v>
      </c>
      <c r="H2" s="64"/>
      <c r="I2" s="74"/>
      <c r="J2" s="74"/>
      <c r="K2" s="74"/>
      <c r="L2" s="74"/>
      <c r="M2" s="64"/>
      <c r="N2" s="64"/>
    </row>
    <row r="3" spans="1:13">
      <c r="A3" t="s">
        <v>603</v>
      </c>
      <c r="B3" t="s">
        <v>604</v>
      </c>
      <c r="C3" t="s">
        <v>605</v>
      </c>
      <c r="D3" s="13">
        <v>1</v>
      </c>
      <c r="E3" s="24">
        <v>4</v>
      </c>
      <c r="F3" s="24">
        <v>4</v>
      </c>
      <c r="G3" s="13">
        <v>3</v>
      </c>
      <c r="H3" s="64">
        <f>SUM(D3:G3)</f>
        <v>12</v>
      </c>
      <c r="I3" s="64">
        <f>E3*50</f>
        <v>200</v>
      </c>
      <c r="J3" s="75">
        <f>-0.025*F3+1</f>
        <v>0.9</v>
      </c>
      <c r="K3" s="75">
        <f>0.1*G3+1</f>
        <v>1.3</v>
      </c>
      <c r="L3" s="75">
        <f>5+D3*0.25</f>
        <v>5.25</v>
      </c>
      <c r="M3" s="76"/>
    </row>
    <row r="4" spans="1:13">
      <c r="A4" t="s">
        <v>606</v>
      </c>
      <c r="B4" t="s">
        <v>607</v>
      </c>
      <c r="C4" t="s">
        <v>608</v>
      </c>
      <c r="D4" s="13">
        <v>4</v>
      </c>
      <c r="E4" s="13">
        <v>3</v>
      </c>
      <c r="F4" s="13">
        <v>3</v>
      </c>
      <c r="G4" s="24">
        <v>2</v>
      </c>
      <c r="H4" s="64">
        <f t="shared" ref="H4:H11" si="0">SUM(D4:G4)</f>
        <v>12</v>
      </c>
      <c r="I4" s="64">
        <f t="shared" ref="I4:I11" si="1">E4*50</f>
        <v>150</v>
      </c>
      <c r="J4" s="75">
        <f t="shared" ref="J4:J11" si="2">-0.025*F4+1</f>
        <v>0.925</v>
      </c>
      <c r="K4" s="75">
        <f t="shared" ref="K4:K11" si="3">0.1*G4+1</f>
        <v>1.2</v>
      </c>
      <c r="L4" s="75">
        <f t="shared" ref="L4:L11" si="4">5+D4*0.25</f>
        <v>6</v>
      </c>
      <c r="M4" s="77"/>
    </row>
    <row r="5" spans="1:13">
      <c r="A5" t="s">
        <v>414</v>
      </c>
      <c r="B5" t="s">
        <v>609</v>
      </c>
      <c r="C5" t="s">
        <v>610</v>
      </c>
      <c r="D5" s="13">
        <v>2</v>
      </c>
      <c r="E5" s="24">
        <v>6</v>
      </c>
      <c r="F5" s="13">
        <v>3</v>
      </c>
      <c r="G5" s="13">
        <v>1</v>
      </c>
      <c r="H5" s="64">
        <f t="shared" si="0"/>
        <v>12</v>
      </c>
      <c r="I5" s="64">
        <f t="shared" si="1"/>
        <v>300</v>
      </c>
      <c r="J5" s="75">
        <f t="shared" si="2"/>
        <v>0.925</v>
      </c>
      <c r="K5" s="75">
        <f t="shared" si="3"/>
        <v>1.1</v>
      </c>
      <c r="L5" s="75">
        <f t="shared" si="4"/>
        <v>5.5</v>
      </c>
      <c r="M5" s="76"/>
    </row>
    <row r="6" spans="1:13">
      <c r="A6" t="s">
        <v>611</v>
      </c>
      <c r="B6" t="s">
        <v>612</v>
      </c>
      <c r="C6" t="s">
        <v>613</v>
      </c>
      <c r="D6" s="13">
        <v>1</v>
      </c>
      <c r="E6" s="13">
        <v>1</v>
      </c>
      <c r="F6" s="13">
        <v>4</v>
      </c>
      <c r="G6" s="24">
        <v>6</v>
      </c>
      <c r="H6" s="64">
        <f t="shared" si="0"/>
        <v>12</v>
      </c>
      <c r="I6" s="64">
        <f t="shared" si="1"/>
        <v>50</v>
      </c>
      <c r="J6" s="75">
        <f t="shared" si="2"/>
        <v>0.9</v>
      </c>
      <c r="K6" s="75">
        <f t="shared" si="3"/>
        <v>1.6</v>
      </c>
      <c r="L6" s="75">
        <f t="shared" si="4"/>
        <v>5.25</v>
      </c>
      <c r="M6" s="77"/>
    </row>
    <row r="7" spans="1:13">
      <c r="A7" t="s">
        <v>614</v>
      </c>
      <c r="B7" t="s">
        <v>615</v>
      </c>
      <c r="C7" t="s">
        <v>616</v>
      </c>
      <c r="D7" s="13">
        <v>4</v>
      </c>
      <c r="E7" s="13">
        <v>1</v>
      </c>
      <c r="F7" s="24">
        <v>3</v>
      </c>
      <c r="G7" s="13">
        <v>4</v>
      </c>
      <c r="H7" s="64">
        <f t="shared" si="0"/>
        <v>12</v>
      </c>
      <c r="I7" s="64">
        <f t="shared" si="1"/>
        <v>50</v>
      </c>
      <c r="J7" s="75">
        <f t="shared" si="2"/>
        <v>0.925</v>
      </c>
      <c r="K7" s="75">
        <f t="shared" si="3"/>
        <v>1.4</v>
      </c>
      <c r="L7" s="75">
        <f t="shared" si="4"/>
        <v>6</v>
      </c>
      <c r="M7" s="77"/>
    </row>
    <row r="8" spans="1:13">
      <c r="A8" t="s">
        <v>617</v>
      </c>
      <c r="B8" t="s">
        <v>306</v>
      </c>
      <c r="C8" t="s">
        <v>618</v>
      </c>
      <c r="D8" s="13">
        <v>3</v>
      </c>
      <c r="E8" s="24">
        <v>5</v>
      </c>
      <c r="F8" s="13">
        <v>2</v>
      </c>
      <c r="G8" s="13">
        <v>2</v>
      </c>
      <c r="H8" s="64">
        <f t="shared" si="0"/>
        <v>12</v>
      </c>
      <c r="I8" s="64">
        <f t="shared" si="1"/>
        <v>250</v>
      </c>
      <c r="J8" s="75">
        <f t="shared" si="2"/>
        <v>0.95</v>
      </c>
      <c r="K8" s="75">
        <f t="shared" si="3"/>
        <v>1.2</v>
      </c>
      <c r="L8" s="75">
        <f t="shared" si="4"/>
        <v>5.75</v>
      </c>
      <c r="M8" s="76"/>
    </row>
    <row r="9" spans="1:13">
      <c r="A9" t="s">
        <v>269</v>
      </c>
      <c r="B9" t="s">
        <v>619</v>
      </c>
      <c r="C9" t="s">
        <v>620</v>
      </c>
      <c r="D9" s="13">
        <v>6</v>
      </c>
      <c r="E9" s="13">
        <v>2</v>
      </c>
      <c r="F9" s="13">
        <v>1</v>
      </c>
      <c r="G9" s="13">
        <v>3</v>
      </c>
      <c r="H9" s="64">
        <f t="shared" si="0"/>
        <v>12</v>
      </c>
      <c r="I9" s="64">
        <f t="shared" si="1"/>
        <v>100</v>
      </c>
      <c r="J9" s="75">
        <f t="shared" si="2"/>
        <v>0.975</v>
      </c>
      <c r="K9" s="75">
        <f t="shared" si="3"/>
        <v>1.3</v>
      </c>
      <c r="L9" s="75">
        <f t="shared" si="4"/>
        <v>6.5</v>
      </c>
      <c r="M9" s="77"/>
    </row>
    <row r="10" spans="1:13">
      <c r="A10" t="s">
        <v>621</v>
      </c>
      <c r="B10" t="s">
        <v>622</v>
      </c>
      <c r="D10" s="13">
        <v>3</v>
      </c>
      <c r="E10" s="13">
        <v>2</v>
      </c>
      <c r="F10" s="24">
        <v>4</v>
      </c>
      <c r="G10" s="24">
        <v>3</v>
      </c>
      <c r="H10" s="64">
        <f t="shared" si="0"/>
        <v>12</v>
      </c>
      <c r="I10" s="64">
        <f t="shared" si="1"/>
        <v>100</v>
      </c>
      <c r="J10" s="75">
        <f t="shared" si="2"/>
        <v>0.9</v>
      </c>
      <c r="K10" s="75">
        <f t="shared" si="3"/>
        <v>1.3</v>
      </c>
      <c r="L10" s="75">
        <f t="shared" si="4"/>
        <v>5.75</v>
      </c>
      <c r="M10" s="77"/>
    </row>
    <row r="11" spans="1:13">
      <c r="A11" s="2" t="s">
        <v>623</v>
      </c>
      <c r="B11" s="2"/>
      <c r="C11" s="2"/>
      <c r="D11" s="72">
        <v>4</v>
      </c>
      <c r="E11" s="73">
        <v>4</v>
      </c>
      <c r="F11" s="73">
        <v>4</v>
      </c>
      <c r="G11" s="73">
        <v>4</v>
      </c>
      <c r="H11" s="64">
        <f t="shared" si="0"/>
        <v>16</v>
      </c>
      <c r="I11" s="64">
        <f t="shared" si="1"/>
        <v>200</v>
      </c>
      <c r="J11" s="75">
        <f t="shared" si="2"/>
        <v>0.9</v>
      </c>
      <c r="K11" s="75">
        <f t="shared" si="3"/>
        <v>1.4</v>
      </c>
      <c r="L11" s="75">
        <f t="shared" si="4"/>
        <v>6</v>
      </c>
      <c r="M11" s="76"/>
    </row>
    <row r="12" customFormat="1" spans="1:10">
      <c r="A12" s="2"/>
      <c r="B12" s="2"/>
      <c r="C12" s="2"/>
      <c r="D12" s="5"/>
      <c r="E12" s="5"/>
      <c r="F12" s="5"/>
      <c r="G12" s="5"/>
      <c r="H12" s="5"/>
      <c r="I12" s="5"/>
      <c r="J12" s="64"/>
    </row>
    <row r="13" s="2" customFormat="1"/>
    <row r="14" s="2" customFormat="1"/>
    <row r="16" spans="1:1">
      <c r="A16" s="2" t="s">
        <v>624</v>
      </c>
    </row>
    <row r="17" spans="1:12">
      <c r="A17" s="64" t="s">
        <v>118</v>
      </c>
      <c r="B17" s="64"/>
      <c r="C17" s="64"/>
      <c r="D17" s="64" t="s">
        <v>593</v>
      </c>
      <c r="E17" s="64"/>
      <c r="F17" s="64"/>
      <c r="G17" s="64"/>
      <c r="H17" s="64" t="s">
        <v>594</v>
      </c>
      <c r="I17" s="74" t="s">
        <v>595</v>
      </c>
      <c r="J17" s="74" t="s">
        <v>596</v>
      </c>
      <c r="K17" s="74" t="s">
        <v>597</v>
      </c>
      <c r="L17" s="74" t="s">
        <v>598</v>
      </c>
    </row>
    <row r="18" spans="1:12">
      <c r="A18" s="64"/>
      <c r="B18" s="64"/>
      <c r="C18" s="64"/>
      <c r="D18" s="5" t="s">
        <v>599</v>
      </c>
      <c r="E18" s="5" t="s">
        <v>600</v>
      </c>
      <c r="F18" s="5" t="s">
        <v>601</v>
      </c>
      <c r="G18" s="5" t="s">
        <v>602</v>
      </c>
      <c r="H18" s="64"/>
      <c r="I18" s="74"/>
      <c r="J18" s="74"/>
      <c r="K18" s="74"/>
      <c r="L18" s="74"/>
    </row>
    <row r="19" spans="1:12">
      <c r="A19" t="s">
        <v>603</v>
      </c>
      <c r="B19" t="s">
        <v>604</v>
      </c>
      <c r="C19" t="s">
        <v>605</v>
      </c>
      <c r="D19" s="64">
        <f>D3+9</f>
        <v>10</v>
      </c>
      <c r="E19" s="64">
        <f>E3+9</f>
        <v>13</v>
      </c>
      <c r="F19" s="64">
        <f>F3+9</f>
        <v>13</v>
      </c>
      <c r="G19" s="64">
        <f>G3+9</f>
        <v>12</v>
      </c>
      <c r="H19" s="64">
        <f t="shared" ref="H19:H27" si="5">SUM(D19:G19)</f>
        <v>48</v>
      </c>
      <c r="I19" s="64">
        <f t="shared" ref="I19:I27" si="6">E19*50</f>
        <v>650</v>
      </c>
      <c r="J19" s="75">
        <f t="shared" ref="J19:J27" si="7">-0.025*F19+1</f>
        <v>0.675</v>
      </c>
      <c r="K19" s="75">
        <f t="shared" ref="K19:K27" si="8">0.1*G19+1</f>
        <v>2.2</v>
      </c>
      <c r="L19" s="75">
        <f t="shared" ref="L19:L27" si="9">5+D19*0.25</f>
        <v>7.5</v>
      </c>
    </row>
    <row r="20" spans="1:12">
      <c r="A20" t="s">
        <v>606</v>
      </c>
      <c r="B20" t="s">
        <v>607</v>
      </c>
      <c r="C20" t="s">
        <v>608</v>
      </c>
      <c r="D20" s="64">
        <f t="shared" ref="D20:D27" si="10">D4+9</f>
        <v>13</v>
      </c>
      <c r="E20" s="64">
        <f t="shared" ref="E20:E27" si="11">E4+9</f>
        <v>12</v>
      </c>
      <c r="F20" s="64">
        <f t="shared" ref="F20:F27" si="12">F4+9</f>
        <v>12</v>
      </c>
      <c r="G20" s="64">
        <f t="shared" ref="G20:G27" si="13">G4+9</f>
        <v>11</v>
      </c>
      <c r="H20" s="64">
        <f t="shared" si="5"/>
        <v>48</v>
      </c>
      <c r="I20" s="64">
        <f t="shared" si="6"/>
        <v>600</v>
      </c>
      <c r="J20" s="75">
        <f t="shared" si="7"/>
        <v>0.7</v>
      </c>
      <c r="K20" s="75">
        <f t="shared" si="8"/>
        <v>2.1</v>
      </c>
      <c r="L20" s="75">
        <f t="shared" si="9"/>
        <v>8.25</v>
      </c>
    </row>
    <row r="21" spans="1:12">
      <c r="A21" t="s">
        <v>414</v>
      </c>
      <c r="B21" t="s">
        <v>609</v>
      </c>
      <c r="C21" t="s">
        <v>610</v>
      </c>
      <c r="D21" s="64">
        <f t="shared" si="10"/>
        <v>11</v>
      </c>
      <c r="E21" s="64">
        <f t="shared" si="11"/>
        <v>15</v>
      </c>
      <c r="F21" s="64">
        <f t="shared" si="12"/>
        <v>12</v>
      </c>
      <c r="G21" s="64">
        <f t="shared" si="13"/>
        <v>10</v>
      </c>
      <c r="H21" s="64">
        <f t="shared" si="5"/>
        <v>48</v>
      </c>
      <c r="I21" s="64">
        <f t="shared" si="6"/>
        <v>750</v>
      </c>
      <c r="J21" s="75">
        <f t="shared" si="7"/>
        <v>0.7</v>
      </c>
      <c r="K21" s="75">
        <f t="shared" si="8"/>
        <v>2</v>
      </c>
      <c r="L21" s="75">
        <f t="shared" si="9"/>
        <v>7.75</v>
      </c>
    </row>
    <row r="22" spans="1:12">
      <c r="A22" t="s">
        <v>611</v>
      </c>
      <c r="B22" t="s">
        <v>612</v>
      </c>
      <c r="C22" t="s">
        <v>613</v>
      </c>
      <c r="D22" s="64">
        <f t="shared" si="10"/>
        <v>10</v>
      </c>
      <c r="E22" s="64">
        <f t="shared" si="11"/>
        <v>10</v>
      </c>
      <c r="F22" s="64">
        <f t="shared" si="12"/>
        <v>13</v>
      </c>
      <c r="G22" s="64">
        <f t="shared" si="13"/>
        <v>15</v>
      </c>
      <c r="H22" s="64">
        <f t="shared" si="5"/>
        <v>48</v>
      </c>
      <c r="I22" s="64">
        <f t="shared" si="6"/>
        <v>500</v>
      </c>
      <c r="J22" s="75">
        <f t="shared" si="7"/>
        <v>0.675</v>
      </c>
      <c r="K22" s="75">
        <f t="shared" si="8"/>
        <v>2.5</v>
      </c>
      <c r="L22" s="75">
        <f t="shared" si="9"/>
        <v>7.5</v>
      </c>
    </row>
    <row r="23" spans="1:12">
      <c r="A23" t="s">
        <v>614</v>
      </c>
      <c r="B23" t="s">
        <v>615</v>
      </c>
      <c r="C23" t="s">
        <v>616</v>
      </c>
      <c r="D23" s="64">
        <f t="shared" si="10"/>
        <v>13</v>
      </c>
      <c r="E23" s="64">
        <f t="shared" si="11"/>
        <v>10</v>
      </c>
      <c r="F23" s="64">
        <f t="shared" si="12"/>
        <v>12</v>
      </c>
      <c r="G23" s="64">
        <f t="shared" si="13"/>
        <v>13</v>
      </c>
      <c r="H23" s="64">
        <f t="shared" si="5"/>
        <v>48</v>
      </c>
      <c r="I23" s="64">
        <f t="shared" si="6"/>
        <v>500</v>
      </c>
      <c r="J23" s="75">
        <f t="shared" si="7"/>
        <v>0.7</v>
      </c>
      <c r="K23" s="75">
        <f t="shared" si="8"/>
        <v>2.3</v>
      </c>
      <c r="L23" s="75">
        <f t="shared" si="9"/>
        <v>8.25</v>
      </c>
    </row>
    <row r="24" spans="1:12">
      <c r="A24" t="s">
        <v>617</v>
      </c>
      <c r="B24" t="s">
        <v>306</v>
      </c>
      <c r="C24" t="s">
        <v>618</v>
      </c>
      <c r="D24" s="64">
        <f t="shared" si="10"/>
        <v>12</v>
      </c>
      <c r="E24" s="64">
        <f t="shared" si="11"/>
        <v>14</v>
      </c>
      <c r="F24" s="64">
        <f t="shared" si="12"/>
        <v>11</v>
      </c>
      <c r="G24" s="64">
        <f t="shared" si="13"/>
        <v>11</v>
      </c>
      <c r="H24" s="64">
        <f t="shared" si="5"/>
        <v>48</v>
      </c>
      <c r="I24" s="64">
        <f t="shared" si="6"/>
        <v>700</v>
      </c>
      <c r="J24" s="75">
        <f t="shared" si="7"/>
        <v>0.725</v>
      </c>
      <c r="K24" s="75">
        <f t="shared" si="8"/>
        <v>2.1</v>
      </c>
      <c r="L24" s="75">
        <f t="shared" si="9"/>
        <v>8</v>
      </c>
    </row>
    <row r="25" spans="1:12">
      <c r="A25" t="s">
        <v>269</v>
      </c>
      <c r="B25" t="s">
        <v>619</v>
      </c>
      <c r="C25" t="s">
        <v>620</v>
      </c>
      <c r="D25" s="64">
        <f t="shared" si="10"/>
        <v>15</v>
      </c>
      <c r="E25" s="64">
        <f t="shared" si="11"/>
        <v>11</v>
      </c>
      <c r="F25" s="64">
        <f t="shared" si="12"/>
        <v>10</v>
      </c>
      <c r="G25" s="64">
        <f t="shared" si="13"/>
        <v>12</v>
      </c>
      <c r="H25" s="64">
        <f t="shared" si="5"/>
        <v>48</v>
      </c>
      <c r="I25" s="64">
        <f t="shared" si="6"/>
        <v>550</v>
      </c>
      <c r="J25" s="75">
        <f t="shared" si="7"/>
        <v>0.75</v>
      </c>
      <c r="K25" s="75">
        <f t="shared" si="8"/>
        <v>2.2</v>
      </c>
      <c r="L25" s="75">
        <f t="shared" si="9"/>
        <v>8.75</v>
      </c>
    </row>
    <row r="26" spans="1:12">
      <c r="A26" t="s">
        <v>621</v>
      </c>
      <c r="B26" t="s">
        <v>622</v>
      </c>
      <c r="D26" s="64">
        <f t="shared" si="10"/>
        <v>12</v>
      </c>
      <c r="E26" s="64">
        <f t="shared" si="11"/>
        <v>11</v>
      </c>
      <c r="F26" s="64">
        <f t="shared" si="12"/>
        <v>13</v>
      </c>
      <c r="G26" s="64">
        <f t="shared" si="13"/>
        <v>12</v>
      </c>
      <c r="H26" s="64">
        <f t="shared" si="5"/>
        <v>48</v>
      </c>
      <c r="I26" s="64">
        <f t="shared" si="6"/>
        <v>550</v>
      </c>
      <c r="J26" s="75">
        <f t="shared" si="7"/>
        <v>0.675</v>
      </c>
      <c r="K26" s="75">
        <f t="shared" si="8"/>
        <v>2.2</v>
      </c>
      <c r="L26" s="75">
        <f t="shared" si="9"/>
        <v>8</v>
      </c>
    </row>
    <row r="27" spans="1:12">
      <c r="A27" s="2" t="s">
        <v>623</v>
      </c>
      <c r="B27" s="2"/>
      <c r="C27" s="2"/>
      <c r="D27" s="64">
        <f t="shared" si="10"/>
        <v>13</v>
      </c>
      <c r="E27" s="64">
        <f t="shared" si="11"/>
        <v>13</v>
      </c>
      <c r="F27" s="64">
        <f t="shared" si="12"/>
        <v>13</v>
      </c>
      <c r="G27" s="64">
        <f t="shared" si="13"/>
        <v>13</v>
      </c>
      <c r="H27" s="64">
        <f t="shared" si="5"/>
        <v>52</v>
      </c>
      <c r="I27" s="64">
        <f t="shared" si="6"/>
        <v>650</v>
      </c>
      <c r="J27" s="75">
        <f t="shared" si="7"/>
        <v>0.675</v>
      </c>
      <c r="K27" s="75">
        <f t="shared" si="8"/>
        <v>2.3</v>
      </c>
      <c r="L27" s="75">
        <f t="shared" si="9"/>
        <v>8.25</v>
      </c>
    </row>
  </sheetData>
  <mergeCells count="20">
    <mergeCell ref="D1:G1"/>
    <mergeCell ref="D17:G17"/>
    <mergeCell ref="A1:A2"/>
    <mergeCell ref="A17:A18"/>
    <mergeCell ref="B1:B2"/>
    <mergeCell ref="B17:B18"/>
    <mergeCell ref="C1:C2"/>
    <mergeCell ref="C17:C18"/>
    <mergeCell ref="H1:H2"/>
    <mergeCell ref="H17:H18"/>
    <mergeCell ref="I1:I2"/>
    <mergeCell ref="I17:I18"/>
    <mergeCell ref="J1:J2"/>
    <mergeCell ref="J17:J18"/>
    <mergeCell ref="K1:K2"/>
    <mergeCell ref="K17:K18"/>
    <mergeCell ref="L1:L2"/>
    <mergeCell ref="L17:L18"/>
    <mergeCell ref="M1:M2"/>
    <mergeCell ref="N1:N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E2" sqref="E2"/>
    </sheetView>
  </sheetViews>
  <sheetFormatPr defaultColWidth="9.14545454545454" defaultRowHeight="14.5"/>
  <cols>
    <col min="1" max="1" width="14" style="64" customWidth="1"/>
    <col min="2" max="3" width="14.7181818181818" style="64" customWidth="1"/>
    <col min="4" max="5" width="19.9909090909091" style="64" customWidth="1"/>
    <col min="6" max="6" width="16.2909090909091" style="64" customWidth="1"/>
    <col min="7" max="7" width="127.572727272727" customWidth="1"/>
  </cols>
  <sheetData>
    <row r="1" ht="17" spans="1:7">
      <c r="A1" s="65" t="s">
        <v>118</v>
      </c>
      <c r="B1" s="65" t="s">
        <v>0</v>
      </c>
      <c r="C1" s="65" t="s">
        <v>625</v>
      </c>
      <c r="D1" s="65" t="s">
        <v>626</v>
      </c>
      <c r="E1" s="65" t="s">
        <v>627</v>
      </c>
      <c r="F1" s="65" t="s">
        <v>628</v>
      </c>
      <c r="G1" s="65" t="s">
        <v>629</v>
      </c>
    </row>
    <row r="2" spans="1:7">
      <c r="A2" s="66" t="s">
        <v>630</v>
      </c>
      <c r="B2" s="66" t="s">
        <v>28</v>
      </c>
      <c r="C2" s="66"/>
      <c r="D2" s="66" t="b">
        <v>0</v>
      </c>
      <c r="E2" s="66" t="b">
        <v>0</v>
      </c>
      <c r="F2" s="66">
        <v>6</v>
      </c>
      <c r="G2" s="67" t="s">
        <v>631</v>
      </c>
    </row>
    <row r="3" spans="1:7">
      <c r="A3" s="66" t="s">
        <v>632</v>
      </c>
      <c r="B3" s="66" t="s">
        <v>28</v>
      </c>
      <c r="C3" s="66"/>
      <c r="D3" s="66" t="b">
        <v>0</v>
      </c>
      <c r="E3" s="66" t="b">
        <v>0</v>
      </c>
      <c r="F3" s="66">
        <v>4</v>
      </c>
      <c r="G3" s="67" t="s">
        <v>633</v>
      </c>
    </row>
    <row r="4" spans="1:7">
      <c r="A4" s="68" t="s">
        <v>634</v>
      </c>
      <c r="B4" s="68" t="s">
        <v>35</v>
      </c>
      <c r="C4" s="68"/>
      <c r="D4" s="68" t="b">
        <v>0</v>
      </c>
      <c r="E4" s="68" t="b">
        <v>0</v>
      </c>
      <c r="F4" s="68">
        <v>3</v>
      </c>
      <c r="G4" s="69" t="s">
        <v>635</v>
      </c>
    </row>
    <row r="5" spans="1:12">
      <c r="A5" s="68" t="s">
        <v>636</v>
      </c>
      <c r="B5" s="68" t="s">
        <v>35</v>
      </c>
      <c r="C5" s="68"/>
      <c r="D5" s="68" t="b">
        <v>0</v>
      </c>
      <c r="E5" s="68" t="b">
        <v>0</v>
      </c>
      <c r="F5" s="68">
        <v>3</v>
      </c>
      <c r="G5" s="69" t="s">
        <v>637</v>
      </c>
      <c r="L5" s="64"/>
    </row>
    <row r="6" spans="1:7">
      <c r="A6" s="66" t="s">
        <v>638</v>
      </c>
      <c r="B6" s="66" t="s">
        <v>42</v>
      </c>
      <c r="C6" s="66"/>
      <c r="D6" s="66" t="b">
        <v>0</v>
      </c>
      <c r="E6" s="66" t="b">
        <v>1</v>
      </c>
      <c r="F6" s="66">
        <v>8</v>
      </c>
      <c r="G6" s="67" t="s">
        <v>639</v>
      </c>
    </row>
    <row r="7" spans="1:7">
      <c r="A7" s="66" t="s">
        <v>640</v>
      </c>
      <c r="B7" s="66" t="s">
        <v>42</v>
      </c>
      <c r="C7" s="66"/>
      <c r="D7" s="66" t="b">
        <v>0</v>
      </c>
      <c r="E7" s="66" t="b">
        <v>1</v>
      </c>
      <c r="F7" s="66">
        <v>6</v>
      </c>
      <c r="G7" s="67" t="s">
        <v>641</v>
      </c>
    </row>
    <row r="8" spans="1:7">
      <c r="A8" s="68" t="s">
        <v>642</v>
      </c>
      <c r="B8" s="68" t="s">
        <v>20</v>
      </c>
      <c r="C8" s="68"/>
      <c r="D8" s="68" t="b">
        <v>0</v>
      </c>
      <c r="E8" s="68" t="b">
        <v>0</v>
      </c>
      <c r="F8" s="68">
        <v>1</v>
      </c>
      <c r="G8" s="69" t="s">
        <v>643</v>
      </c>
    </row>
    <row r="9" spans="1:7">
      <c r="A9" s="68" t="s">
        <v>644</v>
      </c>
      <c r="B9" s="68" t="s">
        <v>20</v>
      </c>
      <c r="C9" s="68"/>
      <c r="D9" s="68" t="b">
        <v>0</v>
      </c>
      <c r="E9" s="68" t="b">
        <v>1</v>
      </c>
      <c r="F9" s="68">
        <v>4</v>
      </c>
      <c r="G9" s="69" t="s">
        <v>645</v>
      </c>
    </row>
    <row r="10" spans="1:7">
      <c r="A10" s="66" t="s">
        <v>646</v>
      </c>
      <c r="B10" s="66" t="s">
        <v>647</v>
      </c>
      <c r="C10" s="66" t="s">
        <v>648</v>
      </c>
      <c r="D10" s="66" t="b">
        <v>1</v>
      </c>
      <c r="E10" s="66" t="b">
        <v>0</v>
      </c>
      <c r="F10" s="66">
        <v>2</v>
      </c>
      <c r="G10" s="67" t="s">
        <v>649</v>
      </c>
    </row>
    <row r="11" spans="1:7">
      <c r="A11" s="66" t="s">
        <v>650</v>
      </c>
      <c r="B11" s="66" t="s">
        <v>647</v>
      </c>
      <c r="C11" s="66"/>
      <c r="D11" s="66" t="b">
        <v>1</v>
      </c>
      <c r="E11" s="66" t="b">
        <v>0</v>
      </c>
      <c r="F11" s="66">
        <v>6</v>
      </c>
      <c r="G11" s="67" t="s">
        <v>651</v>
      </c>
    </row>
    <row r="12" spans="1:7">
      <c r="A12" s="70" t="s">
        <v>652</v>
      </c>
      <c r="B12" s="70" t="s">
        <v>653</v>
      </c>
      <c r="C12" s="70" t="s">
        <v>654</v>
      </c>
      <c r="D12" s="70" t="b">
        <v>0</v>
      </c>
      <c r="E12" s="70" t="b">
        <v>0</v>
      </c>
      <c r="F12" s="70">
        <v>6</v>
      </c>
      <c r="G12" s="71" t="s">
        <v>655</v>
      </c>
    </row>
    <row r="13" spans="1:7">
      <c r="A13" s="70" t="s">
        <v>656</v>
      </c>
      <c r="B13" s="70" t="s">
        <v>653</v>
      </c>
      <c r="C13" s="70"/>
      <c r="D13" s="70" t="b">
        <v>0</v>
      </c>
      <c r="E13" s="70" t="b">
        <v>0</v>
      </c>
      <c r="F13" s="70">
        <v>3</v>
      </c>
      <c r="G13" s="71" t="s">
        <v>657</v>
      </c>
    </row>
    <row r="14" spans="1:7">
      <c r="A14" s="66" t="s">
        <v>658</v>
      </c>
      <c r="B14" s="66" t="s">
        <v>659</v>
      </c>
      <c r="C14" s="66" t="s">
        <v>660</v>
      </c>
      <c r="D14" s="66" t="b">
        <v>1</v>
      </c>
      <c r="E14" s="66" t="b">
        <v>0</v>
      </c>
      <c r="F14" s="66">
        <v>3</v>
      </c>
      <c r="G14" s="67" t="s">
        <v>661</v>
      </c>
    </row>
    <row r="15" spans="1:7">
      <c r="A15" s="66" t="s">
        <v>662</v>
      </c>
      <c r="B15" s="66" t="s">
        <v>659</v>
      </c>
      <c r="C15" s="66"/>
      <c r="D15" s="66" t="b">
        <v>0</v>
      </c>
      <c r="E15" s="66" t="b">
        <v>1</v>
      </c>
      <c r="F15" s="66">
        <v>6</v>
      </c>
      <c r="G15" s="67" t="s">
        <v>663</v>
      </c>
    </row>
    <row r="16" spans="1:7">
      <c r="A16" s="68" t="s">
        <v>201</v>
      </c>
      <c r="B16" s="68" t="s">
        <v>664</v>
      </c>
      <c r="C16" s="68" t="s">
        <v>665</v>
      </c>
      <c r="D16" s="68" t="b">
        <v>0</v>
      </c>
      <c r="E16" s="68" t="b">
        <v>0</v>
      </c>
      <c r="F16" s="68">
        <v>3</v>
      </c>
      <c r="G16" s="69" t="s">
        <v>666</v>
      </c>
    </row>
    <row r="17" spans="1:7">
      <c r="A17" s="68" t="s">
        <v>667</v>
      </c>
      <c r="B17" s="68" t="s">
        <v>664</v>
      </c>
      <c r="C17" s="68"/>
      <c r="D17" s="68" t="b">
        <v>0</v>
      </c>
      <c r="E17" s="68" t="b">
        <v>0</v>
      </c>
      <c r="F17" s="68">
        <v>2</v>
      </c>
      <c r="G17" s="69" t="s">
        <v>668</v>
      </c>
    </row>
    <row r="18" spans="1:7">
      <c r="A18" s="66" t="s">
        <v>669</v>
      </c>
      <c r="B18" s="66" t="s">
        <v>670</v>
      </c>
      <c r="C18" s="66" t="s">
        <v>671</v>
      </c>
      <c r="D18" s="66" t="b">
        <v>0</v>
      </c>
      <c r="E18" s="66" t="b">
        <v>0</v>
      </c>
      <c r="F18" s="66">
        <v>3</v>
      </c>
      <c r="G18" s="67" t="s">
        <v>672</v>
      </c>
    </row>
    <row r="19" spans="1:7">
      <c r="A19" s="66" t="s">
        <v>673</v>
      </c>
      <c r="B19" s="66" t="s">
        <v>670</v>
      </c>
      <c r="C19" s="66"/>
      <c r="D19" s="66" t="b">
        <v>0</v>
      </c>
      <c r="E19" s="66" t="b">
        <v>0</v>
      </c>
      <c r="F19" s="66">
        <v>3</v>
      </c>
      <c r="G19" s="67" t="s">
        <v>674</v>
      </c>
    </row>
    <row r="20" spans="1:7">
      <c r="A20" s="68" t="s">
        <v>675</v>
      </c>
      <c r="B20" s="68" t="s">
        <v>676</v>
      </c>
      <c r="C20" s="68" t="s">
        <v>677</v>
      </c>
      <c r="D20" s="68" t="b">
        <v>0</v>
      </c>
      <c r="E20" s="68" t="b">
        <v>0</v>
      </c>
      <c r="F20" s="68">
        <v>1</v>
      </c>
      <c r="G20" s="69" t="s">
        <v>678</v>
      </c>
    </row>
    <row r="21" spans="1:7">
      <c r="A21" s="68" t="s">
        <v>679</v>
      </c>
      <c r="B21" s="68" t="s">
        <v>676</v>
      </c>
      <c r="C21" s="68"/>
      <c r="D21" s="68" t="b">
        <v>0</v>
      </c>
      <c r="E21" s="68" t="b">
        <v>1</v>
      </c>
      <c r="F21" s="68">
        <v>5</v>
      </c>
      <c r="G21" s="69" t="s">
        <v>680</v>
      </c>
    </row>
    <row r="22" spans="1:7">
      <c r="A22" s="66" t="s">
        <v>681</v>
      </c>
      <c r="B22" s="66" t="s">
        <v>682</v>
      </c>
      <c r="C22" s="66" t="s">
        <v>683</v>
      </c>
      <c r="D22" s="66" t="b">
        <v>0</v>
      </c>
      <c r="E22" s="66" t="b">
        <v>0</v>
      </c>
      <c r="F22" s="66">
        <v>4</v>
      </c>
      <c r="G22" s="67" t="s">
        <v>684</v>
      </c>
    </row>
    <row r="23" spans="1:7">
      <c r="A23" s="66" t="s">
        <v>685</v>
      </c>
      <c r="B23" s="66" t="s">
        <v>682</v>
      </c>
      <c r="C23" s="66"/>
      <c r="D23" s="66" t="b">
        <v>1</v>
      </c>
      <c r="E23" s="66" t="b">
        <v>0</v>
      </c>
      <c r="F23" s="66">
        <v>4</v>
      </c>
      <c r="G23" s="67" t="s">
        <v>686</v>
      </c>
    </row>
    <row r="24" spans="1:7">
      <c r="A24" s="70" t="s">
        <v>687</v>
      </c>
      <c r="B24" s="70" t="s">
        <v>688</v>
      </c>
      <c r="C24" s="70" t="s">
        <v>689</v>
      </c>
      <c r="D24" s="70" t="b">
        <v>0</v>
      </c>
      <c r="E24" s="70" t="b">
        <v>0</v>
      </c>
      <c r="F24" s="70">
        <v>3</v>
      </c>
      <c r="G24" s="71" t="s">
        <v>690</v>
      </c>
    </row>
    <row r="25" spans="1:7">
      <c r="A25" s="70" t="s">
        <v>691</v>
      </c>
      <c r="B25" s="70" t="s">
        <v>688</v>
      </c>
      <c r="C25" s="70"/>
      <c r="D25" s="70" t="b">
        <v>1</v>
      </c>
      <c r="E25" s="70" t="b">
        <v>1</v>
      </c>
      <c r="F25" s="70">
        <v>3</v>
      </c>
      <c r="G25" s="71" t="s">
        <v>692</v>
      </c>
    </row>
    <row r="26" spans="1:7">
      <c r="A26" s="66" t="s">
        <v>693</v>
      </c>
      <c r="B26" s="66" t="s">
        <v>694</v>
      </c>
      <c r="C26" s="66" t="s">
        <v>695</v>
      </c>
      <c r="D26" s="66" t="b">
        <v>0</v>
      </c>
      <c r="E26" s="66" t="b">
        <v>0</v>
      </c>
      <c r="F26" s="66">
        <v>4</v>
      </c>
      <c r="G26" s="67" t="s">
        <v>696</v>
      </c>
    </row>
    <row r="27" spans="1:7">
      <c r="A27" s="66" t="s">
        <v>697</v>
      </c>
      <c r="B27" s="66" t="s">
        <v>694</v>
      </c>
      <c r="C27" s="66"/>
      <c r="D27" s="66" t="b">
        <v>0</v>
      </c>
      <c r="E27" s="66" t="b">
        <v>0</v>
      </c>
      <c r="F27" s="66">
        <v>4</v>
      </c>
      <c r="G27" s="67" t="s">
        <v>698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workbookViewId="0">
      <selection activeCell="C11" sqref="C11"/>
    </sheetView>
  </sheetViews>
  <sheetFormatPr defaultColWidth="9.14545454545454" defaultRowHeight="14.5"/>
  <cols>
    <col min="1" max="1" width="14.4272727272727" style="6" customWidth="1"/>
    <col min="2" max="2" width="70.0909090909091" style="6" customWidth="1"/>
    <col min="3" max="3" width="43.4545454545455" style="6" customWidth="1"/>
    <col min="4" max="4" width="14.5727272727273" style="6" customWidth="1"/>
    <col min="5" max="5" width="59.0909090909091" style="6" customWidth="1"/>
    <col min="6" max="6" width="13.2818181818182" style="6" customWidth="1"/>
    <col min="7" max="7" width="23.3636363636364" style="6" customWidth="1"/>
    <col min="8" max="8" width="9.81818181818182" style="6" customWidth="1"/>
    <col min="9" max="10" width="23.7181818181818" style="6" customWidth="1"/>
    <col min="11" max="11" width="18.4272727272727" style="6" customWidth="1"/>
    <col min="12" max="12" width="13.7181818181818" style="6" customWidth="1"/>
    <col min="13" max="16384" width="9.14545454545454" style="6"/>
  </cols>
  <sheetData>
    <row r="1" spans="1:8">
      <c r="A1" s="50" t="s">
        <v>699</v>
      </c>
      <c r="B1" s="50" t="s">
        <v>629</v>
      </c>
      <c r="C1" s="51"/>
      <c r="D1" s="51"/>
      <c r="E1" s="52" t="s">
        <v>373</v>
      </c>
      <c r="F1" s="52"/>
      <c r="G1" s="53" t="s">
        <v>700</v>
      </c>
      <c r="H1" s="53" t="s">
        <v>701</v>
      </c>
    </row>
    <row r="2" spans="1:8">
      <c r="A2" s="54"/>
      <c r="B2" s="54"/>
      <c r="C2" s="55" t="s">
        <v>702</v>
      </c>
      <c r="D2" s="55" t="s">
        <v>703</v>
      </c>
      <c r="E2" s="55" t="s">
        <v>704</v>
      </c>
      <c r="F2" s="55" t="s">
        <v>705</v>
      </c>
      <c r="G2" s="53"/>
      <c r="H2" s="53"/>
    </row>
    <row r="3" spans="1:8">
      <c r="A3" s="56" t="s">
        <v>706</v>
      </c>
      <c r="B3" s="56" t="s">
        <v>707</v>
      </c>
      <c r="C3" s="56" t="s">
        <v>708</v>
      </c>
      <c r="D3" s="57">
        <v>5000</v>
      </c>
      <c r="E3" s="58" t="s">
        <v>709</v>
      </c>
      <c r="F3" s="58" t="s">
        <v>544</v>
      </c>
      <c r="G3" s="59" t="s">
        <v>710</v>
      </c>
      <c r="H3" s="59" t="s">
        <v>711</v>
      </c>
    </row>
    <row r="4" spans="1:13">
      <c r="A4" s="60" t="s">
        <v>712</v>
      </c>
      <c r="B4" s="60" t="s">
        <v>713</v>
      </c>
      <c r="C4" s="60" t="s">
        <v>714</v>
      </c>
      <c r="D4" s="61">
        <v>5</v>
      </c>
      <c r="E4" s="62" t="s">
        <v>715</v>
      </c>
      <c r="F4" s="62" t="s">
        <v>544</v>
      </c>
      <c r="G4" s="63" t="s">
        <v>710</v>
      </c>
      <c r="H4" s="63" t="s">
        <v>711</v>
      </c>
      <c r="J4"/>
      <c r="K4"/>
      <c r="L4"/>
      <c r="M4"/>
    </row>
    <row r="5" spans="1:8">
      <c r="A5" s="56" t="s">
        <v>380</v>
      </c>
      <c r="B5" s="56" t="s">
        <v>716</v>
      </c>
      <c r="C5" s="56" t="s">
        <v>717</v>
      </c>
      <c r="D5" s="57">
        <v>25</v>
      </c>
      <c r="E5" s="58" t="s">
        <v>718</v>
      </c>
      <c r="F5" s="58" t="s">
        <v>544</v>
      </c>
      <c r="G5" s="59" t="s">
        <v>719</v>
      </c>
      <c r="H5" s="59" t="s">
        <v>544</v>
      </c>
    </row>
    <row r="6" spans="1:8">
      <c r="A6" s="60" t="s">
        <v>720</v>
      </c>
      <c r="B6" s="60" t="s">
        <v>721</v>
      </c>
      <c r="C6" s="60" t="s">
        <v>722</v>
      </c>
      <c r="D6" s="61">
        <v>10</v>
      </c>
      <c r="E6" s="62" t="s">
        <v>723</v>
      </c>
      <c r="F6" s="62" t="s">
        <v>544</v>
      </c>
      <c r="G6" s="63" t="s">
        <v>710</v>
      </c>
      <c r="H6" s="63" t="s">
        <v>711</v>
      </c>
    </row>
    <row r="7" spans="1:8">
      <c r="A7" s="56" t="s">
        <v>724</v>
      </c>
      <c r="B7" s="56" t="s">
        <v>725</v>
      </c>
      <c r="C7" s="56" t="s">
        <v>726</v>
      </c>
      <c r="D7" s="57">
        <v>200</v>
      </c>
      <c r="E7" s="58" t="s">
        <v>727</v>
      </c>
      <c r="F7" s="58" t="s">
        <v>544</v>
      </c>
      <c r="G7" s="59" t="s">
        <v>710</v>
      </c>
      <c r="H7" s="59" t="s">
        <v>544</v>
      </c>
    </row>
    <row r="8" spans="1:8">
      <c r="A8" s="60" t="s">
        <v>728</v>
      </c>
      <c r="B8" s="60" t="s">
        <v>729</v>
      </c>
      <c r="C8" s="60" t="s">
        <v>730</v>
      </c>
      <c r="D8" s="61">
        <v>2500</v>
      </c>
      <c r="E8" s="62" t="s">
        <v>731</v>
      </c>
      <c r="F8" s="62" t="s">
        <v>732</v>
      </c>
      <c r="G8" s="63" t="s">
        <v>710</v>
      </c>
      <c r="H8" s="63" t="s">
        <v>533</v>
      </c>
    </row>
    <row r="9" spans="1:8">
      <c r="A9" s="56" t="s">
        <v>733</v>
      </c>
      <c r="B9" s="56" t="s">
        <v>734</v>
      </c>
      <c r="C9" s="56" t="s">
        <v>735</v>
      </c>
      <c r="D9" s="57">
        <v>100</v>
      </c>
      <c r="E9" s="58" t="s">
        <v>736</v>
      </c>
      <c r="F9" s="58" t="s">
        <v>501</v>
      </c>
      <c r="G9" s="59" t="s">
        <v>710</v>
      </c>
      <c r="H9" s="59" t="s">
        <v>544</v>
      </c>
    </row>
    <row r="10" spans="1:8">
      <c r="A10" s="60" t="s">
        <v>737</v>
      </c>
      <c r="B10" s="60" t="s">
        <v>738</v>
      </c>
      <c r="C10" s="60" t="s">
        <v>739</v>
      </c>
      <c r="D10" s="61">
        <v>25</v>
      </c>
      <c r="E10" s="62" t="s">
        <v>740</v>
      </c>
      <c r="F10" s="62"/>
      <c r="G10" s="63" t="s">
        <v>710</v>
      </c>
      <c r="H10" s="63" t="s">
        <v>533</v>
      </c>
    </row>
    <row r="11" spans="1:8">
      <c r="A11" s="56" t="s">
        <v>741</v>
      </c>
      <c r="B11" s="56"/>
      <c r="C11" s="56" t="s">
        <v>742</v>
      </c>
      <c r="D11" s="57">
        <v>25</v>
      </c>
      <c r="E11" s="58" t="s">
        <v>743</v>
      </c>
      <c r="F11" s="58"/>
      <c r="G11" s="59" t="s">
        <v>710</v>
      </c>
      <c r="H11" s="59" t="s">
        <v>533</v>
      </c>
    </row>
    <row r="12" spans="1:8">
      <c r="A12" s="60" t="s">
        <v>744</v>
      </c>
      <c r="B12" s="60" t="s">
        <v>745</v>
      </c>
      <c r="C12" s="60" t="s">
        <v>746</v>
      </c>
      <c r="D12" s="61">
        <v>50</v>
      </c>
      <c r="E12" s="62" t="s">
        <v>747</v>
      </c>
      <c r="F12" s="62" t="s">
        <v>544</v>
      </c>
      <c r="G12" s="63" t="s">
        <v>710</v>
      </c>
      <c r="H12" s="63" t="s">
        <v>544</v>
      </c>
    </row>
    <row r="13" spans="1:8">
      <c r="A13" s="56" t="s">
        <v>748</v>
      </c>
      <c r="B13" s="56" t="s">
        <v>749</v>
      </c>
      <c r="C13" s="56" t="s">
        <v>750</v>
      </c>
      <c r="D13" s="57">
        <v>50</v>
      </c>
      <c r="E13" s="58" t="s">
        <v>751</v>
      </c>
      <c r="F13" s="58" t="s">
        <v>544</v>
      </c>
      <c r="G13" s="59" t="s">
        <v>710</v>
      </c>
      <c r="H13" s="59" t="s">
        <v>544</v>
      </c>
    </row>
    <row r="14" spans="1:8">
      <c r="A14" s="60" t="s">
        <v>752</v>
      </c>
      <c r="B14" s="60" t="s">
        <v>753</v>
      </c>
      <c r="C14" s="60" t="s">
        <v>754</v>
      </c>
      <c r="D14" s="61">
        <v>50</v>
      </c>
      <c r="E14" s="62" t="s">
        <v>755</v>
      </c>
      <c r="F14" s="62" t="s">
        <v>544</v>
      </c>
      <c r="G14" s="63" t="s">
        <v>710</v>
      </c>
      <c r="H14" s="63" t="s">
        <v>544</v>
      </c>
    </row>
    <row r="15" spans="1:8">
      <c r="A15" s="56" t="s">
        <v>756</v>
      </c>
      <c r="B15" s="56" t="s">
        <v>757</v>
      </c>
      <c r="C15" s="56" t="s">
        <v>758</v>
      </c>
      <c r="D15" s="57">
        <v>1000</v>
      </c>
      <c r="E15" s="58" t="s">
        <v>759</v>
      </c>
      <c r="F15" s="58" t="s">
        <v>760</v>
      </c>
      <c r="G15" s="59" t="s">
        <v>710</v>
      </c>
      <c r="H15" s="59" t="s">
        <v>522</v>
      </c>
    </row>
    <row r="16" spans="1:8">
      <c r="A16" s="60" t="s">
        <v>761</v>
      </c>
      <c r="B16" s="60" t="s">
        <v>762</v>
      </c>
      <c r="C16" s="60" t="s">
        <v>763</v>
      </c>
      <c r="D16" s="61">
        <v>10</v>
      </c>
      <c r="E16" s="62" t="s">
        <v>764</v>
      </c>
      <c r="F16" s="62" t="s">
        <v>760</v>
      </c>
      <c r="G16" s="63" t="s">
        <v>710</v>
      </c>
      <c r="H16" s="63" t="s">
        <v>522</v>
      </c>
    </row>
    <row r="17" spans="1:8">
      <c r="A17" s="56" t="s">
        <v>765</v>
      </c>
      <c r="B17" s="56"/>
      <c r="C17" s="56" t="s">
        <v>766</v>
      </c>
      <c r="D17" s="57">
        <v>10</v>
      </c>
      <c r="E17" s="58" t="s">
        <v>767</v>
      </c>
      <c r="F17" s="58" t="s">
        <v>760</v>
      </c>
      <c r="G17" s="59" t="s">
        <v>710</v>
      </c>
      <c r="H17" s="59" t="s">
        <v>522</v>
      </c>
    </row>
    <row r="18" spans="1:8">
      <c r="A18" s="60" t="s">
        <v>768</v>
      </c>
      <c r="B18" s="60" t="s">
        <v>769</v>
      </c>
      <c r="C18" s="60" t="s">
        <v>770</v>
      </c>
      <c r="D18" s="61">
        <v>5000</v>
      </c>
      <c r="E18" s="62" t="s">
        <v>771</v>
      </c>
      <c r="F18" s="62" t="s">
        <v>772</v>
      </c>
      <c r="G18" s="63" t="s">
        <v>710</v>
      </c>
      <c r="H18" s="63" t="s">
        <v>533</v>
      </c>
    </row>
    <row r="49" spans="5:6">
      <c r="E49"/>
      <c r="F49"/>
    </row>
  </sheetData>
  <mergeCells count="3">
    <mergeCell ref="E1:F1"/>
    <mergeCell ref="G1:G2"/>
    <mergeCell ref="H1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Weapon Data v1</vt:lpstr>
      <vt:lpstr>Weapon Data V2</vt:lpstr>
      <vt:lpstr>Weapon Data V5</vt:lpstr>
      <vt:lpstr>Weather</vt:lpstr>
      <vt:lpstr>Regions</vt:lpstr>
      <vt:lpstr>Environments</vt:lpstr>
      <vt:lpstr>Classes</vt:lpstr>
      <vt:lpstr>Skills</vt:lpstr>
      <vt:lpstr>Unlockables</vt:lpstr>
      <vt:lpstr>Gear</vt:lpstr>
      <vt:lpstr>Inscriptions</vt:lpstr>
      <vt:lpstr>Enemy Types</vt:lpstr>
      <vt:lpstr>Recipes</vt:lpstr>
      <vt:lpstr>Resources</vt:lpstr>
      <vt:lpstr>Sounds</vt:lpstr>
      <vt:lpstr>Tutorial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2017-08-07T12:34:00Z</dcterms:created>
  <dcterms:modified xsi:type="dcterms:W3CDTF">2019-02-08T13:49:23Z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2057-10.2.0.7635</vt:lpwstr>
  </property>
</Properties>
</file>