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eed/Dropbox/My_Docs/Curriculum Development/"/>
    </mc:Choice>
  </mc:AlternateContent>
  <xr:revisionPtr revIDLastSave="0" documentId="13_ncr:1_{DD3CC7A0-C773-C347-87C7-D1CD3876F445}" xr6:coauthVersionLast="47" xr6:coauthVersionMax="47" xr10:uidLastSave="{00000000-0000-0000-0000-000000000000}"/>
  <bookViews>
    <workbookView xWindow="540" yWindow="500" windowWidth="19260" windowHeight="14380" tabRatio="827" firstSheet="10" activeTab="18" xr2:uid="{EBBDD0A1-39DB-4461-BFFA-D6CADBB5519D}"/>
  </bookViews>
  <sheets>
    <sheet name="EEE Y1 sem1" sheetId="18" r:id="rId1"/>
    <sheet name="EEE Y2 sem1" sheetId="10" r:id="rId2"/>
    <sheet name="Y3 sem1" sheetId="82" r:id="rId3"/>
    <sheet name="Y4 sem1" sheetId="90" r:id="rId4"/>
    <sheet name="MSC EP sem1" sheetId="83" r:id="rId5"/>
    <sheet name="MSC ME sem1" sheetId="85" r:id="rId6"/>
    <sheet name="MSC TW sem1" sheetId="84" r:id="rId7"/>
    <sheet name="old CW Calendars" sheetId="4" r:id="rId8"/>
    <sheet name="ELEC104" sheetId="13" r:id="rId9"/>
    <sheet name="ELEC142" sheetId="15" r:id="rId10"/>
    <sheet name="ELEC191" sheetId="14" r:id="rId11"/>
    <sheet name="ELEC129" sheetId="17" r:id="rId12"/>
    <sheet name="ELEC171" sheetId="16" r:id="rId13"/>
    <sheet name="AERO110" sheetId="19" r:id="rId14"/>
    <sheet name="ELEC207" sheetId="3" r:id="rId15"/>
    <sheet name="ELEC209" sheetId="8" r:id="rId16"/>
    <sheet name="ELEC270" sheetId="7" r:id="rId17"/>
    <sheet name="ELEC273" sheetId="5" r:id="rId18"/>
    <sheet name="ELEC230" sheetId="95" r:id="rId19"/>
    <sheet name="MATH28x" sheetId="12" r:id="rId20"/>
    <sheet name="ELEC330" sheetId="23" r:id="rId21"/>
    <sheet name="COMP305" sheetId="86" r:id="rId22"/>
    <sheet name="COMP323" sheetId="89" r:id="rId23"/>
    <sheet name="COMP327" sheetId="87" r:id="rId24"/>
    <sheet name="COMP523" sheetId="93" r:id="rId25"/>
    <sheet name="COMP390" sheetId="88" r:id="rId26"/>
    <sheet name="COMP521" sheetId="92" r:id="rId27"/>
    <sheet name="ELEC340" sheetId="20" r:id="rId28"/>
    <sheet name="ELEC352" sheetId="22" r:id="rId29"/>
    <sheet name="ELEC362" sheetId="21" r:id="rId30"/>
    <sheet name="ELEC370" sheetId="78" r:id="rId31"/>
    <sheet name="ELEC372" sheetId="79" r:id="rId32"/>
    <sheet name="ELEC373" sheetId="80" r:id="rId33"/>
    <sheet name="ELEC483" sheetId="24" r:id="rId34"/>
    <sheet name="ELEC431" sheetId="81" r:id="rId35"/>
    <sheet name="ELEC421" sheetId="27" r:id="rId36"/>
    <sheet name="ELEC432" sheetId="28" r:id="rId37"/>
    <sheet name="ELEC402" sheetId="29" r:id="rId38"/>
    <sheet name="ELEC470" sheetId="30" r:id="rId39"/>
    <sheet name="ELEC423" sheetId="31" r:id="rId40"/>
    <sheet name="ELEC473" sheetId="32" r:id="rId41"/>
    <sheet name="ELEC472" sheetId="33" r:id="rId42"/>
    <sheet name="ELEC477" sheetId="35" r:id="rId43"/>
    <sheet name="ELEC462" sheetId="36" r:id="rId44"/>
    <sheet name="ELEC474" sheetId="37" r:id="rId45"/>
    <sheet name="ELEC450" sheetId="38" r:id="rId46"/>
    <sheet name="ELEC476" sheetId="39" r:id="rId47"/>
    <sheet name="Module types" sheetId="1" r:id="rId48"/>
    <sheet name="cohort year n" sheetId="2" r:id="rId49"/>
    <sheet name="Sheet1" sheetId="11" r:id="rId50"/>
  </sheets>
  <externalReferences>
    <externalReference r:id="rId51"/>
    <externalReference r:id="rId5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" i="95" l="1"/>
  <c r="V31" i="95"/>
  <c r="U31" i="95"/>
  <c r="W31" i="95" s="1"/>
  <c r="AC29" i="95"/>
  <c r="AB29" i="95"/>
  <c r="AA29" i="95"/>
  <c r="Z29" i="95"/>
  <c r="W29" i="95"/>
  <c r="H29" i="95" s="1"/>
  <c r="AC28" i="95"/>
  <c r="AB28" i="95"/>
  <c r="AA28" i="95"/>
  <c r="Z28" i="95"/>
  <c r="AC27" i="95"/>
  <c r="AB27" i="95"/>
  <c r="AA27" i="95"/>
  <c r="Z27" i="95"/>
  <c r="Y22" i="95"/>
  <c r="X22" i="95"/>
  <c r="W21" i="95"/>
  <c r="V21" i="95"/>
  <c r="U21" i="95"/>
  <c r="H21" i="95"/>
  <c r="H20" i="95"/>
  <c r="E19" i="95"/>
  <c r="T18" i="95"/>
  <c r="B18" i="95"/>
  <c r="C18" i="95" s="1"/>
  <c r="W17" i="95"/>
  <c r="V17" i="95"/>
  <c r="U17" i="95"/>
  <c r="T17" i="95"/>
  <c r="S17" i="95"/>
  <c r="R17" i="95"/>
  <c r="Q17" i="95"/>
  <c r="P17" i="95"/>
  <c r="O17" i="95"/>
  <c r="N17" i="95"/>
  <c r="M17" i="95"/>
  <c r="L17" i="95"/>
  <c r="K17" i="95"/>
  <c r="J17" i="95"/>
  <c r="I17" i="95"/>
  <c r="D17" i="95"/>
  <c r="W16" i="95"/>
  <c r="V16" i="95"/>
  <c r="U16" i="95"/>
  <c r="T16" i="95"/>
  <c r="S16" i="95"/>
  <c r="R16" i="95"/>
  <c r="Q16" i="95"/>
  <c r="P16" i="95"/>
  <c r="O16" i="95"/>
  <c r="N16" i="95"/>
  <c r="M16" i="95"/>
  <c r="L16" i="95"/>
  <c r="K16" i="95"/>
  <c r="J16" i="95"/>
  <c r="I16" i="95"/>
  <c r="D16" i="95"/>
  <c r="W15" i="95"/>
  <c r="V15" i="95"/>
  <c r="U15" i="95"/>
  <c r="T15" i="95"/>
  <c r="S15" i="95"/>
  <c r="R15" i="95"/>
  <c r="Q15" i="95"/>
  <c r="P15" i="95"/>
  <c r="O15" i="95"/>
  <c r="N15" i="95"/>
  <c r="M15" i="95"/>
  <c r="L15" i="95"/>
  <c r="K15" i="95"/>
  <c r="J15" i="95"/>
  <c r="I15" i="95"/>
  <c r="D15" i="95"/>
  <c r="W14" i="95"/>
  <c r="V14" i="95"/>
  <c r="U14" i="95"/>
  <c r="T14" i="95"/>
  <c r="S14" i="95"/>
  <c r="R14" i="95"/>
  <c r="Q14" i="95"/>
  <c r="P14" i="95"/>
  <c r="O14" i="95"/>
  <c r="N14" i="95"/>
  <c r="M14" i="95"/>
  <c r="L14" i="95"/>
  <c r="K14" i="95"/>
  <c r="J14" i="95"/>
  <c r="I14" i="95"/>
  <c r="D14" i="95"/>
  <c r="W13" i="95"/>
  <c r="V13" i="95"/>
  <c r="U13" i="95"/>
  <c r="T13" i="95"/>
  <c r="S13" i="95"/>
  <c r="R13" i="95"/>
  <c r="Q13" i="95"/>
  <c r="P13" i="95"/>
  <c r="O13" i="95"/>
  <c r="N13" i="95"/>
  <c r="M13" i="95"/>
  <c r="L13" i="95"/>
  <c r="K13" i="95"/>
  <c r="J13" i="95"/>
  <c r="I13" i="95"/>
  <c r="D13" i="95"/>
  <c r="W12" i="95"/>
  <c r="V12" i="95"/>
  <c r="U12" i="95"/>
  <c r="T12" i="95"/>
  <c r="S12" i="95"/>
  <c r="R12" i="95"/>
  <c r="Q12" i="95"/>
  <c r="P12" i="95"/>
  <c r="O12" i="95"/>
  <c r="N12" i="95"/>
  <c r="M12" i="95"/>
  <c r="L12" i="95"/>
  <c r="K12" i="95"/>
  <c r="J12" i="95"/>
  <c r="I12" i="95"/>
  <c r="D12" i="95"/>
  <c r="W11" i="95"/>
  <c r="V11" i="95"/>
  <c r="U11" i="95"/>
  <c r="T11" i="95"/>
  <c r="S11" i="95"/>
  <c r="S24" i="95" s="1"/>
  <c r="R11" i="95"/>
  <c r="Q11" i="95"/>
  <c r="P11" i="95"/>
  <c r="O11" i="95"/>
  <c r="N11" i="95"/>
  <c r="M11" i="95"/>
  <c r="L11" i="95"/>
  <c r="K11" i="95"/>
  <c r="J11" i="95"/>
  <c r="I11" i="95"/>
  <c r="D11" i="95"/>
  <c r="W10" i="95"/>
  <c r="W36" i="95" s="1" a="1"/>
  <c r="W36" i="95" s="1"/>
  <c r="V10" i="95"/>
  <c r="U10" i="95"/>
  <c r="T10" i="95"/>
  <c r="S10" i="95"/>
  <c r="S36" i="95" s="1" a="1"/>
  <c r="S36" i="95" s="1"/>
  <c r="R10" i="95"/>
  <c r="Q10" i="95"/>
  <c r="P10" i="95"/>
  <c r="O10" i="95"/>
  <c r="O36" i="95" s="1" a="1"/>
  <c r="O36" i="95" s="1"/>
  <c r="N10" i="95"/>
  <c r="M10" i="95"/>
  <c r="L10" i="95"/>
  <c r="K10" i="95"/>
  <c r="K36" i="95" s="1" a="1"/>
  <c r="K36" i="95" s="1"/>
  <c r="J10" i="95"/>
  <c r="I10" i="95"/>
  <c r="D10" i="95"/>
  <c r="W9" i="95"/>
  <c r="W35" i="95" s="1"/>
  <c r="V9" i="95"/>
  <c r="V24" i="95" s="1"/>
  <c r="U9" i="95"/>
  <c r="T9" i="95"/>
  <c r="T35" i="95" s="1"/>
  <c r="S9" i="95"/>
  <c r="S35" i="95" s="1"/>
  <c r="R9" i="95"/>
  <c r="R24" i="95" s="1"/>
  <c r="Q9" i="95"/>
  <c r="P9" i="95"/>
  <c r="P35" i="95" s="1"/>
  <c r="O9" i="95"/>
  <c r="O35" i="95" s="1"/>
  <c r="N9" i="95"/>
  <c r="N24" i="95" s="1"/>
  <c r="M9" i="95"/>
  <c r="L9" i="95"/>
  <c r="L35" i="95" s="1"/>
  <c r="K9" i="95"/>
  <c r="K35" i="95" s="1"/>
  <c r="J9" i="95"/>
  <c r="J24" i="95" s="1"/>
  <c r="I9" i="95"/>
  <c r="D9" i="95"/>
  <c r="D18" i="95" s="1"/>
  <c r="E18" i="95" s="1"/>
  <c r="D7" i="95"/>
  <c r="D6" i="95"/>
  <c r="D19" i="95" s="1"/>
  <c r="W3" i="95"/>
  <c r="V3" i="95"/>
  <c r="V5" i="95" s="1"/>
  <c r="U3" i="95"/>
  <c r="U4" i="95" s="1"/>
  <c r="U6" i="95" s="1"/>
  <c r="T3" i="95"/>
  <c r="T5" i="95" s="1"/>
  <c r="S3" i="95"/>
  <c r="R3" i="95"/>
  <c r="R4" i="95" s="1"/>
  <c r="R6" i="95" s="1"/>
  <c r="Q3" i="95"/>
  <c r="Q4" i="95" s="1"/>
  <c r="Q6" i="95" s="1"/>
  <c r="P3" i="95"/>
  <c r="P5" i="95" s="1"/>
  <c r="O3" i="95"/>
  <c r="N3" i="95"/>
  <c r="N5" i="95" s="1"/>
  <c r="M3" i="95"/>
  <c r="M4" i="95" s="1"/>
  <c r="M6" i="95" s="1"/>
  <c r="L3" i="95"/>
  <c r="L5" i="95" s="1"/>
  <c r="K3" i="95"/>
  <c r="J3" i="95"/>
  <c r="J5" i="95" s="1"/>
  <c r="I3" i="95"/>
  <c r="I4" i="95" s="1"/>
  <c r="I6" i="95" s="1"/>
  <c r="B36" i="93"/>
  <c r="V31" i="93"/>
  <c r="U31" i="93" s="1"/>
  <c r="W31" i="93" s="1"/>
  <c r="AC29" i="93"/>
  <c r="AB29" i="93"/>
  <c r="AA29" i="93"/>
  <c r="Z29" i="93"/>
  <c r="W29" i="93"/>
  <c r="H29" i="93" s="1"/>
  <c r="AC28" i="93"/>
  <c r="AB28" i="93"/>
  <c r="AA28" i="93"/>
  <c r="Z28" i="93"/>
  <c r="AC27" i="93"/>
  <c r="AB27" i="93"/>
  <c r="AA27" i="93"/>
  <c r="Z27" i="93"/>
  <c r="Y22" i="93"/>
  <c r="X22" i="93"/>
  <c r="H20" i="93"/>
  <c r="E19" i="93"/>
  <c r="T18" i="93"/>
  <c r="B18" i="93"/>
  <c r="C18" i="93" s="1"/>
  <c r="W17" i="93"/>
  <c r="V17" i="93"/>
  <c r="U17" i="93"/>
  <c r="T17" i="93"/>
  <c r="S17" i="93"/>
  <c r="R17" i="93"/>
  <c r="Q17" i="93"/>
  <c r="P17" i="93"/>
  <c r="O17" i="93"/>
  <c r="N17" i="93"/>
  <c r="M17" i="93"/>
  <c r="L17" i="93"/>
  <c r="K17" i="93"/>
  <c r="J17" i="93"/>
  <c r="I17" i="93"/>
  <c r="D17" i="93"/>
  <c r="W16" i="93"/>
  <c r="V16" i="93"/>
  <c r="U16" i="93"/>
  <c r="T16" i="93"/>
  <c r="S16" i="93"/>
  <c r="R16" i="93"/>
  <c r="Q16" i="93"/>
  <c r="P16" i="93"/>
  <c r="O16" i="93"/>
  <c r="N16" i="93"/>
  <c r="M16" i="93"/>
  <c r="L16" i="93"/>
  <c r="K16" i="93"/>
  <c r="J16" i="93"/>
  <c r="I16" i="93"/>
  <c r="D16" i="93"/>
  <c r="W15" i="93"/>
  <c r="V15" i="93"/>
  <c r="U15" i="93"/>
  <c r="T15" i="93"/>
  <c r="S15" i="93"/>
  <c r="R15" i="93"/>
  <c r="Q15" i="93"/>
  <c r="P15" i="93"/>
  <c r="O15" i="93"/>
  <c r="N15" i="93"/>
  <c r="M15" i="93"/>
  <c r="L15" i="93"/>
  <c r="K15" i="93"/>
  <c r="J15" i="93"/>
  <c r="I15" i="93"/>
  <c r="D15" i="93"/>
  <c r="W14" i="93"/>
  <c r="V14" i="93"/>
  <c r="U14" i="93"/>
  <c r="T14" i="93"/>
  <c r="S14" i="93"/>
  <c r="R14" i="93"/>
  <c r="Q14" i="93"/>
  <c r="P14" i="93"/>
  <c r="O14" i="93"/>
  <c r="N14" i="93"/>
  <c r="M14" i="93"/>
  <c r="L14" i="93"/>
  <c r="K14" i="93"/>
  <c r="J14" i="93"/>
  <c r="I14" i="93"/>
  <c r="D14" i="93"/>
  <c r="W13" i="93"/>
  <c r="V13" i="93"/>
  <c r="U13" i="93"/>
  <c r="T13" i="93"/>
  <c r="S13" i="93"/>
  <c r="R13" i="93"/>
  <c r="Q13" i="93"/>
  <c r="P13" i="93"/>
  <c r="O13" i="93"/>
  <c r="N13" i="93"/>
  <c r="M13" i="93"/>
  <c r="L13" i="93"/>
  <c r="K13" i="93"/>
  <c r="J13" i="93"/>
  <c r="I13" i="93"/>
  <c r="D13" i="93"/>
  <c r="W12" i="93"/>
  <c r="V12" i="93"/>
  <c r="U12" i="93"/>
  <c r="T12" i="93"/>
  <c r="S12" i="93"/>
  <c r="R12" i="93"/>
  <c r="Q12" i="93"/>
  <c r="P12" i="93"/>
  <c r="O12" i="93"/>
  <c r="N12" i="93"/>
  <c r="M12" i="93"/>
  <c r="L12" i="93"/>
  <c r="K12" i="93"/>
  <c r="J12" i="93"/>
  <c r="I12" i="93"/>
  <c r="D12" i="93"/>
  <c r="W11" i="93"/>
  <c r="V11" i="93"/>
  <c r="U11" i="93"/>
  <c r="T11" i="93"/>
  <c r="S11" i="93"/>
  <c r="R11" i="93"/>
  <c r="Q11" i="93"/>
  <c r="P11" i="93"/>
  <c r="O11" i="93"/>
  <c r="N11" i="93"/>
  <c r="M11" i="93"/>
  <c r="L11" i="93"/>
  <c r="K11" i="93"/>
  <c r="J11" i="93"/>
  <c r="I11" i="93"/>
  <c r="D11" i="93"/>
  <c r="W10" i="93"/>
  <c r="V10" i="93"/>
  <c r="U10" i="93"/>
  <c r="T10" i="93"/>
  <c r="S10" i="93"/>
  <c r="R10" i="93"/>
  <c r="Q10" i="93"/>
  <c r="P10" i="93"/>
  <c r="O10" i="93"/>
  <c r="N10" i="93"/>
  <c r="M10" i="93"/>
  <c r="L10" i="93"/>
  <c r="K10" i="93"/>
  <c r="J10" i="93"/>
  <c r="I10" i="93"/>
  <c r="D10" i="93"/>
  <c r="W9" i="93"/>
  <c r="W35" i="93" s="1"/>
  <c r="V9" i="93"/>
  <c r="V24" i="93" s="1"/>
  <c r="U9" i="93"/>
  <c r="U24" i="93" s="1"/>
  <c r="T9" i="93"/>
  <c r="T35" i="93" s="1"/>
  <c r="S9" i="93"/>
  <c r="S35" i="93" s="1"/>
  <c r="R9" i="93"/>
  <c r="R24" i="93" s="1"/>
  <c r="Q9" i="93"/>
  <c r="Q24" i="93" s="1"/>
  <c r="P9" i="93"/>
  <c r="P35" i="93" s="1"/>
  <c r="O9" i="93"/>
  <c r="O35" i="93" s="1"/>
  <c r="N9" i="93"/>
  <c r="N24" i="93" s="1"/>
  <c r="M9" i="93"/>
  <c r="M24" i="93" s="1"/>
  <c r="L9" i="93"/>
  <c r="L35" i="93" s="1"/>
  <c r="K9" i="93"/>
  <c r="K35" i="93" s="1"/>
  <c r="J9" i="93"/>
  <c r="J24" i="93" s="1"/>
  <c r="I9" i="93"/>
  <c r="I24" i="93" s="1"/>
  <c r="D9" i="93"/>
  <c r="D18" i="93" s="1"/>
  <c r="E18" i="93" s="1"/>
  <c r="D7" i="93"/>
  <c r="D6" i="93"/>
  <c r="W3" i="93"/>
  <c r="W4" i="93" s="1"/>
  <c r="W6" i="93" s="1"/>
  <c r="V3" i="93"/>
  <c r="V4" i="93" s="1"/>
  <c r="V6" i="93" s="1"/>
  <c r="U3" i="93"/>
  <c r="U4" i="93" s="1"/>
  <c r="U6" i="93" s="1"/>
  <c r="T3" i="93"/>
  <c r="T5" i="93" s="1"/>
  <c r="S3" i="93"/>
  <c r="S4" i="93" s="1"/>
  <c r="S6" i="93" s="1"/>
  <c r="R3" i="93"/>
  <c r="R5" i="93" s="1"/>
  <c r="Q3" i="93"/>
  <c r="Q4" i="93" s="1"/>
  <c r="Q6" i="93" s="1"/>
  <c r="P3" i="93"/>
  <c r="P5" i="93" s="1"/>
  <c r="O3" i="93"/>
  <c r="O4" i="93" s="1"/>
  <c r="O6" i="93" s="1"/>
  <c r="N3" i="93"/>
  <c r="N5" i="93" s="1"/>
  <c r="M3" i="93"/>
  <c r="M4" i="93" s="1"/>
  <c r="M6" i="93" s="1"/>
  <c r="L3" i="93"/>
  <c r="L5" i="93" s="1"/>
  <c r="K3" i="93"/>
  <c r="K4" i="93" s="1"/>
  <c r="K6" i="93" s="1"/>
  <c r="J3" i="93"/>
  <c r="J5" i="93" s="1"/>
  <c r="I3" i="93"/>
  <c r="I4" i="93" s="1"/>
  <c r="I6" i="93" s="1"/>
  <c r="F13" i="90"/>
  <c r="M66" i="90" a="1"/>
  <c r="M66" i="90" s="1"/>
  <c r="B36" i="92"/>
  <c r="V31" i="92"/>
  <c r="U31" i="92" s="1"/>
  <c r="W31" i="92" s="1"/>
  <c r="AC29" i="92"/>
  <c r="AB29" i="92"/>
  <c r="AA29" i="92"/>
  <c r="Z29" i="92"/>
  <c r="W29" i="92"/>
  <c r="H29" i="92" s="1"/>
  <c r="AC28" i="92"/>
  <c r="AB28" i="92"/>
  <c r="AA28" i="92"/>
  <c r="Z28" i="92"/>
  <c r="AC27" i="92"/>
  <c r="AB27" i="92"/>
  <c r="AA27" i="92"/>
  <c r="Z27" i="92"/>
  <c r="Y22" i="92"/>
  <c r="X22" i="92"/>
  <c r="H20" i="92"/>
  <c r="E19" i="92"/>
  <c r="W17" i="92"/>
  <c r="V17" i="92"/>
  <c r="U17" i="92"/>
  <c r="T17" i="92"/>
  <c r="S17" i="92"/>
  <c r="R17" i="92"/>
  <c r="Q17" i="92"/>
  <c r="P17" i="92"/>
  <c r="O17" i="92"/>
  <c r="N17" i="92"/>
  <c r="M17" i="92"/>
  <c r="L17" i="92"/>
  <c r="K17" i="92"/>
  <c r="J17" i="92"/>
  <c r="I17" i="92"/>
  <c r="D17" i="92"/>
  <c r="W16" i="92"/>
  <c r="V16" i="92"/>
  <c r="U16" i="92"/>
  <c r="T16" i="92"/>
  <c r="S16" i="92"/>
  <c r="R16" i="92"/>
  <c r="Q16" i="92"/>
  <c r="P16" i="92"/>
  <c r="O16" i="92"/>
  <c r="N16" i="92"/>
  <c r="M16" i="92"/>
  <c r="L16" i="92"/>
  <c r="K16" i="92"/>
  <c r="J16" i="92"/>
  <c r="I16" i="92"/>
  <c r="D16" i="92"/>
  <c r="W15" i="92"/>
  <c r="V15" i="92"/>
  <c r="U15" i="92"/>
  <c r="T15" i="92"/>
  <c r="S15" i="92"/>
  <c r="R15" i="92"/>
  <c r="Q15" i="92"/>
  <c r="P15" i="92"/>
  <c r="O15" i="92"/>
  <c r="N15" i="92"/>
  <c r="M15" i="92"/>
  <c r="L15" i="92"/>
  <c r="K15" i="92"/>
  <c r="J15" i="92"/>
  <c r="I15" i="92"/>
  <c r="D15" i="92"/>
  <c r="W14" i="92"/>
  <c r="V14" i="92"/>
  <c r="U14" i="92"/>
  <c r="T14" i="92"/>
  <c r="S14" i="92"/>
  <c r="R14" i="92"/>
  <c r="Q14" i="92"/>
  <c r="P14" i="92"/>
  <c r="O14" i="92"/>
  <c r="N14" i="92"/>
  <c r="M14" i="92"/>
  <c r="L14" i="92"/>
  <c r="K14" i="92"/>
  <c r="J14" i="92"/>
  <c r="I14" i="92"/>
  <c r="D14" i="92"/>
  <c r="W13" i="92"/>
  <c r="V13" i="92"/>
  <c r="U13" i="92"/>
  <c r="T13" i="92"/>
  <c r="S13" i="92"/>
  <c r="R13" i="92"/>
  <c r="Q13" i="92"/>
  <c r="P13" i="92"/>
  <c r="O13" i="92"/>
  <c r="N13" i="92"/>
  <c r="M13" i="92"/>
  <c r="L13" i="92"/>
  <c r="K13" i="92"/>
  <c r="J13" i="92"/>
  <c r="I13" i="92"/>
  <c r="D13" i="92"/>
  <c r="W12" i="92"/>
  <c r="V12" i="92"/>
  <c r="U12" i="92"/>
  <c r="T12" i="92"/>
  <c r="S12" i="92"/>
  <c r="R12" i="92"/>
  <c r="Q12" i="92"/>
  <c r="P12" i="92"/>
  <c r="O12" i="92"/>
  <c r="N12" i="92"/>
  <c r="M12" i="92"/>
  <c r="L12" i="92"/>
  <c r="K12" i="92"/>
  <c r="J12" i="92"/>
  <c r="I12" i="92"/>
  <c r="D12" i="92"/>
  <c r="W11" i="92"/>
  <c r="V11" i="92"/>
  <c r="U11" i="92"/>
  <c r="T11" i="92"/>
  <c r="S11" i="92"/>
  <c r="R11" i="92"/>
  <c r="Q11" i="92"/>
  <c r="P11" i="92"/>
  <c r="O11" i="92"/>
  <c r="N11" i="92"/>
  <c r="M11" i="92"/>
  <c r="L11" i="92"/>
  <c r="K11" i="92"/>
  <c r="J11" i="92"/>
  <c r="I11" i="92"/>
  <c r="D11" i="92"/>
  <c r="W10" i="92"/>
  <c r="V10" i="92"/>
  <c r="U10" i="92"/>
  <c r="T10" i="92"/>
  <c r="S10" i="92"/>
  <c r="R10" i="92"/>
  <c r="Q10" i="92"/>
  <c r="P10" i="92"/>
  <c r="O10" i="92"/>
  <c r="N10" i="92"/>
  <c r="M10" i="92"/>
  <c r="L10" i="92"/>
  <c r="K10" i="92"/>
  <c r="J10" i="92"/>
  <c r="I10" i="92"/>
  <c r="D10" i="92"/>
  <c r="W9" i="92"/>
  <c r="W35" i="92" s="1"/>
  <c r="V9" i="92"/>
  <c r="V24" i="92" s="1"/>
  <c r="U9" i="92"/>
  <c r="T9" i="92"/>
  <c r="T35" i="92" s="1"/>
  <c r="S9" i="92"/>
  <c r="S35" i="92" s="1"/>
  <c r="R9" i="92"/>
  <c r="R24" i="92" s="1"/>
  <c r="Q9" i="92"/>
  <c r="Q66" i="90" s="1" a="1"/>
  <c r="Q66" i="90" s="1"/>
  <c r="P9" i="92"/>
  <c r="P35" i="92" s="1"/>
  <c r="O9" i="92"/>
  <c r="O35" i="92" s="1"/>
  <c r="N9" i="92"/>
  <c r="N24" i="92" s="1"/>
  <c r="M9" i="92"/>
  <c r="M65" i="90" s="1" a="1"/>
  <c r="M65" i="90" s="1"/>
  <c r="L9" i="92"/>
  <c r="L35" i="92" s="1"/>
  <c r="K9" i="92"/>
  <c r="K35" i="92" s="1"/>
  <c r="J9" i="92"/>
  <c r="J24" i="92" s="1"/>
  <c r="I9" i="92"/>
  <c r="I66" i="90" s="1" a="1"/>
  <c r="I66" i="90" s="1"/>
  <c r="T18" i="92"/>
  <c r="D7" i="92"/>
  <c r="D6" i="92"/>
  <c r="D19" i="92" s="1"/>
  <c r="W3" i="92"/>
  <c r="W5" i="92" s="1"/>
  <c r="V3" i="92"/>
  <c r="V4" i="92" s="1"/>
  <c r="V6" i="92" s="1"/>
  <c r="U3" i="92"/>
  <c r="U5" i="92" s="1"/>
  <c r="T3" i="92"/>
  <c r="S3" i="92"/>
  <c r="S5" i="92" s="1"/>
  <c r="R3" i="92"/>
  <c r="R4" i="92" s="1"/>
  <c r="R6" i="92" s="1"/>
  <c r="Q3" i="92"/>
  <c r="Q5" i="92" s="1"/>
  <c r="P3" i="92"/>
  <c r="O3" i="92"/>
  <c r="O5" i="92" s="1"/>
  <c r="N3" i="92"/>
  <c r="N4" i="92" s="1"/>
  <c r="N6" i="92" s="1"/>
  <c r="M3" i="92"/>
  <c r="M5" i="92" s="1"/>
  <c r="L3" i="92"/>
  <c r="K3" i="92"/>
  <c r="K5" i="92" s="1"/>
  <c r="J3" i="92"/>
  <c r="J4" i="92" s="1"/>
  <c r="J6" i="92" s="1"/>
  <c r="I3" i="92"/>
  <c r="I5" i="92" s="1"/>
  <c r="T4" i="95" l="1"/>
  <c r="T6" i="95" s="1"/>
  <c r="T7" i="95" s="1"/>
  <c r="T22" i="95" s="1"/>
  <c r="J4" i="95"/>
  <c r="J6" i="95" s="1"/>
  <c r="J7" i="95" s="1"/>
  <c r="J22" i="95" s="1"/>
  <c r="L4" i="95"/>
  <c r="L6" i="95" s="1"/>
  <c r="L7" i="95" s="1"/>
  <c r="L22" i="95" s="1"/>
  <c r="R5" i="95"/>
  <c r="R7" i="95" s="1"/>
  <c r="R22" i="95" s="1"/>
  <c r="P4" i="95"/>
  <c r="P6" i="95" s="1"/>
  <c r="P7" i="95" s="1"/>
  <c r="P22" i="95" s="1"/>
  <c r="I5" i="95"/>
  <c r="I7" i="95" s="1"/>
  <c r="I22" i="95" s="1"/>
  <c r="I23" i="95" s="1"/>
  <c r="Q5" i="95"/>
  <c r="Q7" i="95" s="1"/>
  <c r="Q22" i="95" s="1"/>
  <c r="K24" i="95"/>
  <c r="K25" i="95" s="1" a="1"/>
  <c r="K25" i="95" s="1"/>
  <c r="O24" i="95"/>
  <c r="M5" i="95"/>
  <c r="M7" i="95" s="1"/>
  <c r="M22" i="95" s="1"/>
  <c r="U5" i="95"/>
  <c r="U7" i="95" s="1"/>
  <c r="U22" i="95" s="1"/>
  <c r="N4" i="95"/>
  <c r="N6" i="95" s="1"/>
  <c r="N7" i="95" s="1"/>
  <c r="N22" i="95" s="1"/>
  <c r="V4" i="95"/>
  <c r="V6" i="95" s="1"/>
  <c r="V7" i="95" s="1"/>
  <c r="V22" i="95" s="1"/>
  <c r="W24" i="95"/>
  <c r="V28" i="95" s="1"/>
  <c r="W26" i="95" s="1"/>
  <c r="O25" i="95" a="1"/>
  <c r="O25" i="95" s="1"/>
  <c r="I24" i="95"/>
  <c r="I36" i="95" a="1"/>
  <c r="I36" i="95" s="1"/>
  <c r="I35" i="95"/>
  <c r="Q35" i="95"/>
  <c r="Q24" i="95"/>
  <c r="Q36" i="95" a="1"/>
  <c r="Q36" i="95" s="1"/>
  <c r="U24" i="95"/>
  <c r="U26" i="95" s="1"/>
  <c r="U36" i="95" a="1"/>
  <c r="U36" i="95" s="1"/>
  <c r="U35" i="95"/>
  <c r="S25" i="95" a="1"/>
  <c r="S25" i="95" s="1"/>
  <c r="M24" i="95"/>
  <c r="M35" i="95"/>
  <c r="M36" i="95" a="1"/>
  <c r="M36" i="95" s="1"/>
  <c r="K4" i="95"/>
  <c r="K6" i="95" s="1"/>
  <c r="K5" i="95"/>
  <c r="O4" i="95"/>
  <c r="O6" i="95" s="1"/>
  <c r="O5" i="95"/>
  <c r="S4" i="95"/>
  <c r="S6" i="95" s="1"/>
  <c r="S5" i="95"/>
  <c r="W4" i="95"/>
  <c r="W6" i="95" s="1"/>
  <c r="W5" i="95"/>
  <c r="U28" i="95"/>
  <c r="L24" i="95"/>
  <c r="L25" i="95" s="1" a="1"/>
  <c r="L25" i="95" s="1"/>
  <c r="P24" i="95"/>
  <c r="P25" i="95" s="1" a="1"/>
  <c r="P25" i="95" s="1"/>
  <c r="T24" i="95"/>
  <c r="T25" i="95" s="1" a="1"/>
  <c r="T25" i="95" s="1"/>
  <c r="J35" i="95"/>
  <c r="J25" i="95" s="1" a="1"/>
  <c r="J25" i="95" s="1"/>
  <c r="N35" i="95"/>
  <c r="N25" i="95" s="1" a="1"/>
  <c r="N25" i="95" s="1"/>
  <c r="R35" i="95"/>
  <c r="R25" i="95" s="1" a="1"/>
  <c r="R25" i="95" s="1"/>
  <c r="V35" i="95"/>
  <c r="V25" i="95" s="1" a="1"/>
  <c r="V25" i="95" s="1"/>
  <c r="J36" i="95" a="1"/>
  <c r="J36" i="95" s="1"/>
  <c r="L36" i="95" a="1"/>
  <c r="L36" i="95" s="1"/>
  <c r="N36" i="95" a="1"/>
  <c r="N36" i="95" s="1"/>
  <c r="P36" i="95" a="1"/>
  <c r="P36" i="95" s="1"/>
  <c r="R36" i="95" a="1"/>
  <c r="R36" i="95" s="1"/>
  <c r="T36" i="95" a="1"/>
  <c r="T36" i="95" s="1"/>
  <c r="V36" i="95" a="1"/>
  <c r="V36" i="95" s="1"/>
  <c r="I65" i="90" a="1"/>
  <c r="I65" i="90" s="1"/>
  <c r="Q65" i="90" a="1"/>
  <c r="Q65" i="90" s="1"/>
  <c r="O36" i="92" a="1"/>
  <c r="O36" i="92" s="1"/>
  <c r="S36" i="92" a="1"/>
  <c r="S36" i="92" s="1"/>
  <c r="W36" i="92" a="1"/>
  <c r="W36" i="92" s="1"/>
  <c r="N4" i="93"/>
  <c r="N6" i="93" s="1"/>
  <c r="N7" i="93" s="1"/>
  <c r="N22" i="93" s="1"/>
  <c r="I67" i="90" a="1"/>
  <c r="I67" i="90" s="1"/>
  <c r="M67" i="90" a="1"/>
  <c r="M67" i="90" s="1"/>
  <c r="Q67" i="90" a="1"/>
  <c r="Q67" i="90" s="1"/>
  <c r="I68" i="90" a="1"/>
  <c r="I68" i="90" s="1"/>
  <c r="M68" i="90" a="1"/>
  <c r="M68" i="90" s="1"/>
  <c r="Q68" i="90" a="1"/>
  <c r="Q68" i="90" s="1"/>
  <c r="J65" i="90" a="1"/>
  <c r="J65" i="90" s="1"/>
  <c r="N65" i="90" a="1"/>
  <c r="N65" i="90" s="1"/>
  <c r="R65" i="90" a="1"/>
  <c r="R65" i="90" s="1"/>
  <c r="J66" i="90" a="1"/>
  <c r="J66" i="90" s="1"/>
  <c r="N66" i="90" a="1"/>
  <c r="N66" i="90" s="1"/>
  <c r="R66" i="90" a="1"/>
  <c r="R66" i="90" s="1"/>
  <c r="K5" i="93"/>
  <c r="K7" i="93" s="1"/>
  <c r="K22" i="93" s="1"/>
  <c r="J67" i="90" a="1"/>
  <c r="J67" i="90" s="1"/>
  <c r="N67" i="90" a="1"/>
  <c r="N67" i="90" s="1"/>
  <c r="R67" i="90" a="1"/>
  <c r="R67" i="90" s="1"/>
  <c r="J68" i="90" a="1"/>
  <c r="J68" i="90" s="1"/>
  <c r="N68" i="90" a="1"/>
  <c r="N68" i="90" s="1"/>
  <c r="R68" i="90" a="1"/>
  <c r="R68" i="90" s="1"/>
  <c r="V5" i="92"/>
  <c r="V7" i="92" s="1"/>
  <c r="V22" i="92" s="1"/>
  <c r="K24" i="92"/>
  <c r="K65" i="90" a="1"/>
  <c r="K65" i="90" s="1"/>
  <c r="O65" i="90" a="1"/>
  <c r="O65" i="90" s="1"/>
  <c r="S65" i="90" a="1"/>
  <c r="S65" i="90" s="1"/>
  <c r="K66" i="90" a="1"/>
  <c r="K66" i="90" s="1"/>
  <c r="O66" i="90" a="1"/>
  <c r="O66" i="90" s="1"/>
  <c r="S66" i="90" a="1"/>
  <c r="S66" i="90" s="1"/>
  <c r="S5" i="93"/>
  <c r="S7" i="93" s="1"/>
  <c r="S22" i="93" s="1"/>
  <c r="K67" i="90" a="1"/>
  <c r="K67" i="90" s="1"/>
  <c r="O67" i="90" a="1"/>
  <c r="O67" i="90" s="1"/>
  <c r="S67" i="90" a="1"/>
  <c r="S67" i="90" s="1"/>
  <c r="K68" i="90" a="1"/>
  <c r="K68" i="90" s="1"/>
  <c r="O68" i="90" a="1"/>
  <c r="O68" i="90" s="1"/>
  <c r="S68" i="90" a="1"/>
  <c r="S68" i="90" s="1"/>
  <c r="K36" i="92" a="1"/>
  <c r="K36" i="92" s="1"/>
  <c r="L65" i="90" a="1"/>
  <c r="L65" i="90" s="1"/>
  <c r="P65" i="90" a="1"/>
  <c r="P65" i="90" s="1"/>
  <c r="T65" i="90" a="1"/>
  <c r="T65" i="90" s="1"/>
  <c r="L66" i="90" a="1"/>
  <c r="L66" i="90" s="1"/>
  <c r="P66" i="90" a="1"/>
  <c r="P66" i="90" s="1"/>
  <c r="T66" i="90" a="1"/>
  <c r="T66" i="90" s="1"/>
  <c r="L67" i="90" a="1"/>
  <c r="L67" i="90" s="1"/>
  <c r="P67" i="90" a="1"/>
  <c r="P67" i="90" s="1"/>
  <c r="T67" i="90" a="1"/>
  <c r="T67" i="90" s="1"/>
  <c r="L68" i="90" a="1"/>
  <c r="L68" i="90" s="1"/>
  <c r="P68" i="90" a="1"/>
  <c r="P68" i="90" s="1"/>
  <c r="T68" i="90" a="1"/>
  <c r="T68" i="90" s="1"/>
  <c r="R4" i="93"/>
  <c r="R6" i="93" s="1"/>
  <c r="R7" i="93" s="1"/>
  <c r="R22" i="93" s="1"/>
  <c r="V5" i="93"/>
  <c r="V7" i="93" s="1"/>
  <c r="V22" i="93" s="1"/>
  <c r="O5" i="93"/>
  <c r="O7" i="93" s="1"/>
  <c r="O22" i="93" s="1"/>
  <c r="W5" i="93"/>
  <c r="W7" i="93" s="1"/>
  <c r="W22" i="93" s="1"/>
  <c r="J4" i="93"/>
  <c r="J6" i="93" s="1"/>
  <c r="J7" i="93" s="1"/>
  <c r="J22" i="93" s="1"/>
  <c r="U28" i="93"/>
  <c r="L4" i="93"/>
  <c r="L6" i="93" s="1"/>
  <c r="L7" i="93" s="1"/>
  <c r="L22" i="93" s="1"/>
  <c r="P4" i="93"/>
  <c r="P6" i="93" s="1"/>
  <c r="P7" i="93" s="1"/>
  <c r="P22" i="93" s="1"/>
  <c r="T4" i="93"/>
  <c r="T6" i="93" s="1"/>
  <c r="T7" i="93" s="1"/>
  <c r="T22" i="93" s="1"/>
  <c r="I5" i="93"/>
  <c r="I7" i="93" s="1"/>
  <c r="I22" i="93" s="1"/>
  <c r="I26" i="93" s="1"/>
  <c r="M5" i="93"/>
  <c r="M7" i="93" s="1"/>
  <c r="M22" i="93" s="1"/>
  <c r="Q5" i="93"/>
  <c r="Q7" i="93" s="1"/>
  <c r="Q22" i="93" s="1"/>
  <c r="U5" i="93"/>
  <c r="U7" i="93" s="1"/>
  <c r="U22" i="93" s="1"/>
  <c r="D19" i="93"/>
  <c r="K24" i="93"/>
  <c r="K25" i="93" s="1" a="1"/>
  <c r="K25" i="93" s="1"/>
  <c r="O24" i="93"/>
  <c r="O25" i="93" s="1" a="1"/>
  <c r="O25" i="93" s="1"/>
  <c r="S24" i="93"/>
  <c r="S25" i="93" s="1" a="1"/>
  <c r="S25" i="93" s="1"/>
  <c r="W24" i="93"/>
  <c r="I35" i="93"/>
  <c r="I25" i="93" s="1" a="1"/>
  <c r="I25" i="93" s="1"/>
  <c r="M35" i="93"/>
  <c r="M25" i="93" s="1" a="1"/>
  <c r="M25" i="93" s="1"/>
  <c r="Q35" i="93"/>
  <c r="Q25" i="93" s="1" a="1"/>
  <c r="Q25" i="93" s="1"/>
  <c r="U35" i="93"/>
  <c r="U25" i="93" s="1" a="1"/>
  <c r="U25" i="93" s="1"/>
  <c r="I36" i="93" a="1"/>
  <c r="I36" i="93" s="1"/>
  <c r="K36" i="93" a="1"/>
  <c r="K36" i="93" s="1"/>
  <c r="M36" i="93" a="1"/>
  <c r="M36" i="93" s="1"/>
  <c r="O36" i="93" a="1"/>
  <c r="O36" i="93" s="1"/>
  <c r="Q36" i="93" a="1"/>
  <c r="Q36" i="93" s="1"/>
  <c r="S36" i="93" a="1"/>
  <c r="S36" i="93" s="1"/>
  <c r="U36" i="93" a="1"/>
  <c r="U36" i="93" s="1"/>
  <c r="W36" i="93" a="1"/>
  <c r="W36" i="93" s="1"/>
  <c r="L24" i="93"/>
  <c r="L25" i="93" s="1" a="1"/>
  <c r="L25" i="93" s="1"/>
  <c r="P24" i="93"/>
  <c r="P25" i="93" s="1" a="1"/>
  <c r="P25" i="93" s="1"/>
  <c r="T24" i="93"/>
  <c r="T25" i="93" s="1" a="1"/>
  <c r="T25" i="93" s="1"/>
  <c r="J35" i="93"/>
  <c r="J25" i="93" s="1" a="1"/>
  <c r="J25" i="93" s="1"/>
  <c r="N35" i="93"/>
  <c r="N25" i="93" s="1" a="1"/>
  <c r="N25" i="93" s="1"/>
  <c r="R35" i="93"/>
  <c r="R25" i="93" s="1" a="1"/>
  <c r="R25" i="93" s="1"/>
  <c r="V35" i="93"/>
  <c r="V25" i="93" s="1" a="1"/>
  <c r="V25" i="93" s="1"/>
  <c r="J36" i="93" a="1"/>
  <c r="J36" i="93" s="1"/>
  <c r="L36" i="93" a="1"/>
  <c r="L36" i="93" s="1"/>
  <c r="N36" i="93" a="1"/>
  <c r="N36" i="93" s="1"/>
  <c r="P36" i="93" a="1"/>
  <c r="P36" i="93" s="1"/>
  <c r="R36" i="93" a="1"/>
  <c r="R36" i="93" s="1"/>
  <c r="T36" i="93" a="1"/>
  <c r="T36" i="93" s="1"/>
  <c r="V36" i="93" a="1"/>
  <c r="V36" i="93" s="1"/>
  <c r="O4" i="92"/>
  <c r="O6" i="92" s="1"/>
  <c r="O7" i="92" s="1"/>
  <c r="O22" i="92" s="1"/>
  <c r="I4" i="92"/>
  <c r="I6" i="92" s="1"/>
  <c r="I7" i="92" s="1"/>
  <c r="I22" i="92" s="1"/>
  <c r="Q4" i="92"/>
  <c r="Q6" i="92" s="1"/>
  <c r="Q7" i="92" s="1"/>
  <c r="Q22" i="92" s="1"/>
  <c r="J5" i="92"/>
  <c r="J7" i="92" s="1"/>
  <c r="J22" i="92" s="1"/>
  <c r="O24" i="92"/>
  <c r="O25" i="92" s="1" a="1"/>
  <c r="O25" i="92" s="1"/>
  <c r="W4" i="92"/>
  <c r="W6" i="92" s="1"/>
  <c r="W7" i="92" s="1"/>
  <c r="W22" i="92" s="1"/>
  <c r="K4" i="92"/>
  <c r="K6" i="92" s="1"/>
  <c r="K7" i="92" s="1"/>
  <c r="K22" i="92" s="1"/>
  <c r="S4" i="92"/>
  <c r="S6" i="92" s="1"/>
  <c r="S7" i="92" s="1"/>
  <c r="S22" i="92" s="1"/>
  <c r="N5" i="92"/>
  <c r="N7" i="92" s="1"/>
  <c r="N22" i="92" s="1"/>
  <c r="S24" i="92"/>
  <c r="S25" i="92" s="1" a="1"/>
  <c r="S25" i="92" s="1"/>
  <c r="M4" i="92"/>
  <c r="M6" i="92" s="1"/>
  <c r="M7" i="92" s="1"/>
  <c r="M22" i="92" s="1"/>
  <c r="U4" i="92"/>
  <c r="U6" i="92" s="1"/>
  <c r="U7" i="92" s="1"/>
  <c r="U22" i="92" s="1"/>
  <c r="R5" i="92"/>
  <c r="R7" i="92" s="1"/>
  <c r="R22" i="92" s="1"/>
  <c r="W24" i="92"/>
  <c r="W25" i="92" s="1" a="1"/>
  <c r="W25" i="92" s="1"/>
  <c r="L4" i="92"/>
  <c r="L6" i="92" s="1"/>
  <c r="L5" i="92"/>
  <c r="P4" i="92"/>
  <c r="P6" i="92" s="1"/>
  <c r="P5" i="92"/>
  <c r="T4" i="92"/>
  <c r="T6" i="92" s="1"/>
  <c r="T5" i="92"/>
  <c r="U28" i="92"/>
  <c r="V28" i="92"/>
  <c r="I36" i="92" a="1"/>
  <c r="I36" i="92" s="1"/>
  <c r="I35" i="92"/>
  <c r="I24" i="92"/>
  <c r="M35" i="92"/>
  <c r="M24" i="92"/>
  <c r="M36" i="92" a="1"/>
  <c r="M36" i="92" s="1"/>
  <c r="Q36" i="92" a="1"/>
  <c r="Q36" i="92" s="1"/>
  <c r="Q35" i="92"/>
  <c r="Q24" i="92"/>
  <c r="U35" i="92"/>
  <c r="U24" i="92"/>
  <c r="U25" i="92" s="1" a="1"/>
  <c r="U25" i="92" s="1"/>
  <c r="U36" i="92" a="1"/>
  <c r="U36" i="92" s="1"/>
  <c r="K25" i="92" a="1"/>
  <c r="K25" i="92" s="1"/>
  <c r="L24" i="92"/>
  <c r="L25" i="92" s="1" a="1"/>
  <c r="L25" i="92" s="1"/>
  <c r="P24" i="92"/>
  <c r="P25" i="92" s="1" a="1"/>
  <c r="P25" i="92" s="1"/>
  <c r="T24" i="92"/>
  <c r="T25" i="92" s="1" a="1"/>
  <c r="T25" i="92" s="1"/>
  <c r="J35" i="92"/>
  <c r="J25" i="92" s="1" a="1"/>
  <c r="J25" i="92" s="1"/>
  <c r="N35" i="92"/>
  <c r="R35" i="92"/>
  <c r="R25" i="92" s="1" a="1"/>
  <c r="R25" i="92" s="1"/>
  <c r="V35" i="92"/>
  <c r="V25" i="92" s="1" a="1"/>
  <c r="V25" i="92" s="1"/>
  <c r="J36" i="92" a="1"/>
  <c r="J36" i="92" s="1"/>
  <c r="L36" i="92" a="1"/>
  <c r="L36" i="92" s="1"/>
  <c r="N36" i="92" a="1"/>
  <c r="N36" i="92" s="1"/>
  <c r="P36" i="92" a="1"/>
  <c r="P36" i="92" s="1"/>
  <c r="R36" i="92" a="1"/>
  <c r="R36" i="92" s="1"/>
  <c r="T36" i="92" a="1"/>
  <c r="T36" i="92" s="1"/>
  <c r="V36" i="92" a="1"/>
  <c r="V36" i="92" s="1"/>
  <c r="D9" i="92"/>
  <c r="D18" i="92" s="1"/>
  <c r="E18" i="92" s="1"/>
  <c r="B18" i="92"/>
  <c r="C18" i="92" s="1"/>
  <c r="W25" i="95" l="1" a="1"/>
  <c r="W25" i="95" s="1"/>
  <c r="Q25" i="95" a="1"/>
  <c r="Q25" i="95" s="1"/>
  <c r="Q31" i="95" s="1"/>
  <c r="K7" i="95"/>
  <c r="K22" i="95" s="1"/>
  <c r="W7" i="95"/>
  <c r="W22" i="95" s="1"/>
  <c r="O7" i="95"/>
  <c r="O22" i="95" s="1"/>
  <c r="J31" i="95"/>
  <c r="P31" i="95"/>
  <c r="S7" i="95"/>
  <c r="S22" i="95" s="1"/>
  <c r="M25" i="95" a="1"/>
  <c r="M25" i="95" s="1"/>
  <c r="S31" i="95"/>
  <c r="L31" i="95"/>
  <c r="H28" i="95"/>
  <c r="V26" i="95"/>
  <c r="V27" i="95" s="1"/>
  <c r="V30" i="95" s="1"/>
  <c r="U25" i="95" a="1"/>
  <c r="U25" i="95" s="1"/>
  <c r="U27" i="95" s="1"/>
  <c r="U30" i="95" s="1"/>
  <c r="O31" i="95"/>
  <c r="J23" i="95"/>
  <c r="J26" i="95"/>
  <c r="J27" i="95" s="1"/>
  <c r="J30" i="95" s="1"/>
  <c r="R31" i="95"/>
  <c r="T31" i="95"/>
  <c r="W27" i="95"/>
  <c r="W30" i="95" s="1"/>
  <c r="N31" i="95"/>
  <c r="I26" i="95"/>
  <c r="I25" i="95" a="1"/>
  <c r="I25" i="95" s="1"/>
  <c r="K31" i="95"/>
  <c r="M31" i="93"/>
  <c r="R31" i="93"/>
  <c r="I27" i="93"/>
  <c r="I30" i="93" s="1"/>
  <c r="I13" i="90" s="1"/>
  <c r="I31" i="93"/>
  <c r="J31" i="93"/>
  <c r="N31" i="93"/>
  <c r="Q31" i="93"/>
  <c r="T31" i="93"/>
  <c r="S31" i="93"/>
  <c r="P31" i="93"/>
  <c r="O31" i="93"/>
  <c r="L31" i="93"/>
  <c r="K31" i="93"/>
  <c r="W25" i="93" a="1"/>
  <c r="W25" i="93" s="1"/>
  <c r="V28" i="93"/>
  <c r="H28" i="93" s="1"/>
  <c r="I23" i="93"/>
  <c r="H22" i="93"/>
  <c r="N25" i="92" a="1"/>
  <c r="N25" i="92" s="1"/>
  <c r="Q25" i="92" a="1"/>
  <c r="Q25" i="92" s="1"/>
  <c r="Q31" i="92" s="1"/>
  <c r="M25" i="92" a="1"/>
  <c r="M25" i="92" s="1"/>
  <c r="M31" i="92" s="1"/>
  <c r="P7" i="92"/>
  <c r="P22" i="92" s="1"/>
  <c r="R31" i="92"/>
  <c r="N31" i="92"/>
  <c r="J31" i="92"/>
  <c r="P31" i="92"/>
  <c r="L31" i="92"/>
  <c r="I26" i="92"/>
  <c r="I25" i="92" a="1"/>
  <c r="I25" i="92" s="1"/>
  <c r="S31" i="92"/>
  <c r="K31" i="92"/>
  <c r="I23" i="92"/>
  <c r="H28" i="92"/>
  <c r="T31" i="92"/>
  <c r="O31" i="92"/>
  <c r="T7" i="92"/>
  <c r="T22" i="92" s="1"/>
  <c r="L7" i="92"/>
  <c r="L22" i="92" s="1"/>
  <c r="H22" i="95" l="1"/>
  <c r="V52" i="95"/>
  <c r="V53" i="95" s="1"/>
  <c r="W52" i="95"/>
  <c r="W53" i="95" s="1"/>
  <c r="M31" i="95"/>
  <c r="I27" i="95"/>
  <c r="I31" i="95"/>
  <c r="K23" i="95"/>
  <c r="K26" i="95"/>
  <c r="K27" i="95" s="1"/>
  <c r="K30" i="95" s="1"/>
  <c r="K52" i="95" s="1"/>
  <c r="K53" i="95" s="1"/>
  <c r="J23" i="93"/>
  <c r="J26" i="93"/>
  <c r="J27" i="93" s="1"/>
  <c r="J30" i="93" s="1"/>
  <c r="I52" i="93"/>
  <c r="I53" i="93" s="1"/>
  <c r="H22" i="92"/>
  <c r="I27" i="92"/>
  <c r="I31" i="92"/>
  <c r="J23" i="92"/>
  <c r="J26" i="92"/>
  <c r="J27" i="92" s="1"/>
  <c r="J30" i="92" s="1"/>
  <c r="J12" i="90" s="1"/>
  <c r="L26" i="95" l="1"/>
  <c r="L27" i="95" s="1"/>
  <c r="L30" i="95" s="1"/>
  <c r="L52" i="95" s="1"/>
  <c r="L53" i="95" s="1"/>
  <c r="L23" i="95"/>
  <c r="I30" i="95"/>
  <c r="J52" i="93"/>
  <c r="J53" i="93" s="1"/>
  <c r="J13" i="90"/>
  <c r="K26" i="93"/>
  <c r="K27" i="93" s="1"/>
  <c r="K23" i="93"/>
  <c r="K26" i="92"/>
  <c r="K27" i="92" s="1"/>
  <c r="K30" i="92" s="1"/>
  <c r="K12" i="90" s="1"/>
  <c r="K23" i="92"/>
  <c r="I30" i="92"/>
  <c r="I12" i="90" s="1"/>
  <c r="I52" i="95" l="1"/>
  <c r="I53" i="95" s="1"/>
  <c r="J52" i="95"/>
  <c r="J53" i="95" s="1"/>
  <c r="M26" i="95"/>
  <c r="M27" i="95" s="1"/>
  <c r="M30" i="95" s="1"/>
  <c r="M52" i="95" s="1"/>
  <c r="M53" i="95" s="1"/>
  <c r="M23" i="95"/>
  <c r="L26" i="93"/>
  <c r="L27" i="93" s="1"/>
  <c r="L30" i="93" s="1"/>
  <c r="L13" i="90" s="1"/>
  <c r="L23" i="93"/>
  <c r="K30" i="93"/>
  <c r="K13" i="90" s="1"/>
  <c r="K52" i="92"/>
  <c r="K53" i="92" s="1"/>
  <c r="I52" i="92"/>
  <c r="I53" i="92" s="1"/>
  <c r="L26" i="92"/>
  <c r="L27" i="92" s="1"/>
  <c r="L30" i="92" s="1"/>
  <c r="L12" i="90" s="1"/>
  <c r="L23" i="92"/>
  <c r="J52" i="92"/>
  <c r="J53" i="92" s="1"/>
  <c r="N23" i="95" l="1"/>
  <c r="N26" i="95"/>
  <c r="N27" i="95" s="1"/>
  <c r="N30" i="95" s="1"/>
  <c r="N52" i="95" s="1"/>
  <c r="N53" i="95" s="1"/>
  <c r="L52" i="93"/>
  <c r="L53" i="93" s="1"/>
  <c r="K52" i="93"/>
  <c r="K53" i="93" s="1"/>
  <c r="M26" i="93"/>
  <c r="M27" i="93" s="1"/>
  <c r="M30" i="93" s="1"/>
  <c r="M23" i="93"/>
  <c r="L52" i="92"/>
  <c r="L53" i="92" s="1"/>
  <c r="M26" i="92"/>
  <c r="M27" i="92" s="1"/>
  <c r="M30" i="92" s="1"/>
  <c r="M12" i="90" s="1"/>
  <c r="M23" i="92"/>
  <c r="O23" i="95" l="1"/>
  <c r="O26" i="95"/>
  <c r="O27" i="95" s="1"/>
  <c r="M52" i="93"/>
  <c r="M53" i="93" s="1"/>
  <c r="M13" i="90"/>
  <c r="N23" i="93"/>
  <c r="N26" i="93"/>
  <c r="N27" i="93" s="1"/>
  <c r="N30" i="93" s="1"/>
  <c r="N13" i="90" s="1"/>
  <c r="M52" i="92"/>
  <c r="M53" i="92" s="1"/>
  <c r="N23" i="92"/>
  <c r="N26" i="92"/>
  <c r="N27" i="92" s="1"/>
  <c r="N30" i="92" s="1"/>
  <c r="N12" i="90" s="1"/>
  <c r="P26" i="95" l="1"/>
  <c r="P27" i="95" s="1"/>
  <c r="P30" i="95" s="1"/>
  <c r="P23" i="95"/>
  <c r="O30" i="95"/>
  <c r="N52" i="93"/>
  <c r="N53" i="93" s="1"/>
  <c r="O26" i="93"/>
  <c r="O27" i="93" s="1"/>
  <c r="O30" i="93" s="1"/>
  <c r="O23" i="93"/>
  <c r="N52" i="92"/>
  <c r="N53" i="92" s="1"/>
  <c r="O26" i="92"/>
  <c r="O27" i="92" s="1"/>
  <c r="O23" i="92"/>
  <c r="P52" i="95" l="1"/>
  <c r="P53" i="95" s="1"/>
  <c r="O52" i="95"/>
  <c r="O53" i="95" s="1"/>
  <c r="Q26" i="95"/>
  <c r="Q27" i="95" s="1"/>
  <c r="Q23" i="95"/>
  <c r="O52" i="93"/>
  <c r="O53" i="93" s="1"/>
  <c r="O13" i="90"/>
  <c r="P26" i="93"/>
  <c r="P27" i="93" s="1"/>
  <c r="P30" i="93" s="1"/>
  <c r="P23" i="93"/>
  <c r="O30" i="92"/>
  <c r="O12" i="90" s="1"/>
  <c r="P26" i="92"/>
  <c r="P27" i="92" s="1"/>
  <c r="P30" i="92" s="1"/>
  <c r="P12" i="90" s="1"/>
  <c r="P23" i="92"/>
  <c r="R23" i="95" l="1"/>
  <c r="R26" i="95"/>
  <c r="R27" i="95" s="1"/>
  <c r="R30" i="95" s="1"/>
  <c r="Q30" i="95"/>
  <c r="P52" i="93"/>
  <c r="P53" i="93" s="1"/>
  <c r="P13" i="90"/>
  <c r="Q26" i="93"/>
  <c r="Q27" i="93" s="1"/>
  <c r="Q30" i="93" s="1"/>
  <c r="Q23" i="93"/>
  <c r="P52" i="92"/>
  <c r="P53" i="92" s="1"/>
  <c r="Q26" i="92"/>
  <c r="Q27" i="92" s="1"/>
  <c r="Q30" i="92" s="1"/>
  <c r="Q12" i="90" s="1"/>
  <c r="Q23" i="92"/>
  <c r="O52" i="92"/>
  <c r="O53" i="92" s="1"/>
  <c r="R52" i="95" l="1"/>
  <c r="R53" i="95" s="1"/>
  <c r="Q52" i="95"/>
  <c r="Q53" i="95" s="1"/>
  <c r="S23" i="95"/>
  <c r="S26" i="95"/>
  <c r="S27" i="95" s="1"/>
  <c r="S30" i="95" s="1"/>
  <c r="S52" i="95" s="1"/>
  <c r="S53" i="95" s="1"/>
  <c r="Q52" i="93"/>
  <c r="Q53" i="93" s="1"/>
  <c r="Q13" i="90"/>
  <c r="R23" i="93"/>
  <c r="R26" i="93"/>
  <c r="R27" i="93" s="1"/>
  <c r="R30" i="93" s="1"/>
  <c r="Q52" i="92"/>
  <c r="Q53" i="92" s="1"/>
  <c r="R23" i="92"/>
  <c r="R26" i="92"/>
  <c r="R27" i="92" s="1"/>
  <c r="R30" i="92" s="1"/>
  <c r="R12" i="90" s="1"/>
  <c r="T26" i="95" l="1"/>
  <c r="T27" i="95" s="1"/>
  <c r="T23" i="95"/>
  <c r="R52" i="93"/>
  <c r="R53" i="93" s="1"/>
  <c r="R13" i="90"/>
  <c r="S26" i="93"/>
  <c r="S27" i="93" s="1"/>
  <c r="S30" i="93" s="1"/>
  <c r="S23" i="93"/>
  <c r="R52" i="92"/>
  <c r="R53" i="92" s="1"/>
  <c r="S26" i="92"/>
  <c r="S27" i="92" s="1"/>
  <c r="S30" i="92" s="1"/>
  <c r="S12" i="90" s="1"/>
  <c r="S23" i="92"/>
  <c r="T30" i="95" l="1"/>
  <c r="H27" i="95"/>
  <c r="S52" i="93"/>
  <c r="S53" i="93" s="1"/>
  <c r="S13" i="90"/>
  <c r="T26" i="93"/>
  <c r="T27" i="93" s="1"/>
  <c r="T30" i="93" s="1"/>
  <c r="T13" i="90" s="1"/>
  <c r="T23" i="93"/>
  <c r="S52" i="92"/>
  <c r="S53" i="92" s="1"/>
  <c r="T26" i="92"/>
  <c r="T27" i="92" s="1"/>
  <c r="T23" i="92"/>
  <c r="T52" i="95" l="1"/>
  <c r="T53" i="95" s="1"/>
  <c r="U52" i="95"/>
  <c r="U53" i="95" s="1"/>
  <c r="U34" i="95"/>
  <c r="H30" i="95"/>
  <c r="H31" i="95" s="1"/>
  <c r="T52" i="93"/>
  <c r="T53" i="93" s="1"/>
  <c r="U34" i="93"/>
  <c r="T30" i="92"/>
  <c r="T12" i="90" s="1"/>
  <c r="B33" i="90"/>
  <c r="C17" i="90"/>
  <c r="C6" i="90"/>
  <c r="B20" i="95" l="1"/>
  <c r="W21" i="93"/>
  <c r="V21" i="93"/>
  <c r="U21" i="93"/>
  <c r="T52" i="92"/>
  <c r="T53" i="92" s="1"/>
  <c r="U34" i="92"/>
  <c r="H39" i="90"/>
  <c r="C19" i="90"/>
  <c r="I38" i="90" s="1"/>
  <c r="J38" i="90" s="1"/>
  <c r="K38" i="90" s="1"/>
  <c r="L38" i="90" s="1"/>
  <c r="M38" i="90" s="1"/>
  <c r="N38" i="90" s="1"/>
  <c r="O38" i="90" s="1"/>
  <c r="P38" i="90" s="1"/>
  <c r="Q38" i="90" s="1"/>
  <c r="R38" i="90" s="1"/>
  <c r="S38" i="90" s="1"/>
  <c r="T38" i="90" s="1"/>
  <c r="U38" i="90" s="1"/>
  <c r="V38" i="90" s="1"/>
  <c r="W38" i="90" s="1"/>
  <c r="F11" i="82"/>
  <c r="H11" i="82"/>
  <c r="G11" i="82"/>
  <c r="B36" i="89"/>
  <c r="V31" i="89"/>
  <c r="U31" i="89" s="1"/>
  <c r="W31" i="89" s="1"/>
  <c r="AC29" i="89"/>
  <c r="AB29" i="89"/>
  <c r="AA29" i="89"/>
  <c r="Z29" i="89"/>
  <c r="W29" i="89"/>
  <c r="H29" i="89" s="1"/>
  <c r="AC28" i="89"/>
  <c r="AB28" i="89"/>
  <c r="AA28" i="89"/>
  <c r="Z28" i="89"/>
  <c r="AC27" i="89"/>
  <c r="AB27" i="89"/>
  <c r="AA27" i="89"/>
  <c r="Z27" i="89"/>
  <c r="Y22" i="89"/>
  <c r="X22" i="89"/>
  <c r="H20" i="89"/>
  <c r="E19" i="89"/>
  <c r="T18" i="89"/>
  <c r="B18" i="89"/>
  <c r="C18" i="89" s="1"/>
  <c r="W17" i="89"/>
  <c r="V17" i="89"/>
  <c r="U17" i="89"/>
  <c r="T17" i="89"/>
  <c r="S17" i="89"/>
  <c r="R17" i="89"/>
  <c r="Q17" i="89"/>
  <c r="P17" i="89"/>
  <c r="O17" i="89"/>
  <c r="N17" i="89"/>
  <c r="M17" i="89"/>
  <c r="L17" i="89"/>
  <c r="K17" i="89"/>
  <c r="J17" i="89"/>
  <c r="I17" i="89"/>
  <c r="D17" i="89"/>
  <c r="W16" i="89"/>
  <c r="V16" i="89"/>
  <c r="U16" i="89"/>
  <c r="T16" i="89"/>
  <c r="S16" i="89"/>
  <c r="R16" i="89"/>
  <c r="Q16" i="89"/>
  <c r="P16" i="89"/>
  <c r="O16" i="89"/>
  <c r="N16" i="89"/>
  <c r="M16" i="89"/>
  <c r="L16" i="89"/>
  <c r="K16" i="89"/>
  <c r="J16" i="89"/>
  <c r="I16" i="89"/>
  <c r="D16" i="89"/>
  <c r="W15" i="89"/>
  <c r="V15" i="89"/>
  <c r="U15" i="89"/>
  <c r="T15" i="89"/>
  <c r="S15" i="89"/>
  <c r="R15" i="89"/>
  <c r="Q15" i="89"/>
  <c r="P15" i="89"/>
  <c r="O15" i="89"/>
  <c r="N15" i="89"/>
  <c r="M15" i="89"/>
  <c r="L15" i="89"/>
  <c r="K15" i="89"/>
  <c r="J15" i="89"/>
  <c r="I15" i="89"/>
  <c r="D15" i="89"/>
  <c r="W14" i="89"/>
  <c r="V14" i="89"/>
  <c r="U14" i="89"/>
  <c r="T14" i="89"/>
  <c r="S14" i="89"/>
  <c r="R14" i="89"/>
  <c r="Q14" i="89"/>
  <c r="P14" i="89"/>
  <c r="O14" i="89"/>
  <c r="N14" i="89"/>
  <c r="M14" i="89"/>
  <c r="L14" i="89"/>
  <c r="K14" i="89"/>
  <c r="J14" i="89"/>
  <c r="I14" i="89"/>
  <c r="D14" i="89"/>
  <c r="W13" i="89"/>
  <c r="V13" i="89"/>
  <c r="U13" i="89"/>
  <c r="T13" i="89"/>
  <c r="S13" i="89"/>
  <c r="R13" i="89"/>
  <c r="Q13" i="89"/>
  <c r="P13" i="89"/>
  <c r="O13" i="89"/>
  <c r="N13" i="89"/>
  <c r="M13" i="89"/>
  <c r="L13" i="89"/>
  <c r="K13" i="89"/>
  <c r="J13" i="89"/>
  <c r="I13" i="89"/>
  <c r="D13" i="89"/>
  <c r="W12" i="89"/>
  <c r="V12" i="89"/>
  <c r="U12" i="89"/>
  <c r="T12" i="89"/>
  <c r="S12" i="89"/>
  <c r="R12" i="89"/>
  <c r="Q12" i="89"/>
  <c r="P12" i="89"/>
  <c r="O12" i="89"/>
  <c r="N12" i="89"/>
  <c r="M12" i="89"/>
  <c r="L12" i="89"/>
  <c r="K12" i="89"/>
  <c r="J12" i="89"/>
  <c r="I12" i="89"/>
  <c r="D12" i="89"/>
  <c r="W11" i="89"/>
  <c r="V11" i="89"/>
  <c r="U11" i="89"/>
  <c r="T11" i="89"/>
  <c r="S11" i="89"/>
  <c r="R11" i="89"/>
  <c r="Q11" i="89"/>
  <c r="P11" i="89"/>
  <c r="O11" i="89"/>
  <c r="N11" i="89"/>
  <c r="M11" i="89"/>
  <c r="L11" i="89"/>
  <c r="K11" i="89"/>
  <c r="J11" i="89"/>
  <c r="I11" i="89"/>
  <c r="D11" i="89"/>
  <c r="W10" i="89"/>
  <c r="V10" i="89"/>
  <c r="U10" i="89"/>
  <c r="T10" i="89"/>
  <c r="S10" i="89"/>
  <c r="R10" i="89"/>
  <c r="Q10" i="89"/>
  <c r="P10" i="89"/>
  <c r="O10" i="89"/>
  <c r="N10" i="89"/>
  <c r="M10" i="89"/>
  <c r="L10" i="89"/>
  <c r="K10" i="89"/>
  <c r="J10" i="89"/>
  <c r="I10" i="89"/>
  <c r="D10" i="89"/>
  <c r="W9" i="89"/>
  <c r="W35" i="89" s="1"/>
  <c r="V9" i="89"/>
  <c r="U9" i="89"/>
  <c r="U24" i="89" s="1"/>
  <c r="T9" i="89"/>
  <c r="S9" i="89"/>
  <c r="R9" i="89"/>
  <c r="Q9" i="89"/>
  <c r="P9" i="89"/>
  <c r="O9" i="89"/>
  <c r="N9" i="89"/>
  <c r="M9" i="89"/>
  <c r="L9" i="89"/>
  <c r="K9" i="89"/>
  <c r="J9" i="89"/>
  <c r="I9" i="89"/>
  <c r="D9" i="89"/>
  <c r="D18" i="89" s="1"/>
  <c r="E18" i="89" s="1"/>
  <c r="D7" i="89"/>
  <c r="D6" i="89"/>
  <c r="D19" i="89" s="1"/>
  <c r="W3" i="89"/>
  <c r="V3" i="89"/>
  <c r="V5" i="89" s="1"/>
  <c r="U3" i="89"/>
  <c r="U5" i="89" s="1"/>
  <c r="T3" i="89"/>
  <c r="T5" i="89" s="1"/>
  <c r="S3" i="89"/>
  <c r="R3" i="89"/>
  <c r="R5" i="89" s="1"/>
  <c r="Q3" i="89"/>
  <c r="Q5" i="89" s="1"/>
  <c r="P3" i="89"/>
  <c r="P5" i="89" s="1"/>
  <c r="O3" i="89"/>
  <c r="N3" i="89"/>
  <c r="N5" i="89" s="1"/>
  <c r="M3" i="89"/>
  <c r="M5" i="89" s="1"/>
  <c r="L3" i="89"/>
  <c r="L5" i="89" s="1"/>
  <c r="K3" i="89"/>
  <c r="J3" i="89"/>
  <c r="J5" i="89" s="1"/>
  <c r="I3" i="89"/>
  <c r="I5" i="89" s="1"/>
  <c r="U26" i="93" l="1"/>
  <c r="U27" i="93" s="1"/>
  <c r="U30" i="93" s="1"/>
  <c r="H21" i="93"/>
  <c r="V26" i="93"/>
  <c r="V27" i="93" s="1"/>
  <c r="V30" i="93" s="1"/>
  <c r="V13" i="90" s="1"/>
  <c r="W26" i="93"/>
  <c r="W27" i="93" s="1"/>
  <c r="W21" i="92"/>
  <c r="W26" i="92" s="1"/>
  <c r="W27" i="92" s="1"/>
  <c r="W30" i="92" s="1"/>
  <c r="W12" i="90" s="1"/>
  <c r="V21" i="92"/>
  <c r="V26" i="92" s="1"/>
  <c r="V27" i="92" s="1"/>
  <c r="V30" i="92" s="1"/>
  <c r="V12" i="90" s="1"/>
  <c r="U21" i="92"/>
  <c r="N4" i="89"/>
  <c r="N6" i="89" s="1"/>
  <c r="N7" i="89" s="1"/>
  <c r="N22" i="89" s="1"/>
  <c r="K35" i="89"/>
  <c r="O35" i="89"/>
  <c r="S35" i="89"/>
  <c r="K36" i="89" a="1"/>
  <c r="K36" i="89" s="1"/>
  <c r="O24" i="89"/>
  <c r="S36" i="89" a="1"/>
  <c r="S36" i="89" s="1"/>
  <c r="W36" i="89" a="1"/>
  <c r="W36" i="89" s="1"/>
  <c r="K56" i="82" a="1"/>
  <c r="K56" i="82" s="1"/>
  <c r="O56" i="82" a="1"/>
  <c r="O56" i="82" s="1"/>
  <c r="S56" i="82" a="1"/>
  <c r="S56" i="82" s="1"/>
  <c r="K57" i="82" a="1"/>
  <c r="K57" i="82" s="1"/>
  <c r="O57" i="82" a="1"/>
  <c r="O57" i="82" s="1"/>
  <c r="S57" i="82" a="1"/>
  <c r="S57" i="82" s="1"/>
  <c r="R4" i="89"/>
  <c r="R6" i="89" s="1"/>
  <c r="R7" i="89" s="1"/>
  <c r="R22" i="89" s="1"/>
  <c r="L35" i="89"/>
  <c r="P35" i="89"/>
  <c r="T35" i="89"/>
  <c r="L24" i="89"/>
  <c r="T24" i="89"/>
  <c r="L56" i="82" a="1"/>
  <c r="L56" i="82" s="1"/>
  <c r="P56" i="82" a="1"/>
  <c r="P56" i="82" s="1"/>
  <c r="T56" i="82" a="1"/>
  <c r="T56" i="82" s="1"/>
  <c r="L57" i="82" a="1"/>
  <c r="L57" i="82" s="1"/>
  <c r="P57" i="82" a="1"/>
  <c r="P57" i="82" s="1"/>
  <c r="T57" i="82" a="1"/>
  <c r="T57" i="82" s="1"/>
  <c r="V4" i="89"/>
  <c r="V6" i="89" s="1"/>
  <c r="V7" i="89" s="1"/>
  <c r="V22" i="89" s="1"/>
  <c r="I24" i="89"/>
  <c r="M24" i="89"/>
  <c r="Q24" i="89"/>
  <c r="I35" i="89"/>
  <c r="Q36" i="89" a="1"/>
  <c r="Q36" i="89" s="1"/>
  <c r="P24" i="89"/>
  <c r="I56" i="82" a="1"/>
  <c r="I56" i="82" s="1"/>
  <c r="M56" i="82" a="1"/>
  <c r="M56" i="82" s="1"/>
  <c r="Q56" i="82" a="1"/>
  <c r="Q56" i="82" s="1"/>
  <c r="I57" i="82" a="1"/>
  <c r="I57" i="82" s="1"/>
  <c r="M57" i="82" a="1"/>
  <c r="M57" i="82" s="1"/>
  <c r="Q57" i="82" a="1"/>
  <c r="Q57" i="82" s="1"/>
  <c r="J4" i="89"/>
  <c r="J6" i="89" s="1"/>
  <c r="J7" i="89" s="1"/>
  <c r="J22" i="89" s="1"/>
  <c r="M35" i="89"/>
  <c r="J56" i="82" a="1"/>
  <c r="J56" i="82" s="1"/>
  <c r="N56" i="82" a="1"/>
  <c r="N56" i="82" s="1"/>
  <c r="R56" i="82" a="1"/>
  <c r="R56" i="82" s="1"/>
  <c r="J57" i="82" a="1"/>
  <c r="J57" i="82" s="1"/>
  <c r="N57" i="82" a="1"/>
  <c r="N57" i="82" s="1"/>
  <c r="R57" i="82" a="1"/>
  <c r="R57" i="82" s="1"/>
  <c r="O25" i="89" a="1"/>
  <c r="O25" i="89" s="1"/>
  <c r="O31" i="89" s="1"/>
  <c r="W24" i="89"/>
  <c r="W25" i="89" s="1" a="1"/>
  <c r="W25" i="89" s="1"/>
  <c r="O36" i="89" a="1"/>
  <c r="O36" i="89" s="1"/>
  <c r="M4" i="89"/>
  <c r="M6" i="89" s="1"/>
  <c r="M7" i="89" s="1"/>
  <c r="M22" i="89" s="1"/>
  <c r="U4" i="89"/>
  <c r="U6" i="89" s="1"/>
  <c r="U7" i="89" s="1"/>
  <c r="U22" i="89" s="1"/>
  <c r="K24" i="89"/>
  <c r="K25" i="89" s="1" a="1"/>
  <c r="K25" i="89" s="1"/>
  <c r="K31" i="89" s="1"/>
  <c r="S24" i="89"/>
  <c r="I36" i="89" a="1"/>
  <c r="I36" i="89" s="1"/>
  <c r="I4" i="89"/>
  <c r="I6" i="89" s="1"/>
  <c r="I7" i="89" s="1"/>
  <c r="I22" i="89" s="1"/>
  <c r="Q4" i="89"/>
  <c r="Q6" i="89" s="1"/>
  <c r="Q7" i="89" s="1"/>
  <c r="Q22" i="89" s="1"/>
  <c r="T4" i="89"/>
  <c r="T6" i="89" s="1"/>
  <c r="T7" i="89" s="1"/>
  <c r="T22" i="89" s="1"/>
  <c r="P4" i="89"/>
  <c r="P6" i="89" s="1"/>
  <c r="P7" i="89" s="1"/>
  <c r="P22" i="89" s="1"/>
  <c r="P25" i="89" a="1"/>
  <c r="P25" i="89" s="1"/>
  <c r="L4" i="89"/>
  <c r="L6" i="89" s="1"/>
  <c r="L7" i="89" s="1"/>
  <c r="L22" i="89" s="1"/>
  <c r="Q35" i="89"/>
  <c r="Q25" i="89" s="1" a="1"/>
  <c r="Q25" i="89" s="1"/>
  <c r="K4" i="89"/>
  <c r="K6" i="89" s="1"/>
  <c r="K5" i="89"/>
  <c r="O4" i="89"/>
  <c r="O6" i="89" s="1"/>
  <c r="O5" i="89"/>
  <c r="S4" i="89"/>
  <c r="S6" i="89" s="1"/>
  <c r="S5" i="89"/>
  <c r="W4" i="89"/>
  <c r="W6" i="89" s="1"/>
  <c r="W5" i="89"/>
  <c r="J24" i="89"/>
  <c r="J35" i="89"/>
  <c r="J36" i="89" a="1"/>
  <c r="J36" i="89" s="1"/>
  <c r="N24" i="89"/>
  <c r="N36" i="89" a="1"/>
  <c r="N36" i="89" s="1"/>
  <c r="N35" i="89"/>
  <c r="R24" i="89"/>
  <c r="R36" i="89" a="1"/>
  <c r="R36" i="89" s="1"/>
  <c r="R35" i="89"/>
  <c r="V24" i="89"/>
  <c r="V35" i="89"/>
  <c r="V36" i="89" a="1"/>
  <c r="V36" i="89" s="1"/>
  <c r="L25" i="89" a="1"/>
  <c r="L25" i="89" s="1"/>
  <c r="U35" i="89"/>
  <c r="U25" i="89" s="1" a="1"/>
  <c r="U25" i="89" s="1"/>
  <c r="M36" i="89" a="1"/>
  <c r="M36" i="89" s="1"/>
  <c r="U36" i="89" a="1"/>
  <c r="U36" i="89" s="1"/>
  <c r="L36" i="89" a="1"/>
  <c r="L36" i="89" s="1"/>
  <c r="P36" i="89" a="1"/>
  <c r="P36" i="89" s="1"/>
  <c r="T36" i="89" a="1"/>
  <c r="T36" i="89" s="1"/>
  <c r="H12" i="82"/>
  <c r="G12" i="82"/>
  <c r="F12" i="82"/>
  <c r="H10" i="82"/>
  <c r="B36" i="88"/>
  <c r="V31" i="88"/>
  <c r="U31" i="88" s="1"/>
  <c r="W31" i="88" s="1"/>
  <c r="AC29" i="88"/>
  <c r="AB29" i="88"/>
  <c r="AA29" i="88"/>
  <c r="Z29" i="88"/>
  <c r="W29" i="88"/>
  <c r="H29" i="88" s="1"/>
  <c r="AC28" i="88"/>
  <c r="AB28" i="88"/>
  <c r="AA28" i="88"/>
  <c r="Z28" i="88"/>
  <c r="AC27" i="88"/>
  <c r="AB27" i="88"/>
  <c r="AA27" i="88"/>
  <c r="Z27" i="88"/>
  <c r="Y22" i="88"/>
  <c r="X22" i="88"/>
  <c r="W21" i="88"/>
  <c r="V21" i="88"/>
  <c r="U21" i="88"/>
  <c r="H20" i="88"/>
  <c r="E19" i="88"/>
  <c r="W17" i="88"/>
  <c r="V17" i="88"/>
  <c r="U17" i="88"/>
  <c r="T17" i="88"/>
  <c r="S17" i="88"/>
  <c r="R17" i="88"/>
  <c r="Q17" i="88"/>
  <c r="P17" i="88"/>
  <c r="O17" i="88"/>
  <c r="N17" i="88"/>
  <c r="M17" i="88"/>
  <c r="L17" i="88"/>
  <c r="K17" i="88"/>
  <c r="J17" i="88"/>
  <c r="I17" i="88"/>
  <c r="D17" i="88"/>
  <c r="W16" i="88"/>
  <c r="V16" i="88"/>
  <c r="U16" i="88"/>
  <c r="T16" i="88"/>
  <c r="S16" i="88"/>
  <c r="R16" i="88"/>
  <c r="Q16" i="88"/>
  <c r="P16" i="88"/>
  <c r="O16" i="88"/>
  <c r="N16" i="88"/>
  <c r="M16" i="88"/>
  <c r="L16" i="88"/>
  <c r="K16" i="88"/>
  <c r="J16" i="88"/>
  <c r="I16" i="88"/>
  <c r="D16" i="88"/>
  <c r="W15" i="88"/>
  <c r="V15" i="88"/>
  <c r="U15" i="88"/>
  <c r="T15" i="88"/>
  <c r="S15" i="88"/>
  <c r="R15" i="88"/>
  <c r="Q15" i="88"/>
  <c r="P15" i="88"/>
  <c r="O15" i="88"/>
  <c r="N15" i="88"/>
  <c r="M15" i="88"/>
  <c r="L15" i="88"/>
  <c r="K15" i="88"/>
  <c r="J15" i="88"/>
  <c r="I15" i="88"/>
  <c r="D15" i="88"/>
  <c r="W14" i="88"/>
  <c r="V14" i="88"/>
  <c r="U14" i="88"/>
  <c r="T14" i="88"/>
  <c r="S14" i="88"/>
  <c r="R14" i="88"/>
  <c r="Q14" i="88"/>
  <c r="P14" i="88"/>
  <c r="O14" i="88"/>
  <c r="N14" i="88"/>
  <c r="M14" i="88"/>
  <c r="L14" i="88"/>
  <c r="K14" i="88"/>
  <c r="J14" i="88"/>
  <c r="I14" i="88"/>
  <c r="D14" i="88"/>
  <c r="W13" i="88"/>
  <c r="V13" i="88"/>
  <c r="U13" i="88"/>
  <c r="T13" i="88"/>
  <c r="S13" i="88"/>
  <c r="R13" i="88"/>
  <c r="Q13" i="88"/>
  <c r="P13" i="88"/>
  <c r="O13" i="88"/>
  <c r="N13" i="88"/>
  <c r="M13" i="88"/>
  <c r="L13" i="88"/>
  <c r="K13" i="88"/>
  <c r="J13" i="88"/>
  <c r="I13" i="88"/>
  <c r="D13" i="88"/>
  <c r="W12" i="88"/>
  <c r="V12" i="88"/>
  <c r="U12" i="88"/>
  <c r="T12" i="88"/>
  <c r="S12" i="88"/>
  <c r="R12" i="88"/>
  <c r="Q12" i="88"/>
  <c r="P12" i="88"/>
  <c r="O12" i="88"/>
  <c r="N12" i="88"/>
  <c r="M12" i="88"/>
  <c r="L12" i="88"/>
  <c r="K12" i="88"/>
  <c r="J12" i="88"/>
  <c r="I12" i="88"/>
  <c r="D12" i="88"/>
  <c r="W11" i="88"/>
  <c r="V11" i="88"/>
  <c r="U11" i="88"/>
  <c r="T11" i="88"/>
  <c r="S11" i="88"/>
  <c r="R11" i="88"/>
  <c r="Q11" i="88"/>
  <c r="P11" i="88"/>
  <c r="O11" i="88"/>
  <c r="N11" i="88"/>
  <c r="M11" i="88"/>
  <c r="L11" i="88"/>
  <c r="K11" i="88"/>
  <c r="J11" i="88"/>
  <c r="I11" i="88"/>
  <c r="D11" i="88"/>
  <c r="W10" i="88"/>
  <c r="V10" i="88"/>
  <c r="U10" i="88"/>
  <c r="T10" i="88"/>
  <c r="S10" i="88"/>
  <c r="R10" i="88"/>
  <c r="Q10" i="88"/>
  <c r="P10" i="88"/>
  <c r="O10" i="88"/>
  <c r="N10" i="88"/>
  <c r="M10" i="88"/>
  <c r="L10" i="88"/>
  <c r="K10" i="88"/>
  <c r="J10" i="88"/>
  <c r="I10" i="88"/>
  <c r="D10" i="88"/>
  <c r="W9" i="88"/>
  <c r="W35" i="88" s="1"/>
  <c r="V9" i="88"/>
  <c r="V24" i="88" s="1"/>
  <c r="U9" i="88"/>
  <c r="U24" i="88" s="1"/>
  <c r="T9" i="88"/>
  <c r="S9" i="88"/>
  <c r="R9" i="88"/>
  <c r="Q9" i="88"/>
  <c r="P9" i="88"/>
  <c r="O9" i="88"/>
  <c r="N9" i="88"/>
  <c r="M9" i="88"/>
  <c r="L9" i="88"/>
  <c r="K9" i="88"/>
  <c r="J9" i="88"/>
  <c r="I9" i="88"/>
  <c r="B9" i="88"/>
  <c r="T18" i="88" s="1"/>
  <c r="D7" i="88"/>
  <c r="D6" i="88"/>
  <c r="W3" i="88"/>
  <c r="W4" i="88" s="1"/>
  <c r="W6" i="88" s="1"/>
  <c r="V3" i="88"/>
  <c r="V5" i="88" s="1"/>
  <c r="U3" i="88"/>
  <c r="U4" i="88" s="1"/>
  <c r="U6" i="88" s="1"/>
  <c r="T3" i="88"/>
  <c r="T4" i="88" s="1"/>
  <c r="T6" i="88" s="1"/>
  <c r="S3" i="88"/>
  <c r="S4" i="88" s="1"/>
  <c r="S6" i="88" s="1"/>
  <c r="R3" i="88"/>
  <c r="R5" i="88" s="1"/>
  <c r="Q3" i="88"/>
  <c r="Q4" i="88" s="1"/>
  <c r="Q6" i="88" s="1"/>
  <c r="P3" i="88"/>
  <c r="P4" i="88" s="1"/>
  <c r="P6" i="88" s="1"/>
  <c r="O3" i="88"/>
  <c r="O4" i="88" s="1"/>
  <c r="O6" i="88" s="1"/>
  <c r="N3" i="88"/>
  <c r="N5" i="88" s="1"/>
  <c r="M3" i="88"/>
  <c r="M4" i="88" s="1"/>
  <c r="M6" i="88" s="1"/>
  <c r="L3" i="88"/>
  <c r="L4" i="88" s="1"/>
  <c r="L6" i="88" s="1"/>
  <c r="K3" i="88"/>
  <c r="K4" i="88" s="1"/>
  <c r="K6" i="88" s="1"/>
  <c r="J3" i="88"/>
  <c r="J5" i="88" s="1"/>
  <c r="I3" i="88"/>
  <c r="I4" i="88" s="1"/>
  <c r="I6" i="88" s="1"/>
  <c r="B36" i="87"/>
  <c r="V31" i="87"/>
  <c r="U31" i="87" s="1"/>
  <c r="W31" i="87" s="1"/>
  <c r="AC29" i="87"/>
  <c r="AB29" i="87"/>
  <c r="AA29" i="87"/>
  <c r="Z29" i="87"/>
  <c r="W29" i="87"/>
  <c r="H29" i="87" s="1"/>
  <c r="AC28" i="87"/>
  <c r="AB28" i="87"/>
  <c r="AA28" i="87"/>
  <c r="Z28" i="87"/>
  <c r="AC27" i="87"/>
  <c r="AB27" i="87"/>
  <c r="AA27" i="87"/>
  <c r="Z27" i="87"/>
  <c r="Y22" i="87"/>
  <c r="X22" i="87"/>
  <c r="H20" i="87"/>
  <c r="E19" i="87"/>
  <c r="W17" i="87"/>
  <c r="V17" i="87"/>
  <c r="U17" i="87"/>
  <c r="T17" i="87"/>
  <c r="S17" i="87"/>
  <c r="R17" i="87"/>
  <c r="Q17" i="87"/>
  <c r="P17" i="87"/>
  <c r="O17" i="87"/>
  <c r="N17" i="87"/>
  <c r="M17" i="87"/>
  <c r="L17" i="87"/>
  <c r="K17" i="87"/>
  <c r="J17" i="87"/>
  <c r="I17" i="87"/>
  <c r="D17" i="87"/>
  <c r="W16" i="87"/>
  <c r="V16" i="87"/>
  <c r="U16" i="87"/>
  <c r="T16" i="87"/>
  <c r="S16" i="87"/>
  <c r="R16" i="87"/>
  <c r="Q16" i="87"/>
  <c r="P16" i="87"/>
  <c r="O16" i="87"/>
  <c r="N16" i="87"/>
  <c r="M16" i="87"/>
  <c r="L16" i="87"/>
  <c r="K16" i="87"/>
  <c r="J16" i="87"/>
  <c r="I16" i="87"/>
  <c r="D16" i="87"/>
  <c r="W15" i="87"/>
  <c r="V15" i="87"/>
  <c r="U15" i="87"/>
  <c r="T15" i="87"/>
  <c r="S15" i="87"/>
  <c r="R15" i="87"/>
  <c r="Q15" i="87"/>
  <c r="P15" i="87"/>
  <c r="O15" i="87"/>
  <c r="N15" i="87"/>
  <c r="M15" i="87"/>
  <c r="L15" i="87"/>
  <c r="K15" i="87"/>
  <c r="J15" i="87"/>
  <c r="I15" i="87"/>
  <c r="D15" i="87"/>
  <c r="W14" i="87"/>
  <c r="V14" i="87"/>
  <c r="U14" i="87"/>
  <c r="T14" i="87"/>
  <c r="S14" i="87"/>
  <c r="R14" i="87"/>
  <c r="Q14" i="87"/>
  <c r="P14" i="87"/>
  <c r="O14" i="87"/>
  <c r="N14" i="87"/>
  <c r="M14" i="87"/>
  <c r="L14" i="87"/>
  <c r="K14" i="87"/>
  <c r="J14" i="87"/>
  <c r="I14" i="87"/>
  <c r="D14" i="87"/>
  <c r="W13" i="87"/>
  <c r="V13" i="87"/>
  <c r="U13" i="87"/>
  <c r="T13" i="87"/>
  <c r="S13" i="87"/>
  <c r="R13" i="87"/>
  <c r="Q13" i="87"/>
  <c r="P13" i="87"/>
  <c r="O13" i="87"/>
  <c r="N13" i="87"/>
  <c r="M13" i="87"/>
  <c r="L13" i="87"/>
  <c r="K13" i="87"/>
  <c r="J13" i="87"/>
  <c r="I13" i="87"/>
  <c r="D13" i="87"/>
  <c r="W12" i="87"/>
  <c r="V12" i="87"/>
  <c r="U12" i="87"/>
  <c r="T12" i="87"/>
  <c r="S12" i="87"/>
  <c r="R12" i="87"/>
  <c r="Q12" i="87"/>
  <c r="P12" i="87"/>
  <c r="O12" i="87"/>
  <c r="N12" i="87"/>
  <c r="M12" i="87"/>
  <c r="L12" i="87"/>
  <c r="K12" i="87"/>
  <c r="J12" i="87"/>
  <c r="I12" i="87"/>
  <c r="D12" i="87"/>
  <c r="W11" i="87"/>
  <c r="V11" i="87"/>
  <c r="U11" i="87"/>
  <c r="T11" i="87"/>
  <c r="S11" i="87"/>
  <c r="R11" i="87"/>
  <c r="Q11" i="87"/>
  <c r="P11" i="87"/>
  <c r="O11" i="87"/>
  <c r="N11" i="87"/>
  <c r="M11" i="87"/>
  <c r="L11" i="87"/>
  <c r="K11" i="87"/>
  <c r="J11" i="87"/>
  <c r="I11" i="87"/>
  <c r="D11" i="87"/>
  <c r="W10" i="87"/>
  <c r="V10" i="87"/>
  <c r="U10" i="87"/>
  <c r="T10" i="87"/>
  <c r="S10" i="87"/>
  <c r="R10" i="87"/>
  <c r="Q10" i="87"/>
  <c r="P10" i="87"/>
  <c r="O10" i="87"/>
  <c r="N10" i="87"/>
  <c r="M10" i="87"/>
  <c r="L10" i="87"/>
  <c r="K10" i="87"/>
  <c r="J10" i="87"/>
  <c r="I10" i="87"/>
  <c r="D10" i="87"/>
  <c r="W9" i="87"/>
  <c r="W35" i="87" s="1"/>
  <c r="V9" i="87"/>
  <c r="U9" i="87"/>
  <c r="U24" i="87" s="1"/>
  <c r="T9" i="87"/>
  <c r="S9" i="87"/>
  <c r="R9" i="87"/>
  <c r="Q9" i="87"/>
  <c r="P9" i="87"/>
  <c r="O9" i="87"/>
  <c r="O24" i="87" s="1"/>
  <c r="N9" i="87"/>
  <c r="M9" i="87"/>
  <c r="L9" i="87"/>
  <c r="K9" i="87"/>
  <c r="K36" i="87" s="1" a="1"/>
  <c r="K36" i="87" s="1"/>
  <c r="J9" i="87"/>
  <c r="I9" i="87"/>
  <c r="T18" i="87"/>
  <c r="D7" i="87"/>
  <c r="D6" i="87"/>
  <c r="D19" i="87" s="1"/>
  <c r="W3" i="87"/>
  <c r="W4" i="87" s="1"/>
  <c r="W6" i="87" s="1"/>
  <c r="V3" i="87"/>
  <c r="V5" i="87" s="1"/>
  <c r="U3" i="87"/>
  <c r="T3" i="87"/>
  <c r="T4" i="87" s="1"/>
  <c r="T6" i="87" s="1"/>
  <c r="S3" i="87"/>
  <c r="S5" i="87" s="1"/>
  <c r="R3" i="87"/>
  <c r="R5" i="87" s="1"/>
  <c r="Q3" i="87"/>
  <c r="P3" i="87"/>
  <c r="P4" i="87" s="1"/>
  <c r="P6" i="87" s="1"/>
  <c r="O3" i="87"/>
  <c r="O4" i="87" s="1"/>
  <c r="O6" i="87" s="1"/>
  <c r="N3" i="87"/>
  <c r="N5" i="87" s="1"/>
  <c r="M3" i="87"/>
  <c r="L3" i="87"/>
  <c r="L4" i="87" s="1"/>
  <c r="L6" i="87" s="1"/>
  <c r="K3" i="87"/>
  <c r="K5" i="87" s="1"/>
  <c r="J3" i="87"/>
  <c r="J5" i="87" s="1"/>
  <c r="I3" i="87"/>
  <c r="B36" i="86"/>
  <c r="V31" i="86"/>
  <c r="U31" i="86" s="1"/>
  <c r="W31" i="86" s="1"/>
  <c r="AC29" i="86"/>
  <c r="AB29" i="86"/>
  <c r="AA29" i="86"/>
  <c r="Z29" i="86"/>
  <c r="W29" i="86"/>
  <c r="H29" i="86" s="1"/>
  <c r="AC28" i="86"/>
  <c r="AB28" i="86"/>
  <c r="AA28" i="86"/>
  <c r="Z28" i="86"/>
  <c r="AC27" i="86"/>
  <c r="AB27" i="86"/>
  <c r="AA27" i="86"/>
  <c r="Z27" i="86"/>
  <c r="Y22" i="86"/>
  <c r="X22" i="86"/>
  <c r="H20" i="86"/>
  <c r="E19" i="86"/>
  <c r="W17" i="86"/>
  <c r="V17" i="86"/>
  <c r="U17" i="86"/>
  <c r="T17" i="86"/>
  <c r="S17" i="86"/>
  <c r="R17" i="86"/>
  <c r="Q17" i="86"/>
  <c r="P17" i="86"/>
  <c r="O17" i="86"/>
  <c r="N17" i="86"/>
  <c r="M17" i="86"/>
  <c r="L17" i="86"/>
  <c r="K17" i="86"/>
  <c r="J17" i="86"/>
  <c r="I17" i="86"/>
  <c r="D17" i="86"/>
  <c r="W16" i="86"/>
  <c r="V16" i="86"/>
  <c r="U16" i="86"/>
  <c r="T16" i="86"/>
  <c r="S16" i="86"/>
  <c r="R16" i="86"/>
  <c r="Q16" i="86"/>
  <c r="P16" i="86"/>
  <c r="O16" i="86"/>
  <c r="N16" i="86"/>
  <c r="M16" i="86"/>
  <c r="L16" i="86"/>
  <c r="K16" i="86"/>
  <c r="J16" i="86"/>
  <c r="I16" i="86"/>
  <c r="D16" i="86"/>
  <c r="W15" i="86"/>
  <c r="V15" i="86"/>
  <c r="U15" i="86"/>
  <c r="T15" i="86"/>
  <c r="S15" i="86"/>
  <c r="R15" i="86"/>
  <c r="Q15" i="86"/>
  <c r="P15" i="86"/>
  <c r="O15" i="86"/>
  <c r="N15" i="86"/>
  <c r="M15" i="86"/>
  <c r="L15" i="86"/>
  <c r="K15" i="86"/>
  <c r="J15" i="86"/>
  <c r="I15" i="86"/>
  <c r="D15" i="86"/>
  <c r="W14" i="86"/>
  <c r="V14" i="86"/>
  <c r="U14" i="86"/>
  <c r="T14" i="86"/>
  <c r="S14" i="86"/>
  <c r="R14" i="86"/>
  <c r="Q14" i="86"/>
  <c r="P14" i="86"/>
  <c r="O14" i="86"/>
  <c r="N14" i="86"/>
  <c r="M14" i="86"/>
  <c r="L14" i="86"/>
  <c r="K14" i="86"/>
  <c r="J14" i="86"/>
  <c r="I14" i="86"/>
  <c r="D14" i="86"/>
  <c r="W13" i="86"/>
  <c r="V13" i="86"/>
  <c r="U13" i="86"/>
  <c r="T13" i="86"/>
  <c r="S13" i="86"/>
  <c r="R13" i="86"/>
  <c r="Q13" i="86"/>
  <c r="P13" i="86"/>
  <c r="O13" i="86"/>
  <c r="N13" i="86"/>
  <c r="M13" i="86"/>
  <c r="L13" i="86"/>
  <c r="K13" i="86"/>
  <c r="J13" i="86"/>
  <c r="I13" i="86"/>
  <c r="D13" i="86"/>
  <c r="W12" i="86"/>
  <c r="V12" i="86"/>
  <c r="U12" i="86"/>
  <c r="T12" i="86"/>
  <c r="S12" i="86"/>
  <c r="R12" i="86"/>
  <c r="Q12" i="86"/>
  <c r="P12" i="86"/>
  <c r="O12" i="86"/>
  <c r="N12" i="86"/>
  <c r="M12" i="86"/>
  <c r="L12" i="86"/>
  <c r="K12" i="86"/>
  <c r="J12" i="86"/>
  <c r="I12" i="86"/>
  <c r="D12" i="86"/>
  <c r="W11" i="86"/>
  <c r="V11" i="86"/>
  <c r="U11" i="86"/>
  <c r="T11" i="86"/>
  <c r="S11" i="86"/>
  <c r="R11" i="86"/>
  <c r="Q11" i="86"/>
  <c r="P11" i="86"/>
  <c r="O11" i="86"/>
  <c r="N11" i="86"/>
  <c r="M11" i="86"/>
  <c r="L11" i="86"/>
  <c r="K11" i="86"/>
  <c r="J11" i="86"/>
  <c r="I11" i="86"/>
  <c r="D11" i="86"/>
  <c r="W10" i="86"/>
  <c r="V10" i="86"/>
  <c r="U10" i="86"/>
  <c r="T10" i="86"/>
  <c r="S10" i="86"/>
  <c r="R10" i="86"/>
  <c r="Q10" i="86"/>
  <c r="P10" i="86"/>
  <c r="O10" i="86"/>
  <c r="N10" i="86"/>
  <c r="M10" i="86"/>
  <c r="L10" i="86"/>
  <c r="K10" i="86"/>
  <c r="J10" i="86"/>
  <c r="I10" i="86"/>
  <c r="D10" i="86"/>
  <c r="W9" i="86"/>
  <c r="W35" i="86" s="1"/>
  <c r="V9" i="86"/>
  <c r="V24" i="86" s="1"/>
  <c r="U9" i="86"/>
  <c r="U24" i="86" s="1"/>
  <c r="T9" i="86"/>
  <c r="S9" i="86"/>
  <c r="R9" i="86"/>
  <c r="Q9" i="86"/>
  <c r="P9" i="86"/>
  <c r="O9" i="86"/>
  <c r="N9" i="86"/>
  <c r="M9" i="86"/>
  <c r="L9" i="86"/>
  <c r="K9" i="86"/>
  <c r="J9" i="86"/>
  <c r="I9" i="86"/>
  <c r="T18" i="86"/>
  <c r="D7" i="86"/>
  <c r="D6" i="86"/>
  <c r="W3" i="86"/>
  <c r="W4" i="86" s="1"/>
  <c r="W6" i="86" s="1"/>
  <c r="V3" i="86"/>
  <c r="V5" i="86" s="1"/>
  <c r="U3" i="86"/>
  <c r="U4" i="86" s="1"/>
  <c r="U6" i="86" s="1"/>
  <c r="T3" i="86"/>
  <c r="T4" i="86" s="1"/>
  <c r="T6" i="86" s="1"/>
  <c r="S3" i="86"/>
  <c r="S4" i="86" s="1"/>
  <c r="S6" i="86" s="1"/>
  <c r="R3" i="86"/>
  <c r="R5" i="86" s="1"/>
  <c r="Q3" i="86"/>
  <c r="Q4" i="86" s="1"/>
  <c r="Q6" i="86" s="1"/>
  <c r="P3" i="86"/>
  <c r="P4" i="86" s="1"/>
  <c r="P6" i="86" s="1"/>
  <c r="O3" i="86"/>
  <c r="O4" i="86" s="1"/>
  <c r="O6" i="86" s="1"/>
  <c r="N3" i="86"/>
  <c r="N5" i="86" s="1"/>
  <c r="M3" i="86"/>
  <c r="M4" i="86" s="1"/>
  <c r="M6" i="86" s="1"/>
  <c r="L3" i="86"/>
  <c r="L4" i="86" s="1"/>
  <c r="L6" i="86" s="1"/>
  <c r="K3" i="86"/>
  <c r="K4" i="86" s="1"/>
  <c r="K6" i="86" s="1"/>
  <c r="J3" i="86"/>
  <c r="J5" i="86" s="1"/>
  <c r="I3" i="86"/>
  <c r="I4" i="86" s="1"/>
  <c r="I6" i="86" s="1"/>
  <c r="F10" i="82"/>
  <c r="G10" i="82"/>
  <c r="H9" i="82"/>
  <c r="F9" i="82"/>
  <c r="G8" i="82"/>
  <c r="F8" i="82"/>
  <c r="C6" i="82"/>
  <c r="B8" i="85"/>
  <c r="B7" i="85"/>
  <c r="C7" i="85" s="1"/>
  <c r="H30" i="85" s="1"/>
  <c r="B6" i="85"/>
  <c r="C6" i="85" s="1"/>
  <c r="B7" i="83"/>
  <c r="B7" i="84"/>
  <c r="C7" i="84" s="1"/>
  <c r="H29" i="84" s="1"/>
  <c r="B8" i="84"/>
  <c r="B6" i="84"/>
  <c r="C6" i="84" s="1"/>
  <c r="B8" i="83"/>
  <c r="B6" i="83"/>
  <c r="C6" i="83" s="1"/>
  <c r="C7" i="83"/>
  <c r="B30" i="82"/>
  <c r="B36" i="81"/>
  <c r="V31" i="81"/>
  <c r="U31" i="81" s="1"/>
  <c r="W31" i="81" s="1"/>
  <c r="AC29" i="81"/>
  <c r="AB29" i="81"/>
  <c r="AA29" i="81"/>
  <c r="Z29" i="81"/>
  <c r="W29" i="81"/>
  <c r="H29" i="81" s="1"/>
  <c r="AC28" i="81"/>
  <c r="AB28" i="81"/>
  <c r="AA28" i="81"/>
  <c r="Z28" i="81"/>
  <c r="AC27" i="81"/>
  <c r="AB27" i="81"/>
  <c r="AA27" i="81"/>
  <c r="Z27" i="81"/>
  <c r="Y22" i="81"/>
  <c r="X22" i="81"/>
  <c r="W21" i="81"/>
  <c r="V21" i="81"/>
  <c r="U21" i="81"/>
  <c r="H20" i="81"/>
  <c r="E19" i="81"/>
  <c r="T18" i="81"/>
  <c r="B18" i="81"/>
  <c r="C18" i="81" s="1"/>
  <c r="W17" i="81"/>
  <c r="V17" i="81"/>
  <c r="U17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D17" i="81"/>
  <c r="W16" i="81"/>
  <c r="V16" i="81"/>
  <c r="U16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D16" i="81"/>
  <c r="W15" i="81"/>
  <c r="V15" i="81"/>
  <c r="U15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D15" i="81"/>
  <c r="W14" i="81"/>
  <c r="V14" i="81"/>
  <c r="U14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D14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D13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D12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D11" i="81"/>
  <c r="W10" i="81"/>
  <c r="V10" i="81"/>
  <c r="U10" i="81"/>
  <c r="T10" i="81"/>
  <c r="S10" i="81"/>
  <c r="R10" i="81"/>
  <c r="Q10" i="81"/>
  <c r="P10" i="81"/>
  <c r="O10" i="81"/>
  <c r="N10" i="81"/>
  <c r="M10" i="81"/>
  <c r="L10" i="81"/>
  <c r="K10" i="81"/>
  <c r="J10" i="81"/>
  <c r="I10" i="81"/>
  <c r="D10" i="81"/>
  <c r="W9" i="81"/>
  <c r="W35" i="81" s="1"/>
  <c r="V9" i="81"/>
  <c r="V36" i="81" s="1" a="1"/>
  <c r="V36" i="81" s="1"/>
  <c r="U9" i="81"/>
  <c r="U36" i="81" s="1" a="1"/>
  <c r="U36" i="81" s="1"/>
  <c r="T9" i="81"/>
  <c r="S9" i="81"/>
  <c r="R9" i="81"/>
  <c r="Q9" i="81"/>
  <c r="Q36" i="83" s="1" a="1"/>
  <c r="Q36" i="83" s="1"/>
  <c r="P9" i="81"/>
  <c r="P36" i="83" s="1" a="1"/>
  <c r="P36" i="83" s="1"/>
  <c r="O9" i="81"/>
  <c r="N9" i="81"/>
  <c r="M9" i="81"/>
  <c r="M36" i="83" s="1" a="1"/>
  <c r="M36" i="83" s="1"/>
  <c r="L9" i="81"/>
  <c r="L35" i="83" s="1" a="1"/>
  <c r="L35" i="83" s="1"/>
  <c r="K9" i="81"/>
  <c r="J9" i="81"/>
  <c r="I9" i="81"/>
  <c r="I36" i="83" s="1" a="1"/>
  <c r="I36" i="83" s="1"/>
  <c r="D9" i="81"/>
  <c r="D18" i="81" s="1"/>
  <c r="E18" i="81" s="1"/>
  <c r="D7" i="81"/>
  <c r="D6" i="81"/>
  <c r="D19" i="81" s="1"/>
  <c r="S4" i="81"/>
  <c r="S6" i="81" s="1"/>
  <c r="W3" i="81"/>
  <c r="W5" i="81" s="1"/>
  <c r="V3" i="81"/>
  <c r="V4" i="81" s="1"/>
  <c r="V6" i="81" s="1"/>
  <c r="U3" i="81"/>
  <c r="U4" i="81" s="1"/>
  <c r="U6" i="81" s="1"/>
  <c r="T3" i="81"/>
  <c r="T4" i="81" s="1"/>
  <c r="T6" i="81" s="1"/>
  <c r="S3" i="81"/>
  <c r="S5" i="81" s="1"/>
  <c r="R3" i="81"/>
  <c r="R5" i="81" s="1"/>
  <c r="Q3" i="81"/>
  <c r="Q4" i="81" s="1"/>
  <c r="Q6" i="81" s="1"/>
  <c r="P3" i="81"/>
  <c r="P4" i="81" s="1"/>
  <c r="P6" i="81" s="1"/>
  <c r="O3" i="81"/>
  <c r="O4" i="81" s="1"/>
  <c r="O6" i="81" s="1"/>
  <c r="N3" i="81"/>
  <c r="N5" i="81" s="1"/>
  <c r="M3" i="81"/>
  <c r="M4" i="81" s="1"/>
  <c r="M6" i="81" s="1"/>
  <c r="L3" i="81"/>
  <c r="L4" i="81" s="1"/>
  <c r="L6" i="81" s="1"/>
  <c r="K3" i="81"/>
  <c r="K5" i="81" s="1"/>
  <c r="J3" i="81"/>
  <c r="J5" i="81" s="1"/>
  <c r="I3" i="81"/>
  <c r="I4" i="81" s="1"/>
  <c r="I6" i="81" s="1"/>
  <c r="B36" i="80"/>
  <c r="V31" i="80"/>
  <c r="U31" i="80" s="1"/>
  <c r="W31" i="80" s="1"/>
  <c r="AC29" i="80"/>
  <c r="AB29" i="80"/>
  <c r="AA29" i="80"/>
  <c r="Z29" i="80"/>
  <c r="H29" i="80"/>
  <c r="AC28" i="80"/>
  <c r="AB28" i="80"/>
  <c r="AA28" i="80"/>
  <c r="Z28" i="80"/>
  <c r="AC27" i="80"/>
  <c r="AB27" i="80"/>
  <c r="AA27" i="80"/>
  <c r="Z27" i="80"/>
  <c r="H20" i="80"/>
  <c r="B18" i="80"/>
  <c r="C18" i="80" s="1"/>
  <c r="X17" i="80"/>
  <c r="W17" i="80"/>
  <c r="V17" i="80"/>
  <c r="U17" i="80"/>
  <c r="T17" i="80"/>
  <c r="S17" i="80"/>
  <c r="R17" i="80"/>
  <c r="Q17" i="80"/>
  <c r="P17" i="80"/>
  <c r="O17" i="80"/>
  <c r="N17" i="80"/>
  <c r="M17" i="80"/>
  <c r="L17" i="80"/>
  <c r="K17" i="80"/>
  <c r="J17" i="80"/>
  <c r="I17" i="80"/>
  <c r="D17" i="80"/>
  <c r="X16" i="80"/>
  <c r="W16" i="80"/>
  <c r="V16" i="80"/>
  <c r="U16" i="80"/>
  <c r="T16" i="80"/>
  <c r="S16" i="80"/>
  <c r="R16" i="80"/>
  <c r="Q16" i="80"/>
  <c r="P16" i="80"/>
  <c r="O16" i="80"/>
  <c r="N16" i="80"/>
  <c r="M16" i="80"/>
  <c r="L16" i="80"/>
  <c r="K16" i="80"/>
  <c r="J16" i="80"/>
  <c r="I16" i="80"/>
  <c r="D16" i="80"/>
  <c r="X15" i="80"/>
  <c r="W15" i="80"/>
  <c r="V15" i="80"/>
  <c r="U15" i="80"/>
  <c r="T15" i="80"/>
  <c r="S15" i="80"/>
  <c r="R15" i="80"/>
  <c r="Q15" i="80"/>
  <c r="P15" i="80"/>
  <c r="O15" i="80"/>
  <c r="N15" i="80"/>
  <c r="M15" i="80"/>
  <c r="L15" i="80"/>
  <c r="K15" i="80"/>
  <c r="J15" i="80"/>
  <c r="I15" i="80"/>
  <c r="D15" i="80"/>
  <c r="X14" i="80"/>
  <c r="W14" i="80"/>
  <c r="V14" i="80"/>
  <c r="U14" i="80"/>
  <c r="T14" i="80"/>
  <c r="S14" i="80"/>
  <c r="R14" i="80"/>
  <c r="Q14" i="80"/>
  <c r="P14" i="80"/>
  <c r="O14" i="80"/>
  <c r="N14" i="80"/>
  <c r="M14" i="80"/>
  <c r="L14" i="80"/>
  <c r="K14" i="80"/>
  <c r="J14" i="80"/>
  <c r="I14" i="80"/>
  <c r="D14" i="80"/>
  <c r="X13" i="80"/>
  <c r="W13" i="80"/>
  <c r="V13" i="80"/>
  <c r="U13" i="80"/>
  <c r="T13" i="80"/>
  <c r="S13" i="80"/>
  <c r="R13" i="80"/>
  <c r="Q13" i="80"/>
  <c r="P13" i="80"/>
  <c r="O13" i="80"/>
  <c r="N13" i="80"/>
  <c r="M13" i="80"/>
  <c r="L13" i="80"/>
  <c r="K13" i="80"/>
  <c r="J13" i="80"/>
  <c r="I13" i="80"/>
  <c r="D13" i="80"/>
  <c r="X12" i="80"/>
  <c r="W12" i="80"/>
  <c r="V12" i="80"/>
  <c r="U12" i="80"/>
  <c r="T12" i="80"/>
  <c r="S12" i="80"/>
  <c r="R12" i="80"/>
  <c r="Q12" i="80"/>
  <c r="P12" i="80"/>
  <c r="O12" i="80"/>
  <c r="N12" i="80"/>
  <c r="M12" i="80"/>
  <c r="L12" i="80"/>
  <c r="K12" i="80"/>
  <c r="J12" i="80"/>
  <c r="I12" i="80"/>
  <c r="D12" i="80"/>
  <c r="X11" i="80"/>
  <c r="W11" i="80"/>
  <c r="V11" i="80"/>
  <c r="U11" i="80"/>
  <c r="T11" i="80"/>
  <c r="S11" i="80"/>
  <c r="R11" i="80"/>
  <c r="Q11" i="80"/>
  <c r="P11" i="80"/>
  <c r="O11" i="80"/>
  <c r="N11" i="80"/>
  <c r="M11" i="80"/>
  <c r="L11" i="80"/>
  <c r="K11" i="80"/>
  <c r="J11" i="80"/>
  <c r="I11" i="80"/>
  <c r="D11" i="80"/>
  <c r="X10" i="80"/>
  <c r="W10" i="80"/>
  <c r="V10" i="80"/>
  <c r="U10" i="80"/>
  <c r="T10" i="80"/>
  <c r="S10" i="80"/>
  <c r="R10" i="80"/>
  <c r="Q10" i="80"/>
  <c r="P10" i="80"/>
  <c r="O10" i="80"/>
  <c r="N10" i="80"/>
  <c r="M10" i="80"/>
  <c r="L10" i="80"/>
  <c r="K10" i="80"/>
  <c r="J10" i="80"/>
  <c r="I10" i="80"/>
  <c r="D10" i="80"/>
  <c r="X9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I9" i="80"/>
  <c r="D9" i="80"/>
  <c r="D7" i="80"/>
  <c r="D6" i="80"/>
  <c r="D19" i="80" s="1"/>
  <c r="W3" i="80"/>
  <c r="W4" i="80" s="1"/>
  <c r="W6" i="80" s="1"/>
  <c r="V3" i="80"/>
  <c r="V4" i="80" s="1"/>
  <c r="V6" i="80" s="1"/>
  <c r="U3" i="80"/>
  <c r="U5" i="80" s="1"/>
  <c r="T3" i="80"/>
  <c r="T4" i="80" s="1"/>
  <c r="T6" i="80" s="1"/>
  <c r="S3" i="80"/>
  <c r="S4" i="80" s="1"/>
  <c r="S6" i="80" s="1"/>
  <c r="R3" i="80"/>
  <c r="R4" i="80" s="1"/>
  <c r="R6" i="80" s="1"/>
  <c r="Q3" i="80"/>
  <c r="Q5" i="80" s="1"/>
  <c r="P3" i="80"/>
  <c r="P5" i="80" s="1"/>
  <c r="O3" i="80"/>
  <c r="O4" i="80" s="1"/>
  <c r="O6" i="80" s="1"/>
  <c r="N3" i="80"/>
  <c r="N4" i="80" s="1"/>
  <c r="N6" i="80" s="1"/>
  <c r="M3" i="80"/>
  <c r="M5" i="80" s="1"/>
  <c r="L3" i="80"/>
  <c r="L4" i="80" s="1"/>
  <c r="L6" i="80" s="1"/>
  <c r="K3" i="80"/>
  <c r="K4" i="80" s="1"/>
  <c r="K6" i="80" s="1"/>
  <c r="J3" i="80"/>
  <c r="J4" i="80" s="1"/>
  <c r="J6" i="80" s="1"/>
  <c r="I3" i="80"/>
  <c r="I4" i="80" s="1"/>
  <c r="I6" i="80" s="1"/>
  <c r="D10" i="27"/>
  <c r="B36" i="79"/>
  <c r="V31" i="79"/>
  <c r="U31" i="79" s="1"/>
  <c r="W31" i="79" s="1"/>
  <c r="AC29" i="79"/>
  <c r="AB29" i="79"/>
  <c r="AA29" i="79"/>
  <c r="Z29" i="79"/>
  <c r="H29" i="79"/>
  <c r="AC28" i="79"/>
  <c r="AB28" i="79"/>
  <c r="AA28" i="79"/>
  <c r="Z28" i="79"/>
  <c r="AC27" i="79"/>
  <c r="AB27" i="79"/>
  <c r="AA27" i="79"/>
  <c r="Z27" i="79"/>
  <c r="H20" i="79"/>
  <c r="B18" i="79"/>
  <c r="C18" i="79" s="1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D17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D16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D15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D14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D13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D12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D11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D10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D9" i="79"/>
  <c r="D7" i="79"/>
  <c r="D6" i="79"/>
  <c r="W3" i="79"/>
  <c r="W4" i="79" s="1"/>
  <c r="W6" i="79" s="1"/>
  <c r="V3" i="79"/>
  <c r="V5" i="79" s="1"/>
  <c r="U3" i="79"/>
  <c r="U4" i="79" s="1"/>
  <c r="U6" i="79" s="1"/>
  <c r="T3" i="79"/>
  <c r="T5" i="79" s="1"/>
  <c r="S3" i="79"/>
  <c r="S4" i="79" s="1"/>
  <c r="S6" i="79" s="1"/>
  <c r="R3" i="79"/>
  <c r="R5" i="79" s="1"/>
  <c r="Q3" i="79"/>
  <c r="Q4" i="79" s="1"/>
  <c r="Q6" i="79" s="1"/>
  <c r="P3" i="79"/>
  <c r="P5" i="79" s="1"/>
  <c r="O3" i="79"/>
  <c r="O4" i="79" s="1"/>
  <c r="O6" i="79" s="1"/>
  <c r="N3" i="79"/>
  <c r="N5" i="79" s="1"/>
  <c r="M3" i="79"/>
  <c r="M4" i="79" s="1"/>
  <c r="M6" i="79" s="1"/>
  <c r="L3" i="79"/>
  <c r="L5" i="79" s="1"/>
  <c r="K3" i="79"/>
  <c r="K4" i="79" s="1"/>
  <c r="K6" i="79" s="1"/>
  <c r="J3" i="79"/>
  <c r="J5" i="79" s="1"/>
  <c r="I3" i="79"/>
  <c r="I4" i="79" s="1"/>
  <c r="I6" i="79" s="1"/>
  <c r="B36" i="78"/>
  <c r="V31" i="78"/>
  <c r="U31" i="78" s="1"/>
  <c r="W31" i="78" s="1"/>
  <c r="AC29" i="78"/>
  <c r="AB29" i="78"/>
  <c r="AA29" i="78"/>
  <c r="Z29" i="78"/>
  <c r="H29" i="78"/>
  <c r="AC28" i="78"/>
  <c r="AB28" i="78"/>
  <c r="AA28" i="78"/>
  <c r="Z28" i="78"/>
  <c r="AC27" i="78"/>
  <c r="AB27" i="78"/>
  <c r="AA27" i="78"/>
  <c r="Z27" i="78"/>
  <c r="H20" i="78"/>
  <c r="B18" i="78"/>
  <c r="C18" i="78" s="1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D17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D16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D15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D14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D13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D12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D11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D10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D9" i="78"/>
  <c r="D7" i="78"/>
  <c r="D6" i="78"/>
  <c r="D19" i="78" s="1"/>
  <c r="W3" i="78"/>
  <c r="V3" i="78"/>
  <c r="V4" i="78" s="1"/>
  <c r="V6" i="78" s="1"/>
  <c r="U3" i="78"/>
  <c r="U4" i="78" s="1"/>
  <c r="U6" i="78" s="1"/>
  <c r="T3" i="78"/>
  <c r="T5" i="78" s="1"/>
  <c r="S3" i="78"/>
  <c r="R3" i="78"/>
  <c r="R4" i="78" s="1"/>
  <c r="R6" i="78" s="1"/>
  <c r="Q3" i="78"/>
  <c r="Q4" i="78" s="1"/>
  <c r="Q6" i="78" s="1"/>
  <c r="P3" i="78"/>
  <c r="P5" i="78" s="1"/>
  <c r="O3" i="78"/>
  <c r="N3" i="78"/>
  <c r="N4" i="78" s="1"/>
  <c r="N6" i="78" s="1"/>
  <c r="M3" i="78"/>
  <c r="M4" i="78" s="1"/>
  <c r="M6" i="78" s="1"/>
  <c r="L3" i="78"/>
  <c r="L5" i="78" s="1"/>
  <c r="K3" i="78"/>
  <c r="J3" i="78"/>
  <c r="J4" i="78" s="1"/>
  <c r="J6" i="78" s="1"/>
  <c r="I3" i="78"/>
  <c r="I4" i="78" s="1"/>
  <c r="I6" i="78" s="1"/>
  <c r="D15" i="5"/>
  <c r="B36" i="39"/>
  <c r="V31" i="39"/>
  <c r="U31" i="39" s="1"/>
  <c r="W31" i="39" s="1"/>
  <c r="AC29" i="39"/>
  <c r="AB29" i="39"/>
  <c r="AA29" i="39"/>
  <c r="Z29" i="39"/>
  <c r="H29" i="39"/>
  <c r="AC28" i="39"/>
  <c r="AB28" i="39"/>
  <c r="AA28" i="39"/>
  <c r="Z28" i="39"/>
  <c r="AC27" i="39"/>
  <c r="AB27" i="39"/>
  <c r="AA27" i="39"/>
  <c r="Z27" i="39"/>
  <c r="H20" i="39"/>
  <c r="B18" i="39"/>
  <c r="C18" i="39" s="1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D17" i="39"/>
  <c r="X16" i="39"/>
  <c r="W16" i="39"/>
  <c r="V16" i="39"/>
  <c r="U16" i="39"/>
  <c r="T16" i="39"/>
  <c r="S16" i="39"/>
  <c r="R16" i="39"/>
  <c r="Q16" i="39"/>
  <c r="P16" i="39"/>
  <c r="O16" i="39"/>
  <c r="N16" i="39"/>
  <c r="M16" i="39"/>
  <c r="L16" i="39"/>
  <c r="K16" i="39"/>
  <c r="J16" i="39"/>
  <c r="I16" i="39"/>
  <c r="D16" i="39"/>
  <c r="X15" i="39"/>
  <c r="W15" i="39"/>
  <c r="V15" i="39"/>
  <c r="U15" i="39"/>
  <c r="T15" i="39"/>
  <c r="S15" i="39"/>
  <c r="R15" i="39"/>
  <c r="Q15" i="39"/>
  <c r="P15" i="39"/>
  <c r="O15" i="39"/>
  <c r="N15" i="39"/>
  <c r="M15" i="39"/>
  <c r="L15" i="39"/>
  <c r="K15" i="39"/>
  <c r="J15" i="39"/>
  <c r="I15" i="39"/>
  <c r="D15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D14" i="39"/>
  <c r="X13" i="39"/>
  <c r="W13" i="39"/>
  <c r="V13" i="39"/>
  <c r="U13" i="39"/>
  <c r="T13" i="39"/>
  <c r="S13" i="39"/>
  <c r="R13" i="39"/>
  <c r="Q13" i="39"/>
  <c r="P13" i="39"/>
  <c r="O13" i="39"/>
  <c r="N13" i="39"/>
  <c r="M13" i="39"/>
  <c r="L13" i="39"/>
  <c r="K13" i="39"/>
  <c r="J13" i="39"/>
  <c r="I13" i="39"/>
  <c r="D13" i="39"/>
  <c r="X12" i="39"/>
  <c r="W12" i="39"/>
  <c r="V12" i="39"/>
  <c r="U12" i="39"/>
  <c r="T12" i="39"/>
  <c r="S12" i="39"/>
  <c r="R12" i="39"/>
  <c r="Q12" i="39"/>
  <c r="P12" i="39"/>
  <c r="O12" i="39"/>
  <c r="N12" i="39"/>
  <c r="M12" i="39"/>
  <c r="L12" i="39"/>
  <c r="K12" i="39"/>
  <c r="J12" i="39"/>
  <c r="I12" i="39"/>
  <c r="D12" i="39"/>
  <c r="X11" i="39"/>
  <c r="W11" i="39"/>
  <c r="V11" i="39"/>
  <c r="U11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D11" i="39"/>
  <c r="X10" i="39"/>
  <c r="W10" i="39"/>
  <c r="V10" i="39"/>
  <c r="U10" i="39"/>
  <c r="T10" i="39"/>
  <c r="S10" i="39"/>
  <c r="R10" i="39"/>
  <c r="Q10" i="39"/>
  <c r="P10" i="39"/>
  <c r="O10" i="39"/>
  <c r="N10" i="39"/>
  <c r="M10" i="39"/>
  <c r="L10" i="39"/>
  <c r="K10" i="39"/>
  <c r="J10" i="39"/>
  <c r="I10" i="39"/>
  <c r="D10" i="39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D9" i="39"/>
  <c r="D7" i="39"/>
  <c r="D6" i="39"/>
  <c r="R4" i="39"/>
  <c r="R6" i="39" s="1"/>
  <c r="W3" i="39"/>
  <c r="W4" i="39" s="1"/>
  <c r="W6" i="39" s="1"/>
  <c r="V3" i="39"/>
  <c r="U3" i="39"/>
  <c r="U4" i="39" s="1"/>
  <c r="U6" i="39" s="1"/>
  <c r="T3" i="39"/>
  <c r="S3" i="39"/>
  <c r="S4" i="39" s="1"/>
  <c r="S6" i="39" s="1"/>
  <c r="R3" i="39"/>
  <c r="R5" i="39" s="1"/>
  <c r="Q3" i="39"/>
  <c r="Q4" i="39" s="1"/>
  <c r="Q6" i="39" s="1"/>
  <c r="P3" i="39"/>
  <c r="P5" i="39" s="1"/>
  <c r="O3" i="39"/>
  <c r="O4" i="39" s="1"/>
  <c r="O6" i="39" s="1"/>
  <c r="N3" i="39"/>
  <c r="M3" i="39"/>
  <c r="M4" i="39" s="1"/>
  <c r="M6" i="39" s="1"/>
  <c r="L3" i="39"/>
  <c r="K3" i="39"/>
  <c r="K4" i="39" s="1"/>
  <c r="K6" i="39" s="1"/>
  <c r="J3" i="39"/>
  <c r="J5" i="39" s="1"/>
  <c r="I3" i="39"/>
  <c r="I4" i="39" s="1"/>
  <c r="I6" i="39" s="1"/>
  <c r="B36" i="38"/>
  <c r="V31" i="38"/>
  <c r="U31" i="38" s="1"/>
  <c r="W31" i="38" s="1"/>
  <c r="AC29" i="38"/>
  <c r="AB29" i="38"/>
  <c r="AA29" i="38"/>
  <c r="Z29" i="38"/>
  <c r="W29" i="38"/>
  <c r="H29" i="38" s="1"/>
  <c r="AC28" i="38"/>
  <c r="AB28" i="38"/>
  <c r="AA28" i="38"/>
  <c r="Z28" i="38"/>
  <c r="AC27" i="38"/>
  <c r="AB27" i="38"/>
  <c r="AA27" i="38"/>
  <c r="Z27" i="38"/>
  <c r="Y22" i="38"/>
  <c r="X22" i="38"/>
  <c r="W21" i="38"/>
  <c r="V21" i="38"/>
  <c r="U21" i="38"/>
  <c r="H20" i="38"/>
  <c r="E19" i="38"/>
  <c r="T18" i="38"/>
  <c r="B18" i="38"/>
  <c r="C18" i="38" s="1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D17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D16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D15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D14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D13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D12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D11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D10" i="38"/>
  <c r="W9" i="38"/>
  <c r="W35" i="38" s="1"/>
  <c r="V9" i="38"/>
  <c r="U9" i="38"/>
  <c r="U36" i="38" s="1" a="1"/>
  <c r="U36" i="38" s="1"/>
  <c r="T9" i="38"/>
  <c r="S9" i="38"/>
  <c r="R9" i="38"/>
  <c r="Q9" i="38"/>
  <c r="P9" i="38"/>
  <c r="O9" i="38"/>
  <c r="O36" i="38" s="1" a="1"/>
  <c r="O36" i="38" s="1"/>
  <c r="N9" i="38"/>
  <c r="M9" i="38"/>
  <c r="L9" i="38"/>
  <c r="K9" i="38"/>
  <c r="K35" i="38" s="1"/>
  <c r="J9" i="38"/>
  <c r="I9" i="38"/>
  <c r="D9" i="38"/>
  <c r="D18" i="38" s="1"/>
  <c r="E18" i="38" s="1"/>
  <c r="D7" i="38"/>
  <c r="D6" i="38"/>
  <c r="D19" i="38" s="1"/>
  <c r="W3" i="38"/>
  <c r="V3" i="38"/>
  <c r="V5" i="38" s="1"/>
  <c r="U3" i="38"/>
  <c r="T3" i="38"/>
  <c r="T5" i="38" s="1"/>
  <c r="S3" i="38"/>
  <c r="R3" i="38"/>
  <c r="R5" i="38" s="1"/>
  <c r="Q3" i="38"/>
  <c r="Q4" i="38" s="1"/>
  <c r="Q6" i="38" s="1"/>
  <c r="P3" i="38"/>
  <c r="P5" i="38" s="1"/>
  <c r="O3" i="38"/>
  <c r="N3" i="38"/>
  <c r="N5" i="38" s="1"/>
  <c r="M3" i="38"/>
  <c r="L3" i="38"/>
  <c r="L5" i="38" s="1"/>
  <c r="K3" i="38"/>
  <c r="J3" i="38"/>
  <c r="J5" i="38" s="1"/>
  <c r="I3" i="38"/>
  <c r="I4" i="38" s="1"/>
  <c r="I6" i="38" s="1"/>
  <c r="B36" i="37"/>
  <c r="V31" i="37"/>
  <c r="U31" i="37" s="1"/>
  <c r="W31" i="37" s="1"/>
  <c r="AC29" i="37"/>
  <c r="AB29" i="37"/>
  <c r="AA29" i="37"/>
  <c r="Z29" i="37"/>
  <c r="H29" i="37"/>
  <c r="AC28" i="37"/>
  <c r="AB28" i="37"/>
  <c r="AA28" i="37"/>
  <c r="Z28" i="37"/>
  <c r="AC27" i="37"/>
  <c r="AB27" i="37"/>
  <c r="AA27" i="37"/>
  <c r="Z27" i="37"/>
  <c r="H20" i="37"/>
  <c r="B18" i="37"/>
  <c r="C18" i="37" s="1"/>
  <c r="X17" i="37"/>
  <c r="W17" i="37"/>
  <c r="V17" i="37"/>
  <c r="U17" i="37"/>
  <c r="T17" i="37"/>
  <c r="S17" i="37"/>
  <c r="R17" i="37"/>
  <c r="Q17" i="37"/>
  <c r="P17" i="37"/>
  <c r="O17" i="37"/>
  <c r="N17" i="37"/>
  <c r="M17" i="37"/>
  <c r="L17" i="37"/>
  <c r="K17" i="37"/>
  <c r="J17" i="37"/>
  <c r="I17" i="37"/>
  <c r="D17" i="37"/>
  <c r="X16" i="37"/>
  <c r="W16" i="37"/>
  <c r="V16" i="37"/>
  <c r="U16" i="37"/>
  <c r="T16" i="37"/>
  <c r="S16" i="37"/>
  <c r="R16" i="37"/>
  <c r="Q16" i="37"/>
  <c r="P16" i="37"/>
  <c r="O16" i="37"/>
  <c r="N16" i="37"/>
  <c r="M16" i="37"/>
  <c r="L16" i="37"/>
  <c r="K16" i="37"/>
  <c r="J16" i="37"/>
  <c r="I16" i="37"/>
  <c r="D16" i="37"/>
  <c r="X15" i="37"/>
  <c r="W15" i="37"/>
  <c r="V15" i="37"/>
  <c r="U15" i="37"/>
  <c r="T15" i="37"/>
  <c r="S15" i="37"/>
  <c r="R15" i="37"/>
  <c r="Q15" i="37"/>
  <c r="P15" i="37"/>
  <c r="O15" i="37"/>
  <c r="N15" i="37"/>
  <c r="M15" i="37"/>
  <c r="L15" i="37"/>
  <c r="K15" i="37"/>
  <c r="J15" i="37"/>
  <c r="I15" i="37"/>
  <c r="D15" i="37"/>
  <c r="X14" i="37"/>
  <c r="W14" i="37"/>
  <c r="V14" i="37"/>
  <c r="U14" i="37"/>
  <c r="T14" i="37"/>
  <c r="S14" i="37"/>
  <c r="R14" i="37"/>
  <c r="Q14" i="37"/>
  <c r="P14" i="37"/>
  <c r="O14" i="37"/>
  <c r="N14" i="37"/>
  <c r="M14" i="37"/>
  <c r="L14" i="37"/>
  <c r="K14" i="37"/>
  <c r="J14" i="37"/>
  <c r="I14" i="37"/>
  <c r="D14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I13" i="37"/>
  <c r="D13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D12" i="37"/>
  <c r="X11" i="37"/>
  <c r="W11" i="37"/>
  <c r="V11" i="37"/>
  <c r="U11" i="37"/>
  <c r="T11" i="37"/>
  <c r="S11" i="37"/>
  <c r="R11" i="37"/>
  <c r="Q11" i="37"/>
  <c r="P11" i="37"/>
  <c r="O11" i="37"/>
  <c r="N11" i="37"/>
  <c r="M11" i="37"/>
  <c r="L11" i="37"/>
  <c r="K11" i="37"/>
  <c r="J11" i="37"/>
  <c r="I11" i="37"/>
  <c r="D11" i="37"/>
  <c r="X10" i="37"/>
  <c r="W10" i="37"/>
  <c r="V10" i="37"/>
  <c r="U10" i="37"/>
  <c r="T10" i="37"/>
  <c r="S10" i="37"/>
  <c r="R10" i="37"/>
  <c r="Q10" i="37"/>
  <c r="P10" i="37"/>
  <c r="O10" i="37"/>
  <c r="N10" i="37"/>
  <c r="M10" i="37"/>
  <c r="L10" i="37"/>
  <c r="K10" i="37"/>
  <c r="J10" i="37"/>
  <c r="I10" i="37"/>
  <c r="D10" i="37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D9" i="37"/>
  <c r="D7" i="37"/>
  <c r="D6" i="37"/>
  <c r="W3" i="37"/>
  <c r="W4" i="37" s="1"/>
  <c r="W6" i="37" s="1"/>
  <c r="V3" i="37"/>
  <c r="V4" i="37" s="1"/>
  <c r="V6" i="37" s="1"/>
  <c r="U3" i="37"/>
  <c r="U4" i="37" s="1"/>
  <c r="U6" i="37" s="1"/>
  <c r="T3" i="37"/>
  <c r="T5" i="37" s="1"/>
  <c r="S3" i="37"/>
  <c r="S4" i="37" s="1"/>
  <c r="S6" i="37" s="1"/>
  <c r="R3" i="37"/>
  <c r="R4" i="37" s="1"/>
  <c r="R6" i="37" s="1"/>
  <c r="Q3" i="37"/>
  <c r="Q4" i="37" s="1"/>
  <c r="Q6" i="37" s="1"/>
  <c r="P3" i="37"/>
  <c r="P4" i="37" s="1"/>
  <c r="P6" i="37" s="1"/>
  <c r="O3" i="37"/>
  <c r="O4" i="37" s="1"/>
  <c r="O6" i="37" s="1"/>
  <c r="N3" i="37"/>
  <c r="N4" i="37" s="1"/>
  <c r="N6" i="37" s="1"/>
  <c r="M3" i="37"/>
  <c r="M4" i="37" s="1"/>
  <c r="M6" i="37" s="1"/>
  <c r="L3" i="37"/>
  <c r="L4" i="37" s="1"/>
  <c r="L6" i="37" s="1"/>
  <c r="K3" i="37"/>
  <c r="K4" i="37" s="1"/>
  <c r="K6" i="37" s="1"/>
  <c r="J3" i="37"/>
  <c r="J4" i="37" s="1"/>
  <c r="J6" i="37" s="1"/>
  <c r="I3" i="37"/>
  <c r="I4" i="37" s="1"/>
  <c r="I6" i="37" s="1"/>
  <c r="B36" i="36"/>
  <c r="V31" i="36"/>
  <c r="U31" i="36" s="1"/>
  <c r="W31" i="36" s="1"/>
  <c r="AC29" i="36"/>
  <c r="AB29" i="36"/>
  <c r="AA29" i="36"/>
  <c r="Z29" i="36"/>
  <c r="H29" i="36"/>
  <c r="AC28" i="36"/>
  <c r="AB28" i="36"/>
  <c r="AA28" i="36"/>
  <c r="Z28" i="36"/>
  <c r="AC27" i="36"/>
  <c r="AB27" i="36"/>
  <c r="AA27" i="36"/>
  <c r="Z27" i="36"/>
  <c r="H20" i="36"/>
  <c r="B18" i="36"/>
  <c r="C18" i="36" s="1"/>
  <c r="X17" i="36"/>
  <c r="W17" i="36"/>
  <c r="V17" i="36"/>
  <c r="U17" i="36"/>
  <c r="T17" i="36"/>
  <c r="S17" i="36"/>
  <c r="R17" i="36"/>
  <c r="Q17" i="36"/>
  <c r="P17" i="36"/>
  <c r="O17" i="36"/>
  <c r="N17" i="36"/>
  <c r="M17" i="36"/>
  <c r="L17" i="36"/>
  <c r="K17" i="36"/>
  <c r="J17" i="36"/>
  <c r="I17" i="36"/>
  <c r="D17" i="36"/>
  <c r="X16" i="36"/>
  <c r="W16" i="36"/>
  <c r="V16" i="36"/>
  <c r="U16" i="36"/>
  <c r="T16" i="36"/>
  <c r="S16" i="36"/>
  <c r="R16" i="36"/>
  <c r="Q16" i="36"/>
  <c r="P16" i="36"/>
  <c r="O16" i="36"/>
  <c r="N16" i="36"/>
  <c r="M16" i="36"/>
  <c r="L16" i="36"/>
  <c r="K16" i="36"/>
  <c r="J16" i="36"/>
  <c r="I16" i="36"/>
  <c r="D16" i="36"/>
  <c r="X15" i="36"/>
  <c r="W15" i="36"/>
  <c r="V15" i="36"/>
  <c r="U15" i="36"/>
  <c r="T15" i="36"/>
  <c r="S15" i="36"/>
  <c r="R15" i="36"/>
  <c r="Q15" i="36"/>
  <c r="P15" i="36"/>
  <c r="O15" i="36"/>
  <c r="N15" i="36"/>
  <c r="M15" i="36"/>
  <c r="L15" i="36"/>
  <c r="K15" i="36"/>
  <c r="J15" i="36"/>
  <c r="I15" i="36"/>
  <c r="D15" i="36"/>
  <c r="X14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D14" i="36"/>
  <c r="X13" i="36"/>
  <c r="W13" i="36"/>
  <c r="V13" i="36"/>
  <c r="U13" i="36"/>
  <c r="T13" i="36"/>
  <c r="S13" i="36"/>
  <c r="R13" i="36"/>
  <c r="Q13" i="36"/>
  <c r="P13" i="36"/>
  <c r="O13" i="36"/>
  <c r="N13" i="36"/>
  <c r="M13" i="36"/>
  <c r="L13" i="36"/>
  <c r="K13" i="36"/>
  <c r="J13" i="36"/>
  <c r="I13" i="36"/>
  <c r="D13" i="36"/>
  <c r="X12" i="36"/>
  <c r="W12" i="36"/>
  <c r="V12" i="36"/>
  <c r="U12" i="36"/>
  <c r="T12" i="36"/>
  <c r="S12" i="36"/>
  <c r="R12" i="36"/>
  <c r="Q12" i="36"/>
  <c r="P12" i="36"/>
  <c r="O12" i="36"/>
  <c r="N12" i="36"/>
  <c r="M12" i="36"/>
  <c r="L12" i="36"/>
  <c r="K12" i="36"/>
  <c r="J12" i="36"/>
  <c r="I12" i="36"/>
  <c r="D12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D11" i="36"/>
  <c r="X10" i="36"/>
  <c r="W10" i="36"/>
  <c r="V10" i="36"/>
  <c r="U10" i="36"/>
  <c r="T10" i="36"/>
  <c r="S10" i="36"/>
  <c r="R10" i="36"/>
  <c r="Q10" i="36"/>
  <c r="P10" i="36"/>
  <c r="O10" i="36"/>
  <c r="N10" i="36"/>
  <c r="M10" i="36"/>
  <c r="L10" i="36"/>
  <c r="K10" i="36"/>
  <c r="J10" i="36"/>
  <c r="I10" i="36"/>
  <c r="D10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D9" i="36"/>
  <c r="D7" i="36"/>
  <c r="D6" i="36"/>
  <c r="W3" i="36"/>
  <c r="V3" i="36"/>
  <c r="V5" i="36" s="1"/>
  <c r="U3" i="36"/>
  <c r="U4" i="36" s="1"/>
  <c r="U6" i="36" s="1"/>
  <c r="T3" i="36"/>
  <c r="S3" i="36"/>
  <c r="R3" i="36"/>
  <c r="R5" i="36" s="1"/>
  <c r="Q3" i="36"/>
  <c r="Q4" i="36" s="1"/>
  <c r="Q6" i="36" s="1"/>
  <c r="P3" i="36"/>
  <c r="O3" i="36"/>
  <c r="N3" i="36"/>
  <c r="N5" i="36" s="1"/>
  <c r="M3" i="36"/>
  <c r="M4" i="36" s="1"/>
  <c r="M6" i="36" s="1"/>
  <c r="L3" i="36"/>
  <c r="K3" i="36"/>
  <c r="J3" i="36"/>
  <c r="I3" i="36"/>
  <c r="I4" i="36" s="1"/>
  <c r="I6" i="36" s="1"/>
  <c r="B36" i="35"/>
  <c r="V31" i="35"/>
  <c r="U31" i="35" s="1"/>
  <c r="W31" i="35" s="1"/>
  <c r="AC29" i="35"/>
  <c r="AB29" i="35"/>
  <c r="AA29" i="35"/>
  <c r="Z29" i="35"/>
  <c r="H29" i="35"/>
  <c r="AC28" i="35"/>
  <c r="AB28" i="35"/>
  <c r="AA28" i="35"/>
  <c r="Z28" i="35"/>
  <c r="AC27" i="35"/>
  <c r="AB27" i="35"/>
  <c r="AA27" i="35"/>
  <c r="Z27" i="35"/>
  <c r="H20" i="35"/>
  <c r="B18" i="35"/>
  <c r="C18" i="35" s="1"/>
  <c r="X17" i="35"/>
  <c r="W17" i="35"/>
  <c r="V17" i="35"/>
  <c r="U17" i="35"/>
  <c r="T17" i="35"/>
  <c r="S17" i="35"/>
  <c r="R17" i="35"/>
  <c r="Q17" i="35"/>
  <c r="P17" i="35"/>
  <c r="O17" i="35"/>
  <c r="N17" i="35"/>
  <c r="M17" i="35"/>
  <c r="L17" i="35"/>
  <c r="K17" i="35"/>
  <c r="J17" i="35"/>
  <c r="I17" i="35"/>
  <c r="D17" i="35"/>
  <c r="X16" i="35"/>
  <c r="W16" i="35"/>
  <c r="V16" i="35"/>
  <c r="U16" i="35"/>
  <c r="T16" i="35"/>
  <c r="S16" i="35"/>
  <c r="R16" i="35"/>
  <c r="Q16" i="35"/>
  <c r="P16" i="35"/>
  <c r="O16" i="35"/>
  <c r="N16" i="35"/>
  <c r="M16" i="35"/>
  <c r="L16" i="35"/>
  <c r="K16" i="35"/>
  <c r="J16" i="35"/>
  <c r="I16" i="35"/>
  <c r="D16" i="35"/>
  <c r="X15" i="35"/>
  <c r="W15" i="35"/>
  <c r="V15" i="35"/>
  <c r="U15" i="35"/>
  <c r="T15" i="35"/>
  <c r="S15" i="35"/>
  <c r="R15" i="35"/>
  <c r="Q15" i="35"/>
  <c r="P15" i="35"/>
  <c r="O15" i="35"/>
  <c r="N15" i="35"/>
  <c r="M15" i="35"/>
  <c r="L15" i="35"/>
  <c r="K15" i="35"/>
  <c r="J15" i="35"/>
  <c r="I15" i="35"/>
  <c r="D15" i="35"/>
  <c r="X14" i="35"/>
  <c r="W14" i="35"/>
  <c r="V14" i="35"/>
  <c r="U14" i="35"/>
  <c r="T14" i="35"/>
  <c r="S14" i="35"/>
  <c r="R14" i="35"/>
  <c r="Q14" i="35"/>
  <c r="P14" i="35"/>
  <c r="O14" i="35"/>
  <c r="N14" i="35"/>
  <c r="M14" i="35"/>
  <c r="L14" i="35"/>
  <c r="K14" i="35"/>
  <c r="J14" i="35"/>
  <c r="I14" i="35"/>
  <c r="D14" i="35"/>
  <c r="X13" i="35"/>
  <c r="W13" i="35"/>
  <c r="V13" i="35"/>
  <c r="U13" i="35"/>
  <c r="T13" i="35"/>
  <c r="S13" i="35"/>
  <c r="R13" i="35"/>
  <c r="Q13" i="35"/>
  <c r="P13" i="35"/>
  <c r="O13" i="35"/>
  <c r="N13" i="35"/>
  <c r="M13" i="35"/>
  <c r="L13" i="35"/>
  <c r="K13" i="35"/>
  <c r="J13" i="35"/>
  <c r="I13" i="35"/>
  <c r="D13" i="35"/>
  <c r="X12" i="35"/>
  <c r="W12" i="35"/>
  <c r="V12" i="35"/>
  <c r="U12" i="35"/>
  <c r="T12" i="35"/>
  <c r="S12" i="35"/>
  <c r="R12" i="35"/>
  <c r="Q12" i="35"/>
  <c r="P12" i="35"/>
  <c r="P24" i="35" s="1"/>
  <c r="O12" i="35"/>
  <c r="N12" i="35"/>
  <c r="M12" i="35"/>
  <c r="L12" i="35"/>
  <c r="K12" i="35"/>
  <c r="J12" i="35"/>
  <c r="I12" i="35"/>
  <c r="D12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K11" i="35"/>
  <c r="J11" i="35"/>
  <c r="I11" i="35"/>
  <c r="D11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K10" i="35"/>
  <c r="J10" i="35"/>
  <c r="I10" i="35"/>
  <c r="D10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D9" i="35"/>
  <c r="D7" i="35"/>
  <c r="D6" i="35"/>
  <c r="W3" i="35"/>
  <c r="V3" i="35"/>
  <c r="V5" i="35" s="1"/>
  <c r="U3" i="35"/>
  <c r="U4" i="35" s="1"/>
  <c r="U6" i="35" s="1"/>
  <c r="T3" i="35"/>
  <c r="T5" i="35" s="1"/>
  <c r="S3" i="35"/>
  <c r="R3" i="35"/>
  <c r="R5" i="35" s="1"/>
  <c r="Q3" i="35"/>
  <c r="Q4" i="35" s="1"/>
  <c r="Q6" i="35" s="1"/>
  <c r="P3" i="35"/>
  <c r="P5" i="35" s="1"/>
  <c r="O3" i="35"/>
  <c r="N3" i="35"/>
  <c r="N5" i="35" s="1"/>
  <c r="M3" i="35"/>
  <c r="M4" i="35" s="1"/>
  <c r="M6" i="35" s="1"/>
  <c r="L3" i="35"/>
  <c r="L5" i="35" s="1"/>
  <c r="K3" i="35"/>
  <c r="J3" i="35"/>
  <c r="J5" i="35" s="1"/>
  <c r="I3" i="35"/>
  <c r="B36" i="33"/>
  <c r="V31" i="33"/>
  <c r="U31" i="33" s="1"/>
  <c r="W31" i="33" s="1"/>
  <c r="AC29" i="33"/>
  <c r="AB29" i="33"/>
  <c r="AA29" i="33"/>
  <c r="Z29" i="33"/>
  <c r="H29" i="33"/>
  <c r="AC28" i="33"/>
  <c r="AB28" i="33"/>
  <c r="AA28" i="33"/>
  <c r="Z28" i="33"/>
  <c r="AC27" i="33"/>
  <c r="AB27" i="33"/>
  <c r="AA27" i="33"/>
  <c r="Z27" i="33"/>
  <c r="H20" i="33"/>
  <c r="B18" i="33"/>
  <c r="C18" i="33" s="1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D17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D16" i="33"/>
  <c r="X15" i="33"/>
  <c r="W15" i="33"/>
  <c r="V15" i="33"/>
  <c r="U15" i="33"/>
  <c r="T15" i="33"/>
  <c r="S15" i="33"/>
  <c r="R15" i="33"/>
  <c r="Q15" i="33"/>
  <c r="P15" i="33"/>
  <c r="O15" i="33"/>
  <c r="N15" i="33"/>
  <c r="M15" i="33"/>
  <c r="L15" i="33"/>
  <c r="K15" i="33"/>
  <c r="J15" i="33"/>
  <c r="I15" i="33"/>
  <c r="D15" i="33"/>
  <c r="X14" i="33"/>
  <c r="W14" i="33"/>
  <c r="V14" i="33"/>
  <c r="U14" i="33"/>
  <c r="T14" i="33"/>
  <c r="S14" i="33"/>
  <c r="R14" i="33"/>
  <c r="Q14" i="33"/>
  <c r="P14" i="33"/>
  <c r="O14" i="33"/>
  <c r="N14" i="33"/>
  <c r="M14" i="33"/>
  <c r="L14" i="33"/>
  <c r="K14" i="33"/>
  <c r="J14" i="33"/>
  <c r="I14" i="33"/>
  <c r="D14" i="33"/>
  <c r="X13" i="33"/>
  <c r="W13" i="33"/>
  <c r="V13" i="33"/>
  <c r="U13" i="33"/>
  <c r="T13" i="33"/>
  <c r="S13" i="33"/>
  <c r="R13" i="33"/>
  <c r="Q13" i="33"/>
  <c r="P13" i="33"/>
  <c r="O13" i="33"/>
  <c r="N13" i="33"/>
  <c r="M13" i="33"/>
  <c r="L13" i="33"/>
  <c r="K13" i="33"/>
  <c r="J13" i="33"/>
  <c r="I13" i="33"/>
  <c r="D13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I12" i="33"/>
  <c r="D12" i="33"/>
  <c r="X11" i="33"/>
  <c r="W11" i="33"/>
  <c r="V11" i="33"/>
  <c r="U11" i="33"/>
  <c r="T11" i="33"/>
  <c r="S11" i="33"/>
  <c r="R11" i="33"/>
  <c r="Q11" i="33"/>
  <c r="P11" i="33"/>
  <c r="O11" i="33"/>
  <c r="N11" i="33"/>
  <c r="M11" i="33"/>
  <c r="L11" i="33"/>
  <c r="K11" i="33"/>
  <c r="J11" i="33"/>
  <c r="I11" i="33"/>
  <c r="D11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D10" i="33"/>
  <c r="X9" i="33"/>
  <c r="W9" i="33"/>
  <c r="V9" i="33"/>
  <c r="V36" i="33" s="1" a="1"/>
  <c r="V36" i="33" s="1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D9" i="33"/>
  <c r="D7" i="33"/>
  <c r="D6" i="33"/>
  <c r="W3" i="33"/>
  <c r="V3" i="33"/>
  <c r="V5" i="33" s="1"/>
  <c r="U3" i="33"/>
  <c r="U4" i="33" s="1"/>
  <c r="U6" i="33" s="1"/>
  <c r="T3" i="33"/>
  <c r="T4" i="33" s="1"/>
  <c r="T6" i="33" s="1"/>
  <c r="S3" i="33"/>
  <c r="R3" i="33"/>
  <c r="R5" i="33" s="1"/>
  <c r="Q3" i="33"/>
  <c r="Q4" i="33" s="1"/>
  <c r="Q6" i="33" s="1"/>
  <c r="P3" i="33"/>
  <c r="P5" i="33" s="1"/>
  <c r="O3" i="33"/>
  <c r="N3" i="33"/>
  <c r="N5" i="33" s="1"/>
  <c r="M3" i="33"/>
  <c r="M4" i="33" s="1"/>
  <c r="M6" i="33" s="1"/>
  <c r="L3" i="33"/>
  <c r="K3" i="33"/>
  <c r="J3" i="33"/>
  <c r="J5" i="33" s="1"/>
  <c r="I3" i="33"/>
  <c r="I4" i="33" s="1"/>
  <c r="I6" i="33" s="1"/>
  <c r="B36" i="32"/>
  <c r="AC29" i="32"/>
  <c r="AB29" i="32"/>
  <c r="AA29" i="32"/>
  <c r="Z29" i="32"/>
  <c r="H29" i="32"/>
  <c r="AC28" i="32"/>
  <c r="AB28" i="32"/>
  <c r="AA28" i="32"/>
  <c r="Z28" i="32"/>
  <c r="AC27" i="32"/>
  <c r="AB27" i="32"/>
  <c r="AA27" i="32"/>
  <c r="Z27" i="32"/>
  <c r="H20" i="32"/>
  <c r="B18" i="32"/>
  <c r="C18" i="32" s="1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D17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D16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D15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D14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D13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D12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D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D10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D9" i="32"/>
  <c r="D7" i="32"/>
  <c r="D6" i="32"/>
  <c r="W3" i="32"/>
  <c r="W4" i="32" s="1"/>
  <c r="W6" i="32" s="1"/>
  <c r="V3" i="32"/>
  <c r="V5" i="32" s="1"/>
  <c r="U3" i="32"/>
  <c r="U4" i="32" s="1"/>
  <c r="U6" i="32" s="1"/>
  <c r="T3" i="32"/>
  <c r="T5" i="32" s="1"/>
  <c r="S3" i="32"/>
  <c r="S4" i="32" s="1"/>
  <c r="S6" i="32" s="1"/>
  <c r="R3" i="32"/>
  <c r="R5" i="32" s="1"/>
  <c r="Q3" i="32"/>
  <c r="Q4" i="32" s="1"/>
  <c r="Q6" i="32" s="1"/>
  <c r="P3" i="32"/>
  <c r="O3" i="32"/>
  <c r="O4" i="32" s="1"/>
  <c r="O6" i="32" s="1"/>
  <c r="N3" i="32"/>
  <c r="N5" i="32" s="1"/>
  <c r="M3" i="32"/>
  <c r="M4" i="32" s="1"/>
  <c r="M6" i="32" s="1"/>
  <c r="L3" i="32"/>
  <c r="L5" i="32" s="1"/>
  <c r="K3" i="32"/>
  <c r="K4" i="32" s="1"/>
  <c r="K6" i="32" s="1"/>
  <c r="J3" i="32"/>
  <c r="J5" i="32" s="1"/>
  <c r="I3" i="32"/>
  <c r="I4" i="32" s="1"/>
  <c r="I6" i="32" s="1"/>
  <c r="B36" i="31"/>
  <c r="V31" i="31"/>
  <c r="U31" i="31" s="1"/>
  <c r="W31" i="31" s="1"/>
  <c r="AC29" i="31"/>
  <c r="AB29" i="31"/>
  <c r="AA29" i="31"/>
  <c r="Z29" i="31"/>
  <c r="H29" i="31"/>
  <c r="AC28" i="31"/>
  <c r="AB28" i="31"/>
  <c r="AA28" i="31"/>
  <c r="Z28" i="31"/>
  <c r="AC27" i="31"/>
  <c r="AB27" i="31"/>
  <c r="AA27" i="31"/>
  <c r="Z27" i="31"/>
  <c r="H20" i="31"/>
  <c r="B18" i="31"/>
  <c r="C18" i="31" s="1"/>
  <c r="X17" i="31"/>
  <c r="W17" i="3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D17" i="31"/>
  <c r="X16" i="31"/>
  <c r="W16" i="31"/>
  <c r="V16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D16" i="31"/>
  <c r="X15" i="31"/>
  <c r="W15" i="31"/>
  <c r="V15" i="31"/>
  <c r="U15" i="31"/>
  <c r="T15" i="31"/>
  <c r="S15" i="31"/>
  <c r="R15" i="31"/>
  <c r="Q15" i="31"/>
  <c r="P15" i="31"/>
  <c r="O15" i="31"/>
  <c r="N15" i="31"/>
  <c r="M15" i="31"/>
  <c r="L15" i="31"/>
  <c r="K15" i="31"/>
  <c r="J15" i="31"/>
  <c r="I15" i="31"/>
  <c r="D15" i="31"/>
  <c r="X14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D14" i="31"/>
  <c r="X13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D13" i="31"/>
  <c r="X12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D12" i="31"/>
  <c r="X11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D11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D10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D9" i="31"/>
  <c r="D7" i="31"/>
  <c r="D6" i="31"/>
  <c r="W3" i="31"/>
  <c r="V3" i="31"/>
  <c r="V5" i="31" s="1"/>
  <c r="U3" i="31"/>
  <c r="U4" i="31" s="1"/>
  <c r="U6" i="31" s="1"/>
  <c r="T3" i="31"/>
  <c r="S3" i="31"/>
  <c r="R3" i="31"/>
  <c r="R5" i="31" s="1"/>
  <c r="Q3" i="31"/>
  <c r="Q4" i="31" s="1"/>
  <c r="Q6" i="31" s="1"/>
  <c r="P3" i="31"/>
  <c r="P5" i="31" s="1"/>
  <c r="O3" i="31"/>
  <c r="N3" i="31"/>
  <c r="N5" i="31" s="1"/>
  <c r="M3" i="31"/>
  <c r="M4" i="31" s="1"/>
  <c r="M6" i="31" s="1"/>
  <c r="L3" i="31"/>
  <c r="K3" i="31"/>
  <c r="J3" i="31"/>
  <c r="J5" i="31" s="1"/>
  <c r="I3" i="31"/>
  <c r="I4" i="31" s="1"/>
  <c r="I6" i="31" s="1"/>
  <c r="B36" i="30"/>
  <c r="V31" i="30"/>
  <c r="U31" i="30" s="1"/>
  <c r="W31" i="30" s="1"/>
  <c r="AC29" i="30"/>
  <c r="AB29" i="30"/>
  <c r="AA29" i="30"/>
  <c r="Z29" i="30"/>
  <c r="H29" i="30"/>
  <c r="AC28" i="30"/>
  <c r="AB28" i="30"/>
  <c r="AA28" i="30"/>
  <c r="Z28" i="30"/>
  <c r="AC27" i="30"/>
  <c r="AB27" i="30"/>
  <c r="AA27" i="30"/>
  <c r="Z27" i="30"/>
  <c r="H20" i="30"/>
  <c r="B18" i="30"/>
  <c r="C18" i="30" s="1"/>
  <c r="X17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D17" i="30"/>
  <c r="X16" i="30"/>
  <c r="W16" i="30"/>
  <c r="V16" i="30"/>
  <c r="U16" i="30"/>
  <c r="T16" i="30"/>
  <c r="S16" i="30"/>
  <c r="R16" i="30"/>
  <c r="Q16" i="30"/>
  <c r="P16" i="30"/>
  <c r="O16" i="30"/>
  <c r="N16" i="30"/>
  <c r="M16" i="30"/>
  <c r="L16" i="30"/>
  <c r="K16" i="30"/>
  <c r="J16" i="30"/>
  <c r="I16" i="30"/>
  <c r="D16" i="30"/>
  <c r="X15" i="30"/>
  <c r="W15" i="30"/>
  <c r="V15" i="30"/>
  <c r="U15" i="30"/>
  <c r="T15" i="30"/>
  <c r="S15" i="30"/>
  <c r="R15" i="30"/>
  <c r="Q15" i="30"/>
  <c r="P15" i="30"/>
  <c r="O15" i="30"/>
  <c r="N15" i="30"/>
  <c r="M15" i="30"/>
  <c r="L15" i="30"/>
  <c r="K15" i="30"/>
  <c r="J15" i="30"/>
  <c r="I15" i="30"/>
  <c r="D15" i="30"/>
  <c r="X14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D14" i="30"/>
  <c r="X13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D13" i="30"/>
  <c r="X12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D12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D11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D10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D9" i="30"/>
  <c r="D7" i="30"/>
  <c r="D6" i="30"/>
  <c r="W3" i="30"/>
  <c r="V3" i="30"/>
  <c r="V4" i="30" s="1"/>
  <c r="V6" i="30" s="1"/>
  <c r="U3" i="30"/>
  <c r="U4" i="30" s="1"/>
  <c r="U6" i="30" s="1"/>
  <c r="T3" i="30"/>
  <c r="T5" i="30" s="1"/>
  <c r="S3" i="30"/>
  <c r="R3" i="30"/>
  <c r="R4" i="30" s="1"/>
  <c r="R6" i="30" s="1"/>
  <c r="Q3" i="30"/>
  <c r="Q4" i="30" s="1"/>
  <c r="Q6" i="30" s="1"/>
  <c r="P3" i="30"/>
  <c r="P5" i="30" s="1"/>
  <c r="O3" i="30"/>
  <c r="N3" i="30"/>
  <c r="N4" i="30" s="1"/>
  <c r="N6" i="30" s="1"/>
  <c r="M3" i="30"/>
  <c r="M4" i="30" s="1"/>
  <c r="M6" i="30" s="1"/>
  <c r="L3" i="30"/>
  <c r="L5" i="30" s="1"/>
  <c r="K3" i="30"/>
  <c r="J3" i="30"/>
  <c r="J4" i="30" s="1"/>
  <c r="J6" i="30" s="1"/>
  <c r="I3" i="30"/>
  <c r="I4" i="30" s="1"/>
  <c r="I6" i="30" s="1"/>
  <c r="B36" i="29"/>
  <c r="V31" i="29"/>
  <c r="U31" i="29" s="1"/>
  <c r="W31" i="29" s="1"/>
  <c r="AC29" i="29"/>
  <c r="AB29" i="29"/>
  <c r="AA29" i="29"/>
  <c r="Z29" i="29"/>
  <c r="H29" i="29"/>
  <c r="AC28" i="29"/>
  <c r="AB28" i="29"/>
  <c r="AA28" i="29"/>
  <c r="Z28" i="29"/>
  <c r="AC27" i="29"/>
  <c r="AB27" i="29"/>
  <c r="AA27" i="29"/>
  <c r="Z27" i="29"/>
  <c r="H20" i="29"/>
  <c r="B18" i="29"/>
  <c r="C18" i="29" s="1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D17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D16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D15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D14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D13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D12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D11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D10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D9" i="29"/>
  <c r="D7" i="29"/>
  <c r="D6" i="29"/>
  <c r="W3" i="29"/>
  <c r="V3" i="29"/>
  <c r="V4" i="29" s="1"/>
  <c r="V6" i="29" s="1"/>
  <c r="U3" i="29"/>
  <c r="U4" i="29" s="1"/>
  <c r="U6" i="29" s="1"/>
  <c r="T3" i="29"/>
  <c r="T5" i="29" s="1"/>
  <c r="S3" i="29"/>
  <c r="R3" i="29"/>
  <c r="R5" i="29" s="1"/>
  <c r="Q3" i="29"/>
  <c r="Q4" i="29" s="1"/>
  <c r="Q6" i="29" s="1"/>
  <c r="P3" i="29"/>
  <c r="P5" i="29" s="1"/>
  <c r="O3" i="29"/>
  <c r="N3" i="29"/>
  <c r="M3" i="29"/>
  <c r="M4" i="29" s="1"/>
  <c r="M6" i="29" s="1"/>
  <c r="L3" i="29"/>
  <c r="L5" i="29" s="1"/>
  <c r="K3" i="29"/>
  <c r="J3" i="29"/>
  <c r="J5" i="29" s="1"/>
  <c r="I3" i="29"/>
  <c r="I4" i="29" s="1"/>
  <c r="I6" i="29" s="1"/>
  <c r="B36" i="28"/>
  <c r="V31" i="28"/>
  <c r="U31" i="28" s="1"/>
  <c r="W31" i="28" s="1"/>
  <c r="AC29" i="28"/>
  <c r="AB29" i="28"/>
  <c r="AA29" i="28"/>
  <c r="Z29" i="28"/>
  <c r="H29" i="28"/>
  <c r="AC28" i="28"/>
  <c r="AB28" i="28"/>
  <c r="AA28" i="28"/>
  <c r="Z28" i="28"/>
  <c r="AC27" i="28"/>
  <c r="AB27" i="28"/>
  <c r="AA27" i="28"/>
  <c r="Z27" i="28"/>
  <c r="H20" i="28"/>
  <c r="B18" i="28"/>
  <c r="C18" i="28" s="1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D17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D16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D15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D14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D13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D12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D11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D10" i="28"/>
  <c r="X9" i="28"/>
  <c r="W9" i="28"/>
  <c r="V9" i="28"/>
  <c r="U9" i="28"/>
  <c r="T9" i="28"/>
  <c r="S9" i="28"/>
  <c r="R9" i="28"/>
  <c r="Q9" i="28"/>
  <c r="P9" i="28"/>
  <c r="O9" i="28"/>
  <c r="N9" i="28"/>
  <c r="M9" i="28"/>
  <c r="M36" i="28" s="1" a="1"/>
  <c r="M36" i="28" s="1"/>
  <c r="L9" i="28"/>
  <c r="K9" i="28"/>
  <c r="J9" i="28"/>
  <c r="I9" i="28"/>
  <c r="D9" i="28"/>
  <c r="D7" i="28"/>
  <c r="D6" i="28"/>
  <c r="W3" i="28"/>
  <c r="V3" i="28"/>
  <c r="V4" i="28" s="1"/>
  <c r="V6" i="28" s="1"/>
  <c r="U3" i="28"/>
  <c r="U4" i="28" s="1"/>
  <c r="U6" i="28" s="1"/>
  <c r="T3" i="28"/>
  <c r="T4" i="28" s="1"/>
  <c r="T6" i="28" s="1"/>
  <c r="S3" i="28"/>
  <c r="R3" i="28"/>
  <c r="R4" i="28" s="1"/>
  <c r="R6" i="28" s="1"/>
  <c r="Q3" i="28"/>
  <c r="Q4" i="28" s="1"/>
  <c r="Q6" i="28" s="1"/>
  <c r="P3" i="28"/>
  <c r="P4" i="28" s="1"/>
  <c r="P6" i="28" s="1"/>
  <c r="O3" i="28"/>
  <c r="N3" i="28"/>
  <c r="N4" i="28" s="1"/>
  <c r="N6" i="28" s="1"/>
  <c r="M3" i="28"/>
  <c r="M4" i="28" s="1"/>
  <c r="M6" i="28" s="1"/>
  <c r="L3" i="28"/>
  <c r="L5" i="28" s="1"/>
  <c r="K3" i="28"/>
  <c r="J3" i="28"/>
  <c r="J4" i="28" s="1"/>
  <c r="J6" i="28" s="1"/>
  <c r="I3" i="28"/>
  <c r="I4" i="28" s="1"/>
  <c r="I6" i="28" s="1"/>
  <c r="B36" i="27"/>
  <c r="V31" i="27"/>
  <c r="U31" i="27" s="1"/>
  <c r="W31" i="27" s="1"/>
  <c r="AC29" i="27"/>
  <c r="AB29" i="27"/>
  <c r="AA29" i="27"/>
  <c r="Z29" i="27"/>
  <c r="H29" i="27"/>
  <c r="AC28" i="27"/>
  <c r="AB28" i="27"/>
  <c r="AA28" i="27"/>
  <c r="Z28" i="27"/>
  <c r="AC27" i="27"/>
  <c r="AB27" i="27"/>
  <c r="AA27" i="27"/>
  <c r="Z27" i="27"/>
  <c r="H20" i="27"/>
  <c r="B18" i="27"/>
  <c r="C18" i="27" s="1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D17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D16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D15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D14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D13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D12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D11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D9" i="27"/>
  <c r="D7" i="27"/>
  <c r="D6" i="27"/>
  <c r="W3" i="27"/>
  <c r="V3" i="27"/>
  <c r="V5" i="27" s="1"/>
  <c r="U3" i="27"/>
  <c r="U4" i="27" s="1"/>
  <c r="U6" i="27" s="1"/>
  <c r="T3" i="27"/>
  <c r="S3" i="27"/>
  <c r="R3" i="27"/>
  <c r="R5" i="27" s="1"/>
  <c r="Q3" i="27"/>
  <c r="Q4" i="27" s="1"/>
  <c r="Q6" i="27" s="1"/>
  <c r="P3" i="27"/>
  <c r="P5" i="27" s="1"/>
  <c r="O3" i="27"/>
  <c r="N3" i="27"/>
  <c r="M3" i="27"/>
  <c r="M4" i="27" s="1"/>
  <c r="M6" i="27" s="1"/>
  <c r="L3" i="27"/>
  <c r="K3" i="27"/>
  <c r="J3" i="27"/>
  <c r="J5" i="27" s="1"/>
  <c r="I3" i="27"/>
  <c r="I4" i="27" s="1"/>
  <c r="I6" i="27" s="1"/>
  <c r="B36" i="24"/>
  <c r="V31" i="24"/>
  <c r="U31" i="24" s="1"/>
  <c r="W31" i="24" s="1"/>
  <c r="AC29" i="24"/>
  <c r="AB29" i="24"/>
  <c r="AA29" i="24"/>
  <c r="Z29" i="24"/>
  <c r="W29" i="24"/>
  <c r="H29" i="24" s="1"/>
  <c r="AC28" i="24"/>
  <c r="AB28" i="24"/>
  <c r="AA28" i="24"/>
  <c r="Z28" i="24"/>
  <c r="AC27" i="24"/>
  <c r="AB27" i="24"/>
  <c r="AA27" i="24"/>
  <c r="Z27" i="24"/>
  <c r="Y22" i="24"/>
  <c r="X22" i="24"/>
  <c r="W21" i="24"/>
  <c r="V21" i="24"/>
  <c r="U21" i="24"/>
  <c r="H20" i="24"/>
  <c r="E19" i="24"/>
  <c r="T18" i="24"/>
  <c r="B18" i="24"/>
  <c r="C18" i="24" s="1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D10" i="24"/>
  <c r="W9" i="24"/>
  <c r="V9" i="24"/>
  <c r="V35" i="24" s="1"/>
  <c r="U9" i="24"/>
  <c r="U36" i="24" s="1" a="1"/>
  <c r="U36" i="24" s="1"/>
  <c r="T9" i="24"/>
  <c r="S9" i="24"/>
  <c r="R9" i="24"/>
  <c r="R36" i="24" s="1" a="1"/>
  <c r="R36" i="24" s="1"/>
  <c r="Q9" i="24"/>
  <c r="Q24" i="24" s="1"/>
  <c r="P9" i="24"/>
  <c r="P36" i="24" s="1" a="1"/>
  <c r="P36" i="24" s="1"/>
  <c r="O9" i="24"/>
  <c r="O24" i="24" s="1"/>
  <c r="N9" i="24"/>
  <c r="N34" i="85" s="1" a="1"/>
  <c r="N34" i="85" s="1"/>
  <c r="M9" i="24"/>
  <c r="M36" i="24" s="1" a="1"/>
  <c r="M36" i="24" s="1"/>
  <c r="L9" i="24"/>
  <c r="L33" i="84" s="1" a="1"/>
  <c r="L33" i="84" s="1"/>
  <c r="K9" i="24"/>
  <c r="K24" i="24" s="1"/>
  <c r="J9" i="24"/>
  <c r="J36" i="24" s="1" a="1"/>
  <c r="J36" i="24" s="1"/>
  <c r="I9" i="24"/>
  <c r="I24" i="24" s="1"/>
  <c r="D9" i="24"/>
  <c r="D7" i="24"/>
  <c r="D6" i="24"/>
  <c r="D19" i="24" s="1"/>
  <c r="W3" i="24"/>
  <c r="W4" i="24" s="1"/>
  <c r="W6" i="24" s="1"/>
  <c r="V3" i="24"/>
  <c r="V5" i="24" s="1"/>
  <c r="U3" i="24"/>
  <c r="U4" i="24" s="1"/>
  <c r="U6" i="24" s="1"/>
  <c r="T3" i="24"/>
  <c r="T5" i="24" s="1"/>
  <c r="S3" i="24"/>
  <c r="S4" i="24" s="1"/>
  <c r="S6" i="24" s="1"/>
  <c r="R3" i="24"/>
  <c r="R5" i="24" s="1"/>
  <c r="Q3" i="24"/>
  <c r="Q4" i="24" s="1"/>
  <c r="Q6" i="24" s="1"/>
  <c r="P3" i="24"/>
  <c r="P5" i="24" s="1"/>
  <c r="O3" i="24"/>
  <c r="O4" i="24" s="1"/>
  <c r="O6" i="24" s="1"/>
  <c r="N3" i="24"/>
  <c r="N5" i="24" s="1"/>
  <c r="M3" i="24"/>
  <c r="M4" i="24" s="1"/>
  <c r="M6" i="24" s="1"/>
  <c r="L3" i="24"/>
  <c r="L5" i="24" s="1"/>
  <c r="K3" i="24"/>
  <c r="K4" i="24" s="1"/>
  <c r="K6" i="24" s="1"/>
  <c r="J3" i="24"/>
  <c r="J5" i="24" s="1"/>
  <c r="I3" i="24"/>
  <c r="I4" i="24" s="1"/>
  <c r="I6" i="24" s="1"/>
  <c r="I25" i="89" l="1" a="1"/>
  <c r="I25" i="89" s="1"/>
  <c r="I31" i="89" s="1"/>
  <c r="T25" i="89" a="1"/>
  <c r="T25" i="89" s="1"/>
  <c r="U53" i="82" a="1"/>
  <c r="U53" i="82" s="1"/>
  <c r="U52" i="82" a="1"/>
  <c r="U52" i="82" s="1"/>
  <c r="U55" i="90" a="1"/>
  <c r="U55" i="90" s="1"/>
  <c r="U56" i="90" a="1"/>
  <c r="U56" i="90" s="1"/>
  <c r="W56" i="90" a="1"/>
  <c r="W56" i="90" s="1"/>
  <c r="W55" i="90" a="1"/>
  <c r="W55" i="90" s="1"/>
  <c r="H21" i="38"/>
  <c r="I26" i="89"/>
  <c r="I27" i="89" s="1"/>
  <c r="I30" i="89" s="1"/>
  <c r="V53" i="82" a="1"/>
  <c r="V53" i="82" s="1"/>
  <c r="V52" i="82" a="1"/>
  <c r="V52" i="82" s="1"/>
  <c r="S25" i="89" a="1"/>
  <c r="S25" i="89" s="1"/>
  <c r="S31" i="89" s="1"/>
  <c r="M5" i="31"/>
  <c r="M7" i="31" s="1"/>
  <c r="M22" i="31" s="1"/>
  <c r="V56" i="90" a="1"/>
  <c r="V56" i="90" s="1"/>
  <c r="V55" i="90" a="1"/>
  <c r="V55" i="90" s="1"/>
  <c r="W53" i="82" a="1"/>
  <c r="W53" i="82" s="1"/>
  <c r="W52" i="82" a="1"/>
  <c r="W52" i="82" s="1"/>
  <c r="H21" i="88"/>
  <c r="U5" i="32"/>
  <c r="M48" i="90" a="1"/>
  <c r="M48" i="90" s="1"/>
  <c r="M47" i="90" a="1"/>
  <c r="M47" i="90" s="1"/>
  <c r="L56" i="90" a="1"/>
  <c r="L56" i="90" s="1"/>
  <c r="L55" i="90" a="1"/>
  <c r="L55" i="90" s="1"/>
  <c r="K48" i="90" a="1"/>
  <c r="K48" i="90" s="1"/>
  <c r="K47" i="90" a="1"/>
  <c r="K47" i="90" s="1"/>
  <c r="O38" i="83" a="1"/>
  <c r="O38" i="83" s="1"/>
  <c r="O48" i="90" a="1"/>
  <c r="O48" i="90" s="1"/>
  <c r="O47" i="90" a="1"/>
  <c r="O47" i="90" s="1"/>
  <c r="S38" i="83" a="1"/>
  <c r="S38" i="83" s="1"/>
  <c r="S48" i="90" a="1"/>
  <c r="S48" i="90" s="1"/>
  <c r="S47" i="90" a="1"/>
  <c r="S47" i="90" s="1"/>
  <c r="L39" i="83" a="1"/>
  <c r="L39" i="83" s="1"/>
  <c r="S24" i="28"/>
  <c r="J42" i="83" a="1"/>
  <c r="J42" i="83" s="1"/>
  <c r="J44" i="90" a="1"/>
  <c r="J44" i="90" s="1"/>
  <c r="J43" i="90" a="1"/>
  <c r="J43" i="90" s="1"/>
  <c r="N42" i="83" a="1"/>
  <c r="N42" i="83" s="1"/>
  <c r="N44" i="90" a="1"/>
  <c r="N44" i="90" s="1"/>
  <c r="N43" i="90" a="1"/>
  <c r="N43" i="90" s="1"/>
  <c r="R42" i="83" a="1"/>
  <c r="R42" i="83" s="1"/>
  <c r="R44" i="90" a="1"/>
  <c r="R44" i="90" s="1"/>
  <c r="R43" i="90" a="1"/>
  <c r="R43" i="90" s="1"/>
  <c r="K52" i="90" a="1"/>
  <c r="K52" i="90" s="1"/>
  <c r="K51" i="90" a="1"/>
  <c r="K51" i="90" s="1"/>
  <c r="O52" i="90" a="1"/>
  <c r="O52" i="90" s="1"/>
  <c r="O51" i="90" a="1"/>
  <c r="O51" i="90" s="1"/>
  <c r="S52" i="90" a="1"/>
  <c r="S52" i="90" s="1"/>
  <c r="S51" i="90" a="1"/>
  <c r="S51" i="90" s="1"/>
  <c r="K64" i="90" a="1"/>
  <c r="K64" i="90" s="1"/>
  <c r="K63" i="90" a="1"/>
  <c r="K63" i="90" s="1"/>
  <c r="O64" i="90" a="1"/>
  <c r="O64" i="90" s="1"/>
  <c r="O63" i="90" a="1"/>
  <c r="O63" i="90" s="1"/>
  <c r="S64" i="90" a="1"/>
  <c r="S64" i="90" s="1"/>
  <c r="S63" i="90" a="1"/>
  <c r="S63" i="90" s="1"/>
  <c r="U24" i="31"/>
  <c r="J56" i="90" a="1"/>
  <c r="J56" i="90" s="1"/>
  <c r="J55" i="90" a="1"/>
  <c r="J55" i="90" s="1"/>
  <c r="N56" i="90" a="1"/>
  <c r="N56" i="90" s="1"/>
  <c r="N55" i="90" a="1"/>
  <c r="N55" i="90" s="1"/>
  <c r="R56" i="90" a="1"/>
  <c r="R56" i="90" s="1"/>
  <c r="R55" i="90" a="1"/>
  <c r="R55" i="90" s="1"/>
  <c r="L54" i="90" a="1"/>
  <c r="L54" i="90" s="1"/>
  <c r="L53" i="90" a="1"/>
  <c r="L53" i="90" s="1"/>
  <c r="P54" i="90" a="1"/>
  <c r="P54" i="90" s="1"/>
  <c r="P53" i="90" a="1"/>
  <c r="P53" i="90" s="1"/>
  <c r="T54" i="90" a="1"/>
  <c r="T54" i="90" s="1"/>
  <c r="T53" i="90" a="1"/>
  <c r="T53" i="90" s="1"/>
  <c r="J60" i="90" a="1"/>
  <c r="J60" i="90" s="1"/>
  <c r="J59" i="90" a="1"/>
  <c r="J59" i="90" s="1"/>
  <c r="N60" i="90" a="1"/>
  <c r="N60" i="90" s="1"/>
  <c r="N59" i="90" a="1"/>
  <c r="N59" i="90" s="1"/>
  <c r="R60" i="90" a="1"/>
  <c r="R60" i="90" s="1"/>
  <c r="R59" i="90" a="1"/>
  <c r="R59" i="90" s="1"/>
  <c r="W36" i="38" a="1"/>
  <c r="W36" i="38" s="1"/>
  <c r="L36" i="39" a="1"/>
  <c r="L36" i="39" s="1"/>
  <c r="L58" i="90" a="1"/>
  <c r="L58" i="90" s="1"/>
  <c r="L57" i="90" a="1"/>
  <c r="L57" i="90" s="1"/>
  <c r="P36" i="39" a="1"/>
  <c r="P36" i="39" s="1"/>
  <c r="P58" i="90" a="1"/>
  <c r="P58" i="90" s="1"/>
  <c r="P57" i="90" a="1"/>
  <c r="P57" i="90" s="1"/>
  <c r="T36" i="39" a="1"/>
  <c r="T36" i="39" s="1"/>
  <c r="T58" i="90" a="1"/>
  <c r="T58" i="90" s="1"/>
  <c r="T57" i="90" a="1"/>
  <c r="T57" i="90" s="1"/>
  <c r="M25" i="89" a="1"/>
  <c r="M25" i="89" s="1"/>
  <c r="M31" i="89" s="1"/>
  <c r="L42" i="83" a="1"/>
  <c r="L42" i="83" s="1"/>
  <c r="L44" i="90" a="1"/>
  <c r="L44" i="90" s="1"/>
  <c r="L43" i="90" a="1"/>
  <c r="L43" i="90" s="1"/>
  <c r="Q52" i="90" a="1"/>
  <c r="Q52" i="90" s="1"/>
  <c r="Q51" i="90" a="1"/>
  <c r="Q51" i="90" s="1"/>
  <c r="Q64" i="90" a="1"/>
  <c r="Q64" i="90" s="1"/>
  <c r="Q63" i="90" a="1"/>
  <c r="Q63" i="90" s="1"/>
  <c r="P56" i="90" a="1"/>
  <c r="P56" i="90" s="1"/>
  <c r="P55" i="90" a="1"/>
  <c r="P55" i="90" s="1"/>
  <c r="N36" i="33" a="1"/>
  <c r="N36" i="33" s="1"/>
  <c r="N54" i="90" a="1"/>
  <c r="N54" i="90" s="1"/>
  <c r="N53" i="90" a="1"/>
  <c r="N53" i="90" s="1"/>
  <c r="L38" i="83" a="1"/>
  <c r="L38" i="83" s="1"/>
  <c r="L48" i="90" a="1"/>
  <c r="L48" i="90" s="1"/>
  <c r="L47" i="90" a="1"/>
  <c r="L47" i="90" s="1"/>
  <c r="P38" i="83" a="1"/>
  <c r="P38" i="83" s="1"/>
  <c r="P48" i="90" a="1"/>
  <c r="P48" i="90" s="1"/>
  <c r="P47" i="90" a="1"/>
  <c r="P47" i="90" s="1"/>
  <c r="T38" i="83" a="1"/>
  <c r="T38" i="83" s="1"/>
  <c r="T48" i="90" a="1"/>
  <c r="T48" i="90" s="1"/>
  <c r="T47" i="90" a="1"/>
  <c r="T47" i="90" s="1"/>
  <c r="M35" i="28"/>
  <c r="K42" i="83" a="1"/>
  <c r="K42" i="83" s="1"/>
  <c r="K44" i="90" a="1"/>
  <c r="K44" i="90" s="1"/>
  <c r="K43" i="90" a="1"/>
  <c r="K43" i="90" s="1"/>
  <c r="O42" i="83" a="1"/>
  <c r="O42" i="83" s="1"/>
  <c r="O44" i="90" a="1"/>
  <c r="O44" i="90" s="1"/>
  <c r="O43" i="90" a="1"/>
  <c r="O43" i="90" s="1"/>
  <c r="S42" i="83" a="1"/>
  <c r="S42" i="83" s="1"/>
  <c r="S44" i="90" a="1"/>
  <c r="S44" i="90" s="1"/>
  <c r="S43" i="90" a="1"/>
  <c r="S43" i="90" s="1"/>
  <c r="L52" i="90" a="1"/>
  <c r="L52" i="90" s="1"/>
  <c r="L51" i="90" a="1"/>
  <c r="L51" i="90" s="1"/>
  <c r="P52" i="90" a="1"/>
  <c r="P52" i="90" s="1"/>
  <c r="P51" i="90" a="1"/>
  <c r="P51" i="90" s="1"/>
  <c r="T52" i="90" a="1"/>
  <c r="T52" i="90" s="1"/>
  <c r="T51" i="90" a="1"/>
  <c r="T51" i="90" s="1"/>
  <c r="L64" i="90" a="1"/>
  <c r="L64" i="90" s="1"/>
  <c r="L63" i="90" a="1"/>
  <c r="L63" i="90" s="1"/>
  <c r="P64" i="90" a="1"/>
  <c r="P64" i="90" s="1"/>
  <c r="P63" i="90" a="1"/>
  <c r="P63" i="90" s="1"/>
  <c r="T64" i="90" a="1"/>
  <c r="T64" i="90" s="1"/>
  <c r="T63" i="90" a="1"/>
  <c r="T63" i="90" s="1"/>
  <c r="K56" i="90" a="1"/>
  <c r="K56" i="90" s="1"/>
  <c r="K55" i="90" a="1"/>
  <c r="K55" i="90" s="1"/>
  <c r="O56" i="90" a="1"/>
  <c r="O56" i="90" s="1"/>
  <c r="O55" i="90" a="1"/>
  <c r="O55" i="90" s="1"/>
  <c r="S56" i="90" a="1"/>
  <c r="S56" i="90" s="1"/>
  <c r="S55" i="90" a="1"/>
  <c r="S55" i="90" s="1"/>
  <c r="I54" i="90" a="1"/>
  <c r="I54" i="90" s="1"/>
  <c r="I53" i="90" a="1"/>
  <c r="I53" i="90" s="1"/>
  <c r="M54" i="90" a="1"/>
  <c r="M54" i="90" s="1"/>
  <c r="M53" i="90" a="1"/>
  <c r="M53" i="90" s="1"/>
  <c r="Q54" i="90" a="1"/>
  <c r="Q54" i="90" s="1"/>
  <c r="Q53" i="90" a="1"/>
  <c r="Q53" i="90" s="1"/>
  <c r="K60" i="90" a="1"/>
  <c r="K60" i="90" s="1"/>
  <c r="K59" i="90" a="1"/>
  <c r="K59" i="90" s="1"/>
  <c r="O60" i="90" a="1"/>
  <c r="O60" i="90" s="1"/>
  <c r="O59" i="90" a="1"/>
  <c r="O59" i="90" s="1"/>
  <c r="S60" i="90" a="1"/>
  <c r="S60" i="90" s="1"/>
  <c r="S59" i="90" a="1"/>
  <c r="S59" i="90" s="1"/>
  <c r="I58" i="90" a="1"/>
  <c r="I58" i="90" s="1"/>
  <c r="I57" i="90" a="1"/>
  <c r="I57" i="90" s="1"/>
  <c r="M58" i="90" a="1"/>
  <c r="M58" i="90" s="1"/>
  <c r="M57" i="90" a="1"/>
  <c r="M57" i="90" s="1"/>
  <c r="Q58" i="90" a="1"/>
  <c r="Q58" i="90" s="1"/>
  <c r="Q57" i="90" a="1"/>
  <c r="Q57" i="90" s="1"/>
  <c r="I38" i="83" a="1"/>
  <c r="I38" i="83" s="1"/>
  <c r="I48" i="90" a="1"/>
  <c r="I48" i="90" s="1"/>
  <c r="I47" i="90" a="1"/>
  <c r="I47" i="90" s="1"/>
  <c r="P42" i="83" a="1"/>
  <c r="P42" i="83" s="1"/>
  <c r="P44" i="90" a="1"/>
  <c r="P44" i="90" s="1"/>
  <c r="P43" i="90" a="1"/>
  <c r="P43" i="90" s="1"/>
  <c r="M52" i="90" a="1"/>
  <c r="M52" i="90" s="1"/>
  <c r="M51" i="90" a="1"/>
  <c r="M51" i="90" s="1"/>
  <c r="I64" i="90" a="1"/>
  <c r="I64" i="90" s="1"/>
  <c r="I63" i="90" a="1"/>
  <c r="I63" i="90" s="1"/>
  <c r="T24" i="32"/>
  <c r="T56" i="90" a="1"/>
  <c r="T56" i="90" s="1"/>
  <c r="T55" i="90" a="1"/>
  <c r="T55" i="90" s="1"/>
  <c r="J54" i="90" a="1"/>
  <c r="J54" i="90" s="1"/>
  <c r="J53" i="90" a="1"/>
  <c r="J53" i="90" s="1"/>
  <c r="R54" i="90" a="1"/>
  <c r="R54" i="90" s="1"/>
  <c r="R53" i="90" a="1"/>
  <c r="R53" i="90" s="1"/>
  <c r="L60" i="90" a="1"/>
  <c r="L60" i="90" s="1"/>
  <c r="L59" i="90" a="1"/>
  <c r="L59" i="90" s="1"/>
  <c r="T60" i="90" a="1"/>
  <c r="T60" i="90" s="1"/>
  <c r="T59" i="90" a="1"/>
  <c r="T59" i="90" s="1"/>
  <c r="J58" i="90" a="1"/>
  <c r="J58" i="90" s="1"/>
  <c r="J57" i="90" a="1"/>
  <c r="J57" i="90" s="1"/>
  <c r="N58" i="90" a="1"/>
  <c r="N58" i="90" s="1"/>
  <c r="N57" i="90" a="1"/>
  <c r="N57" i="90" s="1"/>
  <c r="R58" i="90" a="1"/>
  <c r="R58" i="90" s="1"/>
  <c r="R57" i="90" a="1"/>
  <c r="R57" i="90" s="1"/>
  <c r="V8" i="80" a="1"/>
  <c r="V8" i="80" s="1"/>
  <c r="Q38" i="83" a="1"/>
  <c r="Q38" i="83" s="1"/>
  <c r="Q48" i="90" a="1"/>
  <c r="Q48" i="90" s="1"/>
  <c r="Q47" i="90" a="1"/>
  <c r="Q47" i="90" s="1"/>
  <c r="T42" i="83" a="1"/>
  <c r="T42" i="83" s="1"/>
  <c r="T44" i="90" a="1"/>
  <c r="T44" i="90" s="1"/>
  <c r="T43" i="90" a="1"/>
  <c r="T43" i="90" s="1"/>
  <c r="I52" i="90" a="1"/>
  <c r="I52" i="90" s="1"/>
  <c r="I51" i="90" a="1"/>
  <c r="I51" i="90" s="1"/>
  <c r="M64" i="90" a="1"/>
  <c r="M64" i="90" s="1"/>
  <c r="M63" i="90" a="1"/>
  <c r="M63" i="90" s="1"/>
  <c r="P60" i="90" a="1"/>
  <c r="P60" i="90" s="1"/>
  <c r="P59" i="90" a="1"/>
  <c r="P59" i="90" s="1"/>
  <c r="J24" i="27"/>
  <c r="J48" i="90" a="1"/>
  <c r="J48" i="90" s="1"/>
  <c r="J47" i="90" a="1"/>
  <c r="J47" i="90" s="1"/>
  <c r="N24" i="27"/>
  <c r="N48" i="90" a="1"/>
  <c r="N48" i="90" s="1"/>
  <c r="N47" i="90" a="1"/>
  <c r="N47" i="90" s="1"/>
  <c r="R24" i="27"/>
  <c r="R48" i="90" a="1"/>
  <c r="R48" i="90" s="1"/>
  <c r="R47" i="90" a="1"/>
  <c r="R47" i="90" s="1"/>
  <c r="V24" i="27"/>
  <c r="U28" i="27" s="1"/>
  <c r="V5" i="29"/>
  <c r="V7" i="29" s="1"/>
  <c r="V22" i="29" s="1"/>
  <c r="I42" i="83" a="1"/>
  <c r="I42" i="83" s="1"/>
  <c r="I44" i="90" a="1"/>
  <c r="I44" i="90" s="1"/>
  <c r="I43" i="90" a="1"/>
  <c r="I43" i="90" s="1"/>
  <c r="M44" i="90" a="1"/>
  <c r="M44" i="90" s="1"/>
  <c r="M43" i="90" a="1"/>
  <c r="M43" i="90" s="1"/>
  <c r="Q42" i="83" a="1"/>
  <c r="Q42" i="83" s="1"/>
  <c r="Q44" i="90" a="1"/>
  <c r="Q44" i="90" s="1"/>
  <c r="Q43" i="90" a="1"/>
  <c r="Q43" i="90" s="1"/>
  <c r="J52" i="90" a="1"/>
  <c r="J52" i="90" s="1"/>
  <c r="J51" i="90" a="1"/>
  <c r="J51" i="90" s="1"/>
  <c r="N52" i="90" a="1"/>
  <c r="N52" i="90" s="1"/>
  <c r="N51" i="90" a="1"/>
  <c r="N51" i="90" s="1"/>
  <c r="R52" i="90" a="1"/>
  <c r="R52" i="90" s="1"/>
  <c r="R51" i="90" a="1"/>
  <c r="R51" i="90" s="1"/>
  <c r="J64" i="90" a="1"/>
  <c r="J64" i="90" s="1"/>
  <c r="J63" i="90" a="1"/>
  <c r="J63" i="90" s="1"/>
  <c r="N64" i="90" a="1"/>
  <c r="N64" i="90" s="1"/>
  <c r="N63" i="90" a="1"/>
  <c r="N63" i="90" s="1"/>
  <c r="R64" i="90" a="1"/>
  <c r="R64" i="90" s="1"/>
  <c r="R63" i="90" a="1"/>
  <c r="R63" i="90" s="1"/>
  <c r="I56" i="90" a="1"/>
  <c r="I56" i="90" s="1"/>
  <c r="I55" i="90" a="1"/>
  <c r="I55" i="90" s="1"/>
  <c r="M56" i="90" a="1"/>
  <c r="M56" i="90" s="1"/>
  <c r="M55" i="90" a="1"/>
  <c r="M55" i="90" s="1"/>
  <c r="Q56" i="90" a="1"/>
  <c r="Q56" i="90" s="1"/>
  <c r="Q55" i="90" a="1"/>
  <c r="Q55" i="90" s="1"/>
  <c r="L42" i="85" a="1"/>
  <c r="L42" i="85" s="1"/>
  <c r="P43" i="85" a="1"/>
  <c r="P43" i="85" s="1"/>
  <c r="T42" i="85" a="1"/>
  <c r="T42" i="85" s="1"/>
  <c r="K54" i="90" a="1"/>
  <c r="K54" i="90" s="1"/>
  <c r="K53" i="90" a="1"/>
  <c r="K53" i="90" s="1"/>
  <c r="O54" i="90" a="1"/>
  <c r="O54" i="90" s="1"/>
  <c r="O53" i="90" a="1"/>
  <c r="O53" i="90" s="1"/>
  <c r="S54" i="90" a="1"/>
  <c r="S54" i="90" s="1"/>
  <c r="S53" i="90" a="1"/>
  <c r="S53" i="90" s="1"/>
  <c r="Q5" i="37"/>
  <c r="Q7" i="37" s="1"/>
  <c r="Q22" i="37" s="1"/>
  <c r="I60" i="90" a="1"/>
  <c r="I60" i="90" s="1"/>
  <c r="I59" i="90" a="1"/>
  <c r="I59" i="90" s="1"/>
  <c r="M60" i="90" a="1"/>
  <c r="M60" i="90" s="1"/>
  <c r="M59" i="90" a="1"/>
  <c r="M59" i="90" s="1"/>
  <c r="Q60" i="90" a="1"/>
  <c r="Q60" i="90" s="1"/>
  <c r="Q59" i="90" a="1"/>
  <c r="Q59" i="90" s="1"/>
  <c r="K58" i="90" a="1"/>
  <c r="K58" i="90" s="1"/>
  <c r="K57" i="90" a="1"/>
  <c r="K57" i="90" s="1"/>
  <c r="O58" i="90" a="1"/>
  <c r="O58" i="90" s="1"/>
  <c r="O57" i="90" a="1"/>
  <c r="O57" i="90" s="1"/>
  <c r="S58" i="90" a="1"/>
  <c r="S58" i="90" s="1"/>
  <c r="S57" i="90" a="1"/>
  <c r="S57" i="90" s="1"/>
  <c r="I62" i="90" a="1"/>
  <c r="I62" i="90" s="1"/>
  <c r="I61" i="90" a="1"/>
  <c r="I61" i="90" s="1"/>
  <c r="L62" i="90" a="1"/>
  <c r="L62" i="90" s="1"/>
  <c r="L61" i="90" a="1"/>
  <c r="L61" i="90" s="1"/>
  <c r="P62" i="90" a="1"/>
  <c r="P62" i="90" s="1"/>
  <c r="P61" i="90" a="1"/>
  <c r="P61" i="90" s="1"/>
  <c r="T62" i="90" a="1"/>
  <c r="T62" i="90" s="1"/>
  <c r="T61" i="90" a="1"/>
  <c r="T61" i="90" s="1"/>
  <c r="T35" i="83" a="1"/>
  <c r="T35" i="83" s="1"/>
  <c r="L36" i="83" a="1"/>
  <c r="L36" i="83" s="1"/>
  <c r="M62" i="90" a="1"/>
  <c r="M62" i="90" s="1"/>
  <c r="M61" i="90" a="1"/>
  <c r="M61" i="90" s="1"/>
  <c r="J62" i="90" a="1"/>
  <c r="J62" i="90" s="1"/>
  <c r="J61" i="90" a="1"/>
  <c r="J61" i="90" s="1"/>
  <c r="N62" i="90" a="1"/>
  <c r="N62" i="90" s="1"/>
  <c r="N61" i="90" a="1"/>
  <c r="N61" i="90" s="1"/>
  <c r="R62" i="90" a="1"/>
  <c r="R62" i="90" s="1"/>
  <c r="R61" i="90" a="1"/>
  <c r="R61" i="90" s="1"/>
  <c r="Q62" i="90" a="1"/>
  <c r="Q62" i="90" s="1"/>
  <c r="Q61" i="90" a="1"/>
  <c r="Q61" i="90" s="1"/>
  <c r="K61" i="90" a="1"/>
  <c r="K61" i="90" s="1"/>
  <c r="K62" i="90" a="1"/>
  <c r="K62" i="90" s="1"/>
  <c r="O62" i="90" a="1"/>
  <c r="O62" i="90" s="1"/>
  <c r="O61" i="90" a="1"/>
  <c r="O61" i="90" s="1"/>
  <c r="S62" i="90" a="1"/>
  <c r="S62" i="90" s="1"/>
  <c r="S61" i="90" a="1"/>
  <c r="S61" i="90" s="1"/>
  <c r="P35" i="83" a="1"/>
  <c r="P35" i="83" s="1"/>
  <c r="T36" i="83" a="1"/>
  <c r="T36" i="83" s="1"/>
  <c r="W24" i="38"/>
  <c r="V28" i="38" s="1"/>
  <c r="W26" i="38" s="1"/>
  <c r="R4" i="38"/>
  <c r="R6" i="38" s="1"/>
  <c r="R7" i="38" s="1"/>
  <c r="R22" i="38" s="1"/>
  <c r="I36" i="38" a="1"/>
  <c r="I36" i="38" s="1"/>
  <c r="I46" i="90" a="1"/>
  <c r="I46" i="90" s="1"/>
  <c r="I45" i="90" a="1"/>
  <c r="I45" i="90" s="1"/>
  <c r="M36" i="38" a="1"/>
  <c r="M36" i="38" s="1"/>
  <c r="M46" i="90" a="1"/>
  <c r="M46" i="90" s="1"/>
  <c r="M45" i="90" a="1"/>
  <c r="M45" i="90" s="1"/>
  <c r="Q36" i="38" a="1"/>
  <c r="Q36" i="38" s="1"/>
  <c r="Q46" i="90" a="1"/>
  <c r="Q46" i="90" s="1"/>
  <c r="Q45" i="90" a="1"/>
  <c r="Q45" i="90" s="1"/>
  <c r="O24" i="38"/>
  <c r="J46" i="90" a="1"/>
  <c r="J46" i="90" s="1"/>
  <c r="J45" i="90" a="1"/>
  <c r="J45" i="90" s="1"/>
  <c r="N46" i="90" a="1"/>
  <c r="N46" i="90" s="1"/>
  <c r="N45" i="90" a="1"/>
  <c r="N45" i="90" s="1"/>
  <c r="R46" i="90" a="1"/>
  <c r="R46" i="90" s="1"/>
  <c r="R45" i="90" a="1"/>
  <c r="R45" i="90" s="1"/>
  <c r="K36" i="38" a="1"/>
  <c r="K36" i="38" s="1"/>
  <c r="K46" i="90" a="1"/>
  <c r="K46" i="90" s="1"/>
  <c r="K45" i="90" a="1"/>
  <c r="K45" i="90" s="1"/>
  <c r="O35" i="38"/>
  <c r="O46" i="90" a="1"/>
  <c r="O46" i="90" s="1"/>
  <c r="O45" i="90" a="1"/>
  <c r="O45" i="90" s="1"/>
  <c r="S36" i="38" a="1"/>
  <c r="S36" i="38" s="1"/>
  <c r="S46" i="90" a="1"/>
  <c r="S46" i="90" s="1"/>
  <c r="S45" i="90" a="1"/>
  <c r="S45" i="90" s="1"/>
  <c r="S35" i="38"/>
  <c r="J4" i="38"/>
  <c r="J6" i="38" s="1"/>
  <c r="J7" i="38" s="1"/>
  <c r="J22" i="38" s="1"/>
  <c r="L46" i="90" a="1"/>
  <c r="L46" i="90" s="1"/>
  <c r="L45" i="90" a="1"/>
  <c r="L45" i="90" s="1"/>
  <c r="P46" i="90" a="1"/>
  <c r="P46" i="90" s="1"/>
  <c r="P45" i="90" a="1"/>
  <c r="P45" i="90" s="1"/>
  <c r="T46" i="90" a="1"/>
  <c r="T46" i="90" s="1"/>
  <c r="T45" i="90" a="1"/>
  <c r="T45" i="90" s="1"/>
  <c r="U52" i="93"/>
  <c r="U53" i="93" s="1"/>
  <c r="U13" i="90"/>
  <c r="V52" i="93"/>
  <c r="V53" i="93" s="1"/>
  <c r="H27" i="93"/>
  <c r="W30" i="93"/>
  <c r="W13" i="90" s="1"/>
  <c r="W52" i="92"/>
  <c r="W53" i="92" s="1"/>
  <c r="H21" i="92"/>
  <c r="U26" i="92"/>
  <c r="U27" i="92" s="1"/>
  <c r="U5" i="27"/>
  <c r="U7" i="27" s="1"/>
  <c r="U22" i="27" s="1"/>
  <c r="M35" i="27"/>
  <c r="U36" i="27" a="1"/>
  <c r="U36" i="27" s="1"/>
  <c r="P5" i="28"/>
  <c r="P7" i="28" s="1"/>
  <c r="P22" i="28" s="1"/>
  <c r="K40" i="83" a="1"/>
  <c r="K40" i="83" s="1"/>
  <c r="O40" i="83" a="1"/>
  <c r="O40" i="83" s="1"/>
  <c r="O39" i="83" a="1"/>
  <c r="O39" i="83" s="1"/>
  <c r="S40" i="83" a="1"/>
  <c r="S40" i="83" s="1"/>
  <c r="S39" i="83" a="1"/>
  <c r="S39" i="83" s="1"/>
  <c r="K24" i="28"/>
  <c r="M35" i="29"/>
  <c r="U36" i="29" a="1"/>
  <c r="U36" i="29" s="1"/>
  <c r="I39" i="85" a="1"/>
  <c r="I39" i="85" s="1"/>
  <c r="I38" i="85" a="1"/>
  <c r="I38" i="85" s="1"/>
  <c r="M8" i="30" a="1"/>
  <c r="M8" i="30" s="1"/>
  <c r="M39" i="85" a="1"/>
  <c r="M39" i="85" s="1"/>
  <c r="M38" i="85" a="1"/>
  <c r="M38" i="85" s="1"/>
  <c r="Q39" i="85" a="1"/>
  <c r="Q39" i="85" s="1"/>
  <c r="Q38" i="85" a="1"/>
  <c r="Q38" i="85" s="1"/>
  <c r="K41" i="85" a="1"/>
  <c r="K41" i="85" s="1"/>
  <c r="K40" i="85" a="1"/>
  <c r="K40" i="85" s="1"/>
  <c r="O41" i="85" a="1"/>
  <c r="O41" i="85" s="1"/>
  <c r="O40" i="85" a="1"/>
  <c r="O40" i="85" s="1"/>
  <c r="S41" i="85" a="1"/>
  <c r="S41" i="85" s="1"/>
  <c r="S40" i="85" a="1"/>
  <c r="S40" i="85" s="1"/>
  <c r="W35" i="31"/>
  <c r="O35" i="31"/>
  <c r="K42" i="85" a="1"/>
  <c r="K42" i="85" s="1"/>
  <c r="O43" i="85" a="1"/>
  <c r="O43" i="85" s="1"/>
  <c r="S42" i="85" a="1"/>
  <c r="S42" i="85" s="1"/>
  <c r="Q5" i="33"/>
  <c r="Q7" i="33" s="1"/>
  <c r="Q22" i="33" s="1"/>
  <c r="M8" i="33" a="1"/>
  <c r="M8" i="33" s="1"/>
  <c r="J38" i="84" a="1"/>
  <c r="J38" i="84" s="1"/>
  <c r="J37" i="84" a="1"/>
  <c r="J37" i="84" s="1"/>
  <c r="N38" i="84" a="1"/>
  <c r="N38" i="84" s="1"/>
  <c r="N37" i="84" a="1"/>
  <c r="N37" i="84" s="1"/>
  <c r="R38" i="84" a="1"/>
  <c r="R38" i="84" s="1"/>
  <c r="R37" i="84" a="1"/>
  <c r="R37" i="84" s="1"/>
  <c r="U5" i="36"/>
  <c r="U7" i="36" s="1"/>
  <c r="U22" i="36" s="1"/>
  <c r="I40" i="84" a="1"/>
  <c r="I40" i="84" s="1"/>
  <c r="I39" i="84" a="1"/>
  <c r="I39" i="84" s="1"/>
  <c r="M40" i="84" a="1"/>
  <c r="M40" i="84" s="1"/>
  <c r="M39" i="84" a="1"/>
  <c r="M39" i="84" s="1"/>
  <c r="Q40" i="84" a="1"/>
  <c r="Q40" i="84" s="1"/>
  <c r="Q39" i="84" a="1"/>
  <c r="Q39" i="84" s="1"/>
  <c r="P24" i="36"/>
  <c r="L42" i="84" a="1"/>
  <c r="L42" i="84" s="1"/>
  <c r="L41" i="84" a="1"/>
  <c r="L41" i="84" s="1"/>
  <c r="P42" i="84" a="1"/>
  <c r="P42" i="84" s="1"/>
  <c r="P41" i="84" a="1"/>
  <c r="P41" i="84" s="1"/>
  <c r="T42" i="84" a="1"/>
  <c r="T42" i="84" s="1"/>
  <c r="T41" i="84" a="1"/>
  <c r="T41" i="84" s="1"/>
  <c r="I35" i="38"/>
  <c r="Q35" i="38"/>
  <c r="L4" i="78"/>
  <c r="L6" i="78" s="1"/>
  <c r="L7" i="78" s="1"/>
  <c r="L22" i="78" s="1"/>
  <c r="I49" i="82" a="1"/>
  <c r="I49" i="82" s="1"/>
  <c r="I48" i="82" a="1"/>
  <c r="I48" i="82" s="1"/>
  <c r="M35" i="78"/>
  <c r="M49" i="82" a="1"/>
  <c r="M49" i="82" s="1"/>
  <c r="M48" i="82" a="1"/>
  <c r="M48" i="82" s="1"/>
  <c r="Q49" i="82" a="1"/>
  <c r="Q49" i="82" s="1"/>
  <c r="Q48" i="82" a="1"/>
  <c r="Q48" i="82" s="1"/>
  <c r="I8" i="79" a="1"/>
  <c r="I8" i="79" s="1"/>
  <c r="I51" i="82" a="1"/>
  <c r="I51" i="82" s="1"/>
  <c r="I50" i="82" a="1"/>
  <c r="I50" i="82" s="1"/>
  <c r="M8" i="79" a="1"/>
  <c r="M8" i="79" s="1"/>
  <c r="M51" i="82" a="1"/>
  <c r="M51" i="82" s="1"/>
  <c r="M50" i="82" a="1"/>
  <c r="M50" i="82" s="1"/>
  <c r="Q8" i="79" a="1"/>
  <c r="Q8" i="79" s="1"/>
  <c r="Q51" i="82" a="1"/>
  <c r="Q51" i="82" s="1"/>
  <c r="Q50" i="82" a="1"/>
  <c r="Q50" i="82" s="1"/>
  <c r="U8" i="79" a="1"/>
  <c r="U8" i="79" s="1"/>
  <c r="I24" i="80"/>
  <c r="I8" i="80" a="1"/>
  <c r="I8" i="80" s="1"/>
  <c r="I52" i="82" a="1"/>
  <c r="I52" i="82" s="1"/>
  <c r="I53" i="82" a="1"/>
  <c r="I53" i="82" s="1"/>
  <c r="M36" i="80" a="1"/>
  <c r="M36" i="80" s="1"/>
  <c r="M52" i="82" a="1"/>
  <c r="M52" i="82" s="1"/>
  <c r="M53" i="82" a="1"/>
  <c r="M53" i="82" s="1"/>
  <c r="M8" i="80" a="1"/>
  <c r="M8" i="80" s="1"/>
  <c r="Q24" i="80"/>
  <c r="Q52" i="82" a="1"/>
  <c r="Q52" i="82" s="1"/>
  <c r="Q53" i="82" a="1"/>
  <c r="Q53" i="82" s="1"/>
  <c r="U36" i="80" a="1"/>
  <c r="U36" i="80" s="1"/>
  <c r="U8" i="80" a="1"/>
  <c r="U8" i="80" s="1"/>
  <c r="J36" i="81" a="1"/>
  <c r="J36" i="81" s="1"/>
  <c r="J37" i="85" a="1"/>
  <c r="J37" i="85" s="1"/>
  <c r="J36" i="85" a="1"/>
  <c r="J36" i="85" s="1"/>
  <c r="J36" i="84" a="1"/>
  <c r="J36" i="84" s="1"/>
  <c r="J35" i="84" a="1"/>
  <c r="J35" i="84" s="1"/>
  <c r="N36" i="81" a="1"/>
  <c r="N36" i="81" s="1"/>
  <c r="N37" i="85" a="1"/>
  <c r="N37" i="85" s="1"/>
  <c r="N36" i="85" a="1"/>
  <c r="N36" i="85" s="1"/>
  <c r="N36" i="84" a="1"/>
  <c r="N36" i="84" s="1"/>
  <c r="N35" i="84" a="1"/>
  <c r="N35" i="84" s="1"/>
  <c r="R36" i="81" a="1"/>
  <c r="R36" i="81" s="1"/>
  <c r="R37" i="85" a="1"/>
  <c r="R37" i="85" s="1"/>
  <c r="R36" i="85" a="1"/>
  <c r="R36" i="85" s="1"/>
  <c r="R36" i="84" a="1"/>
  <c r="R36" i="84" s="1"/>
  <c r="R35" i="84" a="1"/>
  <c r="R35" i="84" s="1"/>
  <c r="L37" i="83" a="1"/>
  <c r="L37" i="83" s="1"/>
  <c r="P37" i="83" a="1"/>
  <c r="P37" i="83" s="1"/>
  <c r="T37" i="83" a="1"/>
  <c r="T37" i="83" s="1"/>
  <c r="L41" i="83" a="1"/>
  <c r="L41" i="83" s="1"/>
  <c r="P41" i="83" a="1"/>
  <c r="P41" i="83" s="1"/>
  <c r="T41" i="83" a="1"/>
  <c r="T41" i="83" s="1"/>
  <c r="K39" i="83" a="1"/>
  <c r="K39" i="83" s="1"/>
  <c r="P40" i="83" a="1"/>
  <c r="P40" i="83" s="1"/>
  <c r="P39" i="83" a="1"/>
  <c r="P39" i="83" s="1"/>
  <c r="J39" i="85" a="1"/>
  <c r="J39" i="85" s="1"/>
  <c r="J38" i="85" a="1"/>
  <c r="J38" i="85" s="1"/>
  <c r="N39" i="85" a="1"/>
  <c r="N39" i="85" s="1"/>
  <c r="N38" i="85" a="1"/>
  <c r="N38" i="85" s="1"/>
  <c r="R39" i="85" a="1"/>
  <c r="R39" i="85" s="1"/>
  <c r="R38" i="85" a="1"/>
  <c r="R38" i="85" s="1"/>
  <c r="L24" i="31"/>
  <c r="L41" i="85" a="1"/>
  <c r="L41" i="85" s="1"/>
  <c r="L40" i="85" a="1"/>
  <c r="L40" i="85" s="1"/>
  <c r="P24" i="31"/>
  <c r="P41" i="85" a="1"/>
  <c r="P41" i="85" s="1"/>
  <c r="P40" i="85" a="1"/>
  <c r="P40" i="85" s="1"/>
  <c r="T24" i="31"/>
  <c r="T41" i="85" a="1"/>
  <c r="T41" i="85" s="1"/>
  <c r="T40" i="85" a="1"/>
  <c r="T40" i="85" s="1"/>
  <c r="K38" i="84" a="1"/>
  <c r="K38" i="84" s="1"/>
  <c r="K37" i="84" a="1"/>
  <c r="K37" i="84" s="1"/>
  <c r="O38" i="84" a="1"/>
  <c r="O38" i="84" s="1"/>
  <c r="O37" i="84" a="1"/>
  <c r="O37" i="84" s="1"/>
  <c r="S38" i="84" a="1"/>
  <c r="S38" i="84" s="1"/>
  <c r="S37" i="84" a="1"/>
  <c r="S37" i="84" s="1"/>
  <c r="J40" i="84" a="1"/>
  <c r="J40" i="84" s="1"/>
  <c r="J39" i="84" a="1"/>
  <c r="J39" i="84" s="1"/>
  <c r="N40" i="84" a="1"/>
  <c r="N40" i="84" s="1"/>
  <c r="N39" i="84" a="1"/>
  <c r="N39" i="84" s="1"/>
  <c r="R40" i="84" a="1"/>
  <c r="R40" i="84" s="1"/>
  <c r="R39" i="84" a="1"/>
  <c r="R39" i="84" s="1"/>
  <c r="I24" i="37"/>
  <c r="I26" i="37" s="1"/>
  <c r="I42" i="84" a="1"/>
  <c r="I42" i="84" s="1"/>
  <c r="I41" i="84" a="1"/>
  <c r="I41" i="84" s="1"/>
  <c r="M8" i="37" a="1"/>
  <c r="M8" i="37" s="1"/>
  <c r="M42" i="84" a="1"/>
  <c r="M42" i="84" s="1"/>
  <c r="M41" i="84" a="1"/>
  <c r="M41" i="84" s="1"/>
  <c r="Q42" i="84" a="1"/>
  <c r="Q42" i="84" s="1"/>
  <c r="Q41" i="84" a="1"/>
  <c r="Q41" i="84" s="1"/>
  <c r="T4" i="38"/>
  <c r="T6" i="38" s="1"/>
  <c r="T7" i="38" s="1"/>
  <c r="T22" i="38" s="1"/>
  <c r="I24" i="38"/>
  <c r="Q24" i="38"/>
  <c r="M5" i="39"/>
  <c r="M7" i="39" s="1"/>
  <c r="M22" i="39" s="1"/>
  <c r="J36" i="78" a="1"/>
  <c r="J36" i="78" s="1"/>
  <c r="J49" i="82" a="1"/>
  <c r="J49" i="82" s="1"/>
  <c r="J48" i="82" a="1"/>
  <c r="J48" i="82" s="1"/>
  <c r="N49" i="82" a="1"/>
  <c r="N49" i="82" s="1"/>
  <c r="N48" i="82" a="1"/>
  <c r="N48" i="82" s="1"/>
  <c r="R36" i="78" a="1"/>
  <c r="R36" i="78" s="1"/>
  <c r="R49" i="82" a="1"/>
  <c r="R49" i="82" s="1"/>
  <c r="R48" i="82" a="1"/>
  <c r="R48" i="82" s="1"/>
  <c r="J24" i="79"/>
  <c r="J8" i="79" a="1"/>
  <c r="J8" i="79" s="1"/>
  <c r="J50" i="82" a="1"/>
  <c r="J50" i="82" s="1"/>
  <c r="J51" i="82" a="1"/>
  <c r="J51" i="82" s="1"/>
  <c r="N8" i="79" a="1"/>
  <c r="N8" i="79" s="1"/>
  <c r="N51" i="82" a="1"/>
  <c r="N51" i="82" s="1"/>
  <c r="N50" i="82" a="1"/>
  <c r="N50" i="82" s="1"/>
  <c r="R24" i="79"/>
  <c r="R8" i="79" a="1"/>
  <c r="R8" i="79" s="1"/>
  <c r="R51" i="82" a="1"/>
  <c r="R51" i="82" s="1"/>
  <c r="R50" i="82" a="1"/>
  <c r="R50" i="82" s="1"/>
  <c r="V36" i="79" a="1"/>
  <c r="V36" i="79" s="1"/>
  <c r="V8" i="79" a="1"/>
  <c r="V8" i="79" s="1"/>
  <c r="J36" i="80" a="1"/>
  <c r="J36" i="80" s="1"/>
  <c r="J53" i="82" a="1"/>
  <c r="J53" i="82" s="1"/>
  <c r="J8" i="80" a="1"/>
  <c r="J8" i="80" s="1"/>
  <c r="J52" i="82" a="1"/>
  <c r="J52" i="82" s="1"/>
  <c r="N8" i="80" a="1"/>
  <c r="N8" i="80" s="1"/>
  <c r="N52" i="82" a="1"/>
  <c r="N52" i="82" s="1"/>
  <c r="N53" i="82" a="1"/>
  <c r="N53" i="82" s="1"/>
  <c r="R53" i="82" a="1"/>
  <c r="R53" i="82" s="1"/>
  <c r="R8" i="80" a="1"/>
  <c r="R8" i="80" s="1"/>
  <c r="R52" i="82" a="1"/>
  <c r="R52" i="82" s="1"/>
  <c r="K35" i="81"/>
  <c r="K37" i="85" a="1"/>
  <c r="K37" i="85" s="1"/>
  <c r="K36" i="85" a="1"/>
  <c r="K36" i="85" s="1"/>
  <c r="K36" i="84" a="1"/>
  <c r="K36" i="84" s="1"/>
  <c r="K35" i="84" a="1"/>
  <c r="K35" i="84" s="1"/>
  <c r="O35" i="81"/>
  <c r="O37" i="85" a="1"/>
  <c r="O37" i="85" s="1"/>
  <c r="O36" i="85" a="1"/>
  <c r="O36" i="85" s="1"/>
  <c r="O36" i="84" a="1"/>
  <c r="O36" i="84" s="1"/>
  <c r="O35" i="84" a="1"/>
  <c r="O35" i="84" s="1"/>
  <c r="S35" i="81"/>
  <c r="S37" i="85" a="1"/>
  <c r="S37" i="85" s="1"/>
  <c r="S36" i="85" a="1"/>
  <c r="S36" i="85" s="1"/>
  <c r="S36" i="84" a="1"/>
  <c r="S36" i="84" s="1"/>
  <c r="S35" i="84" a="1"/>
  <c r="S35" i="84" s="1"/>
  <c r="I35" i="83" a="1"/>
  <c r="I35" i="83" s="1"/>
  <c r="M35" i="83" a="1"/>
  <c r="M35" i="83" s="1"/>
  <c r="Q35" i="83" a="1"/>
  <c r="Q35" i="83" s="1"/>
  <c r="I37" i="83" a="1"/>
  <c r="I37" i="83" s="1"/>
  <c r="M37" i="83" a="1"/>
  <c r="M37" i="83" s="1"/>
  <c r="Q37" i="83" a="1"/>
  <c r="Q37" i="83" s="1"/>
  <c r="M38" i="83" a="1"/>
  <c r="M38" i="83" s="1"/>
  <c r="I41" i="83" a="1"/>
  <c r="I41" i="83" s="1"/>
  <c r="M41" i="83" a="1"/>
  <c r="M41" i="83" s="1"/>
  <c r="Q41" i="83" a="1"/>
  <c r="Q41" i="83" s="1"/>
  <c r="M42" i="83" a="1"/>
  <c r="M42" i="83" s="1"/>
  <c r="L36" i="28" a="1"/>
  <c r="L36" i="28" s="1"/>
  <c r="L40" i="83" a="1"/>
  <c r="L40" i="83" s="1"/>
  <c r="K24" i="27"/>
  <c r="I24" i="28"/>
  <c r="I26" i="28" s="1"/>
  <c r="I40" i="83" a="1"/>
  <c r="I40" i="83" s="1"/>
  <c r="M24" i="28"/>
  <c r="M40" i="83" a="1"/>
  <c r="M40" i="83" s="1"/>
  <c r="Q24" i="28"/>
  <c r="Q40" i="83" a="1"/>
  <c r="Q40" i="83" s="1"/>
  <c r="Q39" i="83" a="1"/>
  <c r="Q39" i="83" s="1"/>
  <c r="U24" i="28"/>
  <c r="U25" i="28" s="1" a="1"/>
  <c r="U25" i="28" s="1"/>
  <c r="U35" i="28"/>
  <c r="K39" i="85" a="1"/>
  <c r="K39" i="85" s="1"/>
  <c r="K38" i="85" a="1"/>
  <c r="K38" i="85" s="1"/>
  <c r="O39" i="85" a="1"/>
  <c r="O39" i="85" s="1"/>
  <c r="O38" i="85" a="1"/>
  <c r="O38" i="85" s="1"/>
  <c r="S39" i="85" a="1"/>
  <c r="S39" i="85" s="1"/>
  <c r="S38" i="85" a="1"/>
  <c r="S38" i="85" s="1"/>
  <c r="I8" i="30" a="1"/>
  <c r="I8" i="30" s="1"/>
  <c r="Q24" i="30"/>
  <c r="U5" i="31"/>
  <c r="U7" i="31" s="1"/>
  <c r="U22" i="31" s="1"/>
  <c r="I41" i="85" a="1"/>
  <c r="I41" i="85" s="1"/>
  <c r="I40" i="85" a="1"/>
  <c r="I40" i="85" s="1"/>
  <c r="M8" i="31" a="1"/>
  <c r="M8" i="31" s="1"/>
  <c r="M41" i="85" a="1"/>
  <c r="M41" i="85" s="1"/>
  <c r="M40" i="85" a="1"/>
  <c r="M40" i="85" s="1"/>
  <c r="Q41" i="85" a="1"/>
  <c r="Q41" i="85" s="1"/>
  <c r="Q40" i="85" a="1"/>
  <c r="Q40" i="85" s="1"/>
  <c r="J43" i="85" a="1"/>
  <c r="J43" i="85" s="1"/>
  <c r="N24" i="32"/>
  <c r="N42" i="85" a="1"/>
  <c r="N42" i="85" s="1"/>
  <c r="R43" i="85" a="1"/>
  <c r="R43" i="85" s="1"/>
  <c r="V24" i="32"/>
  <c r="U28" i="32" s="1"/>
  <c r="I42" i="85" a="1"/>
  <c r="I42" i="85" s="1"/>
  <c r="M43" i="85" a="1"/>
  <c r="M43" i="85" s="1"/>
  <c r="Q42" i="85" a="1"/>
  <c r="Q42" i="85" s="1"/>
  <c r="O24" i="33"/>
  <c r="W24" i="33"/>
  <c r="V28" i="33" s="1"/>
  <c r="L38" i="84" a="1"/>
  <c r="L38" i="84" s="1"/>
  <c r="L37" i="84" a="1"/>
  <c r="L37" i="84" s="1"/>
  <c r="P38" i="84" a="1"/>
  <c r="P38" i="84" s="1"/>
  <c r="P37" i="84" a="1"/>
  <c r="P37" i="84" s="1"/>
  <c r="T38" i="84" a="1"/>
  <c r="T38" i="84" s="1"/>
  <c r="T37" i="84" a="1"/>
  <c r="T37" i="84" s="1"/>
  <c r="K40" i="84" a="1"/>
  <c r="K40" i="84" s="1"/>
  <c r="K39" i="84" a="1"/>
  <c r="K39" i="84" s="1"/>
  <c r="O24" i="36"/>
  <c r="O40" i="84" a="1"/>
  <c r="O40" i="84" s="1"/>
  <c r="O39" i="84" a="1"/>
  <c r="O39" i="84" s="1"/>
  <c r="S40" i="84" a="1"/>
  <c r="S40" i="84" s="1"/>
  <c r="S39" i="84" a="1"/>
  <c r="S39" i="84" s="1"/>
  <c r="W35" i="36"/>
  <c r="J42" i="84" a="1"/>
  <c r="J42" i="84" s="1"/>
  <c r="J41" i="84" a="1"/>
  <c r="J41" i="84" s="1"/>
  <c r="N42" i="84" a="1"/>
  <c r="N42" i="84" s="1"/>
  <c r="N41" i="84" a="1"/>
  <c r="N41" i="84" s="1"/>
  <c r="R24" i="37"/>
  <c r="R42" i="84" a="1"/>
  <c r="R42" i="84" s="1"/>
  <c r="R41" i="84" a="1"/>
  <c r="R41" i="84" s="1"/>
  <c r="L4" i="38"/>
  <c r="L6" i="38" s="1"/>
  <c r="L7" i="38" s="1"/>
  <c r="L22" i="38" s="1"/>
  <c r="K24" i="38"/>
  <c r="K25" i="38" s="1" a="1"/>
  <c r="K25" i="38" s="1"/>
  <c r="K31" i="38" s="1"/>
  <c r="S24" i="38"/>
  <c r="M35" i="38"/>
  <c r="U35" i="38"/>
  <c r="U5" i="39"/>
  <c r="U7" i="39" s="1"/>
  <c r="U22" i="39" s="1"/>
  <c r="M8" i="39" a="1"/>
  <c r="M8" i="39" s="1"/>
  <c r="K49" i="82" a="1"/>
  <c r="K49" i="82" s="1"/>
  <c r="K48" i="82" a="1"/>
  <c r="K48" i="82" s="1"/>
  <c r="O49" i="82" a="1"/>
  <c r="O49" i="82" s="1"/>
  <c r="O48" i="82" a="1"/>
  <c r="O48" i="82" s="1"/>
  <c r="S49" i="82" a="1"/>
  <c r="S49" i="82" s="1"/>
  <c r="S48" i="82" a="1"/>
  <c r="S48" i="82" s="1"/>
  <c r="K8" i="79" a="1"/>
  <c r="K8" i="79" s="1"/>
  <c r="K51" i="82" a="1"/>
  <c r="K51" i="82" s="1"/>
  <c r="K50" i="82" a="1"/>
  <c r="K50" i="82" s="1"/>
  <c r="O8" i="79" a="1"/>
  <c r="O8" i="79" s="1"/>
  <c r="O51" i="82" a="1"/>
  <c r="O51" i="82" s="1"/>
  <c r="O50" i="82" a="1"/>
  <c r="O50" i="82" s="1"/>
  <c r="S51" i="82" a="1"/>
  <c r="S51" i="82" s="1"/>
  <c r="S50" i="82" a="1"/>
  <c r="S50" i="82" s="1"/>
  <c r="W8" i="79" a="1"/>
  <c r="W8" i="79" s="1"/>
  <c r="K52" i="82" a="1"/>
  <c r="K52" i="82" s="1"/>
  <c r="K53" i="82" a="1"/>
  <c r="K53" i="82" s="1"/>
  <c r="K8" i="80" a="1"/>
  <c r="K8" i="80" s="1"/>
  <c r="O24" i="80"/>
  <c r="O53" i="82" a="1"/>
  <c r="O53" i="82" s="1"/>
  <c r="O52" i="82" a="1"/>
  <c r="O52" i="82" s="1"/>
  <c r="O8" i="80" a="1"/>
  <c r="O8" i="80" s="1"/>
  <c r="S8" i="80" a="1"/>
  <c r="S8" i="80" s="1"/>
  <c r="S53" i="82" a="1"/>
  <c r="S53" i="82" s="1"/>
  <c r="S52" i="82" a="1"/>
  <c r="S52" i="82" s="1"/>
  <c r="W8" i="80" a="1"/>
  <c r="W8" i="80" s="1"/>
  <c r="W4" i="81"/>
  <c r="W6" i="81" s="1"/>
  <c r="W7" i="81" s="1"/>
  <c r="W22" i="81" s="1"/>
  <c r="L35" i="81"/>
  <c r="L36" i="84" a="1"/>
  <c r="L36" i="84" s="1"/>
  <c r="L35" i="84" a="1"/>
  <c r="L35" i="84" s="1"/>
  <c r="L37" i="85" a="1"/>
  <c r="L37" i="85" s="1"/>
  <c r="L36" i="85" a="1"/>
  <c r="L36" i="85" s="1"/>
  <c r="P35" i="81"/>
  <c r="P36" i="84" a="1"/>
  <c r="P36" i="84" s="1"/>
  <c r="P35" i="84" a="1"/>
  <c r="P35" i="84" s="1"/>
  <c r="P37" i="85" a="1"/>
  <c r="P37" i="85" s="1"/>
  <c r="P36" i="85" a="1"/>
  <c r="P36" i="85" s="1"/>
  <c r="T35" i="81"/>
  <c r="T36" i="84" a="1"/>
  <c r="T36" i="84" s="1"/>
  <c r="T35" i="84" a="1"/>
  <c r="T35" i="84" s="1"/>
  <c r="T37" i="85" a="1"/>
  <c r="T37" i="85" s="1"/>
  <c r="T36" i="85" a="1"/>
  <c r="T36" i="85" s="1"/>
  <c r="J35" i="83" a="1"/>
  <c r="J35" i="83" s="1"/>
  <c r="N35" i="83" a="1"/>
  <c r="N35" i="83" s="1"/>
  <c r="R35" i="83" a="1"/>
  <c r="R35" i="83" s="1"/>
  <c r="J36" i="83" a="1"/>
  <c r="J36" i="83" s="1"/>
  <c r="N36" i="83" a="1"/>
  <c r="N36" i="83" s="1"/>
  <c r="R36" i="83" a="1"/>
  <c r="R36" i="83" s="1"/>
  <c r="J37" i="83" a="1"/>
  <c r="J37" i="83" s="1"/>
  <c r="N37" i="83" a="1"/>
  <c r="N37" i="83" s="1"/>
  <c r="R37" i="83" a="1"/>
  <c r="R37" i="83" s="1"/>
  <c r="J38" i="83" a="1"/>
  <c r="J38" i="83" s="1"/>
  <c r="N38" i="83" a="1"/>
  <c r="N38" i="83" s="1"/>
  <c r="R38" i="83" a="1"/>
  <c r="R38" i="83" s="1"/>
  <c r="J41" i="83" a="1"/>
  <c r="J41" i="83" s="1"/>
  <c r="N41" i="83" a="1"/>
  <c r="N41" i="83" s="1"/>
  <c r="R41" i="83" a="1"/>
  <c r="R41" i="83" s="1"/>
  <c r="I39" i="83" a="1"/>
  <c r="I39" i="83" s="1"/>
  <c r="M39" i="83" a="1"/>
  <c r="M39" i="83" s="1"/>
  <c r="T36" i="28" a="1"/>
  <c r="T36" i="28" s="1"/>
  <c r="T40" i="83" a="1"/>
  <c r="T40" i="83" s="1"/>
  <c r="T39" i="83" a="1"/>
  <c r="T39" i="83" s="1"/>
  <c r="H21" i="24"/>
  <c r="R4" i="27"/>
  <c r="R6" i="27" s="1"/>
  <c r="R7" i="27" s="1"/>
  <c r="R22" i="27" s="1"/>
  <c r="P24" i="27"/>
  <c r="S24" i="27"/>
  <c r="M8" i="28" a="1"/>
  <c r="M8" i="28" s="1"/>
  <c r="J40" i="83" a="1"/>
  <c r="J40" i="83" s="1"/>
  <c r="N40" i="83" a="1"/>
  <c r="N40" i="83" s="1"/>
  <c r="R40" i="83" a="1"/>
  <c r="R40" i="83" s="1"/>
  <c r="R39" i="83" a="1"/>
  <c r="R39" i="83" s="1"/>
  <c r="U36" i="28" a="1"/>
  <c r="U36" i="28" s="1"/>
  <c r="P24" i="29"/>
  <c r="L39" i="85" a="1"/>
  <c r="L39" i="85" s="1"/>
  <c r="L38" i="85" a="1"/>
  <c r="L38" i="85" s="1"/>
  <c r="P39" i="85" a="1"/>
  <c r="P39" i="85" s="1"/>
  <c r="P38" i="85" a="1"/>
  <c r="P38" i="85" s="1"/>
  <c r="T24" i="30"/>
  <c r="T39" i="85" a="1"/>
  <c r="T39" i="85" s="1"/>
  <c r="T38" i="85" a="1"/>
  <c r="T38" i="85" s="1"/>
  <c r="J24" i="31"/>
  <c r="J41" i="85" a="1"/>
  <c r="J41" i="85" s="1"/>
  <c r="J40" i="85" a="1"/>
  <c r="J40" i="85" s="1"/>
  <c r="N36" i="31" a="1"/>
  <c r="N36" i="31" s="1"/>
  <c r="N41" i="85" a="1"/>
  <c r="N41" i="85" s="1"/>
  <c r="N40" i="85" a="1"/>
  <c r="N40" i="85" s="1"/>
  <c r="R24" i="31"/>
  <c r="R41" i="85" a="1"/>
  <c r="R41" i="85" s="1"/>
  <c r="R40" i="85" a="1"/>
  <c r="R40" i="85" s="1"/>
  <c r="V36" i="31" a="1"/>
  <c r="V36" i="31" s="1"/>
  <c r="K36" i="32" a="1"/>
  <c r="K36" i="32" s="1"/>
  <c r="S36" i="32" a="1"/>
  <c r="S36" i="32" s="1"/>
  <c r="J42" i="85" a="1"/>
  <c r="J42" i="85" s="1"/>
  <c r="N43" i="85" a="1"/>
  <c r="N43" i="85" s="1"/>
  <c r="R42" i="85" a="1"/>
  <c r="R42" i="85" s="1"/>
  <c r="I24" i="32"/>
  <c r="I26" i="32" s="1"/>
  <c r="Q24" i="32"/>
  <c r="P24" i="33"/>
  <c r="I38" i="84" a="1"/>
  <c r="I38" i="84" s="1"/>
  <c r="I37" i="84" a="1"/>
  <c r="I37" i="84" s="1"/>
  <c r="M8" i="35" a="1"/>
  <c r="M8" i="35" s="1"/>
  <c r="M38" i="84" a="1"/>
  <c r="M38" i="84" s="1"/>
  <c r="M37" i="84" a="1"/>
  <c r="M37" i="84" s="1"/>
  <c r="Q38" i="84" a="1"/>
  <c r="Q38" i="84" s="1"/>
  <c r="Q37" i="84" a="1"/>
  <c r="Q37" i="84" s="1"/>
  <c r="L40" i="84" a="1"/>
  <c r="L40" i="84" s="1"/>
  <c r="L39" i="84" a="1"/>
  <c r="L39" i="84" s="1"/>
  <c r="P40" i="84" a="1"/>
  <c r="P40" i="84" s="1"/>
  <c r="P39" i="84" a="1"/>
  <c r="P39" i="84" s="1"/>
  <c r="T40" i="84" a="1"/>
  <c r="T40" i="84" s="1"/>
  <c r="T39" i="84" a="1"/>
  <c r="T39" i="84" s="1"/>
  <c r="K42" i="84" a="1"/>
  <c r="K42" i="84" s="1"/>
  <c r="K41" i="84" a="1"/>
  <c r="K41" i="84" s="1"/>
  <c r="O42" i="84" a="1"/>
  <c r="O42" i="84" s="1"/>
  <c r="O41" i="84" a="1"/>
  <c r="O41" i="84" s="1"/>
  <c r="S42" i="84" a="1"/>
  <c r="S42" i="84" s="1"/>
  <c r="S41" i="84" a="1"/>
  <c r="S41" i="84" s="1"/>
  <c r="P4" i="38"/>
  <c r="P6" i="38" s="1"/>
  <c r="P7" i="38" s="1"/>
  <c r="P22" i="38" s="1"/>
  <c r="M24" i="38"/>
  <c r="U24" i="38"/>
  <c r="J24" i="39"/>
  <c r="N24" i="39"/>
  <c r="R24" i="39"/>
  <c r="V24" i="39"/>
  <c r="U28" i="39" s="1"/>
  <c r="L49" i="82" a="1"/>
  <c r="L49" i="82" s="1"/>
  <c r="L48" i="82" a="1"/>
  <c r="L48" i="82" s="1"/>
  <c r="P24" i="78"/>
  <c r="P49" i="82" a="1"/>
  <c r="P49" i="82" s="1"/>
  <c r="P48" i="82" a="1"/>
  <c r="P48" i="82" s="1"/>
  <c r="T49" i="82" a="1"/>
  <c r="T49" i="82" s="1"/>
  <c r="T48" i="82" a="1"/>
  <c r="T48" i="82" s="1"/>
  <c r="K36" i="78" a="1"/>
  <c r="K36" i="78" s="1"/>
  <c r="O24" i="78"/>
  <c r="S36" i="78" a="1"/>
  <c r="S36" i="78" s="1"/>
  <c r="W24" i="78"/>
  <c r="L24" i="79"/>
  <c r="L8" i="79" a="1"/>
  <c r="L8" i="79" s="1"/>
  <c r="L51" i="82" a="1"/>
  <c r="L51" i="82" s="1"/>
  <c r="L50" i="82" a="1"/>
  <c r="L50" i="82" s="1"/>
  <c r="P24" i="79"/>
  <c r="P8" i="79" a="1"/>
  <c r="P8" i="79" s="1"/>
  <c r="P51" i="82" a="1"/>
  <c r="P51" i="82" s="1"/>
  <c r="P50" i="82" a="1"/>
  <c r="P50" i="82" s="1"/>
  <c r="T24" i="79"/>
  <c r="T8" i="79" a="1"/>
  <c r="T8" i="79" s="1"/>
  <c r="T51" i="82" a="1"/>
  <c r="T51" i="82" s="1"/>
  <c r="T50" i="82" a="1"/>
  <c r="T50" i="82" s="1"/>
  <c r="L35" i="80"/>
  <c r="L52" i="82" a="1"/>
  <c r="L52" i="82" s="1"/>
  <c r="L53" i="82" a="1"/>
  <c r="L53" i="82" s="1"/>
  <c r="L8" i="80" a="1"/>
  <c r="L8" i="80" s="1"/>
  <c r="P52" i="82" a="1"/>
  <c r="P52" i="82" s="1"/>
  <c r="P53" i="82" a="1"/>
  <c r="P53" i="82" s="1"/>
  <c r="P8" i="80" a="1"/>
  <c r="P8" i="80" s="1"/>
  <c r="T35" i="80"/>
  <c r="T52" i="82" a="1"/>
  <c r="T52" i="82" s="1"/>
  <c r="T8" i="80" a="1"/>
  <c r="T8" i="80" s="1"/>
  <c r="T53" i="82" a="1"/>
  <c r="T53" i="82" s="1"/>
  <c r="I36" i="81" a="1"/>
  <c r="I36" i="81" s="1"/>
  <c r="I37" i="85" a="1"/>
  <c r="I37" i="85" s="1"/>
  <c r="I36" i="85" a="1"/>
  <c r="I36" i="85" s="1"/>
  <c r="I36" i="84" a="1"/>
  <c r="I36" i="84" s="1"/>
  <c r="I35" i="84" a="1"/>
  <c r="I35" i="84" s="1"/>
  <c r="M36" i="81" a="1"/>
  <c r="M36" i="81" s="1"/>
  <c r="M37" i="85" a="1"/>
  <c r="M37" i="85" s="1"/>
  <c r="M36" i="85" a="1"/>
  <c r="M36" i="85" s="1"/>
  <c r="M36" i="84" a="1"/>
  <c r="M36" i="84" s="1"/>
  <c r="M35" i="84" a="1"/>
  <c r="M35" i="84" s="1"/>
  <c r="Q36" i="81" a="1"/>
  <c r="Q36" i="81" s="1"/>
  <c r="Q37" i="85" a="1"/>
  <c r="Q37" i="85" s="1"/>
  <c r="Q36" i="85" a="1"/>
  <c r="Q36" i="85" s="1"/>
  <c r="Q36" i="84" a="1"/>
  <c r="Q36" i="84" s="1"/>
  <c r="Q35" i="84" a="1"/>
  <c r="Q35" i="84" s="1"/>
  <c r="K35" i="83" a="1"/>
  <c r="K35" i="83" s="1"/>
  <c r="O35" i="83" a="1"/>
  <c r="O35" i="83" s="1"/>
  <c r="S35" i="83" a="1"/>
  <c r="S35" i="83" s="1"/>
  <c r="K36" i="83" a="1"/>
  <c r="K36" i="83" s="1"/>
  <c r="O36" i="83" a="1"/>
  <c r="O36" i="83" s="1"/>
  <c r="S36" i="83" a="1"/>
  <c r="S36" i="83" s="1"/>
  <c r="K37" i="83" a="1"/>
  <c r="K37" i="83" s="1"/>
  <c r="O37" i="83" a="1"/>
  <c r="O37" i="83" s="1"/>
  <c r="S37" i="83" a="1"/>
  <c r="S37" i="83" s="1"/>
  <c r="K38" i="83" a="1"/>
  <c r="K38" i="83" s="1"/>
  <c r="K41" i="83" a="1"/>
  <c r="K41" i="83" s="1"/>
  <c r="O41" i="83" a="1"/>
  <c r="O41" i="83" s="1"/>
  <c r="S41" i="83" a="1"/>
  <c r="S41" i="83" s="1"/>
  <c r="J39" i="83" a="1"/>
  <c r="J39" i="83" s="1"/>
  <c r="N39" i="83" a="1"/>
  <c r="N39" i="83" s="1"/>
  <c r="I24" i="86"/>
  <c r="M24" i="86"/>
  <c r="Q24" i="86"/>
  <c r="L35" i="87"/>
  <c r="P35" i="87"/>
  <c r="T35" i="87"/>
  <c r="K35" i="88"/>
  <c r="K59" i="82" a="1"/>
  <c r="K59" i="82" s="1"/>
  <c r="K58" i="82" a="1"/>
  <c r="K58" i="82" s="1"/>
  <c r="O35" i="88"/>
  <c r="O59" i="82" a="1"/>
  <c r="O59" i="82" s="1"/>
  <c r="O58" i="82" a="1"/>
  <c r="O58" i="82" s="1"/>
  <c r="S35" i="88"/>
  <c r="S59" i="82" a="1"/>
  <c r="S59" i="82" s="1"/>
  <c r="S58" i="82" a="1"/>
  <c r="S58" i="82" s="1"/>
  <c r="J24" i="86"/>
  <c r="N24" i="86"/>
  <c r="R24" i="86"/>
  <c r="T5" i="87"/>
  <c r="T7" i="87" s="1"/>
  <c r="T22" i="87" s="1"/>
  <c r="I24" i="87"/>
  <c r="M24" i="87"/>
  <c r="Q24" i="87"/>
  <c r="W24" i="87"/>
  <c r="V28" i="87" s="1"/>
  <c r="L35" i="88"/>
  <c r="L59" i="82" a="1"/>
  <c r="L59" i="82" s="1"/>
  <c r="L58" i="82" a="1"/>
  <c r="L58" i="82" s="1"/>
  <c r="P35" i="88"/>
  <c r="P59" i="82" a="1"/>
  <c r="P59" i="82" s="1"/>
  <c r="P58" i="82" a="1"/>
  <c r="P58" i="82" s="1"/>
  <c r="T35" i="88"/>
  <c r="T59" i="82" a="1"/>
  <c r="T59" i="82" s="1"/>
  <c r="T58" i="82" a="1"/>
  <c r="T58" i="82" s="1"/>
  <c r="K35" i="86"/>
  <c r="O35" i="86"/>
  <c r="S35" i="86"/>
  <c r="K55" i="82" a="1"/>
  <c r="K55" i="82" s="1"/>
  <c r="O55" i="82" a="1"/>
  <c r="O55" i="82" s="1"/>
  <c r="S55" i="82" a="1"/>
  <c r="S55" i="82" s="1"/>
  <c r="I24" i="88"/>
  <c r="I59" i="82" a="1"/>
  <c r="I59" i="82" s="1"/>
  <c r="I58" i="82" a="1"/>
  <c r="I58" i="82" s="1"/>
  <c r="M24" i="88"/>
  <c r="M59" i="82" a="1"/>
  <c r="M59" i="82" s="1"/>
  <c r="M58" i="82" a="1"/>
  <c r="M58" i="82" s="1"/>
  <c r="Q24" i="88"/>
  <c r="Q59" i="82" a="1"/>
  <c r="Q59" i="82" s="1"/>
  <c r="Q58" i="82" a="1"/>
  <c r="Q58" i="82" s="1"/>
  <c r="L35" i="86"/>
  <c r="P35" i="86"/>
  <c r="T35" i="86"/>
  <c r="T54" i="82" a="1"/>
  <c r="T54" i="82" s="1"/>
  <c r="K35" i="87"/>
  <c r="O35" i="87"/>
  <c r="S35" i="87"/>
  <c r="W36" i="87" a="1"/>
  <c r="W36" i="87" s="1"/>
  <c r="J24" i="88"/>
  <c r="J59" i="82" a="1"/>
  <c r="J59" i="82" s="1"/>
  <c r="J58" i="82" a="1"/>
  <c r="J58" i="82" s="1"/>
  <c r="N24" i="88"/>
  <c r="N59" i="82" a="1"/>
  <c r="N59" i="82" s="1"/>
  <c r="N58" i="82" a="1"/>
  <c r="N58" i="82" s="1"/>
  <c r="R24" i="88"/>
  <c r="R59" i="82" a="1"/>
  <c r="R59" i="82" s="1"/>
  <c r="R58" i="82" a="1"/>
  <c r="R58" i="82" s="1"/>
  <c r="O25" i="87" a="1"/>
  <c r="O25" i="87" s="1"/>
  <c r="O31" i="87" s="1"/>
  <c r="V28" i="89"/>
  <c r="S7" i="89"/>
  <c r="S22" i="89" s="1"/>
  <c r="K7" i="89"/>
  <c r="K22" i="89" s="1"/>
  <c r="I23" i="89"/>
  <c r="J23" i="89" s="1"/>
  <c r="T31" i="89"/>
  <c r="U28" i="89"/>
  <c r="V25" i="89" a="1"/>
  <c r="V25" i="89" s="1"/>
  <c r="L31" i="89"/>
  <c r="J25" i="89" a="1"/>
  <c r="J25" i="89" s="1"/>
  <c r="N25" i="89" a="1"/>
  <c r="N25" i="89" s="1"/>
  <c r="R25" i="89" a="1"/>
  <c r="R25" i="89" s="1"/>
  <c r="W7" i="89"/>
  <c r="W22" i="89" s="1"/>
  <c r="O7" i="89"/>
  <c r="O22" i="89" s="1"/>
  <c r="Q31" i="89"/>
  <c r="P31" i="89"/>
  <c r="O54" i="82" a="1"/>
  <c r="O54" i="82" s="1"/>
  <c r="S54" i="82" a="1"/>
  <c r="S54" i="82" s="1"/>
  <c r="K54" i="82" a="1"/>
  <c r="K54" i="82" s="1"/>
  <c r="L54" i="82" a="1"/>
  <c r="L54" i="82" s="1"/>
  <c r="P54" i="82" a="1"/>
  <c r="P54" i="82" s="1"/>
  <c r="L55" i="82" a="1"/>
  <c r="L55" i="82" s="1"/>
  <c r="P55" i="82" a="1"/>
  <c r="P55" i="82" s="1"/>
  <c r="T55" i="82" a="1"/>
  <c r="T55" i="82" s="1"/>
  <c r="I54" i="82" a="1"/>
  <c r="I54" i="82" s="1"/>
  <c r="M54" i="82" a="1"/>
  <c r="M54" i="82" s="1"/>
  <c r="Q54" i="82" a="1"/>
  <c r="Q54" i="82" s="1"/>
  <c r="I55" i="82" a="1"/>
  <c r="I55" i="82" s="1"/>
  <c r="M55" i="82" a="1"/>
  <c r="M55" i="82" s="1"/>
  <c r="Q55" i="82" a="1"/>
  <c r="Q55" i="82" s="1"/>
  <c r="J54" i="82" a="1"/>
  <c r="J54" i="82" s="1"/>
  <c r="N54" i="82" a="1"/>
  <c r="N54" i="82" s="1"/>
  <c r="R54" i="82" a="1"/>
  <c r="R54" i="82" s="1"/>
  <c r="J55" i="82" a="1"/>
  <c r="J55" i="82" s="1"/>
  <c r="N55" i="82" a="1"/>
  <c r="N55" i="82" s="1"/>
  <c r="R55" i="82" a="1"/>
  <c r="R55" i="82" s="1"/>
  <c r="P5" i="87"/>
  <c r="P7" i="87" s="1"/>
  <c r="P22" i="87" s="1"/>
  <c r="K4" i="87"/>
  <c r="K6" i="87" s="1"/>
  <c r="K7" i="87" s="1"/>
  <c r="K22" i="87" s="1"/>
  <c r="S4" i="87"/>
  <c r="S6" i="87" s="1"/>
  <c r="S7" i="87" s="1"/>
  <c r="S22" i="87" s="1"/>
  <c r="L5" i="87"/>
  <c r="L7" i="87" s="1"/>
  <c r="L22" i="87" s="1"/>
  <c r="S36" i="87" a="1"/>
  <c r="S36" i="87" s="1"/>
  <c r="N4" i="87"/>
  <c r="N6" i="87" s="1"/>
  <c r="N7" i="87" s="1"/>
  <c r="N22" i="87" s="1"/>
  <c r="V4" i="87"/>
  <c r="V6" i="87" s="1"/>
  <c r="V7" i="87" s="1"/>
  <c r="V22" i="87" s="1"/>
  <c r="O5" i="87"/>
  <c r="O7" i="87" s="1"/>
  <c r="O22" i="87" s="1"/>
  <c r="W5" i="87"/>
  <c r="W7" i="87" s="1"/>
  <c r="W22" i="87" s="1"/>
  <c r="K24" i="87"/>
  <c r="K25" i="87" s="1" a="1"/>
  <c r="K25" i="87" s="1"/>
  <c r="J4" i="87"/>
  <c r="J6" i="87" s="1"/>
  <c r="J7" i="87" s="1"/>
  <c r="J22" i="87" s="1"/>
  <c r="R4" i="87"/>
  <c r="R6" i="87" s="1"/>
  <c r="R7" i="87" s="1"/>
  <c r="R22" i="87" s="1"/>
  <c r="S24" i="87"/>
  <c r="O36" i="87" a="1"/>
  <c r="O36" i="87" s="1"/>
  <c r="S5" i="88"/>
  <c r="S7" i="88" s="1"/>
  <c r="S22" i="88" s="1"/>
  <c r="V4" i="88"/>
  <c r="V6" i="88" s="1"/>
  <c r="V7" i="88" s="1"/>
  <c r="V22" i="88" s="1"/>
  <c r="W5" i="88"/>
  <c r="W7" i="88" s="1"/>
  <c r="W22" i="88" s="1"/>
  <c r="J4" i="88"/>
  <c r="J6" i="88" s="1"/>
  <c r="J7" i="88" s="1"/>
  <c r="J22" i="88" s="1"/>
  <c r="K5" i="88"/>
  <c r="K7" i="88" s="1"/>
  <c r="K22" i="88" s="1"/>
  <c r="R4" i="88"/>
  <c r="R6" i="88" s="1"/>
  <c r="R7" i="88" s="1"/>
  <c r="R22" i="88" s="1"/>
  <c r="N4" i="88"/>
  <c r="N6" i="88" s="1"/>
  <c r="N7" i="88" s="1"/>
  <c r="N22" i="88" s="1"/>
  <c r="O5" i="88"/>
  <c r="O7" i="88" s="1"/>
  <c r="O22" i="88" s="1"/>
  <c r="U28" i="88"/>
  <c r="U26" i="88"/>
  <c r="D19" i="88"/>
  <c r="K24" i="88"/>
  <c r="O24" i="88"/>
  <c r="O25" i="88" s="1" a="1"/>
  <c r="O25" i="88" s="1"/>
  <c r="S24" i="88"/>
  <c r="S25" i="88" s="1" a="1"/>
  <c r="S25" i="88" s="1"/>
  <c r="W24" i="88"/>
  <c r="I35" i="88"/>
  <c r="M35" i="88"/>
  <c r="M25" i="88" s="1" a="1"/>
  <c r="M25" i="88" s="1"/>
  <c r="Q35" i="88"/>
  <c r="Q25" i="88" s="1" a="1"/>
  <c r="Q25" i="88" s="1"/>
  <c r="U35" i="88"/>
  <c r="U25" i="88" s="1" a="1"/>
  <c r="U25" i="88" s="1"/>
  <c r="I36" i="88" a="1"/>
  <c r="I36" i="88" s="1"/>
  <c r="K36" i="88" a="1"/>
  <c r="K36" i="88" s="1"/>
  <c r="M36" i="88" a="1"/>
  <c r="M36" i="88" s="1"/>
  <c r="O36" i="88" a="1"/>
  <c r="O36" i="88" s="1"/>
  <c r="Q36" i="88" a="1"/>
  <c r="Q36" i="88" s="1"/>
  <c r="S36" i="88" a="1"/>
  <c r="S36" i="88" s="1"/>
  <c r="U36" i="88" a="1"/>
  <c r="U36" i="88" s="1"/>
  <c r="W36" i="88" a="1"/>
  <c r="W36" i="88" s="1"/>
  <c r="L5" i="88"/>
  <c r="L7" i="88" s="1"/>
  <c r="L22" i="88" s="1"/>
  <c r="P5" i="88"/>
  <c r="P7" i="88" s="1"/>
  <c r="P22" i="88" s="1"/>
  <c r="T5" i="88"/>
  <c r="T7" i="88" s="1"/>
  <c r="T22" i="88" s="1"/>
  <c r="L24" i="88"/>
  <c r="P24" i="88"/>
  <c r="P25" i="88" s="1" a="1"/>
  <c r="P25" i="88" s="1"/>
  <c r="T24" i="88"/>
  <c r="T25" i="88" s="1" a="1"/>
  <c r="T25" i="88" s="1"/>
  <c r="J35" i="88"/>
  <c r="J25" i="88" s="1" a="1"/>
  <c r="J25" i="88" s="1"/>
  <c r="N35" i="88"/>
  <c r="R35" i="88"/>
  <c r="R25" i="88" s="1" a="1"/>
  <c r="R25" i="88" s="1"/>
  <c r="V35" i="88"/>
  <c r="V25" i="88" s="1" a="1"/>
  <c r="V25" i="88" s="1"/>
  <c r="I5" i="88"/>
  <c r="I7" i="88" s="1"/>
  <c r="I22" i="88" s="1"/>
  <c r="M5" i="88"/>
  <c r="M7" i="88" s="1"/>
  <c r="M22" i="88" s="1"/>
  <c r="Q5" i="88"/>
  <c r="Q7" i="88" s="1"/>
  <c r="Q22" i="88" s="1"/>
  <c r="U5" i="88"/>
  <c r="U7" i="88" s="1"/>
  <c r="U22" i="88" s="1"/>
  <c r="D9" i="88"/>
  <c r="D18" i="88" s="1"/>
  <c r="E18" i="88" s="1"/>
  <c r="J36" i="88" a="1"/>
  <c r="J36" i="88" s="1"/>
  <c r="L36" i="88" a="1"/>
  <c r="L36" i="88" s="1"/>
  <c r="N36" i="88" a="1"/>
  <c r="N36" i="88" s="1"/>
  <c r="P36" i="88" a="1"/>
  <c r="P36" i="88" s="1"/>
  <c r="R36" i="88" a="1"/>
  <c r="R36" i="88" s="1"/>
  <c r="T36" i="88" a="1"/>
  <c r="T36" i="88" s="1"/>
  <c r="V36" i="88" a="1"/>
  <c r="V36" i="88" s="1"/>
  <c r="B18" i="88"/>
  <c r="C18" i="88" s="1"/>
  <c r="J24" i="87"/>
  <c r="J36" i="87" a="1"/>
  <c r="J36" i="87" s="1"/>
  <c r="J35" i="87"/>
  <c r="N24" i="87"/>
  <c r="N36" i="87" a="1"/>
  <c r="N36" i="87" s="1"/>
  <c r="N35" i="87"/>
  <c r="R24" i="87"/>
  <c r="R36" i="87" a="1"/>
  <c r="R36" i="87" s="1"/>
  <c r="R35" i="87"/>
  <c r="V24" i="87"/>
  <c r="V36" i="87" a="1"/>
  <c r="V36" i="87" s="1"/>
  <c r="V35" i="87"/>
  <c r="I4" i="87"/>
  <c r="I6" i="87" s="1"/>
  <c r="I5" i="87"/>
  <c r="M4" i="87"/>
  <c r="M6" i="87" s="1"/>
  <c r="M5" i="87"/>
  <c r="Q4" i="87"/>
  <c r="Q6" i="87" s="1"/>
  <c r="Q5" i="87"/>
  <c r="U4" i="87"/>
  <c r="U6" i="87" s="1"/>
  <c r="U5" i="87"/>
  <c r="W25" i="87" a="1"/>
  <c r="W25" i="87" s="1"/>
  <c r="I36" i="87" a="1"/>
  <c r="I36" i="87" s="1"/>
  <c r="I35" i="87"/>
  <c r="M35" i="87"/>
  <c r="M36" i="87" a="1"/>
  <c r="M36" i="87" s="1"/>
  <c r="Q36" i="87" a="1"/>
  <c r="Q36" i="87" s="1"/>
  <c r="Q35" i="87"/>
  <c r="U36" i="87" a="1"/>
  <c r="U36" i="87" s="1"/>
  <c r="U35" i="87"/>
  <c r="L24" i="87"/>
  <c r="L25" i="87" s="1" a="1"/>
  <c r="L25" i="87" s="1"/>
  <c r="P24" i="87"/>
  <c r="T24" i="87"/>
  <c r="T25" i="87" s="1" a="1"/>
  <c r="T25" i="87" s="1"/>
  <c r="D9" i="87"/>
  <c r="D18" i="87" s="1"/>
  <c r="E18" i="87" s="1"/>
  <c r="L36" i="87" a="1"/>
  <c r="L36" i="87" s="1"/>
  <c r="P36" i="87" a="1"/>
  <c r="P36" i="87" s="1"/>
  <c r="T36" i="87" a="1"/>
  <c r="T36" i="87" s="1"/>
  <c r="B18" i="87"/>
  <c r="C18" i="87" s="1"/>
  <c r="U28" i="86"/>
  <c r="J4" i="86"/>
  <c r="J6" i="86" s="1"/>
  <c r="J7" i="86" s="1"/>
  <c r="J22" i="86" s="1"/>
  <c r="N4" i="86"/>
  <c r="N6" i="86" s="1"/>
  <c r="N7" i="86" s="1"/>
  <c r="N22" i="86" s="1"/>
  <c r="R4" i="86"/>
  <c r="R6" i="86" s="1"/>
  <c r="R7" i="86" s="1"/>
  <c r="R22" i="86" s="1"/>
  <c r="V4" i="86"/>
  <c r="V6" i="86" s="1"/>
  <c r="V7" i="86" s="1"/>
  <c r="V22" i="86" s="1"/>
  <c r="K5" i="86"/>
  <c r="K7" i="86" s="1"/>
  <c r="K22" i="86" s="1"/>
  <c r="O5" i="86"/>
  <c r="O7" i="86" s="1"/>
  <c r="O22" i="86" s="1"/>
  <c r="S5" i="86"/>
  <c r="S7" i="86" s="1"/>
  <c r="S22" i="86" s="1"/>
  <c r="W5" i="86"/>
  <c r="W7" i="86" s="1"/>
  <c r="W22" i="86" s="1"/>
  <c r="D19" i="86"/>
  <c r="K24" i="86"/>
  <c r="O24" i="86"/>
  <c r="O25" i="86" s="1" a="1"/>
  <c r="O25" i="86" s="1"/>
  <c r="S24" i="86"/>
  <c r="S25" i="86" s="1" a="1"/>
  <c r="S25" i="86" s="1"/>
  <c r="W24" i="86"/>
  <c r="I35" i="86"/>
  <c r="M35" i="86"/>
  <c r="M25" i="86" s="1" a="1"/>
  <c r="M25" i="86" s="1"/>
  <c r="Q35" i="86"/>
  <c r="Q25" i="86" s="1" a="1"/>
  <c r="Q25" i="86" s="1"/>
  <c r="U35" i="86"/>
  <c r="U25" i="86" s="1" a="1"/>
  <c r="U25" i="86" s="1"/>
  <c r="I36" i="86" a="1"/>
  <c r="I36" i="86" s="1"/>
  <c r="K36" i="86" a="1"/>
  <c r="K36" i="86" s="1"/>
  <c r="M36" i="86" a="1"/>
  <c r="M36" i="86" s="1"/>
  <c r="O36" i="86" a="1"/>
  <c r="O36" i="86" s="1"/>
  <c r="Q36" i="86" a="1"/>
  <c r="Q36" i="86" s="1"/>
  <c r="S36" i="86" a="1"/>
  <c r="S36" i="86" s="1"/>
  <c r="U36" i="86" a="1"/>
  <c r="U36" i="86" s="1"/>
  <c r="W36" i="86" a="1"/>
  <c r="W36" i="86" s="1"/>
  <c r="L5" i="86"/>
  <c r="L7" i="86" s="1"/>
  <c r="L22" i="86" s="1"/>
  <c r="P5" i="86"/>
  <c r="P7" i="86" s="1"/>
  <c r="P22" i="86" s="1"/>
  <c r="T5" i="86"/>
  <c r="T7" i="86" s="1"/>
  <c r="T22" i="86" s="1"/>
  <c r="L24" i="86"/>
  <c r="P24" i="86"/>
  <c r="T24" i="86"/>
  <c r="T25" i="86" s="1" a="1"/>
  <c r="T25" i="86" s="1"/>
  <c r="J35" i="86"/>
  <c r="J25" i="86" s="1" a="1"/>
  <c r="J25" i="86" s="1"/>
  <c r="N35" i="86"/>
  <c r="R35" i="86"/>
  <c r="R25" i="86" s="1" a="1"/>
  <c r="R25" i="86" s="1"/>
  <c r="V35" i="86"/>
  <c r="V25" i="86" s="1" a="1"/>
  <c r="V25" i="86" s="1"/>
  <c r="I5" i="86"/>
  <c r="I7" i="86" s="1"/>
  <c r="I22" i="86" s="1"/>
  <c r="M5" i="86"/>
  <c r="M7" i="86" s="1"/>
  <c r="M22" i="86" s="1"/>
  <c r="Q5" i="86"/>
  <c r="Q7" i="86" s="1"/>
  <c r="Q22" i="86" s="1"/>
  <c r="U5" i="86"/>
  <c r="U7" i="86" s="1"/>
  <c r="U22" i="86" s="1"/>
  <c r="D9" i="86"/>
  <c r="D18" i="86" s="1"/>
  <c r="E18" i="86" s="1"/>
  <c r="J36" i="86" a="1"/>
  <c r="J36" i="86" s="1"/>
  <c r="L36" i="86" a="1"/>
  <c r="L36" i="86" s="1"/>
  <c r="N36" i="86" a="1"/>
  <c r="N36" i="86" s="1"/>
  <c r="P36" i="86" a="1"/>
  <c r="P36" i="86" s="1"/>
  <c r="R36" i="86" a="1"/>
  <c r="R36" i="86" s="1"/>
  <c r="T36" i="86" a="1"/>
  <c r="T36" i="86" s="1"/>
  <c r="V36" i="86" a="1"/>
  <c r="V36" i="86" s="1"/>
  <c r="B18" i="86"/>
  <c r="C18" i="86" s="1"/>
  <c r="P4" i="80"/>
  <c r="P6" i="80" s="1"/>
  <c r="P7" i="80" s="1"/>
  <c r="P22" i="80" s="1"/>
  <c r="I5" i="80"/>
  <c r="I7" i="80" s="1"/>
  <c r="I22" i="80" s="1"/>
  <c r="I23" i="80" s="1"/>
  <c r="R36" i="80" a="1"/>
  <c r="R36" i="80" s="1"/>
  <c r="J24" i="80"/>
  <c r="R24" i="80"/>
  <c r="M8" i="32" a="1"/>
  <c r="M8" i="32" s="1"/>
  <c r="M42" i="85" a="1"/>
  <c r="M42" i="85" s="1"/>
  <c r="I43" i="85" a="1"/>
  <c r="I43" i="85" s="1"/>
  <c r="Q43" i="85" a="1"/>
  <c r="Q43" i="85" s="1"/>
  <c r="O42" i="85" a="1"/>
  <c r="O42" i="85" s="1"/>
  <c r="K43" i="85" a="1"/>
  <c r="K43" i="85" s="1"/>
  <c r="S43" i="85" a="1"/>
  <c r="S43" i="85" s="1"/>
  <c r="P42" i="85" a="1"/>
  <c r="P42" i="85" s="1"/>
  <c r="L43" i="85" a="1"/>
  <c r="L43" i="85" s="1"/>
  <c r="T43" i="85" a="1"/>
  <c r="T43" i="85" s="1"/>
  <c r="S24" i="24"/>
  <c r="T4" i="24"/>
  <c r="T6" i="24" s="1"/>
  <c r="T7" i="24" s="1"/>
  <c r="T22" i="24" s="1"/>
  <c r="T24" i="24"/>
  <c r="L24" i="24"/>
  <c r="N24" i="24"/>
  <c r="J24" i="24"/>
  <c r="R24" i="24"/>
  <c r="W24" i="24"/>
  <c r="V28" i="24" s="1"/>
  <c r="W26" i="24" s="1"/>
  <c r="U24" i="24"/>
  <c r="U26" i="24" s="1"/>
  <c r="L36" i="24" a="1"/>
  <c r="L36" i="24" s="1"/>
  <c r="J33" i="83" a="1"/>
  <c r="J33" i="83" s="1"/>
  <c r="R33" i="83" a="1"/>
  <c r="R33" i="83" s="1"/>
  <c r="N34" i="83" a="1"/>
  <c r="N34" i="83" s="1"/>
  <c r="N33" i="84" a="1"/>
  <c r="N33" i="84" s="1"/>
  <c r="J34" i="84" a="1"/>
  <c r="J34" i="84" s="1"/>
  <c r="R34" i="84" a="1"/>
  <c r="R34" i="84" s="1"/>
  <c r="P34" i="85" a="1"/>
  <c r="P34" i="85" s="1"/>
  <c r="L35" i="85" a="1"/>
  <c r="L35" i="85" s="1"/>
  <c r="T35" i="85" a="1"/>
  <c r="T35" i="85" s="1"/>
  <c r="I5" i="24"/>
  <c r="I7" i="24" s="1"/>
  <c r="I22" i="24" s="1"/>
  <c r="I26" i="24" s="1"/>
  <c r="V24" i="24"/>
  <c r="U28" i="24" s="1"/>
  <c r="V26" i="24" s="1"/>
  <c r="L35" i="24"/>
  <c r="N36" i="24" a="1"/>
  <c r="N36" i="24" s="1"/>
  <c r="K33" i="83" a="1"/>
  <c r="K33" i="83" s="1"/>
  <c r="S33" i="83" a="1"/>
  <c r="S33" i="83" s="1"/>
  <c r="O34" i="83" a="1"/>
  <c r="O34" i="83" s="1"/>
  <c r="O33" i="84" a="1"/>
  <c r="O33" i="84" s="1"/>
  <c r="K34" i="84" a="1"/>
  <c r="K34" i="84" s="1"/>
  <c r="S34" i="84" a="1"/>
  <c r="S34" i="84" s="1"/>
  <c r="I34" i="85" a="1"/>
  <c r="I34" i="85" s="1"/>
  <c r="Q34" i="85" a="1"/>
  <c r="Q34" i="85" s="1"/>
  <c r="M35" i="85" a="1"/>
  <c r="M35" i="85" s="1"/>
  <c r="N35" i="24"/>
  <c r="O36" i="24" a="1"/>
  <c r="O36" i="24" s="1"/>
  <c r="L33" i="83" a="1"/>
  <c r="L33" i="83" s="1"/>
  <c r="T33" i="83" a="1"/>
  <c r="T33" i="83" s="1"/>
  <c r="P34" i="83" a="1"/>
  <c r="P34" i="83" s="1"/>
  <c r="P33" i="84" a="1"/>
  <c r="P33" i="84" s="1"/>
  <c r="L34" i="84" a="1"/>
  <c r="L34" i="84" s="1"/>
  <c r="T34" i="84" a="1"/>
  <c r="T34" i="84" s="1"/>
  <c r="J34" i="85" a="1"/>
  <c r="J34" i="85" s="1"/>
  <c r="R34" i="85" a="1"/>
  <c r="R34" i="85" s="1"/>
  <c r="N35" i="85" a="1"/>
  <c r="N35" i="85" s="1"/>
  <c r="O35" i="24"/>
  <c r="O25" i="24" s="1" a="1"/>
  <c r="O25" i="24" s="1"/>
  <c r="O31" i="24" s="1"/>
  <c r="T36" i="24" a="1"/>
  <c r="T36" i="24" s="1"/>
  <c r="M33" i="83" a="1"/>
  <c r="M33" i="83" s="1"/>
  <c r="I34" i="83" a="1"/>
  <c r="I34" i="83" s="1"/>
  <c r="Q34" i="83" a="1"/>
  <c r="Q34" i="83" s="1"/>
  <c r="I33" i="84" a="1"/>
  <c r="I33" i="84" s="1"/>
  <c r="Q33" i="84" a="1"/>
  <c r="Q33" i="84" s="1"/>
  <c r="M34" i="84" a="1"/>
  <c r="M34" i="84" s="1"/>
  <c r="K34" i="85" a="1"/>
  <c r="K34" i="85" s="1"/>
  <c r="S34" i="85" a="1"/>
  <c r="S34" i="85" s="1"/>
  <c r="O35" i="85" a="1"/>
  <c r="O35" i="85" s="1"/>
  <c r="R4" i="24"/>
  <c r="R6" i="24" s="1"/>
  <c r="R7" i="24" s="1"/>
  <c r="R22" i="24" s="1"/>
  <c r="M24" i="24"/>
  <c r="T35" i="24"/>
  <c r="V36" i="24" a="1"/>
  <c r="V36" i="24" s="1"/>
  <c r="N33" i="83" a="1"/>
  <c r="N33" i="83" s="1"/>
  <c r="J34" i="83" a="1"/>
  <c r="J34" i="83" s="1"/>
  <c r="R34" i="83" a="1"/>
  <c r="R34" i="83" s="1"/>
  <c r="J33" i="84" a="1"/>
  <c r="J33" i="84" s="1"/>
  <c r="R33" i="84" a="1"/>
  <c r="R33" i="84" s="1"/>
  <c r="N34" i="84" a="1"/>
  <c r="N34" i="84" s="1"/>
  <c r="L34" i="85" a="1"/>
  <c r="L34" i="85" s="1"/>
  <c r="T34" i="85" a="1"/>
  <c r="T34" i="85" s="1"/>
  <c r="P35" i="85" a="1"/>
  <c r="P35" i="85" s="1"/>
  <c r="W36" i="24" a="1"/>
  <c r="W36" i="24" s="1"/>
  <c r="O33" i="83" a="1"/>
  <c r="O33" i="83" s="1"/>
  <c r="K34" i="83" a="1"/>
  <c r="K34" i="83" s="1"/>
  <c r="S34" i="83" a="1"/>
  <c r="S34" i="83" s="1"/>
  <c r="K33" i="84" a="1"/>
  <c r="K33" i="84" s="1"/>
  <c r="S33" i="84" a="1"/>
  <c r="S33" i="84" s="1"/>
  <c r="O34" i="84" a="1"/>
  <c r="O34" i="84" s="1"/>
  <c r="M34" i="85" a="1"/>
  <c r="M34" i="85" s="1"/>
  <c r="I35" i="85" a="1"/>
  <c r="I35" i="85" s="1"/>
  <c r="Q35" i="85" a="1"/>
  <c r="Q35" i="85" s="1"/>
  <c r="W35" i="24"/>
  <c r="P33" i="83" a="1"/>
  <c r="P33" i="83" s="1"/>
  <c r="L34" i="83" a="1"/>
  <c r="L34" i="83" s="1"/>
  <c r="T34" i="83" a="1"/>
  <c r="T34" i="83" s="1"/>
  <c r="T33" i="84" a="1"/>
  <c r="T33" i="84" s="1"/>
  <c r="P34" i="84" a="1"/>
  <c r="P34" i="84" s="1"/>
  <c r="J35" i="85" a="1"/>
  <c r="J35" i="85" s="1"/>
  <c r="R35" i="85" a="1"/>
  <c r="R35" i="85" s="1"/>
  <c r="I33" i="83" a="1"/>
  <c r="I33" i="83" s="1"/>
  <c r="Q33" i="83" a="1"/>
  <c r="Q33" i="83" s="1"/>
  <c r="M34" i="83" a="1"/>
  <c r="M34" i="83" s="1"/>
  <c r="M33" i="84" a="1"/>
  <c r="M33" i="84" s="1"/>
  <c r="I34" i="84" a="1"/>
  <c r="I34" i="84" s="1"/>
  <c r="Q34" i="84" a="1"/>
  <c r="Q34" i="84" s="1"/>
  <c r="O34" i="85" a="1"/>
  <c r="O34" i="85" s="1"/>
  <c r="K35" i="85" a="1"/>
  <c r="K35" i="85" s="1"/>
  <c r="S35" i="85" a="1"/>
  <c r="S35" i="85" s="1"/>
  <c r="D18" i="24"/>
  <c r="E18" i="24" s="1"/>
  <c r="C10" i="85"/>
  <c r="I29" i="85" s="1"/>
  <c r="J29" i="85" s="1"/>
  <c r="K29" i="85" s="1"/>
  <c r="L29" i="85" s="1"/>
  <c r="M29" i="85" s="1"/>
  <c r="N29" i="85" s="1"/>
  <c r="O29" i="85" s="1"/>
  <c r="P29" i="85" s="1"/>
  <c r="Q29" i="85" s="1"/>
  <c r="R29" i="85" s="1"/>
  <c r="S29" i="85" s="1"/>
  <c r="T29" i="85" s="1"/>
  <c r="U29" i="85" s="1"/>
  <c r="V29" i="85" s="1"/>
  <c r="W29" i="85" s="1"/>
  <c r="C9" i="84"/>
  <c r="I28" i="84" s="1"/>
  <c r="J28" i="84" s="1"/>
  <c r="K28" i="84" s="1"/>
  <c r="L28" i="84" s="1"/>
  <c r="M28" i="84" s="1"/>
  <c r="N28" i="84" s="1"/>
  <c r="O28" i="84" s="1"/>
  <c r="P28" i="84" s="1"/>
  <c r="Q28" i="84" s="1"/>
  <c r="R28" i="84" s="1"/>
  <c r="S28" i="84" s="1"/>
  <c r="T28" i="84" s="1"/>
  <c r="U28" i="84" s="1"/>
  <c r="V28" i="84" s="1"/>
  <c r="W28" i="84" s="1"/>
  <c r="H29" i="83"/>
  <c r="C9" i="83"/>
  <c r="I28" i="83" s="1"/>
  <c r="J28" i="83" s="1"/>
  <c r="K28" i="83" s="1"/>
  <c r="L28" i="83" s="1"/>
  <c r="M28" i="83" s="1"/>
  <c r="N28" i="83" s="1"/>
  <c r="O28" i="83" s="1"/>
  <c r="P28" i="83" s="1"/>
  <c r="Q28" i="83" s="1"/>
  <c r="R28" i="83" s="1"/>
  <c r="S28" i="83" s="1"/>
  <c r="T28" i="83" s="1"/>
  <c r="U28" i="83" s="1"/>
  <c r="V28" i="83" s="1"/>
  <c r="W28" i="83" s="1"/>
  <c r="C14" i="82"/>
  <c r="S35" i="35"/>
  <c r="L4" i="35"/>
  <c r="L6" i="35" s="1"/>
  <c r="L7" i="35" s="1"/>
  <c r="L22" i="35" s="1"/>
  <c r="R4" i="35"/>
  <c r="R6" i="35" s="1"/>
  <c r="R7" i="35" s="1"/>
  <c r="R22" i="35" s="1"/>
  <c r="M5" i="35"/>
  <c r="M7" i="35" s="1"/>
  <c r="M22" i="35" s="1"/>
  <c r="J4" i="35"/>
  <c r="J6" i="35" s="1"/>
  <c r="J7" i="35" s="1"/>
  <c r="J22" i="35" s="1"/>
  <c r="N36" i="35" a="1"/>
  <c r="N36" i="35" s="1"/>
  <c r="D18" i="32"/>
  <c r="Q5" i="30"/>
  <c r="Q7" i="30" s="1"/>
  <c r="Q22" i="30" s="1"/>
  <c r="U5" i="30"/>
  <c r="U7" i="30" s="1"/>
  <c r="U22" i="30" s="1"/>
  <c r="M5" i="30"/>
  <c r="M7" i="30" s="1"/>
  <c r="M22" i="30" s="1"/>
  <c r="K35" i="30"/>
  <c r="S35" i="30"/>
  <c r="D18" i="30"/>
  <c r="O5" i="81"/>
  <c r="O7" i="81" s="1"/>
  <c r="O22" i="81" s="1"/>
  <c r="K4" i="81"/>
  <c r="K6" i="81" s="1"/>
  <c r="K7" i="81" s="1"/>
  <c r="K22" i="81" s="1"/>
  <c r="P5" i="81"/>
  <c r="P7" i="81" s="1"/>
  <c r="P22" i="81" s="1"/>
  <c r="I24" i="81"/>
  <c r="Q24" i="81"/>
  <c r="N4" i="81"/>
  <c r="N6" i="81" s="1"/>
  <c r="N7" i="81" s="1"/>
  <c r="N22" i="81" s="1"/>
  <c r="J24" i="81"/>
  <c r="R24" i="81"/>
  <c r="M24" i="81"/>
  <c r="U24" i="81"/>
  <c r="U26" i="81" s="1"/>
  <c r="J4" i="81"/>
  <c r="J6" i="81" s="1"/>
  <c r="J7" i="81" s="1"/>
  <c r="J22" i="81" s="1"/>
  <c r="R4" i="81"/>
  <c r="R6" i="81" s="1"/>
  <c r="R7" i="81" s="1"/>
  <c r="R22" i="81" s="1"/>
  <c r="L5" i="81"/>
  <c r="L7" i="81" s="1"/>
  <c r="L22" i="81" s="1"/>
  <c r="T5" i="81"/>
  <c r="T7" i="81" s="1"/>
  <c r="T22" i="81" s="1"/>
  <c r="N24" i="81"/>
  <c r="V24" i="81"/>
  <c r="U28" i="81" s="1"/>
  <c r="S7" i="81"/>
  <c r="S22" i="81" s="1"/>
  <c r="I5" i="81"/>
  <c r="I7" i="81" s="1"/>
  <c r="I22" i="81" s="1"/>
  <c r="M5" i="81"/>
  <c r="M7" i="81" s="1"/>
  <c r="M22" i="81" s="1"/>
  <c r="Q5" i="81"/>
  <c r="Q7" i="81" s="1"/>
  <c r="Q22" i="81" s="1"/>
  <c r="U5" i="81"/>
  <c r="U7" i="81" s="1"/>
  <c r="U22" i="81" s="1"/>
  <c r="H21" i="81"/>
  <c r="K24" i="81"/>
  <c r="O24" i="81"/>
  <c r="S24" i="81"/>
  <c r="W24" i="81"/>
  <c r="I35" i="81"/>
  <c r="M35" i="81"/>
  <c r="Q35" i="81"/>
  <c r="U35" i="81"/>
  <c r="K36" i="81" a="1"/>
  <c r="K36" i="81" s="1"/>
  <c r="O36" i="81" a="1"/>
  <c r="O36" i="81" s="1"/>
  <c r="S36" i="81" a="1"/>
  <c r="S36" i="81" s="1"/>
  <c r="W36" i="81" a="1"/>
  <c r="W36" i="81" s="1"/>
  <c r="V5" i="81"/>
  <c r="V7" i="81" s="1"/>
  <c r="V22" i="81" s="1"/>
  <c r="L24" i="81"/>
  <c r="L25" i="81" s="1" a="1"/>
  <c r="L25" i="81" s="1"/>
  <c r="P24" i="81"/>
  <c r="T24" i="81"/>
  <c r="J35" i="81"/>
  <c r="N35" i="81"/>
  <c r="R35" i="81"/>
  <c r="V35" i="81"/>
  <c r="L36" i="81" a="1"/>
  <c r="L36" i="81" s="1"/>
  <c r="P36" i="81" a="1"/>
  <c r="P36" i="81" s="1"/>
  <c r="T36" i="81" a="1"/>
  <c r="T36" i="81" s="1"/>
  <c r="Q4" i="80"/>
  <c r="Q6" i="80" s="1"/>
  <c r="Q7" i="80" s="1"/>
  <c r="Q22" i="80" s="1"/>
  <c r="K35" i="80"/>
  <c r="S35" i="80"/>
  <c r="N36" i="80" a="1"/>
  <c r="N36" i="80" s="1"/>
  <c r="V36" i="80" a="1"/>
  <c r="V36" i="80" s="1"/>
  <c r="K36" i="80" a="1"/>
  <c r="K36" i="80" s="1"/>
  <c r="P24" i="80"/>
  <c r="M4" i="80"/>
  <c r="M6" i="80" s="1"/>
  <c r="M7" i="80" s="1"/>
  <c r="M22" i="80" s="1"/>
  <c r="S5" i="80"/>
  <c r="S7" i="80" s="1"/>
  <c r="S22" i="80" s="1"/>
  <c r="M35" i="80"/>
  <c r="U35" i="80"/>
  <c r="Q8" i="80" a="1"/>
  <c r="Q8" i="80" s="1"/>
  <c r="U4" i="80"/>
  <c r="U6" i="80" s="1"/>
  <c r="U7" i="80" s="1"/>
  <c r="U22" i="80" s="1"/>
  <c r="K5" i="80"/>
  <c r="K7" i="80" s="1"/>
  <c r="K22" i="80" s="1"/>
  <c r="S36" i="80" a="1"/>
  <c r="S36" i="80" s="1"/>
  <c r="D18" i="80"/>
  <c r="I26" i="80"/>
  <c r="J5" i="80"/>
  <c r="J7" i="80" s="1"/>
  <c r="J22" i="80" s="1"/>
  <c r="R5" i="80"/>
  <c r="R7" i="80" s="1"/>
  <c r="R22" i="80" s="1"/>
  <c r="K24" i="80"/>
  <c r="S24" i="80"/>
  <c r="N35" i="80"/>
  <c r="V35" i="80"/>
  <c r="L24" i="80"/>
  <c r="L25" i="80" s="1" a="1"/>
  <c r="L25" i="80" s="1"/>
  <c r="T24" i="80"/>
  <c r="T25" i="80" s="1" a="1"/>
  <c r="T25" i="80" s="1"/>
  <c r="O35" i="80"/>
  <c r="W35" i="80"/>
  <c r="L36" i="80" a="1"/>
  <c r="L36" i="80" s="1"/>
  <c r="P36" i="80" a="1"/>
  <c r="P36" i="80" s="1"/>
  <c r="T36" i="80" a="1"/>
  <c r="T36" i="80" s="1"/>
  <c r="O36" i="80" a="1"/>
  <c r="O36" i="80" s="1"/>
  <c r="L5" i="80"/>
  <c r="L7" i="80" s="1"/>
  <c r="L22" i="80" s="1"/>
  <c r="T5" i="80"/>
  <c r="T7" i="80" s="1"/>
  <c r="M24" i="80"/>
  <c r="M25" i="80" s="1" a="1"/>
  <c r="M25" i="80" s="1"/>
  <c r="U24" i="80"/>
  <c r="P35" i="80"/>
  <c r="N24" i="80"/>
  <c r="V24" i="80"/>
  <c r="I35" i="80"/>
  <c r="I25" i="80" s="1" a="1"/>
  <c r="I25" i="80" s="1"/>
  <c r="Q35" i="80"/>
  <c r="Q25" i="80" s="1" a="1"/>
  <c r="Q25" i="80" s="1"/>
  <c r="I36" i="80" a="1"/>
  <c r="I36" i="80" s="1"/>
  <c r="Q36" i="80" a="1"/>
  <c r="Q36" i="80" s="1"/>
  <c r="N5" i="80"/>
  <c r="N7" i="80" s="1"/>
  <c r="N22" i="80" s="1"/>
  <c r="V5" i="80"/>
  <c r="V7" i="80" s="1"/>
  <c r="V22" i="80" s="1"/>
  <c r="W24" i="80"/>
  <c r="J35" i="80"/>
  <c r="R35" i="80"/>
  <c r="O5" i="80"/>
  <c r="O7" i="80" s="1"/>
  <c r="O22" i="80" s="1"/>
  <c r="W5" i="80"/>
  <c r="W7" i="80" s="1"/>
  <c r="W22" i="80" s="1"/>
  <c r="W36" i="80" a="1"/>
  <c r="W36" i="80" s="1"/>
  <c r="M5" i="79"/>
  <c r="M7" i="79" s="1"/>
  <c r="M22" i="79" s="1"/>
  <c r="U5" i="79"/>
  <c r="U7" i="79" s="1"/>
  <c r="U22" i="79" s="1"/>
  <c r="R4" i="79"/>
  <c r="R6" i="79" s="1"/>
  <c r="R7" i="79" s="1"/>
  <c r="R22" i="79" s="1"/>
  <c r="S8" i="79" a="1"/>
  <c r="S8" i="79" s="1"/>
  <c r="N36" i="79" a="1"/>
  <c r="N36" i="79" s="1"/>
  <c r="U24" i="78"/>
  <c r="M36" i="78" a="1"/>
  <c r="M36" i="78" s="1"/>
  <c r="M8" i="78" a="1"/>
  <c r="M8" i="78" s="1"/>
  <c r="I24" i="78"/>
  <c r="I26" i="78" s="1"/>
  <c r="Q24" i="78"/>
  <c r="J5" i="78"/>
  <c r="J7" i="78" s="1"/>
  <c r="J22" i="78" s="1"/>
  <c r="M24" i="78"/>
  <c r="R5" i="78"/>
  <c r="R7" i="78" s="1"/>
  <c r="R22" i="78" s="1"/>
  <c r="N24" i="78"/>
  <c r="V24" i="78"/>
  <c r="U28" i="78" s="1"/>
  <c r="P4" i="78"/>
  <c r="P6" i="78" s="1"/>
  <c r="P7" i="78" s="1"/>
  <c r="P22" i="78" s="1"/>
  <c r="T4" i="78"/>
  <c r="T6" i="78" s="1"/>
  <c r="T7" i="78" s="1"/>
  <c r="M5" i="78"/>
  <c r="M7" i="78" s="1"/>
  <c r="M22" i="78" s="1"/>
  <c r="L24" i="78"/>
  <c r="T24" i="78"/>
  <c r="J4" i="39"/>
  <c r="J6" i="39" s="1"/>
  <c r="J7" i="39" s="1"/>
  <c r="J22" i="39" s="1"/>
  <c r="L24" i="39"/>
  <c r="T24" i="39"/>
  <c r="V8" i="39" a="1"/>
  <c r="V8" i="39" s="1"/>
  <c r="P24" i="39"/>
  <c r="I5" i="39"/>
  <c r="I7" i="39" s="1"/>
  <c r="I22" i="39" s="1"/>
  <c r="K8" i="39" a="1"/>
  <c r="K8" i="39" s="1"/>
  <c r="S8" i="39" a="1"/>
  <c r="S8" i="39" s="1"/>
  <c r="O8" i="39" a="1"/>
  <c r="O8" i="39" s="1"/>
  <c r="W8" i="39" a="1"/>
  <c r="W8" i="39" s="1"/>
  <c r="I8" i="39" a="1"/>
  <c r="I8" i="39" s="1"/>
  <c r="Q8" i="39" a="1"/>
  <c r="Q8" i="39" s="1"/>
  <c r="J24" i="37"/>
  <c r="L24" i="37"/>
  <c r="T36" i="37" a="1"/>
  <c r="T36" i="37" s="1"/>
  <c r="N24" i="37"/>
  <c r="V36" i="37" a="1"/>
  <c r="V36" i="37" s="1"/>
  <c r="P24" i="37"/>
  <c r="J36" i="37" a="1"/>
  <c r="J36" i="37" s="1"/>
  <c r="T4" i="37"/>
  <c r="T6" i="37" s="1"/>
  <c r="T7" i="37" s="1"/>
  <c r="I5" i="37"/>
  <c r="I7" i="37" s="1"/>
  <c r="I22" i="37" s="1"/>
  <c r="M24" i="37"/>
  <c r="J35" i="37"/>
  <c r="L5" i="37"/>
  <c r="L7" i="37" s="1"/>
  <c r="L22" i="37" s="1"/>
  <c r="T24" i="37"/>
  <c r="M8" i="36" a="1"/>
  <c r="M8" i="36" s="1"/>
  <c r="S24" i="36"/>
  <c r="R35" i="36"/>
  <c r="I5" i="36"/>
  <c r="I7" i="36" s="1"/>
  <c r="I22" i="36" s="1"/>
  <c r="M36" i="36" a="1"/>
  <c r="M36" i="36" s="1"/>
  <c r="M5" i="36"/>
  <c r="M7" i="36" s="1"/>
  <c r="M22" i="36" s="1"/>
  <c r="N24" i="33"/>
  <c r="V24" i="33"/>
  <c r="U28" i="33" s="1"/>
  <c r="H28" i="33" s="1"/>
  <c r="J4" i="33"/>
  <c r="J6" i="33" s="1"/>
  <c r="J7" i="33" s="1"/>
  <c r="J22" i="33" s="1"/>
  <c r="P4" i="33"/>
  <c r="P6" i="33" s="1"/>
  <c r="P7" i="33" s="1"/>
  <c r="P22" i="33" s="1"/>
  <c r="R4" i="33"/>
  <c r="R6" i="33" s="1"/>
  <c r="R7" i="33" s="1"/>
  <c r="R22" i="33" s="1"/>
  <c r="T24" i="33"/>
  <c r="I5" i="32"/>
  <c r="I7" i="32" s="1"/>
  <c r="I22" i="32" s="1"/>
  <c r="J4" i="32"/>
  <c r="J6" i="32" s="1"/>
  <c r="J7" i="32" s="1"/>
  <c r="J22" i="32" s="1"/>
  <c r="R4" i="32"/>
  <c r="R6" i="32" s="1"/>
  <c r="R7" i="32" s="1"/>
  <c r="R22" i="32" s="1"/>
  <c r="M5" i="32"/>
  <c r="M7" i="32" s="1"/>
  <c r="M22" i="32" s="1"/>
  <c r="V8" i="31" a="1"/>
  <c r="V8" i="31" s="1"/>
  <c r="N4" i="31"/>
  <c r="N6" i="31" s="1"/>
  <c r="N7" i="31" s="1"/>
  <c r="N22" i="31" s="1"/>
  <c r="R4" i="31"/>
  <c r="R6" i="31" s="1"/>
  <c r="R7" i="31" s="1"/>
  <c r="R22" i="31" s="1"/>
  <c r="M24" i="31"/>
  <c r="K24" i="29"/>
  <c r="S24" i="29"/>
  <c r="M36" i="29" a="1"/>
  <c r="M36" i="29" s="1"/>
  <c r="V4" i="27"/>
  <c r="V6" i="27" s="1"/>
  <c r="V7" i="27" s="1"/>
  <c r="V22" i="27" s="1"/>
  <c r="M5" i="27"/>
  <c r="M7" i="27" s="1"/>
  <c r="M22" i="27" s="1"/>
  <c r="J36" i="30" a="1"/>
  <c r="J36" i="30" s="1"/>
  <c r="R36" i="30" a="1"/>
  <c r="R36" i="30" s="1"/>
  <c r="I4" i="35"/>
  <c r="I6" i="35" s="1"/>
  <c r="I5" i="35"/>
  <c r="J36" i="35" a="1"/>
  <c r="J36" i="35" s="1"/>
  <c r="J24" i="35"/>
  <c r="R36" i="35" a="1"/>
  <c r="R36" i="35" s="1"/>
  <c r="R35" i="35"/>
  <c r="R24" i="35"/>
  <c r="J35" i="35"/>
  <c r="J25" i="35" s="1" a="1"/>
  <c r="J25" i="35" s="1"/>
  <c r="J31" i="35" s="1"/>
  <c r="P35" i="24"/>
  <c r="L24" i="30"/>
  <c r="L5" i="31"/>
  <c r="L4" i="31"/>
  <c r="L6" i="31" s="1"/>
  <c r="T5" i="31"/>
  <c r="T4" i="31"/>
  <c r="T6" i="31" s="1"/>
  <c r="I8" i="36" a="1"/>
  <c r="I8" i="36" s="1"/>
  <c r="I36" i="36" a="1"/>
  <c r="I36" i="36" s="1"/>
  <c r="I35" i="36"/>
  <c r="I24" i="36"/>
  <c r="I26" i="36" s="1"/>
  <c r="Q8" i="36" a="1"/>
  <c r="Q8" i="36" s="1"/>
  <c r="Q35" i="36"/>
  <c r="Q24" i="36"/>
  <c r="Q36" i="36" a="1"/>
  <c r="Q36" i="36" s="1"/>
  <c r="I35" i="24"/>
  <c r="I25" i="24" s="1" a="1"/>
  <c r="I25" i="24" s="1"/>
  <c r="Q35" i="24"/>
  <c r="Q25" i="24" s="1" a="1"/>
  <c r="Q25" i="24" s="1"/>
  <c r="Q31" i="24" s="1"/>
  <c r="Q36" i="24" a="1"/>
  <c r="Q36" i="24" s="1"/>
  <c r="N24" i="28"/>
  <c r="N36" i="28" a="1"/>
  <c r="N36" i="28" s="1"/>
  <c r="N35" i="28"/>
  <c r="V8" i="28" a="1"/>
  <c r="V8" i="28" s="1"/>
  <c r="V24" i="28"/>
  <c r="U28" i="28" s="1"/>
  <c r="V36" i="28" a="1"/>
  <c r="V36" i="28" s="1"/>
  <c r="V35" i="28"/>
  <c r="N5" i="29"/>
  <c r="N4" i="29"/>
  <c r="N6" i="29" s="1"/>
  <c r="J24" i="29"/>
  <c r="R24" i="29"/>
  <c r="U24" i="30"/>
  <c r="O8" i="31" a="1"/>
  <c r="O8" i="31" s="1"/>
  <c r="O24" i="31"/>
  <c r="O25" i="31" s="1" a="1"/>
  <c r="O25" i="31" s="1"/>
  <c r="O31" i="31" s="1"/>
  <c r="W8" i="31" a="1"/>
  <c r="W8" i="31" s="1"/>
  <c r="W24" i="31"/>
  <c r="V28" i="31" s="1"/>
  <c r="O36" i="31" a="1"/>
  <c r="O36" i="31" s="1"/>
  <c r="P24" i="32"/>
  <c r="Q5" i="35"/>
  <c r="Q7" i="35" s="1"/>
  <c r="Q22" i="35" s="1"/>
  <c r="U35" i="35"/>
  <c r="R4" i="36"/>
  <c r="R6" i="36" s="1"/>
  <c r="R7" i="36" s="1"/>
  <c r="R22" i="36" s="1"/>
  <c r="K8" i="30" a="1"/>
  <c r="K8" i="30" s="1"/>
  <c r="K24" i="30"/>
  <c r="I36" i="24" a="1"/>
  <c r="I36" i="24" s="1"/>
  <c r="J4" i="24"/>
  <c r="J6" i="24" s="1"/>
  <c r="J7" i="24" s="1"/>
  <c r="J22" i="24" s="1"/>
  <c r="M5" i="24"/>
  <c r="M7" i="24" s="1"/>
  <c r="M22" i="24" s="1"/>
  <c r="P24" i="24"/>
  <c r="J35" i="24"/>
  <c r="R35" i="24"/>
  <c r="L36" i="27" a="1"/>
  <c r="L36" i="27" s="1"/>
  <c r="T36" i="27" a="1"/>
  <c r="T36" i="27" s="1"/>
  <c r="N24" i="30"/>
  <c r="V24" i="30"/>
  <c r="U28" i="30" s="1"/>
  <c r="W36" i="31" a="1"/>
  <c r="W36" i="31" s="1"/>
  <c r="P5" i="32"/>
  <c r="P4" i="32"/>
  <c r="P6" i="32" s="1"/>
  <c r="J24" i="33"/>
  <c r="R24" i="33"/>
  <c r="N24" i="35"/>
  <c r="V24" i="35"/>
  <c r="U28" i="35" s="1"/>
  <c r="S35" i="36"/>
  <c r="L4" i="24"/>
  <c r="L6" i="24" s="1"/>
  <c r="L7" i="24" s="1"/>
  <c r="L22" i="24" s="1"/>
  <c r="Q5" i="24"/>
  <c r="Q7" i="24" s="1"/>
  <c r="Q22" i="24" s="1"/>
  <c r="K35" i="24"/>
  <c r="K25" i="24" s="1" a="1"/>
  <c r="K25" i="24" s="1"/>
  <c r="K31" i="24" s="1"/>
  <c r="S35" i="24"/>
  <c r="K36" i="24" a="1"/>
  <c r="K36" i="24" s="1"/>
  <c r="S36" i="24" a="1"/>
  <c r="S36" i="24" s="1"/>
  <c r="L5" i="27"/>
  <c r="L4" i="27"/>
  <c r="L6" i="27" s="1"/>
  <c r="T5" i="27"/>
  <c r="T4" i="27"/>
  <c r="T6" i="27" s="1"/>
  <c r="M8" i="27" a="1"/>
  <c r="M8" i="27" s="1"/>
  <c r="M24" i="27"/>
  <c r="U8" i="27" a="1"/>
  <c r="U8" i="27" s="1"/>
  <c r="U24" i="27"/>
  <c r="U35" i="27"/>
  <c r="D18" i="28"/>
  <c r="P24" i="28"/>
  <c r="W24" i="28"/>
  <c r="V28" i="28" s="1"/>
  <c r="L36" i="29" a="1"/>
  <c r="L36" i="29" s="1"/>
  <c r="T36" i="29" a="1"/>
  <c r="T36" i="29" s="1"/>
  <c r="K36" i="30" a="1"/>
  <c r="K36" i="30" s="1"/>
  <c r="J36" i="32" a="1"/>
  <c r="J36" i="32" s="1"/>
  <c r="R36" i="32" a="1"/>
  <c r="R36" i="32" s="1"/>
  <c r="P35" i="33"/>
  <c r="P25" i="33" s="1" a="1"/>
  <c r="P25" i="33" s="1"/>
  <c r="P31" i="33" s="1"/>
  <c r="O36" i="35" a="1"/>
  <c r="O36" i="35" s="1"/>
  <c r="W35" i="35"/>
  <c r="J5" i="36"/>
  <c r="J4" i="36"/>
  <c r="J6" i="36" s="1"/>
  <c r="S8" i="30" a="1"/>
  <c r="S8" i="30" s="1"/>
  <c r="S24" i="30"/>
  <c r="M8" i="29" a="1"/>
  <c r="M8" i="29" s="1"/>
  <c r="M24" i="29"/>
  <c r="M25" i="29" s="1" a="1"/>
  <c r="M25" i="29" s="1"/>
  <c r="M31" i="29" s="1"/>
  <c r="U8" i="29" a="1"/>
  <c r="U8" i="29" s="1"/>
  <c r="U24" i="29"/>
  <c r="U35" i="29"/>
  <c r="P24" i="30"/>
  <c r="S36" i="30" a="1"/>
  <c r="S36" i="30" s="1"/>
  <c r="K8" i="32" a="1"/>
  <c r="K8" i="32" s="1"/>
  <c r="K24" i="32"/>
  <c r="S8" i="32" a="1"/>
  <c r="S8" i="32" s="1"/>
  <c r="S24" i="32"/>
  <c r="K35" i="32"/>
  <c r="L4" i="33"/>
  <c r="L6" i="33" s="1"/>
  <c r="L5" i="33"/>
  <c r="T5" i="33"/>
  <c r="T7" i="33" s="1"/>
  <c r="L24" i="33"/>
  <c r="U35" i="36"/>
  <c r="I24" i="30"/>
  <c r="I26" i="30" s="1"/>
  <c r="V4" i="24"/>
  <c r="V6" i="24" s="1"/>
  <c r="V7" i="24" s="1"/>
  <c r="V22" i="24" s="1"/>
  <c r="N4" i="24"/>
  <c r="N6" i="24" s="1"/>
  <c r="N7" i="24" s="1"/>
  <c r="N22" i="24" s="1"/>
  <c r="U5" i="24"/>
  <c r="U7" i="24" s="1"/>
  <c r="U22" i="24" s="1"/>
  <c r="P4" i="24"/>
  <c r="P6" i="24" s="1"/>
  <c r="P7" i="24" s="1"/>
  <c r="P22" i="24" s="1"/>
  <c r="M35" i="24"/>
  <c r="U35" i="24"/>
  <c r="N5" i="27"/>
  <c r="N4" i="27"/>
  <c r="N6" i="27" s="1"/>
  <c r="M36" i="27" a="1"/>
  <c r="M36" i="27" s="1"/>
  <c r="J24" i="28"/>
  <c r="R24" i="28"/>
  <c r="N24" i="29"/>
  <c r="V24" i="29"/>
  <c r="U28" i="29" s="1"/>
  <c r="I36" i="30" a="1"/>
  <c r="I36" i="30" s="1"/>
  <c r="Q36" i="30" a="1"/>
  <c r="Q36" i="30" s="1"/>
  <c r="L24" i="32"/>
  <c r="S35" i="32"/>
  <c r="P36" i="33" a="1"/>
  <c r="P36" i="33" s="1"/>
  <c r="I36" i="35" a="1"/>
  <c r="I36" i="35" s="1"/>
  <c r="Q35" i="35"/>
  <c r="I5" i="27"/>
  <c r="I7" i="27" s="1"/>
  <c r="I22" i="27" s="1"/>
  <c r="I23" i="27" s="1"/>
  <c r="L24" i="27"/>
  <c r="T24" i="27"/>
  <c r="N35" i="27"/>
  <c r="V35" i="27"/>
  <c r="V25" i="27" s="1" a="1"/>
  <c r="V25" i="27" s="1"/>
  <c r="N36" i="27" a="1"/>
  <c r="N36" i="27" s="1"/>
  <c r="V36" i="27" a="1"/>
  <c r="V36" i="27" s="1"/>
  <c r="Q5" i="28"/>
  <c r="Q7" i="28" s="1"/>
  <c r="Q22" i="28" s="1"/>
  <c r="O8" i="28" a="1"/>
  <c r="O8" i="28" s="1"/>
  <c r="W8" i="28" a="1"/>
  <c r="W8" i="28" s="1"/>
  <c r="L24" i="28"/>
  <c r="T24" i="28"/>
  <c r="I5" i="29"/>
  <c r="I7" i="29" s="1"/>
  <c r="I22" i="29" s="1"/>
  <c r="L24" i="29"/>
  <c r="T24" i="29"/>
  <c r="N35" i="29"/>
  <c r="V35" i="29"/>
  <c r="N36" i="29" a="1"/>
  <c r="N36" i="29" s="1"/>
  <c r="V36" i="29" a="1"/>
  <c r="V36" i="29" s="1"/>
  <c r="J24" i="30"/>
  <c r="R24" i="30"/>
  <c r="L35" i="30"/>
  <c r="T35" i="30"/>
  <c r="T25" i="30" s="1" a="1"/>
  <c r="T25" i="30" s="1"/>
  <c r="T31" i="30" s="1"/>
  <c r="L36" i="30" a="1"/>
  <c r="L36" i="30" s="1"/>
  <c r="T36" i="30" a="1"/>
  <c r="T36" i="30" s="1"/>
  <c r="N24" i="31"/>
  <c r="V24" i="31"/>
  <c r="U28" i="31" s="1"/>
  <c r="H28" i="31" s="1"/>
  <c r="P35" i="31"/>
  <c r="P25" i="31" s="1" a="1"/>
  <c r="P25" i="31" s="1"/>
  <c r="P31" i="31" s="1"/>
  <c r="P36" i="31" a="1"/>
  <c r="P36" i="31" s="1"/>
  <c r="L4" i="32"/>
  <c r="L6" i="32" s="1"/>
  <c r="L7" i="32" s="1"/>
  <c r="L22" i="32" s="1"/>
  <c r="Q5" i="32"/>
  <c r="Q7" i="32" s="1"/>
  <c r="Q22" i="32" s="1"/>
  <c r="J24" i="32"/>
  <c r="R24" i="32"/>
  <c r="L35" i="32"/>
  <c r="T35" i="32"/>
  <c r="T25" i="32" s="1" a="1"/>
  <c r="T25" i="32" s="1"/>
  <c r="T31" i="32" s="1"/>
  <c r="L36" i="32" a="1"/>
  <c r="L36" i="32" s="1"/>
  <c r="T36" i="32" a="1"/>
  <c r="T36" i="32" s="1"/>
  <c r="U5" i="33"/>
  <c r="U7" i="33" s="1"/>
  <c r="U22" i="33" s="1"/>
  <c r="I8" i="33" a="1"/>
  <c r="I8" i="33" s="1"/>
  <c r="Q8" i="33" a="1"/>
  <c r="Q8" i="33" s="1"/>
  <c r="I35" i="33"/>
  <c r="Q35" i="33"/>
  <c r="I36" i="33" a="1"/>
  <c r="I36" i="33" s="1"/>
  <c r="Q36" i="33" a="1"/>
  <c r="Q36" i="33" s="1"/>
  <c r="N4" i="35"/>
  <c r="N6" i="35" s="1"/>
  <c r="N7" i="35" s="1"/>
  <c r="N22" i="35" s="1"/>
  <c r="U5" i="35"/>
  <c r="U7" i="35" s="1"/>
  <c r="U22" i="35" s="1"/>
  <c r="K8" i="35" a="1"/>
  <c r="K8" i="35" s="1"/>
  <c r="S8" i="35" a="1"/>
  <c r="S8" i="35" s="1"/>
  <c r="D18" i="35"/>
  <c r="I24" i="35"/>
  <c r="I26" i="35" s="1"/>
  <c r="Q24" i="35"/>
  <c r="K35" i="35"/>
  <c r="V4" i="36"/>
  <c r="V6" i="36" s="1"/>
  <c r="V7" i="36" s="1"/>
  <c r="V22" i="36" s="1"/>
  <c r="J24" i="36"/>
  <c r="R24" i="36"/>
  <c r="U24" i="36"/>
  <c r="O36" i="36" a="1"/>
  <c r="O36" i="36" s="1"/>
  <c r="Q24" i="37"/>
  <c r="V24" i="37"/>
  <c r="U28" i="37" s="1"/>
  <c r="L35" i="37"/>
  <c r="L25" i="37" s="1" a="1"/>
  <c r="L25" i="37" s="1"/>
  <c r="L31" i="37" s="1"/>
  <c r="L36" i="37" a="1"/>
  <c r="L36" i="37" s="1"/>
  <c r="J24" i="38"/>
  <c r="J36" i="38" a="1"/>
  <c r="J36" i="38" s="1"/>
  <c r="J35" i="38"/>
  <c r="R24" i="38"/>
  <c r="R36" i="38" a="1"/>
  <c r="R36" i="38" s="1"/>
  <c r="R35" i="38"/>
  <c r="J4" i="27"/>
  <c r="J6" i="27" s="1"/>
  <c r="J7" i="27" s="1"/>
  <c r="J22" i="27" s="1"/>
  <c r="O8" i="27" a="1"/>
  <c r="O8" i="27" s="1"/>
  <c r="W8" i="27" a="1"/>
  <c r="W8" i="27" s="1"/>
  <c r="V8" i="27" a="1"/>
  <c r="V8" i="27" s="1"/>
  <c r="O35" i="27"/>
  <c r="W35" i="27"/>
  <c r="O36" i="27" a="1"/>
  <c r="O36" i="27" s="1"/>
  <c r="W36" i="27" a="1"/>
  <c r="W36" i="27" s="1"/>
  <c r="L4" i="28"/>
  <c r="L6" i="28" s="1"/>
  <c r="L7" i="28" s="1"/>
  <c r="L22" i="28" s="1"/>
  <c r="T5" i="28"/>
  <c r="T7" i="28" s="1"/>
  <c r="O35" i="28"/>
  <c r="W35" i="28"/>
  <c r="O36" i="28" a="1"/>
  <c r="O36" i="28" s="1"/>
  <c r="W36" i="28" a="1"/>
  <c r="W36" i="28" s="1"/>
  <c r="J4" i="29"/>
  <c r="J6" i="29" s="1"/>
  <c r="J7" i="29" s="1"/>
  <c r="J22" i="29" s="1"/>
  <c r="O8" i="29" a="1"/>
  <c r="O8" i="29" s="1"/>
  <c r="W8" i="29" a="1"/>
  <c r="W8" i="29" s="1"/>
  <c r="V8" i="29" a="1"/>
  <c r="V8" i="29" s="1"/>
  <c r="O35" i="29"/>
  <c r="W35" i="29"/>
  <c r="O36" i="29" a="1"/>
  <c r="O36" i="29" s="1"/>
  <c r="W36" i="29" a="1"/>
  <c r="W36" i="29" s="1"/>
  <c r="L4" i="30"/>
  <c r="L6" i="30" s="1"/>
  <c r="L7" i="30" s="1"/>
  <c r="L22" i="30" s="1"/>
  <c r="M35" i="30"/>
  <c r="U35" i="30"/>
  <c r="M36" i="30" a="1"/>
  <c r="M36" i="30" s="1"/>
  <c r="U36" i="30" a="1"/>
  <c r="U36" i="30" s="1"/>
  <c r="V4" i="31"/>
  <c r="V6" i="31" s="1"/>
  <c r="V7" i="31" s="1"/>
  <c r="V22" i="31" s="1"/>
  <c r="I8" i="31" a="1"/>
  <c r="I8" i="31" s="1"/>
  <c r="Q8" i="31" a="1"/>
  <c r="Q8" i="31" s="1"/>
  <c r="I35" i="31"/>
  <c r="Q35" i="31"/>
  <c r="I36" i="31" a="1"/>
  <c r="I36" i="31" s="1"/>
  <c r="Q36" i="31" a="1"/>
  <c r="Q36" i="31" s="1"/>
  <c r="N4" i="32"/>
  <c r="N6" i="32" s="1"/>
  <c r="N7" i="32" s="1"/>
  <c r="N22" i="32" s="1"/>
  <c r="U8" i="32" a="1"/>
  <c r="U8" i="32" s="1"/>
  <c r="M35" i="32"/>
  <c r="U35" i="32"/>
  <c r="M36" i="32" a="1"/>
  <c r="M36" i="32" s="1"/>
  <c r="U36" i="32" a="1"/>
  <c r="U36" i="32" s="1"/>
  <c r="V4" i="33"/>
  <c r="V6" i="33" s="1"/>
  <c r="V7" i="33" s="1"/>
  <c r="V22" i="33" s="1"/>
  <c r="J35" i="33"/>
  <c r="R35" i="33"/>
  <c r="J36" i="33" a="1"/>
  <c r="J36" i="33" s="1"/>
  <c r="R36" i="33" a="1"/>
  <c r="R36" i="33" s="1"/>
  <c r="P4" i="35"/>
  <c r="P6" i="35" s="1"/>
  <c r="P7" i="35" s="1"/>
  <c r="P22" i="35" s="1"/>
  <c r="L36" i="35" a="1"/>
  <c r="L36" i="35" s="1"/>
  <c r="T36" i="35" a="1"/>
  <c r="T36" i="35" s="1"/>
  <c r="T35" i="35"/>
  <c r="L35" i="35"/>
  <c r="V35" i="35"/>
  <c r="Q36" i="35" a="1"/>
  <c r="Q36" i="35" s="1"/>
  <c r="L5" i="36"/>
  <c r="L4" i="36"/>
  <c r="L6" i="36" s="1"/>
  <c r="T5" i="36"/>
  <c r="T4" i="36"/>
  <c r="T6" i="36" s="1"/>
  <c r="K8" i="36" a="1"/>
  <c r="K8" i="36" s="1"/>
  <c r="S8" i="36" a="1"/>
  <c r="S8" i="36" s="1"/>
  <c r="D18" i="36"/>
  <c r="W24" i="36"/>
  <c r="V28" i="36" s="1"/>
  <c r="P5" i="37"/>
  <c r="P7" i="37" s="1"/>
  <c r="P22" i="37" s="1"/>
  <c r="N35" i="37"/>
  <c r="N36" i="37" a="1"/>
  <c r="N36" i="37" s="1"/>
  <c r="Q5" i="27"/>
  <c r="Q7" i="27" s="1"/>
  <c r="Q22" i="27" s="1"/>
  <c r="P35" i="27"/>
  <c r="P36" i="27" a="1"/>
  <c r="P36" i="27" s="1"/>
  <c r="U5" i="28"/>
  <c r="U7" i="28" s="1"/>
  <c r="U22" i="28" s="1"/>
  <c r="P35" i="28"/>
  <c r="P36" i="28" a="1"/>
  <c r="P36" i="28" s="1"/>
  <c r="L4" i="29"/>
  <c r="L6" i="29" s="1"/>
  <c r="L7" i="29" s="1"/>
  <c r="L22" i="29" s="1"/>
  <c r="M5" i="29"/>
  <c r="M7" i="29" s="1"/>
  <c r="M22" i="29" s="1"/>
  <c r="P35" i="29"/>
  <c r="P25" i="29" s="1" a="1"/>
  <c r="P25" i="29" s="1"/>
  <c r="P31" i="29" s="1"/>
  <c r="P36" i="29" a="1"/>
  <c r="P36" i="29" s="1"/>
  <c r="P4" i="30"/>
  <c r="P6" i="30" s="1"/>
  <c r="P7" i="30" s="1"/>
  <c r="P22" i="30" s="1"/>
  <c r="N35" i="30"/>
  <c r="V35" i="30"/>
  <c r="N36" i="30" a="1"/>
  <c r="N36" i="30" s="1"/>
  <c r="V36" i="30" a="1"/>
  <c r="V36" i="30" s="1"/>
  <c r="I5" i="31"/>
  <c r="I7" i="31" s="1"/>
  <c r="I22" i="31" s="1"/>
  <c r="J35" i="31"/>
  <c r="J25" i="31" s="1" a="1"/>
  <c r="J25" i="31" s="1"/>
  <c r="J31" i="31" s="1"/>
  <c r="R35" i="31"/>
  <c r="J36" i="31" a="1"/>
  <c r="J36" i="31" s="1"/>
  <c r="R36" i="31" a="1"/>
  <c r="R36" i="31" s="1"/>
  <c r="N35" i="32"/>
  <c r="N25" i="32" s="1" a="1"/>
  <c r="N25" i="32" s="1"/>
  <c r="N31" i="32" s="1"/>
  <c r="V35" i="32"/>
  <c r="N36" i="32" a="1"/>
  <c r="N36" i="32" s="1"/>
  <c r="V36" i="32" a="1"/>
  <c r="V36" i="32" s="1"/>
  <c r="I5" i="33"/>
  <c r="I7" i="33" s="1"/>
  <c r="I22" i="33" s="1"/>
  <c r="I23" i="33" s="1"/>
  <c r="K8" i="33" a="1"/>
  <c r="K8" i="33" s="1"/>
  <c r="S8" i="33" a="1"/>
  <c r="S8" i="33" s="1"/>
  <c r="D18" i="33"/>
  <c r="I24" i="33"/>
  <c r="I26" i="33" s="1"/>
  <c r="Q24" i="33"/>
  <c r="K35" i="33"/>
  <c r="S35" i="33"/>
  <c r="K36" i="33" a="1"/>
  <c r="K36" i="33" s="1"/>
  <c r="S36" i="33" a="1"/>
  <c r="S36" i="33" s="1"/>
  <c r="U8" i="35" a="1"/>
  <c r="U8" i="35" s="1"/>
  <c r="K24" i="35"/>
  <c r="S24" i="35"/>
  <c r="M35" i="35"/>
  <c r="S36" i="35" a="1"/>
  <c r="S36" i="35" s="1"/>
  <c r="L36" i="36" a="1"/>
  <c r="L36" i="36" s="1"/>
  <c r="T36" i="36" a="1"/>
  <c r="T36" i="36" s="1"/>
  <c r="K24" i="36"/>
  <c r="J35" i="36"/>
  <c r="R36" i="36" a="1"/>
  <c r="R36" i="36" s="1"/>
  <c r="P35" i="37"/>
  <c r="P36" i="37" a="1"/>
  <c r="P36" i="37" s="1"/>
  <c r="M4" i="38"/>
  <c r="M6" i="38" s="1"/>
  <c r="M5" i="38"/>
  <c r="U4" i="38"/>
  <c r="U6" i="38" s="1"/>
  <c r="U5" i="38"/>
  <c r="I5" i="38"/>
  <c r="I7" i="38" s="1"/>
  <c r="I22" i="38" s="1"/>
  <c r="I23" i="38" s="1"/>
  <c r="L36" i="38" a="1"/>
  <c r="L36" i="38" s="1"/>
  <c r="L35" i="38"/>
  <c r="L24" i="38"/>
  <c r="T36" i="38" a="1"/>
  <c r="T36" i="38" s="1"/>
  <c r="T35" i="38"/>
  <c r="T24" i="38"/>
  <c r="I8" i="27" a="1"/>
  <c r="I8" i="27" s="1"/>
  <c r="Q8" i="27" a="1"/>
  <c r="Q8" i="27" s="1"/>
  <c r="O24" i="27"/>
  <c r="W24" i="27"/>
  <c r="V28" i="27" s="1"/>
  <c r="H28" i="27" s="1"/>
  <c r="I35" i="27"/>
  <c r="Q35" i="27"/>
  <c r="I36" i="27" a="1"/>
  <c r="I36" i="27" s="1"/>
  <c r="Q36" i="27" a="1"/>
  <c r="Q36" i="27" s="1"/>
  <c r="O24" i="28"/>
  <c r="I35" i="28"/>
  <c r="I25" i="28" s="1" a="1"/>
  <c r="I25" i="28" s="1"/>
  <c r="I31" i="28" s="1"/>
  <c r="Q35" i="28"/>
  <c r="Q25" i="28" s="1" a="1"/>
  <c r="Q25" i="28" s="1"/>
  <c r="Q31" i="28" s="1"/>
  <c r="I36" i="28" a="1"/>
  <c r="I36" i="28" s="1"/>
  <c r="Q36" i="28" a="1"/>
  <c r="Q36" i="28" s="1"/>
  <c r="I8" i="29" a="1"/>
  <c r="I8" i="29" s="1"/>
  <c r="Q8" i="29" a="1"/>
  <c r="Q8" i="29" s="1"/>
  <c r="O24" i="29"/>
  <c r="W24" i="29"/>
  <c r="V28" i="29" s="1"/>
  <c r="I35" i="29"/>
  <c r="Q35" i="29"/>
  <c r="I36" i="29" a="1"/>
  <c r="I36" i="29" s="1"/>
  <c r="Q36" i="29" a="1"/>
  <c r="Q36" i="29" s="1"/>
  <c r="T4" i="30"/>
  <c r="T6" i="30" s="1"/>
  <c r="T7" i="30" s="1"/>
  <c r="T22" i="30" s="1"/>
  <c r="O8" i="30" a="1"/>
  <c r="O8" i="30" s="1"/>
  <c r="W8" i="30" a="1"/>
  <c r="W8" i="30" s="1"/>
  <c r="V8" i="30" a="1"/>
  <c r="V8" i="30" s="1"/>
  <c r="M24" i="30"/>
  <c r="O35" i="30"/>
  <c r="W35" i="30"/>
  <c r="O36" i="30" a="1"/>
  <c r="O36" i="30" s="1"/>
  <c r="W36" i="30" a="1"/>
  <c r="W36" i="30" s="1"/>
  <c r="J4" i="31"/>
  <c r="J6" i="31" s="1"/>
  <c r="J7" i="31" s="1"/>
  <c r="J22" i="31" s="1"/>
  <c r="K8" i="31" a="1"/>
  <c r="K8" i="31" s="1"/>
  <c r="S8" i="31" a="1"/>
  <c r="S8" i="31" s="1"/>
  <c r="D18" i="31"/>
  <c r="I24" i="31"/>
  <c r="I26" i="31" s="1"/>
  <c r="Q24" i="31"/>
  <c r="Q25" i="31" s="1" a="1"/>
  <c r="Q25" i="31" s="1"/>
  <c r="Q31" i="31" s="1"/>
  <c r="K35" i="31"/>
  <c r="S35" i="31"/>
  <c r="K36" i="31" a="1"/>
  <c r="K36" i="31" s="1"/>
  <c r="S36" i="31" a="1"/>
  <c r="S36" i="31" s="1"/>
  <c r="O8" i="32" a="1"/>
  <c r="O8" i="32" s="1"/>
  <c r="W8" i="32" a="1"/>
  <c r="W8" i="32" s="1"/>
  <c r="V8" i="32" a="1"/>
  <c r="V8" i="32" s="1"/>
  <c r="M24" i="32"/>
  <c r="U24" i="32"/>
  <c r="O35" i="32"/>
  <c r="W35" i="32"/>
  <c r="O36" i="32" a="1"/>
  <c r="O36" i="32" s="1"/>
  <c r="W36" i="32" a="1"/>
  <c r="W36" i="32" s="1"/>
  <c r="L35" i="33"/>
  <c r="T35" i="33"/>
  <c r="L36" i="33" a="1"/>
  <c r="L36" i="33" s="1"/>
  <c r="T36" i="33" a="1"/>
  <c r="T36" i="33" s="1"/>
  <c r="T4" i="35"/>
  <c r="T6" i="35" s="1"/>
  <c r="T7" i="35" s="1"/>
  <c r="L24" i="35"/>
  <c r="T24" i="35"/>
  <c r="N35" i="35"/>
  <c r="U36" i="35" a="1"/>
  <c r="U36" i="35" s="1"/>
  <c r="U8" i="36" a="1"/>
  <c r="U8" i="36" s="1"/>
  <c r="M24" i="36"/>
  <c r="K35" i="36"/>
  <c r="S36" i="36" a="1"/>
  <c r="S36" i="36" s="1"/>
  <c r="R35" i="37"/>
  <c r="R36" i="37" a="1"/>
  <c r="R36" i="37" s="1"/>
  <c r="Q5" i="38"/>
  <c r="Q7" i="38" s="1"/>
  <c r="Q22" i="38" s="1"/>
  <c r="L5" i="39"/>
  <c r="L4" i="39"/>
  <c r="L6" i="39" s="1"/>
  <c r="T5" i="39"/>
  <c r="T4" i="39"/>
  <c r="T6" i="39" s="1"/>
  <c r="P4" i="27"/>
  <c r="P6" i="27" s="1"/>
  <c r="P7" i="27" s="1"/>
  <c r="P22" i="27" s="1"/>
  <c r="J35" i="27"/>
  <c r="J25" i="27" s="1" a="1"/>
  <c r="J25" i="27" s="1"/>
  <c r="J31" i="27" s="1"/>
  <c r="R35" i="27"/>
  <c r="R25" i="27" s="1" a="1"/>
  <c r="R25" i="27" s="1"/>
  <c r="R31" i="27" s="1"/>
  <c r="J36" i="27" a="1"/>
  <c r="J36" i="27" s="1"/>
  <c r="R36" i="27" a="1"/>
  <c r="R36" i="27" s="1"/>
  <c r="I5" i="28"/>
  <c r="I7" i="28" s="1"/>
  <c r="I22" i="28" s="1"/>
  <c r="I23" i="28" s="1"/>
  <c r="K8" i="28" a="1"/>
  <c r="K8" i="28" s="1"/>
  <c r="S8" i="28" a="1"/>
  <c r="S8" i="28" s="1"/>
  <c r="I8" i="28" a="1"/>
  <c r="I8" i="28" s="1"/>
  <c r="Q8" i="28" a="1"/>
  <c r="Q8" i="28" s="1"/>
  <c r="J35" i="28"/>
  <c r="R35" i="28"/>
  <c r="J36" i="28" a="1"/>
  <c r="J36" i="28" s="1"/>
  <c r="R36" i="28" a="1"/>
  <c r="R36" i="28" s="1"/>
  <c r="P4" i="29"/>
  <c r="P6" i="29" s="1"/>
  <c r="P7" i="29" s="1"/>
  <c r="P22" i="29" s="1"/>
  <c r="Q5" i="29"/>
  <c r="Q7" i="29" s="1"/>
  <c r="Q22" i="29" s="1"/>
  <c r="J35" i="29"/>
  <c r="R35" i="29"/>
  <c r="J36" i="29" a="1"/>
  <c r="J36" i="29" s="1"/>
  <c r="R36" i="29" a="1"/>
  <c r="R36" i="29" s="1"/>
  <c r="I5" i="30"/>
  <c r="I7" i="30" s="1"/>
  <c r="I22" i="30" s="1"/>
  <c r="I23" i="30" s="1"/>
  <c r="P35" i="30"/>
  <c r="P36" i="30" a="1"/>
  <c r="P36" i="30" s="1"/>
  <c r="Q5" i="31"/>
  <c r="Q7" i="31" s="1"/>
  <c r="Q22" i="31" s="1"/>
  <c r="L35" i="31"/>
  <c r="L25" i="31" s="1" a="1"/>
  <c r="L25" i="31" s="1"/>
  <c r="L31" i="31" s="1"/>
  <c r="T35" i="31"/>
  <c r="L36" i="31" a="1"/>
  <c r="L36" i="31" s="1"/>
  <c r="T36" i="31" a="1"/>
  <c r="T36" i="31" s="1"/>
  <c r="T4" i="32"/>
  <c r="T6" i="32" s="1"/>
  <c r="T7" i="32" s="1"/>
  <c r="P35" i="32"/>
  <c r="P36" i="32" a="1"/>
  <c r="P36" i="32" s="1"/>
  <c r="M5" i="33"/>
  <c r="M7" i="33" s="1"/>
  <c r="M22" i="33" s="1"/>
  <c r="U8" i="33" a="1"/>
  <c r="U8" i="33" s="1"/>
  <c r="K24" i="33"/>
  <c r="S24" i="33"/>
  <c r="M35" i="33"/>
  <c r="U35" i="33"/>
  <c r="M36" i="33" a="1"/>
  <c r="M36" i="33" s="1"/>
  <c r="U36" i="33" a="1"/>
  <c r="U36" i="33" s="1"/>
  <c r="V4" i="35"/>
  <c r="V6" i="35" s="1"/>
  <c r="V7" i="35" s="1"/>
  <c r="V22" i="35" s="1"/>
  <c r="O8" i="35" a="1"/>
  <c r="O8" i="35" s="1"/>
  <c r="W8" i="35" a="1"/>
  <c r="W8" i="35" s="1"/>
  <c r="V8" i="35" a="1"/>
  <c r="V8" i="35" s="1"/>
  <c r="M24" i="35"/>
  <c r="M25" i="35" s="1" a="1"/>
  <c r="M25" i="35" s="1"/>
  <c r="M31" i="35" s="1"/>
  <c r="U24" i="35"/>
  <c r="O35" i="35"/>
  <c r="V36" i="35" a="1"/>
  <c r="V36" i="35" s="1"/>
  <c r="N24" i="36"/>
  <c r="V24" i="36"/>
  <c r="U28" i="36" s="1"/>
  <c r="M35" i="36"/>
  <c r="U36" i="36" a="1"/>
  <c r="U36" i="36" s="1"/>
  <c r="U24" i="37"/>
  <c r="T35" i="37"/>
  <c r="N24" i="38"/>
  <c r="N36" i="38" a="1"/>
  <c r="N36" i="38" s="1"/>
  <c r="N35" i="38"/>
  <c r="V24" i="38"/>
  <c r="U28" i="38" s="1"/>
  <c r="V26" i="38" s="1"/>
  <c r="V36" i="38" a="1"/>
  <c r="V36" i="38" s="1"/>
  <c r="V35" i="38"/>
  <c r="K8" i="27" a="1"/>
  <c r="K8" i="27" s="1"/>
  <c r="S8" i="27" a="1"/>
  <c r="S8" i="27" s="1"/>
  <c r="D18" i="27"/>
  <c r="I24" i="27"/>
  <c r="I26" i="27" s="1"/>
  <c r="Q24" i="27"/>
  <c r="K35" i="27"/>
  <c r="K25" i="27" s="1" a="1"/>
  <c r="K25" i="27" s="1"/>
  <c r="K31" i="27" s="1"/>
  <c r="S35" i="27"/>
  <c r="S25" i="27" s="1" a="1"/>
  <c r="S25" i="27" s="1"/>
  <c r="S31" i="27" s="1"/>
  <c r="K36" i="27" a="1"/>
  <c r="K36" i="27" s="1"/>
  <c r="S36" i="27" a="1"/>
  <c r="S36" i="27" s="1"/>
  <c r="K35" i="28"/>
  <c r="K25" i="28" s="1" a="1"/>
  <c r="K25" i="28" s="1"/>
  <c r="K31" i="28" s="1"/>
  <c r="S35" i="28"/>
  <c r="K36" i="28" a="1"/>
  <c r="K36" i="28" s="1"/>
  <c r="S36" i="28" a="1"/>
  <c r="S36" i="28" s="1"/>
  <c r="R4" i="29"/>
  <c r="R6" i="29" s="1"/>
  <c r="R7" i="29" s="1"/>
  <c r="R22" i="29" s="1"/>
  <c r="K8" i="29" a="1"/>
  <c r="K8" i="29" s="1"/>
  <c r="S8" i="29" a="1"/>
  <c r="S8" i="29" s="1"/>
  <c r="D18" i="29"/>
  <c r="I24" i="29"/>
  <c r="I26" i="29" s="1"/>
  <c r="Q24" i="29"/>
  <c r="Q25" i="29" s="1" a="1"/>
  <c r="Q25" i="29" s="1"/>
  <c r="Q31" i="29" s="1"/>
  <c r="K35" i="29"/>
  <c r="S35" i="29"/>
  <c r="K36" i="29" a="1"/>
  <c r="K36" i="29" s="1"/>
  <c r="S36" i="29" a="1"/>
  <c r="S36" i="29" s="1"/>
  <c r="O24" i="30"/>
  <c r="W24" i="30"/>
  <c r="V28" i="30" s="1"/>
  <c r="I35" i="30"/>
  <c r="Q35" i="30"/>
  <c r="Q25" i="30" s="1" a="1"/>
  <c r="Q25" i="30" s="1"/>
  <c r="Q31" i="30" s="1"/>
  <c r="U8" i="31" a="1"/>
  <c r="U8" i="31" s="1"/>
  <c r="K24" i="31"/>
  <c r="K25" i="31" s="1" a="1"/>
  <c r="K25" i="31" s="1"/>
  <c r="K31" i="31" s="1"/>
  <c r="S24" i="31"/>
  <c r="M35" i="31"/>
  <c r="U35" i="31"/>
  <c r="U25" i="31" s="1" a="1"/>
  <c r="U25" i="31" s="1"/>
  <c r="M36" i="31" a="1"/>
  <c r="M36" i="31" s="1"/>
  <c r="U36" i="31" a="1"/>
  <c r="U36" i="31" s="1"/>
  <c r="V4" i="32"/>
  <c r="V6" i="32" s="1"/>
  <c r="V7" i="32" s="1"/>
  <c r="V22" i="32" s="1"/>
  <c r="I8" i="32" a="1"/>
  <c r="I8" i="32" s="1"/>
  <c r="Q8" i="32" a="1"/>
  <c r="Q8" i="32" s="1"/>
  <c r="O24" i="32"/>
  <c r="W24" i="32"/>
  <c r="V28" i="32" s="1"/>
  <c r="I35" i="32"/>
  <c r="I25" i="32" s="1" a="1"/>
  <c r="I25" i="32" s="1"/>
  <c r="I31" i="32" s="1"/>
  <c r="Q35" i="32"/>
  <c r="I36" i="32" a="1"/>
  <c r="I36" i="32" s="1"/>
  <c r="Q36" i="32" a="1"/>
  <c r="Q36" i="32" s="1"/>
  <c r="N4" i="33"/>
  <c r="N6" i="33" s="1"/>
  <c r="N7" i="33" s="1"/>
  <c r="N22" i="33" s="1"/>
  <c r="N35" i="33"/>
  <c r="V35" i="33"/>
  <c r="P36" i="35" a="1"/>
  <c r="P36" i="35" s="1"/>
  <c r="P35" i="35"/>
  <c r="P25" i="35" s="1" a="1"/>
  <c r="P25" i="35" s="1"/>
  <c r="P31" i="35" s="1"/>
  <c r="K36" i="35" a="1"/>
  <c r="K36" i="35" s="1"/>
  <c r="W36" i="35" a="1"/>
  <c r="W36" i="35" s="1"/>
  <c r="P5" i="36"/>
  <c r="P4" i="36"/>
  <c r="P6" i="36" s="1"/>
  <c r="O8" i="36" a="1"/>
  <c r="O8" i="36" s="1"/>
  <c r="W8" i="36" a="1"/>
  <c r="W8" i="36" s="1"/>
  <c r="V8" i="36" a="1"/>
  <c r="V8" i="36" s="1"/>
  <c r="O35" i="36"/>
  <c r="O25" i="36" s="1" a="1"/>
  <c r="O25" i="36" s="1"/>
  <c r="O31" i="36" s="1"/>
  <c r="J36" i="36" a="1"/>
  <c r="J36" i="36" s="1"/>
  <c r="W36" i="36" a="1"/>
  <c r="W36" i="36" s="1"/>
  <c r="V35" i="37"/>
  <c r="N5" i="39"/>
  <c r="N4" i="39"/>
  <c r="N6" i="39" s="1"/>
  <c r="V5" i="39"/>
  <c r="V4" i="39"/>
  <c r="V6" i="39" s="1"/>
  <c r="L35" i="27"/>
  <c r="T35" i="27"/>
  <c r="M5" i="28"/>
  <c r="M7" i="28" s="1"/>
  <c r="M22" i="28" s="1"/>
  <c r="L35" i="28"/>
  <c r="T35" i="28"/>
  <c r="T4" i="29"/>
  <c r="T6" i="29" s="1"/>
  <c r="T7" i="29" s="1"/>
  <c r="U5" i="29"/>
  <c r="U7" i="29" s="1"/>
  <c r="U22" i="29" s="1"/>
  <c r="L35" i="29"/>
  <c r="T35" i="29"/>
  <c r="J35" i="30"/>
  <c r="R35" i="30"/>
  <c r="R25" i="30" s="1" a="1"/>
  <c r="R25" i="30" s="1"/>
  <c r="R31" i="30" s="1"/>
  <c r="P4" i="31"/>
  <c r="P6" i="31" s="1"/>
  <c r="P7" i="31" s="1"/>
  <c r="P22" i="31" s="1"/>
  <c r="N35" i="31"/>
  <c r="V35" i="31"/>
  <c r="J35" i="32"/>
  <c r="R35" i="32"/>
  <c r="O8" i="33" a="1"/>
  <c r="O8" i="33" s="1"/>
  <c r="W8" i="33" a="1"/>
  <c r="W8" i="33" s="1"/>
  <c r="M24" i="33"/>
  <c r="U24" i="33"/>
  <c r="O35" i="33"/>
  <c r="O25" i="33" s="1" a="1"/>
  <c r="O25" i="33" s="1"/>
  <c r="O31" i="33" s="1"/>
  <c r="W35" i="33"/>
  <c r="W25" i="33" s="1" a="1"/>
  <c r="W25" i="33" s="1"/>
  <c r="O36" i="33" a="1"/>
  <c r="O36" i="33" s="1"/>
  <c r="W36" i="33" a="1"/>
  <c r="W36" i="33" s="1"/>
  <c r="I8" i="35" a="1"/>
  <c r="I8" i="35" s="1"/>
  <c r="Q8" i="35" a="1"/>
  <c r="Q8" i="35" s="1"/>
  <c r="O24" i="35"/>
  <c r="W24" i="35"/>
  <c r="V28" i="35" s="1"/>
  <c r="I35" i="35"/>
  <c r="M36" i="35" a="1"/>
  <c r="M36" i="35" s="1"/>
  <c r="N4" i="36"/>
  <c r="N6" i="36" s="1"/>
  <c r="N7" i="36" s="1"/>
  <c r="N22" i="36" s="1"/>
  <c r="P36" i="36" a="1"/>
  <c r="P36" i="36" s="1"/>
  <c r="K36" i="36" a="1"/>
  <c r="K36" i="36" s="1"/>
  <c r="P24" i="38"/>
  <c r="P36" i="38" a="1"/>
  <c r="P36" i="38" s="1"/>
  <c r="P35" i="38"/>
  <c r="L24" i="36"/>
  <c r="T24" i="36"/>
  <c r="N35" i="36"/>
  <c r="V35" i="36"/>
  <c r="N36" i="36" a="1"/>
  <c r="N36" i="36" s="1"/>
  <c r="V36" i="36" a="1"/>
  <c r="V36" i="36" s="1"/>
  <c r="K8" i="37" a="1"/>
  <c r="K8" i="37" s="1"/>
  <c r="S8" i="37" a="1"/>
  <c r="S8" i="37" s="1"/>
  <c r="D18" i="37"/>
  <c r="K35" i="37"/>
  <c r="S35" i="37"/>
  <c r="K36" i="37" a="1"/>
  <c r="K36" i="37" s="1"/>
  <c r="S36" i="37" a="1"/>
  <c r="S36" i="37" s="1"/>
  <c r="J35" i="39"/>
  <c r="R35" i="39"/>
  <c r="R25" i="39" s="1" a="1"/>
  <c r="R25" i="39" s="1"/>
  <c r="R31" i="39" s="1"/>
  <c r="J36" i="39" a="1"/>
  <c r="J36" i="39" s="1"/>
  <c r="R36" i="39" a="1"/>
  <c r="R36" i="39" s="1"/>
  <c r="N5" i="78"/>
  <c r="N7" i="78" s="1"/>
  <c r="N22" i="78" s="1"/>
  <c r="J24" i="78"/>
  <c r="R24" i="78"/>
  <c r="L35" i="78"/>
  <c r="L25" i="78" s="1" a="1"/>
  <c r="L25" i="78" s="1"/>
  <c r="L31" i="78" s="1"/>
  <c r="T35" i="78"/>
  <c r="L36" i="78" a="1"/>
  <c r="L36" i="78" s="1"/>
  <c r="T36" i="78" a="1"/>
  <c r="T36" i="78" s="1"/>
  <c r="T4" i="79"/>
  <c r="T6" i="79" s="1"/>
  <c r="T7" i="79" s="1"/>
  <c r="N24" i="79"/>
  <c r="V24" i="79"/>
  <c r="U28" i="79" s="1"/>
  <c r="P35" i="79"/>
  <c r="P25" i="79" s="1" a="1"/>
  <c r="P25" i="79" s="1"/>
  <c r="P31" i="79" s="1"/>
  <c r="P36" i="79" a="1"/>
  <c r="P36" i="79" s="1"/>
  <c r="D18" i="39"/>
  <c r="I24" i="39"/>
  <c r="I26" i="39" s="1"/>
  <c r="Q24" i="39"/>
  <c r="K35" i="39"/>
  <c r="S35" i="39"/>
  <c r="K36" i="39" a="1"/>
  <c r="K36" i="39" s="1"/>
  <c r="S36" i="39" a="1"/>
  <c r="S36" i="39" s="1"/>
  <c r="Q5" i="78"/>
  <c r="Q7" i="78" s="1"/>
  <c r="Q22" i="78" s="1"/>
  <c r="K24" i="78"/>
  <c r="S24" i="78"/>
  <c r="U35" i="78"/>
  <c r="U36" i="78" a="1"/>
  <c r="U36" i="78" s="1"/>
  <c r="V4" i="79"/>
  <c r="V6" i="79" s="1"/>
  <c r="V7" i="79" s="1"/>
  <c r="V22" i="79" s="1"/>
  <c r="O24" i="79"/>
  <c r="W24" i="79"/>
  <c r="V28" i="79" s="1"/>
  <c r="I35" i="79"/>
  <c r="Q35" i="79"/>
  <c r="I36" i="79" a="1"/>
  <c r="I36" i="79" s="1"/>
  <c r="Q36" i="79" a="1"/>
  <c r="Q36" i="79" s="1"/>
  <c r="P35" i="36"/>
  <c r="P25" i="36" s="1" a="1"/>
  <c r="P25" i="36" s="1"/>
  <c r="P31" i="36" s="1"/>
  <c r="U5" i="37"/>
  <c r="U7" i="37" s="1"/>
  <c r="U22" i="37" s="1"/>
  <c r="U8" i="37" a="1"/>
  <c r="U8" i="37" s="1"/>
  <c r="K24" i="37"/>
  <c r="S24" i="37"/>
  <c r="M35" i="37"/>
  <c r="M25" i="37" s="1" a="1"/>
  <c r="M25" i="37" s="1"/>
  <c r="M31" i="37" s="1"/>
  <c r="U35" i="37"/>
  <c r="M36" i="37" a="1"/>
  <c r="M36" i="37" s="1"/>
  <c r="U36" i="37" a="1"/>
  <c r="U36" i="37" s="1"/>
  <c r="V4" i="38"/>
  <c r="V6" i="38" s="1"/>
  <c r="V7" i="38" s="1"/>
  <c r="V22" i="38" s="1"/>
  <c r="Q5" i="39"/>
  <c r="Q7" i="39" s="1"/>
  <c r="Q22" i="39" s="1"/>
  <c r="L35" i="39"/>
  <c r="T35" i="39"/>
  <c r="O8" i="78" a="1"/>
  <c r="O8" i="78" s="1"/>
  <c r="W8" i="78" a="1"/>
  <c r="W8" i="78" s="1"/>
  <c r="V8" i="78" a="1"/>
  <c r="V8" i="78" s="1"/>
  <c r="U8" i="78" a="1"/>
  <c r="U8" i="78" s="1"/>
  <c r="N35" i="78"/>
  <c r="N25" i="78" s="1" a="1"/>
  <c r="N25" i="78" s="1"/>
  <c r="N31" i="78" s="1"/>
  <c r="V35" i="78"/>
  <c r="V25" i="78" s="1" a="1"/>
  <c r="V25" i="78" s="1"/>
  <c r="N36" i="78" a="1"/>
  <c r="N36" i="78" s="1"/>
  <c r="V36" i="78" a="1"/>
  <c r="V36" i="78" s="1"/>
  <c r="I5" i="79"/>
  <c r="I7" i="79" s="1"/>
  <c r="I22" i="79" s="1"/>
  <c r="J35" i="79"/>
  <c r="J25" i="79" s="1" a="1"/>
  <c r="J25" i="79" s="1"/>
  <c r="J31" i="79" s="1"/>
  <c r="R35" i="79"/>
  <c r="J36" i="79" a="1"/>
  <c r="J36" i="79" s="1"/>
  <c r="R36" i="79" a="1"/>
  <c r="R36" i="79" s="1"/>
  <c r="U8" i="39" a="1"/>
  <c r="U8" i="39" s="1"/>
  <c r="K24" i="39"/>
  <c r="S24" i="39"/>
  <c r="M35" i="39"/>
  <c r="U35" i="39"/>
  <c r="M36" i="39" a="1"/>
  <c r="M36" i="39" s="1"/>
  <c r="U36" i="39" a="1"/>
  <c r="U36" i="39" s="1"/>
  <c r="U5" i="78"/>
  <c r="U7" i="78" s="1"/>
  <c r="U22" i="78" s="1"/>
  <c r="O35" i="78"/>
  <c r="O25" i="78" s="1" a="1"/>
  <c r="O25" i="78" s="1"/>
  <c r="O31" i="78" s="1"/>
  <c r="W35" i="78"/>
  <c r="O36" i="78" a="1"/>
  <c r="O36" i="78" s="1"/>
  <c r="W36" i="78" a="1"/>
  <c r="W36" i="78" s="1"/>
  <c r="J4" i="79"/>
  <c r="J6" i="79" s="1"/>
  <c r="J7" i="79" s="1"/>
  <c r="J22" i="79" s="1"/>
  <c r="D18" i="79"/>
  <c r="I24" i="79"/>
  <c r="I26" i="79" s="1"/>
  <c r="Q24" i="79"/>
  <c r="Q25" i="79" s="1" a="1"/>
  <c r="Q25" i="79" s="1"/>
  <c r="Q31" i="79" s="1"/>
  <c r="K35" i="79"/>
  <c r="S35" i="79"/>
  <c r="K36" i="79" a="1"/>
  <c r="K36" i="79" s="1"/>
  <c r="S36" i="79" a="1"/>
  <c r="S36" i="79" s="1"/>
  <c r="O8" i="37" a="1"/>
  <c r="O8" i="37" s="1"/>
  <c r="W8" i="37" a="1"/>
  <c r="W8" i="37" s="1"/>
  <c r="V8" i="37" a="1"/>
  <c r="V8" i="37" s="1"/>
  <c r="O35" i="37"/>
  <c r="W35" i="37"/>
  <c r="O36" i="37" a="1"/>
  <c r="O36" i="37" s="1"/>
  <c r="W36" i="37" a="1"/>
  <c r="W36" i="37" s="1"/>
  <c r="P4" i="39"/>
  <c r="P6" i="39" s="1"/>
  <c r="P7" i="39" s="1"/>
  <c r="P22" i="39" s="1"/>
  <c r="N35" i="39"/>
  <c r="N25" i="39" s="1" a="1"/>
  <c r="N25" i="39" s="1"/>
  <c r="N31" i="39" s="1"/>
  <c r="V35" i="39"/>
  <c r="V25" i="39" s="1" a="1"/>
  <c r="V25" i="39" s="1"/>
  <c r="N36" i="39" a="1"/>
  <c r="N36" i="39" s="1"/>
  <c r="V36" i="39" a="1"/>
  <c r="V36" i="39" s="1"/>
  <c r="V5" i="78"/>
  <c r="V7" i="78" s="1"/>
  <c r="V22" i="78" s="1"/>
  <c r="P35" i="78"/>
  <c r="P36" i="78" a="1"/>
  <c r="P36" i="78" s="1"/>
  <c r="L4" i="79"/>
  <c r="L6" i="79" s="1"/>
  <c r="L7" i="79" s="1"/>
  <c r="L22" i="79" s="1"/>
  <c r="Q5" i="79"/>
  <c r="Q7" i="79" s="1"/>
  <c r="Q22" i="79" s="1"/>
  <c r="L35" i="79"/>
  <c r="L25" i="79" s="1" a="1"/>
  <c r="L25" i="79" s="1"/>
  <c r="L31" i="79" s="1"/>
  <c r="T35" i="79"/>
  <c r="T25" i="79" s="1" a="1"/>
  <c r="T25" i="79" s="1"/>
  <c r="T31" i="79" s="1"/>
  <c r="L36" i="79" a="1"/>
  <c r="L36" i="79" s="1"/>
  <c r="T36" i="79" a="1"/>
  <c r="T36" i="79" s="1"/>
  <c r="M24" i="39"/>
  <c r="U24" i="39"/>
  <c r="O35" i="39"/>
  <c r="W35" i="39"/>
  <c r="O36" i="39" a="1"/>
  <c r="O36" i="39" s="1"/>
  <c r="W36" i="39" a="1"/>
  <c r="W36" i="39" s="1"/>
  <c r="I5" i="78"/>
  <c r="I7" i="78" s="1"/>
  <c r="I22" i="78" s="1"/>
  <c r="I23" i="78" s="1"/>
  <c r="I35" i="78"/>
  <c r="Q35" i="78"/>
  <c r="I36" i="78" a="1"/>
  <c r="I36" i="78" s="1"/>
  <c r="Q36" i="78" a="1"/>
  <c r="Q36" i="78" s="1"/>
  <c r="N4" i="79"/>
  <c r="N6" i="79" s="1"/>
  <c r="N7" i="79" s="1"/>
  <c r="N22" i="79" s="1"/>
  <c r="K24" i="79"/>
  <c r="S24" i="79"/>
  <c r="M35" i="79"/>
  <c r="U35" i="79"/>
  <c r="M36" i="79" a="1"/>
  <c r="M36" i="79" s="1"/>
  <c r="U36" i="79" a="1"/>
  <c r="U36" i="79" s="1"/>
  <c r="Q5" i="36"/>
  <c r="Q7" i="36" s="1"/>
  <c r="Q22" i="36" s="1"/>
  <c r="L35" i="36"/>
  <c r="T35" i="36"/>
  <c r="M5" i="37"/>
  <c r="M7" i="37" s="1"/>
  <c r="M22" i="37" s="1"/>
  <c r="I8" i="37" a="1"/>
  <c r="I8" i="37" s="1"/>
  <c r="Q8" i="37" a="1"/>
  <c r="Q8" i="37" s="1"/>
  <c r="O24" i="37"/>
  <c r="W24" i="37"/>
  <c r="V28" i="37" s="1"/>
  <c r="I35" i="37"/>
  <c r="I25" i="37" s="1" a="1"/>
  <c r="I25" i="37" s="1"/>
  <c r="Q35" i="37"/>
  <c r="I36" i="37" a="1"/>
  <c r="I36" i="37" s="1"/>
  <c r="Q36" i="37" a="1"/>
  <c r="Q36" i="37" s="1"/>
  <c r="N4" i="38"/>
  <c r="N6" i="38" s="1"/>
  <c r="N7" i="38" s="1"/>
  <c r="N22" i="38" s="1"/>
  <c r="P35" i="39"/>
  <c r="K8" i="78" a="1"/>
  <c r="K8" i="78" s="1"/>
  <c r="S8" i="78" a="1"/>
  <c r="S8" i="78" s="1"/>
  <c r="I8" i="78" a="1"/>
  <c r="I8" i="78" s="1"/>
  <c r="Q8" i="78" a="1"/>
  <c r="Q8" i="78" s="1"/>
  <c r="D18" i="78"/>
  <c r="J35" i="78"/>
  <c r="R35" i="78"/>
  <c r="P4" i="79"/>
  <c r="P6" i="79" s="1"/>
  <c r="P7" i="79" s="1"/>
  <c r="P22" i="79" s="1"/>
  <c r="N35" i="79"/>
  <c r="V35" i="79"/>
  <c r="O24" i="39"/>
  <c r="W24" i="39"/>
  <c r="V28" i="39" s="1"/>
  <c r="H28" i="39" s="1"/>
  <c r="I35" i="39"/>
  <c r="Q35" i="39"/>
  <c r="I36" i="39" a="1"/>
  <c r="I36" i="39" s="1"/>
  <c r="Q36" i="39" a="1"/>
  <c r="Q36" i="39" s="1"/>
  <c r="K35" i="78"/>
  <c r="S35" i="78"/>
  <c r="M24" i="79"/>
  <c r="M25" i="79" s="1" a="1"/>
  <c r="M25" i="79" s="1"/>
  <c r="M31" i="79" s="1"/>
  <c r="U24" i="79"/>
  <c r="U25" i="79" s="1" a="1"/>
  <c r="U25" i="79" s="1"/>
  <c r="O35" i="79"/>
  <c r="W35" i="79"/>
  <c r="O36" i="79" a="1"/>
  <c r="O36" i="79" s="1"/>
  <c r="W36" i="79" a="1"/>
  <c r="W36" i="79" s="1"/>
  <c r="D19" i="79"/>
  <c r="K5" i="79"/>
  <c r="K7" i="79" s="1"/>
  <c r="K22" i="79" s="1"/>
  <c r="O5" i="79"/>
  <c r="O7" i="79" s="1"/>
  <c r="O22" i="79" s="1"/>
  <c r="S5" i="79"/>
  <c r="S7" i="79" s="1"/>
  <c r="S22" i="79" s="1"/>
  <c r="W5" i="79"/>
  <c r="W7" i="79" s="1"/>
  <c r="W22" i="79" s="1"/>
  <c r="K4" i="78"/>
  <c r="K6" i="78" s="1"/>
  <c r="K5" i="78"/>
  <c r="O4" i="78"/>
  <c r="O6" i="78" s="1"/>
  <c r="O5" i="78"/>
  <c r="S4" i="78"/>
  <c r="S6" i="78" s="1"/>
  <c r="S5" i="78"/>
  <c r="W4" i="78"/>
  <c r="W6" i="78" s="1"/>
  <c r="W5" i="78"/>
  <c r="V28" i="78"/>
  <c r="R7" i="39"/>
  <c r="R22" i="39" s="1"/>
  <c r="D19" i="39"/>
  <c r="K5" i="39"/>
  <c r="K7" i="39" s="1"/>
  <c r="K22" i="39" s="1"/>
  <c r="O5" i="39"/>
  <c r="O7" i="39" s="1"/>
  <c r="O22" i="39" s="1"/>
  <c r="S5" i="39"/>
  <c r="S7" i="39" s="1"/>
  <c r="S22" i="39" s="1"/>
  <c r="W5" i="39"/>
  <c r="W7" i="39" s="1"/>
  <c r="W22" i="39" s="1"/>
  <c r="U26" i="38"/>
  <c r="O25" i="38" a="1"/>
  <c r="O25" i="38" s="1"/>
  <c r="O31" i="38" s="1"/>
  <c r="S25" i="38" a="1"/>
  <c r="S25" i="38" s="1"/>
  <c r="S31" i="38" s="1"/>
  <c r="W25" i="38" a="1"/>
  <c r="W25" i="38" s="1"/>
  <c r="U25" i="38" a="1"/>
  <c r="U25" i="38" s="1"/>
  <c r="K4" i="38"/>
  <c r="K6" i="38" s="1"/>
  <c r="K5" i="38"/>
  <c r="O4" i="38"/>
  <c r="O6" i="38" s="1"/>
  <c r="O5" i="38"/>
  <c r="S4" i="38"/>
  <c r="S6" i="38" s="1"/>
  <c r="S5" i="38"/>
  <c r="W4" i="38"/>
  <c r="W6" i="38" s="1"/>
  <c r="W5" i="38"/>
  <c r="J5" i="37"/>
  <c r="J7" i="37" s="1"/>
  <c r="J22" i="37" s="1"/>
  <c r="N5" i="37"/>
  <c r="N7" i="37" s="1"/>
  <c r="N22" i="37" s="1"/>
  <c r="R5" i="37"/>
  <c r="R7" i="37" s="1"/>
  <c r="R22" i="37" s="1"/>
  <c r="V5" i="37"/>
  <c r="V7" i="37" s="1"/>
  <c r="V22" i="37" s="1"/>
  <c r="D19" i="37"/>
  <c r="K5" i="37"/>
  <c r="K7" i="37" s="1"/>
  <c r="K22" i="37" s="1"/>
  <c r="O5" i="37"/>
  <c r="O7" i="37" s="1"/>
  <c r="O22" i="37" s="1"/>
  <c r="S5" i="37"/>
  <c r="S7" i="37" s="1"/>
  <c r="S22" i="37" s="1"/>
  <c r="W5" i="37"/>
  <c r="W7" i="37" s="1"/>
  <c r="W22" i="37" s="1"/>
  <c r="K4" i="36"/>
  <c r="K6" i="36" s="1"/>
  <c r="K5" i="36"/>
  <c r="O4" i="36"/>
  <c r="O6" i="36" s="1"/>
  <c r="O5" i="36"/>
  <c r="S4" i="36"/>
  <c r="S6" i="36" s="1"/>
  <c r="S5" i="36"/>
  <c r="W4" i="36"/>
  <c r="W6" i="36" s="1"/>
  <c r="W5" i="36"/>
  <c r="D19" i="36"/>
  <c r="K4" i="35"/>
  <c r="K6" i="35" s="1"/>
  <c r="K5" i="35"/>
  <c r="O4" i="35"/>
  <c r="O6" i="35" s="1"/>
  <c r="O5" i="35"/>
  <c r="S4" i="35"/>
  <c r="S6" i="35" s="1"/>
  <c r="S5" i="35"/>
  <c r="W4" i="35"/>
  <c r="W6" i="35" s="1"/>
  <c r="W5" i="35"/>
  <c r="D19" i="35"/>
  <c r="K4" i="33"/>
  <c r="K6" i="33" s="1"/>
  <c r="K5" i="33"/>
  <c r="O4" i="33"/>
  <c r="O6" i="33" s="1"/>
  <c r="O5" i="33"/>
  <c r="S4" i="33"/>
  <c r="S6" i="33" s="1"/>
  <c r="S5" i="33"/>
  <c r="W4" i="33"/>
  <c r="W6" i="33" s="1"/>
  <c r="W5" i="33"/>
  <c r="V8" i="33" a="1"/>
  <c r="V8" i="33" s="1"/>
  <c r="D19" i="33"/>
  <c r="U7" i="32"/>
  <c r="U22" i="32" s="1"/>
  <c r="D19" i="32"/>
  <c r="K5" i="32"/>
  <c r="K7" i="32" s="1"/>
  <c r="K22" i="32" s="1"/>
  <c r="O5" i="32"/>
  <c r="O7" i="32" s="1"/>
  <c r="O22" i="32" s="1"/>
  <c r="S5" i="32"/>
  <c r="S7" i="32" s="1"/>
  <c r="S22" i="32" s="1"/>
  <c r="W5" i="32"/>
  <c r="W7" i="32" s="1"/>
  <c r="W22" i="32" s="1"/>
  <c r="K4" i="31"/>
  <c r="K6" i="31" s="1"/>
  <c r="K5" i="31"/>
  <c r="O4" i="31"/>
  <c r="O6" i="31" s="1"/>
  <c r="O5" i="31"/>
  <c r="S4" i="31"/>
  <c r="S6" i="31" s="1"/>
  <c r="S5" i="31"/>
  <c r="W4" i="31"/>
  <c r="W6" i="31" s="1"/>
  <c r="W5" i="31"/>
  <c r="D19" i="31"/>
  <c r="K4" i="30"/>
  <c r="K6" i="30" s="1"/>
  <c r="K5" i="30"/>
  <c r="O4" i="30"/>
  <c r="O6" i="30" s="1"/>
  <c r="O5" i="30"/>
  <c r="S4" i="30"/>
  <c r="S6" i="30" s="1"/>
  <c r="S5" i="30"/>
  <c r="W4" i="30"/>
  <c r="W6" i="30" s="1"/>
  <c r="W5" i="30"/>
  <c r="Q8" i="30" a="1"/>
  <c r="Q8" i="30" s="1"/>
  <c r="U8" i="30" a="1"/>
  <c r="U8" i="30" s="1"/>
  <c r="N25" i="29" a="1"/>
  <c r="N25" i="29" s="1"/>
  <c r="N31" i="29" s="1"/>
  <c r="J5" i="30"/>
  <c r="J7" i="30" s="1"/>
  <c r="J22" i="30" s="1"/>
  <c r="N5" i="30"/>
  <c r="N7" i="30" s="1"/>
  <c r="N22" i="30" s="1"/>
  <c r="R5" i="30"/>
  <c r="R7" i="30" s="1"/>
  <c r="R22" i="30" s="1"/>
  <c r="V5" i="30"/>
  <c r="V7" i="30" s="1"/>
  <c r="V22" i="30" s="1"/>
  <c r="D19" i="30"/>
  <c r="O4" i="29"/>
  <c r="O6" i="29" s="1"/>
  <c r="O5" i="29"/>
  <c r="S4" i="29"/>
  <c r="S6" i="29" s="1"/>
  <c r="S5" i="29"/>
  <c r="W4" i="29"/>
  <c r="W6" i="29" s="1"/>
  <c r="W5" i="29"/>
  <c r="K4" i="29"/>
  <c r="K6" i="29" s="1"/>
  <c r="K5" i="29"/>
  <c r="D19" i="29"/>
  <c r="M25" i="28" a="1"/>
  <c r="M25" i="28" s="1"/>
  <c r="M31" i="28" s="1"/>
  <c r="K4" i="28"/>
  <c r="K6" i="28" s="1"/>
  <c r="K5" i="28"/>
  <c r="O4" i="28"/>
  <c r="O6" i="28" s="1"/>
  <c r="O5" i="28"/>
  <c r="S4" i="28"/>
  <c r="S6" i="28" s="1"/>
  <c r="S5" i="28"/>
  <c r="W4" i="28"/>
  <c r="W6" i="28" s="1"/>
  <c r="W5" i="28"/>
  <c r="U8" i="28" a="1"/>
  <c r="U8" i="28" s="1"/>
  <c r="J5" i="28"/>
  <c r="J7" i="28" s="1"/>
  <c r="J22" i="28" s="1"/>
  <c r="N5" i="28"/>
  <c r="N7" i="28" s="1"/>
  <c r="N22" i="28" s="1"/>
  <c r="R5" i="28"/>
  <c r="R7" i="28" s="1"/>
  <c r="R22" i="28" s="1"/>
  <c r="V5" i="28"/>
  <c r="V7" i="28" s="1"/>
  <c r="V22" i="28" s="1"/>
  <c r="D19" i="28"/>
  <c r="K4" i="27"/>
  <c r="K6" i="27" s="1"/>
  <c r="K5" i="27"/>
  <c r="S4" i="27"/>
  <c r="S6" i="27" s="1"/>
  <c r="S5" i="27"/>
  <c r="W4" i="27"/>
  <c r="W6" i="27" s="1"/>
  <c r="W5" i="27"/>
  <c r="O4" i="27"/>
  <c r="O6" i="27" s="1"/>
  <c r="O5" i="27"/>
  <c r="D19" i="27"/>
  <c r="K5" i="24"/>
  <c r="K7" i="24" s="1"/>
  <c r="K22" i="24" s="1"/>
  <c r="W5" i="24"/>
  <c r="W7" i="24" s="1"/>
  <c r="W22" i="24" s="1"/>
  <c r="O5" i="24"/>
  <c r="O7" i="24" s="1"/>
  <c r="O22" i="24" s="1"/>
  <c r="S5" i="24"/>
  <c r="S7" i="24" s="1"/>
  <c r="S22" i="24" s="1"/>
  <c r="P25" i="78" l="1" a="1"/>
  <c r="P25" i="78" s="1"/>
  <c r="P31" i="78" s="1"/>
  <c r="W25" i="78" a="1"/>
  <c r="W25" i="78" s="1"/>
  <c r="R25" i="79" a="1"/>
  <c r="R25" i="79" s="1"/>
  <c r="R31" i="79" s="1"/>
  <c r="H28" i="32"/>
  <c r="S25" i="28" a="1"/>
  <c r="S25" i="28" s="1"/>
  <c r="S31" i="28" s="1"/>
  <c r="T25" i="31" a="1"/>
  <c r="T25" i="31" s="1"/>
  <c r="T31" i="31" s="1"/>
  <c r="R25" i="37" a="1"/>
  <c r="R25" i="37" s="1"/>
  <c r="R31" i="37" s="1"/>
  <c r="U25" i="24" a="1"/>
  <c r="U25" i="24" s="1"/>
  <c r="U27" i="24" s="1"/>
  <c r="U30" i="24" s="1"/>
  <c r="U3" i="85" s="1"/>
  <c r="M25" i="78" a="1"/>
  <c r="M25" i="78" s="1"/>
  <c r="M31" i="78" s="1"/>
  <c r="J25" i="80" a="1"/>
  <c r="J25" i="80" s="1"/>
  <c r="J31" i="80" s="1"/>
  <c r="O25" i="80" a="1"/>
  <c r="O25" i="80" s="1"/>
  <c r="O31" i="80" s="1"/>
  <c r="K25" i="81" a="1"/>
  <c r="K25" i="81" s="1"/>
  <c r="K31" i="81" s="1"/>
  <c r="I25" i="86" a="1"/>
  <c r="I25" i="86" s="1"/>
  <c r="K25" i="86" a="1"/>
  <c r="K25" i="86" s="1"/>
  <c r="K31" i="86" s="1"/>
  <c r="I25" i="88" a="1"/>
  <c r="I25" i="88" s="1"/>
  <c r="K25" i="88" a="1"/>
  <c r="K25" i="88" s="1"/>
  <c r="K31" i="88" s="1"/>
  <c r="J25" i="39" a="1"/>
  <c r="J25" i="39" s="1"/>
  <c r="J31" i="39" s="1"/>
  <c r="Q25" i="32" a="1"/>
  <c r="Q25" i="32" s="1"/>
  <c r="Q31" i="32" s="1"/>
  <c r="V25" i="32" a="1"/>
  <c r="V25" i="32" s="1"/>
  <c r="R25" i="31" a="1"/>
  <c r="R25" i="31" s="1"/>
  <c r="R31" i="31" s="1"/>
  <c r="P25" i="27" a="1"/>
  <c r="P25" i="27" s="1"/>
  <c r="P31" i="27" s="1"/>
  <c r="N25" i="27" a="1"/>
  <c r="N25" i="27" s="1"/>
  <c r="N31" i="27" s="1"/>
  <c r="M25" i="27" a="1"/>
  <c r="M25" i="27" s="1"/>
  <c r="M31" i="27" s="1"/>
  <c r="S25" i="81" a="1"/>
  <c r="S25" i="81" s="1"/>
  <c r="S31" i="81" s="1"/>
  <c r="N25" i="86" a="1"/>
  <c r="N25" i="86" s="1"/>
  <c r="S25" i="87" a="1"/>
  <c r="S25" i="87" s="1"/>
  <c r="N25" i="88" a="1"/>
  <c r="N25" i="88" s="1"/>
  <c r="N31" i="88" s="1"/>
  <c r="T25" i="81" a="1"/>
  <c r="T25" i="81" s="1"/>
  <c r="T31" i="81" s="1"/>
  <c r="M25" i="81" a="1"/>
  <c r="M25" i="81" s="1"/>
  <c r="O25" i="81" a="1"/>
  <c r="O25" i="81" s="1"/>
  <c r="M25" i="38" a="1"/>
  <c r="M25" i="38" s="1"/>
  <c r="M31" i="38" s="1"/>
  <c r="I25" i="38" a="1"/>
  <c r="I25" i="38" s="1"/>
  <c r="I31" i="38" s="1"/>
  <c r="Q25" i="38" a="1"/>
  <c r="Q25" i="38" s="1"/>
  <c r="Q31" i="38" s="1"/>
  <c r="W52" i="93"/>
  <c r="W53" i="93" s="1"/>
  <c r="B20" i="93" s="1"/>
  <c r="G13" i="90" s="1"/>
  <c r="H30" i="93"/>
  <c r="U30" i="92"/>
  <c r="U12" i="90" s="1"/>
  <c r="H27" i="92"/>
  <c r="P25" i="86" a="1"/>
  <c r="P25" i="86" s="1"/>
  <c r="P31" i="86" s="1"/>
  <c r="H28" i="89"/>
  <c r="S25" i="30" a="1"/>
  <c r="S25" i="30" s="1"/>
  <c r="S31" i="30" s="1"/>
  <c r="J25" i="33" a="1"/>
  <c r="J25" i="33" s="1"/>
  <c r="J31" i="33" s="1"/>
  <c r="I25" i="79" a="1"/>
  <c r="I25" i="79" s="1"/>
  <c r="I31" i="79" s="1"/>
  <c r="K25" i="36" a="1"/>
  <c r="K25" i="36" s="1"/>
  <c r="K31" i="36" s="1"/>
  <c r="K25" i="79" a="1"/>
  <c r="K25" i="79" s="1"/>
  <c r="K31" i="79" s="1"/>
  <c r="T25" i="28" a="1"/>
  <c r="T25" i="28" s="1"/>
  <c r="T31" i="28" s="1"/>
  <c r="K25" i="29" a="1"/>
  <c r="K25" i="29" s="1"/>
  <c r="K31" i="29" s="1"/>
  <c r="P25" i="37" a="1"/>
  <c r="P25" i="37" s="1"/>
  <c r="P31" i="37" s="1"/>
  <c r="W25" i="29" a="1"/>
  <c r="W25" i="29" s="1"/>
  <c r="K25" i="78" a="1"/>
  <c r="K25" i="78" s="1"/>
  <c r="K31" i="78" s="1"/>
  <c r="I25" i="39" a="1"/>
  <c r="I25" i="39" s="1"/>
  <c r="I27" i="39" s="1"/>
  <c r="I30" i="39" s="1"/>
  <c r="I14" i="90" s="1"/>
  <c r="N25" i="79" a="1"/>
  <c r="N25" i="79" s="1"/>
  <c r="N31" i="79" s="1"/>
  <c r="T25" i="36" a="1"/>
  <c r="T25" i="36" s="1"/>
  <c r="T31" i="36" s="1"/>
  <c r="Q25" i="78" a="1"/>
  <c r="Q25" i="78" s="1"/>
  <c r="Q31" i="78" s="1"/>
  <c r="L25" i="39" a="1"/>
  <c r="L25" i="39" s="1"/>
  <c r="L31" i="39" s="1"/>
  <c r="U25" i="78" a="1"/>
  <c r="U25" i="78" s="1"/>
  <c r="V25" i="36" a="1"/>
  <c r="V25" i="36" s="1"/>
  <c r="K25" i="35" a="1"/>
  <c r="K25" i="35" s="1"/>
  <c r="K31" i="35" s="1"/>
  <c r="R25" i="33" a="1"/>
  <c r="R25" i="33" s="1"/>
  <c r="R31" i="33" s="1"/>
  <c r="K25" i="30" a="1"/>
  <c r="K25" i="30" s="1"/>
  <c r="K31" i="30" s="1"/>
  <c r="J25" i="32" a="1"/>
  <c r="J25" i="32" s="1"/>
  <c r="J31" i="32" s="1"/>
  <c r="W25" i="31" a="1"/>
  <c r="W25" i="31" s="1"/>
  <c r="O25" i="37" a="1"/>
  <c r="O25" i="37" s="1"/>
  <c r="O31" i="37" s="1"/>
  <c r="P25" i="38" a="1"/>
  <c r="P25" i="38" s="1"/>
  <c r="P31" i="38" s="1"/>
  <c r="M25" i="31" a="1"/>
  <c r="M25" i="31" s="1"/>
  <c r="M31" i="31" s="1"/>
  <c r="N25" i="38" a="1"/>
  <c r="N25" i="38" s="1"/>
  <c r="N31" i="38" s="1"/>
  <c r="T25" i="33" a="1"/>
  <c r="T25" i="33" s="1"/>
  <c r="T31" i="33" s="1"/>
  <c r="J25" i="38" a="1"/>
  <c r="J25" i="38" s="1"/>
  <c r="J31" i="38" s="1"/>
  <c r="J25" i="36" a="1"/>
  <c r="J25" i="36" s="1"/>
  <c r="J31" i="36" s="1"/>
  <c r="L25" i="32" a="1"/>
  <c r="L25" i="32" s="1"/>
  <c r="L31" i="32" s="1"/>
  <c r="V25" i="28" a="1"/>
  <c r="V25" i="28" s="1"/>
  <c r="N25" i="28" a="1"/>
  <c r="N25" i="28" s="1"/>
  <c r="N31" i="28" s="1"/>
  <c r="T25" i="24" a="1"/>
  <c r="T25" i="24" s="1"/>
  <c r="T31" i="24" s="1"/>
  <c r="S25" i="24" a="1"/>
  <c r="S25" i="24" s="1"/>
  <c r="S31" i="24" s="1"/>
  <c r="P25" i="39" a="1"/>
  <c r="P25" i="39" s="1"/>
  <c r="P31" i="39" s="1"/>
  <c r="I25" i="78" a="1"/>
  <c r="I25" i="78" s="1"/>
  <c r="I31" i="78" s="1"/>
  <c r="V25" i="33" a="1"/>
  <c r="V25" i="33" s="1"/>
  <c r="T25" i="37" a="1"/>
  <c r="T25" i="37" s="1"/>
  <c r="T31" i="37" s="1"/>
  <c r="J25" i="37" a="1"/>
  <c r="J25" i="37" s="1"/>
  <c r="J31" i="37" s="1"/>
  <c r="J25" i="78" a="1"/>
  <c r="J25" i="78" s="1"/>
  <c r="J31" i="78" s="1"/>
  <c r="S25" i="37" a="1"/>
  <c r="S25" i="37" s="1"/>
  <c r="S31" i="37" s="1"/>
  <c r="U25" i="37" a="1"/>
  <c r="U25" i="37" s="1"/>
  <c r="N25" i="36" a="1"/>
  <c r="N25" i="36" s="1"/>
  <c r="N31" i="36" s="1"/>
  <c r="R25" i="35" a="1"/>
  <c r="R25" i="35" s="1"/>
  <c r="R31" i="35" s="1"/>
  <c r="L25" i="38" a="1"/>
  <c r="L25" i="38" s="1"/>
  <c r="L31" i="38" s="1"/>
  <c r="T25" i="29" a="1"/>
  <c r="T25" i="29" s="1"/>
  <c r="T31" i="29" s="1"/>
  <c r="I25" i="36" a="1"/>
  <c r="I25" i="36" s="1"/>
  <c r="I31" i="36" s="1"/>
  <c r="T25" i="38" a="1"/>
  <c r="T25" i="38" s="1"/>
  <c r="T31" i="38" s="1"/>
  <c r="N25" i="30" a="1"/>
  <c r="N25" i="30" s="1"/>
  <c r="N31" i="30" s="1"/>
  <c r="O25" i="29" a="1"/>
  <c r="O25" i="29" s="1"/>
  <c r="O31" i="29" s="1"/>
  <c r="W25" i="36" a="1"/>
  <c r="W25" i="36" s="1"/>
  <c r="Q25" i="39" a="1"/>
  <c r="Q25" i="39" s="1"/>
  <c r="Q31" i="39" s="1"/>
  <c r="H28" i="35"/>
  <c r="L25" i="28" a="1"/>
  <c r="L25" i="28" s="1"/>
  <c r="L31" i="28" s="1"/>
  <c r="M25" i="36" a="1"/>
  <c r="M25" i="36" s="1"/>
  <c r="M31" i="36" s="1"/>
  <c r="K25" i="32" a="1"/>
  <c r="K25" i="32" s="1"/>
  <c r="K31" i="32" s="1"/>
  <c r="U25" i="29" a="1"/>
  <c r="U25" i="29" s="1"/>
  <c r="Q25" i="36" a="1"/>
  <c r="Q25" i="36" s="1"/>
  <c r="Q31" i="36" s="1"/>
  <c r="V25" i="31" a="1"/>
  <c r="V25" i="31" s="1"/>
  <c r="T25" i="27" a="1"/>
  <c r="T25" i="27" s="1"/>
  <c r="T31" i="27" s="1"/>
  <c r="R25" i="28" a="1"/>
  <c r="R25" i="28" s="1"/>
  <c r="R31" i="28" s="1"/>
  <c r="N25" i="24" a="1"/>
  <c r="N25" i="24" s="1"/>
  <c r="N31" i="24" s="1"/>
  <c r="L25" i="36" a="1"/>
  <c r="L25" i="36" s="1"/>
  <c r="L31" i="36" s="1"/>
  <c r="H28" i="36"/>
  <c r="M25" i="30" a="1"/>
  <c r="M25" i="30" s="1"/>
  <c r="M31" i="30" s="1"/>
  <c r="R25" i="38" a="1"/>
  <c r="R25" i="38" s="1"/>
  <c r="R31" i="38" s="1"/>
  <c r="P25" i="28" a="1"/>
  <c r="P25" i="28" s="1"/>
  <c r="P31" i="28" s="1"/>
  <c r="S25" i="29" a="1"/>
  <c r="S25" i="29" s="1"/>
  <c r="S31" i="29" s="1"/>
  <c r="S25" i="36" a="1"/>
  <c r="S25" i="36" s="1"/>
  <c r="S31" i="36" s="1"/>
  <c r="U25" i="30" a="1"/>
  <c r="U25" i="30" s="1"/>
  <c r="W25" i="32" a="1"/>
  <c r="W25" i="32" s="1"/>
  <c r="W25" i="35" a="1"/>
  <c r="W25" i="35" s="1"/>
  <c r="I25" i="31" a="1"/>
  <c r="I25" i="31" s="1"/>
  <c r="I27" i="31" s="1"/>
  <c r="I30" i="31" s="1"/>
  <c r="W25" i="37" a="1"/>
  <c r="W25" i="37" s="1"/>
  <c r="S25" i="39" a="1"/>
  <c r="S25" i="39" s="1"/>
  <c r="S31" i="39" s="1"/>
  <c r="T25" i="35" a="1"/>
  <c r="T25" i="35" s="1"/>
  <c r="T31" i="35" s="1"/>
  <c r="M25" i="32" a="1"/>
  <c r="M25" i="32" s="1"/>
  <c r="M31" i="32" s="1"/>
  <c r="S25" i="35" a="1"/>
  <c r="S25" i="35" s="1"/>
  <c r="S31" i="35" s="1"/>
  <c r="N25" i="81" a="1"/>
  <c r="N25" i="81" s="1"/>
  <c r="N31" i="81" s="1"/>
  <c r="L25" i="24" a="1"/>
  <c r="L25" i="24" s="1"/>
  <c r="L31" i="24" s="1"/>
  <c r="H28" i="29"/>
  <c r="O25" i="30" a="1"/>
  <c r="O25" i="30" s="1"/>
  <c r="O31" i="30" s="1"/>
  <c r="O25" i="28" a="1"/>
  <c r="O25" i="28" s="1"/>
  <c r="O31" i="28" s="1"/>
  <c r="N25" i="31" a="1"/>
  <c r="N25" i="31" s="1"/>
  <c r="N31" i="31" s="1"/>
  <c r="L25" i="29" a="1"/>
  <c r="L25" i="29" s="1"/>
  <c r="L31" i="29" s="1"/>
  <c r="J25" i="28" a="1"/>
  <c r="J25" i="28" s="1"/>
  <c r="J31" i="28" s="1"/>
  <c r="N25" i="35" a="1"/>
  <c r="N25" i="35" s="1"/>
  <c r="N31" i="35" s="1"/>
  <c r="R25" i="29" a="1"/>
  <c r="R25" i="29" s="1"/>
  <c r="R31" i="29" s="1"/>
  <c r="N25" i="33" a="1"/>
  <c r="N25" i="33" s="1"/>
  <c r="N31" i="33" s="1"/>
  <c r="R25" i="36" a="1"/>
  <c r="R25" i="36" s="1"/>
  <c r="R31" i="36" s="1"/>
  <c r="T25" i="78" a="1"/>
  <c r="T25" i="78" s="1"/>
  <c r="T31" i="78" s="1"/>
  <c r="Q25" i="37" a="1"/>
  <c r="Q25" i="37" s="1"/>
  <c r="Q31" i="37" s="1"/>
  <c r="H28" i="79"/>
  <c r="O25" i="35" a="1"/>
  <c r="O25" i="35" s="1"/>
  <c r="O31" i="35" s="1"/>
  <c r="P25" i="32" a="1"/>
  <c r="P25" i="32" s="1"/>
  <c r="P31" i="32" s="1"/>
  <c r="T25" i="39" a="1"/>
  <c r="T25" i="39" s="1"/>
  <c r="T31" i="39" s="1"/>
  <c r="N25" i="80" a="1"/>
  <c r="N25" i="80" s="1"/>
  <c r="N31" i="80" s="1"/>
  <c r="S25" i="80" a="1"/>
  <c r="S25" i="80" s="1"/>
  <c r="S31" i="80" s="1"/>
  <c r="J25" i="81" a="1"/>
  <c r="J25" i="81" s="1"/>
  <c r="J31" i="81" s="1"/>
  <c r="V26" i="81"/>
  <c r="R25" i="81" a="1"/>
  <c r="R25" i="81" s="1"/>
  <c r="R31" i="81" s="1"/>
  <c r="I25" i="81" a="1"/>
  <c r="I25" i="81" s="1"/>
  <c r="I31" i="81" s="1"/>
  <c r="S25" i="31" a="1"/>
  <c r="S25" i="31" s="1"/>
  <c r="S31" i="31" s="1"/>
  <c r="N25" i="37" a="1"/>
  <c r="N25" i="37" s="1"/>
  <c r="N31" i="37" s="1"/>
  <c r="W25" i="28" a="1"/>
  <c r="W25" i="28" s="1"/>
  <c r="O25" i="39" a="1"/>
  <c r="O25" i="39" s="1"/>
  <c r="O31" i="39" s="1"/>
  <c r="M25" i="39" a="1"/>
  <c r="M25" i="39" s="1"/>
  <c r="M31" i="39" s="1"/>
  <c r="M25" i="33" a="1"/>
  <c r="M25" i="33" s="1"/>
  <c r="M31" i="33" s="1"/>
  <c r="Q25" i="33" a="1"/>
  <c r="Q25" i="33" s="1"/>
  <c r="Q31" i="33" s="1"/>
  <c r="J25" i="30" a="1"/>
  <c r="J25" i="30" s="1"/>
  <c r="J31" i="30" s="1"/>
  <c r="P25" i="30" a="1"/>
  <c r="P25" i="30" s="1"/>
  <c r="P31" i="30" s="1"/>
  <c r="H28" i="30"/>
  <c r="L25" i="30" a="1"/>
  <c r="L25" i="30" s="1"/>
  <c r="L31" i="30" s="1"/>
  <c r="P25" i="80" a="1"/>
  <c r="P25" i="80" s="1"/>
  <c r="P31" i="80" s="1"/>
  <c r="H28" i="28"/>
  <c r="V25" i="38" a="1"/>
  <c r="V25" i="38" s="1"/>
  <c r="V27" i="38" s="1"/>
  <c r="V30" i="38" s="1"/>
  <c r="V4" i="90" s="1"/>
  <c r="W25" i="79" a="1"/>
  <c r="W25" i="79" s="1"/>
  <c r="S25" i="79" a="1"/>
  <c r="S25" i="79" s="1"/>
  <c r="S31" i="79" s="1"/>
  <c r="I25" i="35" a="1"/>
  <c r="I25" i="35" s="1"/>
  <c r="I31" i="35" s="1"/>
  <c r="L25" i="27" a="1"/>
  <c r="L25" i="27" s="1"/>
  <c r="L31" i="27" s="1"/>
  <c r="S25" i="33" a="1"/>
  <c r="S25" i="33" s="1"/>
  <c r="S31" i="33" s="1"/>
  <c r="Q25" i="35" a="1"/>
  <c r="Q25" i="35" s="1"/>
  <c r="Q31" i="35" s="1"/>
  <c r="U25" i="36" a="1"/>
  <c r="U25" i="36" s="1"/>
  <c r="J25" i="24" a="1"/>
  <c r="J25" i="24" s="1"/>
  <c r="J31" i="24" s="1"/>
  <c r="R25" i="80" a="1"/>
  <c r="R25" i="80" s="1"/>
  <c r="R31" i="80" s="1"/>
  <c r="U25" i="80" a="1"/>
  <c r="U25" i="80" s="1"/>
  <c r="Q25" i="81" a="1"/>
  <c r="Q25" i="81" s="1"/>
  <c r="Q31" i="81" s="1"/>
  <c r="J25" i="87" a="1"/>
  <c r="J25" i="87" s="1"/>
  <c r="J31" i="87" s="1"/>
  <c r="I11" i="82"/>
  <c r="J26" i="89"/>
  <c r="J27" i="89" s="1"/>
  <c r="H22" i="89"/>
  <c r="R31" i="89"/>
  <c r="J31" i="89"/>
  <c r="I52" i="89"/>
  <c r="I53" i="89" s="1"/>
  <c r="N31" i="89"/>
  <c r="K26" i="89"/>
  <c r="K27" i="89" s="1"/>
  <c r="K30" i="89" s="1"/>
  <c r="K23" i="89"/>
  <c r="P25" i="87" a="1"/>
  <c r="P25" i="87" s="1"/>
  <c r="P31" i="87" s="1"/>
  <c r="U25" i="87" a="1"/>
  <c r="U25" i="87" s="1"/>
  <c r="Q25" i="87" a="1"/>
  <c r="Q25" i="87" s="1"/>
  <c r="Q31" i="87" s="1"/>
  <c r="M25" i="87" a="1"/>
  <c r="M25" i="87" s="1"/>
  <c r="M31" i="87" s="1"/>
  <c r="I25" i="87" a="1"/>
  <c r="I25" i="87" s="1"/>
  <c r="I31" i="87" s="1"/>
  <c r="U27" i="88"/>
  <c r="U30" i="88" s="1"/>
  <c r="R31" i="88"/>
  <c r="I31" i="88"/>
  <c r="J31" i="88"/>
  <c r="Q31" i="88"/>
  <c r="M31" i="88"/>
  <c r="P31" i="88"/>
  <c r="O31" i="88"/>
  <c r="I23" i="88"/>
  <c r="H22" i="88"/>
  <c r="L25" i="88" a="1"/>
  <c r="L25" i="88" s="1"/>
  <c r="I26" i="88"/>
  <c r="I27" i="88" s="1"/>
  <c r="W25" i="88" a="1"/>
  <c r="W25" i="88" s="1"/>
  <c r="V28" i="88"/>
  <c r="W26" i="88" s="1"/>
  <c r="V26" i="88"/>
  <c r="V27" i="88" s="1"/>
  <c r="T31" i="88"/>
  <c r="S31" i="88"/>
  <c r="K31" i="87"/>
  <c r="U7" i="87"/>
  <c r="U22" i="87" s="1"/>
  <c r="M7" i="87"/>
  <c r="M22" i="87" s="1"/>
  <c r="S31" i="87"/>
  <c r="N25" i="87" a="1"/>
  <c r="N25" i="87" s="1"/>
  <c r="L31" i="87"/>
  <c r="T31" i="87"/>
  <c r="R25" i="87" a="1"/>
  <c r="R25" i="87" s="1"/>
  <c r="Q7" i="87"/>
  <c r="Q22" i="87" s="1"/>
  <c r="I7" i="87"/>
  <c r="I22" i="87" s="1"/>
  <c r="U28" i="87"/>
  <c r="V25" i="87" a="1"/>
  <c r="V25" i="87" s="1"/>
  <c r="J31" i="86"/>
  <c r="Q31" i="86"/>
  <c r="M31" i="86"/>
  <c r="R31" i="86"/>
  <c r="I31" i="86"/>
  <c r="N31" i="86"/>
  <c r="T31" i="86"/>
  <c r="W25" i="86" a="1"/>
  <c r="W25" i="86" s="1"/>
  <c r="V28" i="86"/>
  <c r="S31" i="86"/>
  <c r="I23" i="86"/>
  <c r="H22" i="86"/>
  <c r="L25" i="86" a="1"/>
  <c r="L25" i="86" s="1"/>
  <c r="O31" i="86"/>
  <c r="I26" i="86"/>
  <c r="I27" i="86" s="1"/>
  <c r="O25" i="32" a="1"/>
  <c r="O25" i="32" s="1"/>
  <c r="O31" i="32" s="1"/>
  <c r="W25" i="24" a="1"/>
  <c r="W25" i="24" s="1"/>
  <c r="W27" i="24" s="1"/>
  <c r="W30" i="24" s="1"/>
  <c r="W3" i="85" s="1"/>
  <c r="R25" i="24" a="1"/>
  <c r="R25" i="24" s="1"/>
  <c r="R31" i="24" s="1"/>
  <c r="M25" i="24" a="1"/>
  <c r="M25" i="24" s="1"/>
  <c r="M31" i="24" s="1"/>
  <c r="H28" i="24"/>
  <c r="V25" i="24" a="1"/>
  <c r="V25" i="24" s="1"/>
  <c r="V27" i="24" s="1"/>
  <c r="V30" i="24" s="1"/>
  <c r="V3" i="85" s="1"/>
  <c r="P25" i="24" a="1"/>
  <c r="P25" i="24" s="1"/>
  <c r="P31" i="24" s="1"/>
  <c r="H36" i="82"/>
  <c r="C16" i="82"/>
  <c r="I35" i="82" s="1"/>
  <c r="J35" i="82" s="1"/>
  <c r="K35" i="82" s="1"/>
  <c r="L35" i="82" s="1"/>
  <c r="M35" i="82" s="1"/>
  <c r="N35" i="82" s="1"/>
  <c r="O35" i="82" s="1"/>
  <c r="P35" i="82" s="1"/>
  <c r="Q35" i="82" s="1"/>
  <c r="R35" i="82" s="1"/>
  <c r="S35" i="82" s="1"/>
  <c r="T35" i="82" s="1"/>
  <c r="U35" i="82" s="1"/>
  <c r="V35" i="82" s="1"/>
  <c r="W35" i="82" s="1"/>
  <c r="U25" i="35" a="1"/>
  <c r="U25" i="35" s="1"/>
  <c r="L25" i="35" a="1"/>
  <c r="L25" i="35" s="1"/>
  <c r="L31" i="35" s="1"/>
  <c r="V25" i="35" a="1"/>
  <c r="V25" i="35" s="1"/>
  <c r="I25" i="30" a="1"/>
  <c r="I25" i="30" s="1"/>
  <c r="I27" i="30" s="1"/>
  <c r="I30" i="30" s="1"/>
  <c r="I7" i="90" s="1"/>
  <c r="V25" i="30" a="1"/>
  <c r="V25" i="30" s="1"/>
  <c r="W25" i="30" a="1"/>
  <c r="W25" i="30" s="1"/>
  <c r="I26" i="81"/>
  <c r="V25" i="81" a="1"/>
  <c r="V25" i="81" s="1"/>
  <c r="U25" i="81" a="1"/>
  <c r="U25" i="81" s="1"/>
  <c r="U27" i="81" s="1"/>
  <c r="U30" i="81" s="1"/>
  <c r="M31" i="81"/>
  <c r="O31" i="81"/>
  <c r="L31" i="81"/>
  <c r="W25" i="81" a="1"/>
  <c r="W25" i="81" s="1"/>
  <c r="V28" i="81"/>
  <c r="H28" i="81" s="1"/>
  <c r="H22" i="81"/>
  <c r="K25" i="80" a="1"/>
  <c r="K25" i="80" s="1"/>
  <c r="K31" i="80" s="1"/>
  <c r="I31" i="80"/>
  <c r="I27" i="80"/>
  <c r="Q31" i="80"/>
  <c r="L31" i="80"/>
  <c r="J26" i="80"/>
  <c r="J27" i="80" s="1"/>
  <c r="J30" i="80" s="1"/>
  <c r="J23" i="80"/>
  <c r="W25" i="80" a="1"/>
  <c r="W25" i="80" s="1"/>
  <c r="V28" i="80"/>
  <c r="M31" i="80"/>
  <c r="H22" i="80"/>
  <c r="V25" i="80" a="1"/>
  <c r="V25" i="80" s="1"/>
  <c r="U28" i="80"/>
  <c r="T31" i="80"/>
  <c r="O25" i="79" a="1"/>
  <c r="O25" i="79" s="1"/>
  <c r="O31" i="79" s="1"/>
  <c r="S25" i="78" a="1"/>
  <c r="S25" i="78" s="1"/>
  <c r="S31" i="78" s="1"/>
  <c r="R25" i="78" a="1"/>
  <c r="R25" i="78" s="1"/>
  <c r="R31" i="78" s="1"/>
  <c r="K25" i="39" a="1"/>
  <c r="K25" i="39" s="1"/>
  <c r="K31" i="39" s="1"/>
  <c r="U25" i="39" a="1"/>
  <c r="U25" i="39" s="1"/>
  <c r="W25" i="39" a="1"/>
  <c r="W25" i="39" s="1"/>
  <c r="H28" i="37"/>
  <c r="I27" i="37" s="1"/>
  <c r="I30" i="37" s="1"/>
  <c r="K25" i="37" a="1"/>
  <c r="K25" i="37" s="1"/>
  <c r="K31" i="37" s="1"/>
  <c r="V25" i="37" a="1"/>
  <c r="V25" i="37" s="1"/>
  <c r="U25" i="33" a="1"/>
  <c r="U25" i="33" s="1"/>
  <c r="K25" i="33" a="1"/>
  <c r="K25" i="33" s="1"/>
  <c r="K31" i="33" s="1"/>
  <c r="I25" i="33" a="1"/>
  <c r="I25" i="33" s="1"/>
  <c r="I31" i="33" s="1"/>
  <c r="L25" i="33" a="1"/>
  <c r="L25" i="33" s="1"/>
  <c r="L31" i="33" s="1"/>
  <c r="U25" i="32" a="1"/>
  <c r="U25" i="32" s="1"/>
  <c r="R25" i="32" a="1"/>
  <c r="R25" i="32" s="1"/>
  <c r="R31" i="32" s="1"/>
  <c r="S25" i="32" a="1"/>
  <c r="S25" i="32" s="1"/>
  <c r="S31" i="32" s="1"/>
  <c r="J25" i="29" a="1"/>
  <c r="J25" i="29" s="1"/>
  <c r="J31" i="29" s="1"/>
  <c r="V25" i="29" a="1"/>
  <c r="V25" i="29" s="1"/>
  <c r="I25" i="27" a="1"/>
  <c r="I25" i="27" s="1"/>
  <c r="I31" i="27" s="1"/>
  <c r="O25" i="27" a="1"/>
  <c r="O25" i="27" s="1"/>
  <c r="O31" i="27" s="1"/>
  <c r="W25" i="27" a="1"/>
  <c r="W25" i="27" s="1"/>
  <c r="Q25" i="27" a="1"/>
  <c r="Q25" i="27" s="1"/>
  <c r="Q31" i="27" s="1"/>
  <c r="U25" i="27" a="1"/>
  <c r="U25" i="27" s="1"/>
  <c r="T7" i="39"/>
  <c r="N7" i="27"/>
  <c r="N22" i="27" s="1"/>
  <c r="L7" i="33"/>
  <c r="L22" i="33" s="1"/>
  <c r="L7" i="31"/>
  <c r="L22" i="31" s="1"/>
  <c r="T7" i="31"/>
  <c r="V7" i="39"/>
  <c r="V22" i="39" s="1"/>
  <c r="L7" i="39"/>
  <c r="L22" i="39" s="1"/>
  <c r="J7" i="36"/>
  <c r="J22" i="36" s="1"/>
  <c r="L7" i="36"/>
  <c r="L22" i="36" s="1"/>
  <c r="N7" i="39"/>
  <c r="N22" i="39" s="1"/>
  <c r="P7" i="36"/>
  <c r="P22" i="36" s="1"/>
  <c r="U7" i="38"/>
  <c r="U22" i="38" s="1"/>
  <c r="T7" i="36"/>
  <c r="T7" i="27"/>
  <c r="N7" i="29"/>
  <c r="N22" i="29" s="1"/>
  <c r="M7" i="38"/>
  <c r="M22" i="38" s="1"/>
  <c r="L7" i="27"/>
  <c r="L22" i="27" s="1"/>
  <c r="P7" i="32"/>
  <c r="P22" i="32" s="1"/>
  <c r="H22" i="32" s="1"/>
  <c r="I7" i="35"/>
  <c r="I22" i="35" s="1"/>
  <c r="I23" i="35" s="1"/>
  <c r="V25" i="79" a="1"/>
  <c r="V25" i="79" s="1"/>
  <c r="I25" i="29" a="1"/>
  <c r="I25" i="29" s="1"/>
  <c r="I31" i="29" s="1"/>
  <c r="W7" i="78"/>
  <c r="W22" i="78" s="1"/>
  <c r="O7" i="78"/>
  <c r="O22" i="78" s="1"/>
  <c r="I23" i="79"/>
  <c r="H22" i="79"/>
  <c r="H28" i="78"/>
  <c r="S7" i="78"/>
  <c r="S22" i="78" s="1"/>
  <c r="K7" i="78"/>
  <c r="K22" i="78" s="1"/>
  <c r="J26" i="78"/>
  <c r="J23" i="78"/>
  <c r="I23" i="39"/>
  <c r="I31" i="37"/>
  <c r="U27" i="38"/>
  <c r="W27" i="38"/>
  <c r="I26" i="38"/>
  <c r="H28" i="38"/>
  <c r="W7" i="38"/>
  <c r="W22" i="38" s="1"/>
  <c r="O7" i="38"/>
  <c r="O22" i="38" s="1"/>
  <c r="J23" i="38"/>
  <c r="J26" i="38"/>
  <c r="S7" i="38"/>
  <c r="S22" i="38" s="1"/>
  <c r="K7" i="38"/>
  <c r="K22" i="38" s="1"/>
  <c r="I23" i="37"/>
  <c r="H22" i="37"/>
  <c r="W7" i="36"/>
  <c r="W22" i="36" s="1"/>
  <c r="O7" i="36"/>
  <c r="O22" i="36" s="1"/>
  <c r="S7" i="36"/>
  <c r="S22" i="36" s="1"/>
  <c r="K7" i="36"/>
  <c r="K22" i="36" s="1"/>
  <c r="I23" i="36"/>
  <c r="W7" i="35"/>
  <c r="W22" i="35" s="1"/>
  <c r="O7" i="35"/>
  <c r="O22" i="35" s="1"/>
  <c r="S7" i="35"/>
  <c r="S22" i="35" s="1"/>
  <c r="K7" i="35"/>
  <c r="K22" i="35" s="1"/>
  <c r="I27" i="32"/>
  <c r="I30" i="32" s="1"/>
  <c r="S7" i="33"/>
  <c r="S22" i="33" s="1"/>
  <c r="K7" i="33"/>
  <c r="K22" i="33" s="1"/>
  <c r="W7" i="33"/>
  <c r="W22" i="33" s="1"/>
  <c r="O7" i="33"/>
  <c r="O22" i="33" s="1"/>
  <c r="J26" i="33"/>
  <c r="J23" i="33"/>
  <c r="I23" i="32"/>
  <c r="S7" i="31"/>
  <c r="S22" i="31" s="1"/>
  <c r="K7" i="31"/>
  <c r="K22" i="31" s="1"/>
  <c r="I23" i="31"/>
  <c r="W7" i="31"/>
  <c r="W22" i="31" s="1"/>
  <c r="O7" i="31"/>
  <c r="O22" i="31" s="1"/>
  <c r="I27" i="28"/>
  <c r="I30" i="28" s="1"/>
  <c r="S7" i="30"/>
  <c r="S22" i="30" s="1"/>
  <c r="K7" i="30"/>
  <c r="K22" i="30" s="1"/>
  <c r="J26" i="30"/>
  <c r="J23" i="30"/>
  <c r="W7" i="30"/>
  <c r="W22" i="30" s="1"/>
  <c r="O7" i="30"/>
  <c r="O22" i="30" s="1"/>
  <c r="K7" i="29"/>
  <c r="K22" i="29" s="1"/>
  <c r="S7" i="29"/>
  <c r="S22" i="29" s="1"/>
  <c r="I23" i="29"/>
  <c r="W7" i="29"/>
  <c r="W22" i="29" s="1"/>
  <c r="O7" i="29"/>
  <c r="O22" i="29" s="1"/>
  <c r="W7" i="27"/>
  <c r="W22" i="27" s="1"/>
  <c r="K7" i="27"/>
  <c r="K22" i="27" s="1"/>
  <c r="W7" i="28"/>
  <c r="W22" i="28" s="1"/>
  <c r="O7" i="28"/>
  <c r="O22" i="28" s="1"/>
  <c r="J23" i="28"/>
  <c r="J26" i="28"/>
  <c r="S7" i="28"/>
  <c r="S22" i="28" s="1"/>
  <c r="K7" i="28"/>
  <c r="K22" i="28" s="1"/>
  <c r="O7" i="27"/>
  <c r="O22" i="27" s="1"/>
  <c r="S7" i="27"/>
  <c r="S22" i="27" s="1"/>
  <c r="J26" i="27"/>
  <c r="J27" i="27" s="1"/>
  <c r="J30" i="27" s="1"/>
  <c r="J5" i="90" s="1"/>
  <c r="J23" i="27"/>
  <c r="I27" i="24"/>
  <c r="I30" i="24" s="1"/>
  <c r="I3" i="85" s="1"/>
  <c r="I31" i="24"/>
  <c r="I23" i="24"/>
  <c r="H22" i="24"/>
  <c r="J27" i="78" l="1"/>
  <c r="J30" i="78" s="1"/>
  <c r="J7" i="82" s="1"/>
  <c r="I27" i="78"/>
  <c r="I30" i="78" s="1"/>
  <c r="I52" i="78" s="1"/>
  <c r="I53" i="78" s="1"/>
  <c r="I27" i="79"/>
  <c r="I30" i="79" s="1"/>
  <c r="I8" i="82" s="1"/>
  <c r="V27" i="81"/>
  <c r="V30" i="81" s="1"/>
  <c r="V10" i="90" s="1"/>
  <c r="I27" i="38"/>
  <c r="I30" i="38" s="1"/>
  <c r="I4" i="90" s="1"/>
  <c r="I6" i="85"/>
  <c r="I11" i="90"/>
  <c r="U4" i="85"/>
  <c r="U10" i="90"/>
  <c r="I7" i="85"/>
  <c r="I9" i="90"/>
  <c r="H31" i="93"/>
  <c r="H13" i="90"/>
  <c r="U52" i="92"/>
  <c r="U53" i="92" s="1"/>
  <c r="H30" i="92"/>
  <c r="H12" i="90" s="1"/>
  <c r="V52" i="92"/>
  <c r="V53" i="92" s="1"/>
  <c r="I7" i="84"/>
  <c r="I15" i="90"/>
  <c r="J27" i="33"/>
  <c r="J30" i="33" s="1"/>
  <c r="J27" i="38"/>
  <c r="J30" i="38" s="1"/>
  <c r="J4" i="90" s="1"/>
  <c r="I31" i="39"/>
  <c r="I27" i="36"/>
  <c r="I30" i="36" s="1"/>
  <c r="I6" i="84" s="1"/>
  <c r="I27" i="35"/>
  <c r="I30" i="35" s="1"/>
  <c r="I27" i="27"/>
  <c r="I30" i="27" s="1"/>
  <c r="I31" i="31"/>
  <c r="J27" i="30"/>
  <c r="J30" i="30" s="1"/>
  <c r="J27" i="28"/>
  <c r="J30" i="28" s="1"/>
  <c r="J52" i="28" s="1"/>
  <c r="J53" i="28" s="1"/>
  <c r="K11" i="82"/>
  <c r="U12" i="82"/>
  <c r="I27" i="81"/>
  <c r="I30" i="81" s="1"/>
  <c r="J9" i="82"/>
  <c r="J30" i="89"/>
  <c r="L26" i="89"/>
  <c r="L27" i="89" s="1"/>
  <c r="L30" i="89" s="1"/>
  <c r="L23" i="89"/>
  <c r="H28" i="86"/>
  <c r="V30" i="88"/>
  <c r="H28" i="88"/>
  <c r="I30" i="88"/>
  <c r="W27" i="88"/>
  <c r="W30" i="88" s="1"/>
  <c r="J23" i="88"/>
  <c r="J26" i="88"/>
  <c r="J27" i="88" s="1"/>
  <c r="J30" i="88" s="1"/>
  <c r="L31" i="88"/>
  <c r="H28" i="87"/>
  <c r="R31" i="87"/>
  <c r="I23" i="87"/>
  <c r="H22" i="87"/>
  <c r="I26" i="87"/>
  <c r="I27" i="87" s="1"/>
  <c r="I30" i="87" s="1"/>
  <c r="N31" i="87"/>
  <c r="I30" i="86"/>
  <c r="L31" i="86"/>
  <c r="J23" i="86"/>
  <c r="J26" i="86"/>
  <c r="J27" i="86" s="1"/>
  <c r="J30" i="86" s="1"/>
  <c r="J23" i="32"/>
  <c r="K23" i="32" s="1"/>
  <c r="L23" i="32" s="1"/>
  <c r="M23" i="32" s="1"/>
  <c r="N23" i="32" s="1"/>
  <c r="O23" i="32" s="1"/>
  <c r="P23" i="32" s="1"/>
  <c r="Q23" i="32" s="1"/>
  <c r="R23" i="32" s="1"/>
  <c r="S23" i="32" s="1"/>
  <c r="T23" i="32" s="1"/>
  <c r="I52" i="30"/>
  <c r="I53" i="30" s="1"/>
  <c r="I5" i="85"/>
  <c r="U4" i="83"/>
  <c r="U4" i="84"/>
  <c r="I3" i="83"/>
  <c r="I3" i="84"/>
  <c r="V3" i="83"/>
  <c r="V3" i="84"/>
  <c r="U3" i="83"/>
  <c r="U3" i="84"/>
  <c r="W3" i="83"/>
  <c r="W3" i="84"/>
  <c r="J5" i="83"/>
  <c r="I52" i="28"/>
  <c r="I53" i="28" s="1"/>
  <c r="I6" i="83"/>
  <c r="I27" i="33"/>
  <c r="I30" i="33" s="1"/>
  <c r="I8" i="90" s="1"/>
  <c r="I31" i="30"/>
  <c r="W26" i="81"/>
  <c r="W27" i="81" s="1"/>
  <c r="W30" i="81" s="1"/>
  <c r="P26" i="81"/>
  <c r="J26" i="81"/>
  <c r="J27" i="81" s="1"/>
  <c r="J30" i="81" s="1"/>
  <c r="J10" i="90" s="1"/>
  <c r="H28" i="80"/>
  <c r="I30" i="80"/>
  <c r="K26" i="80"/>
  <c r="K27" i="80" s="1"/>
  <c r="K30" i="80" s="1"/>
  <c r="K23" i="80"/>
  <c r="I27" i="29"/>
  <c r="I30" i="29" s="1"/>
  <c r="I3" i="90" s="1"/>
  <c r="H22" i="39"/>
  <c r="U30" i="38"/>
  <c r="U4" i="90" s="1"/>
  <c r="J26" i="79"/>
  <c r="J27" i="79" s="1"/>
  <c r="J23" i="79"/>
  <c r="K26" i="78"/>
  <c r="K27" i="78" s="1"/>
  <c r="K30" i="78" s="1"/>
  <c r="K23" i="78"/>
  <c r="H22" i="78"/>
  <c r="I52" i="39"/>
  <c r="I53" i="39" s="1"/>
  <c r="J26" i="39"/>
  <c r="J27" i="39" s="1"/>
  <c r="J23" i="39"/>
  <c r="W30" i="38"/>
  <c r="W4" i="90" s="1"/>
  <c r="H22" i="38"/>
  <c r="K26" i="38"/>
  <c r="K27" i="38" s="1"/>
  <c r="K23" i="38"/>
  <c r="I52" i="37"/>
  <c r="I53" i="37" s="1"/>
  <c r="J26" i="37"/>
  <c r="J27" i="37" s="1"/>
  <c r="J23" i="37"/>
  <c r="J23" i="36"/>
  <c r="J26" i="36"/>
  <c r="J27" i="36" s="1"/>
  <c r="H22" i="36"/>
  <c r="J26" i="35"/>
  <c r="J27" i="35" s="1"/>
  <c r="J23" i="35"/>
  <c r="H22" i="35"/>
  <c r="K26" i="33"/>
  <c r="K27" i="33" s="1"/>
  <c r="K30" i="33" s="1"/>
  <c r="K8" i="90" s="1"/>
  <c r="K23" i="33"/>
  <c r="H22" i="33"/>
  <c r="I52" i="32"/>
  <c r="I53" i="32" s="1"/>
  <c r="J26" i="32"/>
  <c r="J27" i="32" s="1"/>
  <c r="H22" i="30"/>
  <c r="I52" i="31"/>
  <c r="I53" i="31" s="1"/>
  <c r="H22" i="31"/>
  <c r="J23" i="31"/>
  <c r="J26" i="31"/>
  <c r="J27" i="31" s="1"/>
  <c r="K26" i="30"/>
  <c r="K27" i="30" s="1"/>
  <c r="K30" i="30" s="1"/>
  <c r="K23" i="30"/>
  <c r="H22" i="27"/>
  <c r="J26" i="29"/>
  <c r="J27" i="29" s="1"/>
  <c r="J23" i="29"/>
  <c r="H22" i="29"/>
  <c r="H22" i="28"/>
  <c r="K26" i="28"/>
  <c r="K27" i="28" s="1"/>
  <c r="K30" i="28" s="1"/>
  <c r="K23" i="28"/>
  <c r="V52" i="24"/>
  <c r="V53" i="24" s="1"/>
  <c r="K26" i="27"/>
  <c r="K27" i="27" s="1"/>
  <c r="K30" i="27" s="1"/>
  <c r="K5" i="90" s="1"/>
  <c r="K23" i="27"/>
  <c r="W52" i="24"/>
  <c r="W53" i="24" s="1"/>
  <c r="I52" i="24"/>
  <c r="I53" i="24" s="1"/>
  <c r="J23" i="24"/>
  <c r="J26" i="24"/>
  <c r="J27" i="24" s="1"/>
  <c r="J30" i="24" s="1"/>
  <c r="J3" i="85" s="1"/>
  <c r="I7" i="82" l="1"/>
  <c r="J52" i="78"/>
  <c r="J53" i="78" s="1"/>
  <c r="I52" i="79"/>
  <c r="I53" i="79" s="1"/>
  <c r="W4" i="85"/>
  <c r="W10" i="90"/>
  <c r="I4" i="85"/>
  <c r="I9" i="85" s="1"/>
  <c r="I47" i="85" s="1"/>
  <c r="I48" i="85" s="1"/>
  <c r="I10" i="90"/>
  <c r="H31" i="92"/>
  <c r="B20" i="92"/>
  <c r="J8" i="85"/>
  <c r="J8" i="90"/>
  <c r="K5" i="85"/>
  <c r="K7" i="90"/>
  <c r="J5" i="85"/>
  <c r="J7" i="90"/>
  <c r="J52" i="27"/>
  <c r="J53" i="27" s="1"/>
  <c r="I5" i="90"/>
  <c r="V52" i="38"/>
  <c r="V53" i="38" s="1"/>
  <c r="W52" i="38"/>
  <c r="W53" i="38" s="1"/>
  <c r="J6" i="83"/>
  <c r="I4" i="83"/>
  <c r="I52" i="27"/>
  <c r="I53" i="27" s="1"/>
  <c r="I5" i="83"/>
  <c r="I52" i="36"/>
  <c r="I53" i="36" s="1"/>
  <c r="J52" i="30"/>
  <c r="J53" i="30" s="1"/>
  <c r="I52" i="81"/>
  <c r="I53" i="81" s="1"/>
  <c r="I4" i="84"/>
  <c r="J10" i="82"/>
  <c r="I12" i="82"/>
  <c r="W12" i="82"/>
  <c r="I10" i="82"/>
  <c r="J12" i="82"/>
  <c r="V52" i="88"/>
  <c r="V53" i="88" s="1"/>
  <c r="V12" i="82"/>
  <c r="L52" i="89"/>
  <c r="L53" i="89" s="1"/>
  <c r="L11" i="82"/>
  <c r="K52" i="89"/>
  <c r="K53" i="89" s="1"/>
  <c r="J11" i="82"/>
  <c r="K52" i="80"/>
  <c r="K53" i="80" s="1"/>
  <c r="K9" i="82"/>
  <c r="J52" i="80"/>
  <c r="J53" i="80" s="1"/>
  <c r="I9" i="82"/>
  <c r="M26" i="89"/>
  <c r="M27" i="89" s="1"/>
  <c r="M30" i="89" s="1"/>
  <c r="M23" i="89"/>
  <c r="J52" i="89"/>
  <c r="J53" i="89" s="1"/>
  <c r="W52" i="88"/>
  <c r="W53" i="88" s="1"/>
  <c r="J52" i="88"/>
  <c r="J53" i="88" s="1"/>
  <c r="K26" i="88"/>
  <c r="K27" i="88" s="1"/>
  <c r="K30" i="88" s="1"/>
  <c r="K23" i="88"/>
  <c r="I52" i="88"/>
  <c r="I53" i="88" s="1"/>
  <c r="J52" i="86"/>
  <c r="J53" i="86" s="1"/>
  <c r="I52" i="87"/>
  <c r="I53" i="87" s="1"/>
  <c r="J23" i="87"/>
  <c r="J26" i="87"/>
  <c r="J27" i="87" s="1"/>
  <c r="J30" i="87" s="1"/>
  <c r="I52" i="86"/>
  <c r="I53" i="86" s="1"/>
  <c r="K26" i="86"/>
  <c r="K27" i="86" s="1"/>
  <c r="K30" i="86" s="1"/>
  <c r="K23" i="86"/>
  <c r="K52" i="78"/>
  <c r="K53" i="78" s="1"/>
  <c r="K7" i="82"/>
  <c r="K52" i="33"/>
  <c r="K53" i="33" s="1"/>
  <c r="K8" i="85"/>
  <c r="I52" i="33"/>
  <c r="I53" i="33" s="1"/>
  <c r="I8" i="85"/>
  <c r="J4" i="84"/>
  <c r="J4" i="85"/>
  <c r="V4" i="84"/>
  <c r="V4" i="85"/>
  <c r="I52" i="35"/>
  <c r="I53" i="35" s="1"/>
  <c r="I5" i="84"/>
  <c r="K6" i="83"/>
  <c r="J3" i="83"/>
  <c r="J3" i="84"/>
  <c r="W4" i="83"/>
  <c r="W4" i="84"/>
  <c r="I52" i="29"/>
  <c r="I53" i="29" s="1"/>
  <c r="I7" i="83"/>
  <c r="K52" i="27"/>
  <c r="K53" i="27" s="1"/>
  <c r="K5" i="83"/>
  <c r="J52" i="81"/>
  <c r="J53" i="81" s="1"/>
  <c r="J4" i="83"/>
  <c r="V52" i="81"/>
  <c r="V53" i="81" s="1"/>
  <c r="V4" i="83"/>
  <c r="J52" i="24"/>
  <c r="J53" i="24" s="1"/>
  <c r="J52" i="33"/>
  <c r="J53" i="33" s="1"/>
  <c r="W52" i="81"/>
  <c r="W53" i="81" s="1"/>
  <c r="K26" i="81"/>
  <c r="K27" i="81" s="1"/>
  <c r="K30" i="81" s="1"/>
  <c r="K10" i="90" s="1"/>
  <c r="L26" i="80"/>
  <c r="L27" i="80" s="1"/>
  <c r="L23" i="80"/>
  <c r="I52" i="80"/>
  <c r="I53" i="80" s="1"/>
  <c r="J30" i="79"/>
  <c r="K26" i="79"/>
  <c r="K27" i="79" s="1"/>
  <c r="K30" i="79" s="1"/>
  <c r="K23" i="79"/>
  <c r="L26" i="78"/>
  <c r="L27" i="78" s="1"/>
  <c r="L23" i="78"/>
  <c r="J30" i="39"/>
  <c r="J14" i="90" s="1"/>
  <c r="K26" i="39"/>
  <c r="K27" i="39" s="1"/>
  <c r="K30" i="39" s="1"/>
  <c r="K14" i="90" s="1"/>
  <c r="K23" i="39"/>
  <c r="K30" i="38"/>
  <c r="K4" i="90" s="1"/>
  <c r="I52" i="38"/>
  <c r="I53" i="38" s="1"/>
  <c r="L26" i="38"/>
  <c r="L27" i="38" s="1"/>
  <c r="L23" i="38"/>
  <c r="J52" i="38"/>
  <c r="J53" i="38" s="1"/>
  <c r="J30" i="37"/>
  <c r="K26" i="37"/>
  <c r="K27" i="37" s="1"/>
  <c r="K23" i="37"/>
  <c r="K26" i="36"/>
  <c r="K27" i="36" s="1"/>
  <c r="K30" i="36" s="1"/>
  <c r="K6" i="84" s="1"/>
  <c r="K23" i="36"/>
  <c r="J30" i="36"/>
  <c r="J6" i="84" s="1"/>
  <c r="K26" i="35"/>
  <c r="K27" i="35" s="1"/>
  <c r="K30" i="35" s="1"/>
  <c r="K5" i="84" s="1"/>
  <c r="K23" i="35"/>
  <c r="J30" i="35"/>
  <c r="J5" i="84" s="1"/>
  <c r="L26" i="33"/>
  <c r="L27" i="33" s="1"/>
  <c r="L30" i="33" s="1"/>
  <c r="L8" i="90" s="1"/>
  <c r="L23" i="33"/>
  <c r="J30" i="32"/>
  <c r="K26" i="32"/>
  <c r="K27" i="32" s="1"/>
  <c r="K30" i="32" s="1"/>
  <c r="K26" i="31"/>
  <c r="K27" i="31" s="1"/>
  <c r="K30" i="31" s="1"/>
  <c r="K23" i="31"/>
  <c r="J30" i="31"/>
  <c r="K52" i="30"/>
  <c r="K53" i="30" s="1"/>
  <c r="L26" i="30"/>
  <c r="L27" i="30" s="1"/>
  <c r="L30" i="30" s="1"/>
  <c r="L7" i="90" s="1"/>
  <c r="L23" i="30"/>
  <c r="J30" i="29"/>
  <c r="J3" i="90" s="1"/>
  <c r="K26" i="29"/>
  <c r="K27" i="29" s="1"/>
  <c r="K30" i="29" s="1"/>
  <c r="K3" i="90" s="1"/>
  <c r="K23" i="29"/>
  <c r="K52" i="28"/>
  <c r="K53" i="28" s="1"/>
  <c r="L26" i="28"/>
  <c r="L27" i="28" s="1"/>
  <c r="L23" i="28"/>
  <c r="L26" i="27"/>
  <c r="L27" i="27" s="1"/>
  <c r="L23" i="27"/>
  <c r="K23" i="24"/>
  <c r="K26" i="24"/>
  <c r="K27" i="24" s="1"/>
  <c r="J6" i="85" l="1"/>
  <c r="J11" i="90"/>
  <c r="K6" i="85"/>
  <c r="K11" i="90"/>
  <c r="K7" i="85"/>
  <c r="K9" i="90"/>
  <c r="J7" i="85"/>
  <c r="J9" i="90"/>
  <c r="G12" i="90"/>
  <c r="F12" i="90"/>
  <c r="J7" i="84"/>
  <c r="J8" i="84" s="1"/>
  <c r="J15" i="90"/>
  <c r="K52" i="38"/>
  <c r="K53" i="38" s="1"/>
  <c r="I8" i="84"/>
  <c r="I46" i="84" s="1"/>
  <c r="I47" i="84" s="1"/>
  <c r="K8" i="82"/>
  <c r="J8" i="82"/>
  <c r="K52" i="88"/>
  <c r="K53" i="88" s="1"/>
  <c r="K12" i="82"/>
  <c r="J52" i="87"/>
  <c r="J53" i="87" s="1"/>
  <c r="M52" i="89"/>
  <c r="M53" i="89" s="1"/>
  <c r="M11" i="82"/>
  <c r="K52" i="86"/>
  <c r="K53" i="86" s="1"/>
  <c r="K10" i="82"/>
  <c r="N23" i="89"/>
  <c r="N26" i="89"/>
  <c r="N27" i="89" s="1"/>
  <c r="L26" i="88"/>
  <c r="L27" i="88" s="1"/>
  <c r="L23" i="88"/>
  <c r="K26" i="87"/>
  <c r="K27" i="87" s="1"/>
  <c r="K23" i="87"/>
  <c r="L26" i="86"/>
  <c r="L27" i="86" s="1"/>
  <c r="L30" i="86" s="1"/>
  <c r="L23" i="86"/>
  <c r="P25" i="81" a="1"/>
  <c r="P25" i="81" s="1"/>
  <c r="P31" i="81" s="1"/>
  <c r="L52" i="30"/>
  <c r="L53" i="30" s="1"/>
  <c r="L5" i="85"/>
  <c r="L52" i="33"/>
  <c r="L53" i="33" s="1"/>
  <c r="L8" i="85"/>
  <c r="K4" i="84"/>
  <c r="K4" i="85"/>
  <c r="J7" i="83"/>
  <c r="K7" i="83"/>
  <c r="K52" i="81"/>
  <c r="K53" i="81" s="1"/>
  <c r="K4" i="83"/>
  <c r="L30" i="38"/>
  <c r="L4" i="90" s="1"/>
  <c r="K30" i="37"/>
  <c r="K15" i="90" s="1"/>
  <c r="L26" i="81"/>
  <c r="L27" i="81" s="1"/>
  <c r="M23" i="80"/>
  <c r="M26" i="80"/>
  <c r="M27" i="80" s="1"/>
  <c r="M30" i="80" s="1"/>
  <c r="L30" i="80"/>
  <c r="K52" i="79"/>
  <c r="K53" i="79" s="1"/>
  <c r="L26" i="79"/>
  <c r="L27" i="79" s="1"/>
  <c r="L30" i="79" s="1"/>
  <c r="L23" i="79"/>
  <c r="J52" i="79"/>
  <c r="J53" i="79" s="1"/>
  <c r="M23" i="78"/>
  <c r="M26" i="78"/>
  <c r="M27" i="78" s="1"/>
  <c r="M30" i="78" s="1"/>
  <c r="L30" i="78"/>
  <c r="K52" i="39"/>
  <c r="K53" i="39" s="1"/>
  <c r="L26" i="39"/>
  <c r="L27" i="39" s="1"/>
  <c r="L30" i="39" s="1"/>
  <c r="L23" i="39"/>
  <c r="J52" i="39"/>
  <c r="J53" i="39" s="1"/>
  <c r="M26" i="38"/>
  <c r="M27" i="38" s="1"/>
  <c r="M23" i="38"/>
  <c r="L26" i="37"/>
  <c r="L27" i="37" s="1"/>
  <c r="L23" i="37"/>
  <c r="J52" i="37"/>
  <c r="J53" i="37" s="1"/>
  <c r="J52" i="36"/>
  <c r="J53" i="36" s="1"/>
  <c r="L26" i="36"/>
  <c r="L27" i="36" s="1"/>
  <c r="L23" i="36"/>
  <c r="K52" i="36"/>
  <c r="K53" i="36" s="1"/>
  <c r="K52" i="35"/>
  <c r="K53" i="35" s="1"/>
  <c r="L26" i="35"/>
  <c r="L27" i="35" s="1"/>
  <c r="L23" i="35"/>
  <c r="J52" i="35"/>
  <c r="J53" i="35" s="1"/>
  <c r="K52" i="32"/>
  <c r="K53" i="32" s="1"/>
  <c r="M23" i="33"/>
  <c r="M26" i="33"/>
  <c r="M27" i="33" s="1"/>
  <c r="M30" i="33" s="1"/>
  <c r="M8" i="90" s="1"/>
  <c r="L26" i="32"/>
  <c r="L27" i="32" s="1"/>
  <c r="L30" i="32" s="1"/>
  <c r="J52" i="32"/>
  <c r="J53" i="32" s="1"/>
  <c r="J52" i="31"/>
  <c r="J53" i="31" s="1"/>
  <c r="L26" i="31"/>
  <c r="L27" i="31" s="1"/>
  <c r="L23" i="31"/>
  <c r="K52" i="31"/>
  <c r="K53" i="31" s="1"/>
  <c r="K52" i="29"/>
  <c r="K53" i="29" s="1"/>
  <c r="M23" i="30"/>
  <c r="M26" i="30"/>
  <c r="M27" i="30" s="1"/>
  <c r="M30" i="30" s="1"/>
  <c r="M7" i="90" s="1"/>
  <c r="L26" i="29"/>
  <c r="L27" i="29" s="1"/>
  <c r="L30" i="29" s="1"/>
  <c r="L3" i="90" s="1"/>
  <c r="L23" i="29"/>
  <c r="J52" i="29"/>
  <c r="J53" i="29" s="1"/>
  <c r="L30" i="28"/>
  <c r="M23" i="28"/>
  <c r="M26" i="28"/>
  <c r="M27" i="28" s="1"/>
  <c r="M30" i="28" s="1"/>
  <c r="M23" i="27"/>
  <c r="M26" i="27"/>
  <c r="M27" i="27" s="1"/>
  <c r="M30" i="27" s="1"/>
  <c r="M5" i="90" s="1"/>
  <c r="L30" i="27"/>
  <c r="L5" i="90" s="1"/>
  <c r="K30" i="24"/>
  <c r="K3" i="85" s="1"/>
  <c r="L26" i="24"/>
  <c r="L27" i="24" s="1"/>
  <c r="L30" i="24" s="1"/>
  <c r="L3" i="85" s="1"/>
  <c r="L23" i="24"/>
  <c r="J9" i="85" l="1"/>
  <c r="J47" i="85" s="1"/>
  <c r="J48" i="85" s="1"/>
  <c r="L9" i="90"/>
  <c r="L52" i="39"/>
  <c r="L53" i="39" s="1"/>
  <c r="L14" i="90"/>
  <c r="L52" i="38"/>
  <c r="L53" i="38" s="1"/>
  <c r="J46" i="84"/>
  <c r="J47" i="84" s="1"/>
  <c r="L9" i="82"/>
  <c r="L7" i="82"/>
  <c r="M9" i="82"/>
  <c r="L10" i="82"/>
  <c r="M7" i="82"/>
  <c r="L52" i="79"/>
  <c r="L53" i="79" s="1"/>
  <c r="L8" i="82"/>
  <c r="N30" i="89"/>
  <c r="O26" i="89"/>
  <c r="O27" i="89" s="1"/>
  <c r="O30" i="89" s="1"/>
  <c r="O23" i="89"/>
  <c r="M26" i="88"/>
  <c r="M27" i="88" s="1"/>
  <c r="M30" i="88" s="1"/>
  <c r="M23" i="88"/>
  <c r="L30" i="88"/>
  <c r="K30" i="87"/>
  <c r="L26" i="87"/>
  <c r="L27" i="87" s="1"/>
  <c r="L30" i="87" s="1"/>
  <c r="L23" i="87"/>
  <c r="M26" i="86"/>
  <c r="M27" i="86" s="1"/>
  <c r="M23" i="86"/>
  <c r="L52" i="86"/>
  <c r="L53" i="86" s="1"/>
  <c r="K9" i="85"/>
  <c r="R26" i="81"/>
  <c r="L52" i="32"/>
  <c r="L53" i="32" s="1"/>
  <c r="L7" i="85"/>
  <c r="M52" i="30"/>
  <c r="M53" i="30" s="1"/>
  <c r="M5" i="85"/>
  <c r="M52" i="33"/>
  <c r="M53" i="33" s="1"/>
  <c r="M8" i="85"/>
  <c r="K52" i="37"/>
  <c r="K53" i="37" s="1"/>
  <c r="K7" i="84"/>
  <c r="K3" i="83"/>
  <c r="K3" i="84"/>
  <c r="L5" i="83"/>
  <c r="M6" i="83"/>
  <c r="M5" i="83"/>
  <c r="L6" i="83"/>
  <c r="L3" i="83"/>
  <c r="L3" i="84"/>
  <c r="L52" i="29"/>
  <c r="L53" i="29" s="1"/>
  <c r="L7" i="83"/>
  <c r="M30" i="38"/>
  <c r="M4" i="90" s="1"/>
  <c r="L30" i="37"/>
  <c r="L15" i="90" s="1"/>
  <c r="M26" i="81"/>
  <c r="M27" i="81" s="1"/>
  <c r="M30" i="81" s="1"/>
  <c r="L30" i="81"/>
  <c r="N23" i="80"/>
  <c r="N26" i="80"/>
  <c r="N27" i="80" s="1"/>
  <c r="N30" i="80" s="1"/>
  <c r="L52" i="80"/>
  <c r="L53" i="80" s="1"/>
  <c r="M52" i="80"/>
  <c r="M53" i="80" s="1"/>
  <c r="M23" i="79"/>
  <c r="M26" i="79"/>
  <c r="M27" i="79" s="1"/>
  <c r="M30" i="79" s="1"/>
  <c r="M52" i="78"/>
  <c r="M53" i="78" s="1"/>
  <c r="L52" i="78"/>
  <c r="L53" i="78" s="1"/>
  <c r="N23" i="78"/>
  <c r="N26" i="78"/>
  <c r="N27" i="78" s="1"/>
  <c r="M23" i="39"/>
  <c r="M26" i="39"/>
  <c r="M27" i="39" s="1"/>
  <c r="M30" i="39" s="1"/>
  <c r="M14" i="90" s="1"/>
  <c r="N23" i="38"/>
  <c r="N26" i="38"/>
  <c r="N27" i="38" s="1"/>
  <c r="M23" i="37"/>
  <c r="M26" i="37"/>
  <c r="M27" i="37" s="1"/>
  <c r="L30" i="36"/>
  <c r="L6" i="84" s="1"/>
  <c r="M23" i="36"/>
  <c r="M26" i="36"/>
  <c r="M27" i="36" s="1"/>
  <c r="M30" i="36" s="1"/>
  <c r="M6" i="84" s="1"/>
  <c r="M23" i="35"/>
  <c r="M26" i="35"/>
  <c r="M27" i="35" s="1"/>
  <c r="M30" i="35" s="1"/>
  <c r="M5" i="84" s="1"/>
  <c r="L30" i="35"/>
  <c r="L5" i="84" s="1"/>
  <c r="N26" i="33"/>
  <c r="N27" i="33" s="1"/>
  <c r="N30" i="33" s="1"/>
  <c r="N8" i="90" s="1"/>
  <c r="N23" i="33"/>
  <c r="M26" i="32"/>
  <c r="M27" i="32" s="1"/>
  <c r="M30" i="32" s="1"/>
  <c r="L30" i="31"/>
  <c r="M23" i="31"/>
  <c r="M26" i="31"/>
  <c r="M27" i="31" s="1"/>
  <c r="M30" i="31" s="1"/>
  <c r="N23" i="30"/>
  <c r="N26" i="30"/>
  <c r="N27" i="30" s="1"/>
  <c r="N30" i="30" s="1"/>
  <c r="N7" i="90" s="1"/>
  <c r="M52" i="28"/>
  <c r="M53" i="28" s="1"/>
  <c r="M23" i="29"/>
  <c r="M26" i="29"/>
  <c r="M27" i="29" s="1"/>
  <c r="M30" i="29" s="1"/>
  <c r="M3" i="90" s="1"/>
  <c r="N26" i="28"/>
  <c r="N27" i="28" s="1"/>
  <c r="N30" i="28" s="1"/>
  <c r="N23" i="28"/>
  <c r="L52" i="28"/>
  <c r="L53" i="28" s="1"/>
  <c r="M52" i="27"/>
  <c r="M53" i="27" s="1"/>
  <c r="L52" i="27"/>
  <c r="L53" i="27" s="1"/>
  <c r="N26" i="27"/>
  <c r="N27" i="27" s="1"/>
  <c r="N23" i="27"/>
  <c r="L52" i="24"/>
  <c r="L53" i="24" s="1"/>
  <c r="M26" i="24"/>
  <c r="M27" i="24" s="1"/>
  <c r="M30" i="24" s="1"/>
  <c r="M3" i="85" s="1"/>
  <c r="M23" i="24"/>
  <c r="K52" i="24"/>
  <c r="K53" i="24" s="1"/>
  <c r="K47" i="85" l="1"/>
  <c r="K48" i="85" s="1"/>
  <c r="M6" i="85"/>
  <c r="M11" i="90"/>
  <c r="L6" i="85"/>
  <c r="L11" i="90"/>
  <c r="M4" i="85"/>
  <c r="M10" i="90"/>
  <c r="L4" i="85"/>
  <c r="L10" i="90"/>
  <c r="M7" i="85"/>
  <c r="M9" i="90"/>
  <c r="M52" i="38"/>
  <c r="M53" i="38" s="1"/>
  <c r="M12" i="82"/>
  <c r="M8" i="82"/>
  <c r="L12" i="82"/>
  <c r="O11" i="82"/>
  <c r="N11" i="82"/>
  <c r="N52" i="80"/>
  <c r="N53" i="80" s="1"/>
  <c r="N9" i="82"/>
  <c r="O52" i="89"/>
  <c r="O53" i="89" s="1"/>
  <c r="P26" i="89"/>
  <c r="P27" i="89" s="1"/>
  <c r="P23" i="89"/>
  <c r="N52" i="89"/>
  <c r="N53" i="89" s="1"/>
  <c r="N23" i="88"/>
  <c r="N26" i="88"/>
  <c r="N27" i="88" s="1"/>
  <c r="L52" i="88"/>
  <c r="L53" i="88" s="1"/>
  <c r="M52" i="88"/>
  <c r="M53" i="88" s="1"/>
  <c r="K52" i="87"/>
  <c r="K53" i="87" s="1"/>
  <c r="M26" i="87"/>
  <c r="M27" i="87" s="1"/>
  <c r="M30" i="87" s="1"/>
  <c r="M23" i="87"/>
  <c r="L52" i="87"/>
  <c r="L53" i="87" s="1"/>
  <c r="N23" i="86"/>
  <c r="N26" i="86"/>
  <c r="N27" i="86" s="1"/>
  <c r="N30" i="86" s="1"/>
  <c r="M30" i="86"/>
  <c r="N52" i="30"/>
  <c r="N53" i="30" s="1"/>
  <c r="N5" i="85"/>
  <c r="N52" i="33"/>
  <c r="N53" i="33" s="1"/>
  <c r="N8" i="85"/>
  <c r="K8" i="84"/>
  <c r="K46" i="84" s="1"/>
  <c r="K47" i="84" s="1"/>
  <c r="L52" i="37"/>
  <c r="L53" i="37" s="1"/>
  <c r="L7" i="84"/>
  <c r="L4" i="83"/>
  <c r="L4" i="84"/>
  <c r="M3" i="83"/>
  <c r="M3" i="84"/>
  <c r="M7" i="83"/>
  <c r="M4" i="83"/>
  <c r="M4" i="84"/>
  <c r="N52" i="28"/>
  <c r="N53" i="28" s="1"/>
  <c r="N6" i="83"/>
  <c r="M52" i="24"/>
  <c r="M53" i="24" s="1"/>
  <c r="M52" i="81"/>
  <c r="M53" i="81" s="1"/>
  <c r="L52" i="81"/>
  <c r="L53" i="81" s="1"/>
  <c r="N26" i="81"/>
  <c r="N27" i="81" s="1"/>
  <c r="O26" i="80"/>
  <c r="O27" i="80" s="1"/>
  <c r="O30" i="80" s="1"/>
  <c r="O23" i="80"/>
  <c r="M52" i="79"/>
  <c r="M53" i="79" s="1"/>
  <c r="N26" i="79"/>
  <c r="N27" i="79" s="1"/>
  <c r="N30" i="79" s="1"/>
  <c r="N23" i="79"/>
  <c r="O26" i="78"/>
  <c r="O27" i="78" s="1"/>
  <c r="O30" i="78" s="1"/>
  <c r="O23" i="78"/>
  <c r="N30" i="78"/>
  <c r="M52" i="39"/>
  <c r="M53" i="39" s="1"/>
  <c r="N26" i="39"/>
  <c r="N27" i="39" s="1"/>
  <c r="N30" i="39" s="1"/>
  <c r="N14" i="90" s="1"/>
  <c r="N23" i="39"/>
  <c r="N30" i="38"/>
  <c r="N4" i="90" s="1"/>
  <c r="O23" i="38"/>
  <c r="O26" i="38"/>
  <c r="O27" i="38" s="1"/>
  <c r="M52" i="36"/>
  <c r="M53" i="36" s="1"/>
  <c r="M30" i="37"/>
  <c r="N26" i="37"/>
  <c r="N27" i="37" s="1"/>
  <c r="N23" i="37"/>
  <c r="N23" i="36"/>
  <c r="N26" i="36"/>
  <c r="N27" i="36" s="1"/>
  <c r="N30" i="36" s="1"/>
  <c r="L52" i="36"/>
  <c r="L53" i="36" s="1"/>
  <c r="L52" i="35"/>
  <c r="L53" i="35" s="1"/>
  <c r="M52" i="35"/>
  <c r="M53" i="35" s="1"/>
  <c r="N26" i="35"/>
  <c r="N27" i="35" s="1"/>
  <c r="N30" i="35" s="1"/>
  <c r="N23" i="35"/>
  <c r="M52" i="31"/>
  <c r="M53" i="31" s="1"/>
  <c r="O26" i="33"/>
  <c r="O27" i="33" s="1"/>
  <c r="O30" i="33" s="1"/>
  <c r="O8" i="90" s="1"/>
  <c r="O23" i="33"/>
  <c r="M52" i="32"/>
  <c r="M53" i="32" s="1"/>
  <c r="N26" i="32"/>
  <c r="N27" i="32" s="1"/>
  <c r="N30" i="32" s="1"/>
  <c r="N26" i="31"/>
  <c r="N27" i="31" s="1"/>
  <c r="N30" i="31" s="1"/>
  <c r="N11" i="90" s="1"/>
  <c r="N23" i="31"/>
  <c r="L52" i="31"/>
  <c r="L53" i="31" s="1"/>
  <c r="O26" i="30"/>
  <c r="O27" i="30" s="1"/>
  <c r="O30" i="30" s="1"/>
  <c r="O7" i="90" s="1"/>
  <c r="O23" i="30"/>
  <c r="M52" i="29"/>
  <c r="M53" i="29" s="1"/>
  <c r="N23" i="29"/>
  <c r="N26" i="29"/>
  <c r="N27" i="29" s="1"/>
  <c r="N30" i="29" s="1"/>
  <c r="N3" i="90" s="1"/>
  <c r="O26" i="28"/>
  <c r="O27" i="28" s="1"/>
  <c r="O30" i="28" s="1"/>
  <c r="O23" i="28"/>
  <c r="N30" i="27"/>
  <c r="N5" i="90" s="1"/>
  <c r="O26" i="27"/>
  <c r="O27" i="27" s="1"/>
  <c r="O30" i="27" s="1"/>
  <c r="O5" i="90" s="1"/>
  <c r="O23" i="27"/>
  <c r="N23" i="24"/>
  <c r="N26" i="24"/>
  <c r="N27" i="24" s="1"/>
  <c r="N30" i="24" s="1"/>
  <c r="N3" i="85" s="1"/>
  <c r="M9" i="85" l="1"/>
  <c r="L9" i="85"/>
  <c r="L47" i="85" s="1"/>
  <c r="L48" i="85" s="1"/>
  <c r="N9" i="90"/>
  <c r="M7" i="84"/>
  <c r="M8" i="84" s="1"/>
  <c r="M15" i="90"/>
  <c r="O7" i="82"/>
  <c r="O9" i="82"/>
  <c r="N10" i="82"/>
  <c r="M10" i="82"/>
  <c r="N7" i="82"/>
  <c r="N8" i="82"/>
  <c r="M52" i="87"/>
  <c r="M53" i="87" s="1"/>
  <c r="Q26" i="89"/>
  <c r="Q27" i="89" s="1"/>
  <c r="Q30" i="89" s="1"/>
  <c r="Q23" i="89"/>
  <c r="P30" i="89"/>
  <c r="N30" i="88"/>
  <c r="O26" i="88"/>
  <c r="O27" i="88" s="1"/>
  <c r="O30" i="88" s="1"/>
  <c r="O23" i="88"/>
  <c r="N23" i="87"/>
  <c r="N26" i="87"/>
  <c r="N27" i="87" s="1"/>
  <c r="N52" i="86"/>
  <c r="N53" i="86" s="1"/>
  <c r="M52" i="86"/>
  <c r="M53" i="86" s="1"/>
  <c r="O26" i="86"/>
  <c r="O27" i="86" s="1"/>
  <c r="O30" i="86" s="1"/>
  <c r="O23" i="86"/>
  <c r="N52" i="32"/>
  <c r="N53" i="32" s="1"/>
  <c r="N7" i="85"/>
  <c r="N52" i="31"/>
  <c r="N53" i="31" s="1"/>
  <c r="N6" i="85"/>
  <c r="O52" i="30"/>
  <c r="O53" i="30" s="1"/>
  <c r="O5" i="85"/>
  <c r="O52" i="33"/>
  <c r="O53" i="33" s="1"/>
  <c r="O8" i="85"/>
  <c r="L8" i="84"/>
  <c r="L46" i="84" s="1"/>
  <c r="L47" i="84" s="1"/>
  <c r="N52" i="36"/>
  <c r="N53" i="36" s="1"/>
  <c r="N6" i="84"/>
  <c r="N52" i="35"/>
  <c r="N53" i="35" s="1"/>
  <c r="N5" i="84"/>
  <c r="N3" i="83"/>
  <c r="N3" i="84"/>
  <c r="O6" i="83"/>
  <c r="N5" i="83"/>
  <c r="O5" i="83"/>
  <c r="N52" i="29"/>
  <c r="N53" i="29" s="1"/>
  <c r="N7" i="83"/>
  <c r="O30" i="38"/>
  <c r="O4" i="90" s="1"/>
  <c r="N30" i="37"/>
  <c r="N15" i="90" s="1"/>
  <c r="O26" i="81"/>
  <c r="O27" i="81" s="1"/>
  <c r="O30" i="81" s="1"/>
  <c r="N30" i="81"/>
  <c r="P26" i="80"/>
  <c r="P27" i="80" s="1"/>
  <c r="P23" i="80"/>
  <c r="O52" i="80"/>
  <c r="O53" i="80" s="1"/>
  <c r="O26" i="79"/>
  <c r="O27" i="79" s="1"/>
  <c r="O30" i="79" s="1"/>
  <c r="O23" i="79"/>
  <c r="N52" i="79"/>
  <c r="N53" i="79" s="1"/>
  <c r="N52" i="78"/>
  <c r="N53" i="78" s="1"/>
  <c r="P26" i="78"/>
  <c r="P27" i="78" s="1"/>
  <c r="P30" i="78" s="1"/>
  <c r="P23" i="78"/>
  <c r="O52" i="78"/>
  <c r="O53" i="78" s="1"/>
  <c r="N52" i="39"/>
  <c r="N53" i="39" s="1"/>
  <c r="O26" i="39"/>
  <c r="O27" i="39" s="1"/>
  <c r="O30" i="39" s="1"/>
  <c r="O23" i="39"/>
  <c r="P26" i="38"/>
  <c r="P27" i="38" s="1"/>
  <c r="P23" i="38"/>
  <c r="N52" i="38"/>
  <c r="N53" i="38" s="1"/>
  <c r="O26" i="37"/>
  <c r="O27" i="37" s="1"/>
  <c r="O23" i="37"/>
  <c r="M52" i="37"/>
  <c r="M53" i="37" s="1"/>
  <c r="O26" i="36"/>
  <c r="O27" i="36" s="1"/>
  <c r="O30" i="36" s="1"/>
  <c r="O6" i="84" s="1"/>
  <c r="O23" i="36"/>
  <c r="O26" i="35"/>
  <c r="O27" i="35" s="1"/>
  <c r="O30" i="35" s="1"/>
  <c r="O23" i="35"/>
  <c r="P26" i="33"/>
  <c r="P27" i="33" s="1"/>
  <c r="P30" i="33" s="1"/>
  <c r="P8" i="90" s="1"/>
  <c r="P23" i="33"/>
  <c r="O26" i="32"/>
  <c r="O27" i="32" s="1"/>
  <c r="O30" i="32" s="1"/>
  <c r="O26" i="31"/>
  <c r="O27" i="31" s="1"/>
  <c r="O30" i="31" s="1"/>
  <c r="O23" i="31"/>
  <c r="P26" i="30"/>
  <c r="P27" i="30" s="1"/>
  <c r="P30" i="30" s="1"/>
  <c r="P7" i="90" s="1"/>
  <c r="P23" i="30"/>
  <c r="O26" i="29"/>
  <c r="O27" i="29" s="1"/>
  <c r="O30" i="29" s="1"/>
  <c r="O3" i="90" s="1"/>
  <c r="O23" i="29"/>
  <c r="P26" i="28"/>
  <c r="P27" i="28" s="1"/>
  <c r="P30" i="28" s="1"/>
  <c r="P23" i="28"/>
  <c r="O52" i="28"/>
  <c r="O53" i="28" s="1"/>
  <c r="O52" i="27"/>
  <c r="O53" i="27" s="1"/>
  <c r="P26" i="27"/>
  <c r="P27" i="27" s="1"/>
  <c r="P30" i="27" s="1"/>
  <c r="P5" i="90" s="1"/>
  <c r="P23" i="27"/>
  <c r="N52" i="27"/>
  <c r="N53" i="27" s="1"/>
  <c r="N52" i="24"/>
  <c r="N53" i="24" s="1"/>
  <c r="O23" i="24"/>
  <c r="O26" i="24"/>
  <c r="O27" i="24" s="1"/>
  <c r="O30" i="24" s="1"/>
  <c r="O3" i="85" s="1"/>
  <c r="M47" i="85" l="1"/>
  <c r="M48" i="85" s="1"/>
  <c r="O6" i="85"/>
  <c r="O11" i="90"/>
  <c r="N4" i="85"/>
  <c r="N9" i="85" s="1"/>
  <c r="N47" i="85" s="1"/>
  <c r="N48" i="85" s="1"/>
  <c r="N10" i="90"/>
  <c r="O4" i="85"/>
  <c r="O10" i="90"/>
  <c r="O9" i="90"/>
  <c r="O52" i="39"/>
  <c r="O53" i="39" s="1"/>
  <c r="O14" i="90"/>
  <c r="O52" i="38"/>
  <c r="O53" i="38" s="1"/>
  <c r="O12" i="82"/>
  <c r="Q11" i="82"/>
  <c r="N12" i="82"/>
  <c r="P11" i="82"/>
  <c r="O52" i="86"/>
  <c r="O53" i="86" s="1"/>
  <c r="O10" i="82"/>
  <c r="O52" i="79"/>
  <c r="O53" i="79" s="1"/>
  <c r="O8" i="82"/>
  <c r="Q52" i="89"/>
  <c r="Q53" i="89" s="1"/>
  <c r="P52" i="89"/>
  <c r="P53" i="89" s="1"/>
  <c r="R23" i="89"/>
  <c r="R26" i="89"/>
  <c r="R27" i="89" s="1"/>
  <c r="R30" i="89" s="1"/>
  <c r="O52" i="88"/>
  <c r="O53" i="88" s="1"/>
  <c r="N52" i="88"/>
  <c r="N53" i="88" s="1"/>
  <c r="P26" i="88"/>
  <c r="P27" i="88" s="1"/>
  <c r="P30" i="88" s="1"/>
  <c r="P23" i="88"/>
  <c r="N30" i="87"/>
  <c r="O26" i="87"/>
  <c r="O27" i="87" s="1"/>
  <c r="O30" i="87" s="1"/>
  <c r="O23" i="87"/>
  <c r="P26" i="86"/>
  <c r="P27" i="86" s="1"/>
  <c r="P30" i="86" s="1"/>
  <c r="P23" i="86"/>
  <c r="P52" i="78"/>
  <c r="P53" i="78" s="1"/>
  <c r="P7" i="82"/>
  <c r="O52" i="32"/>
  <c r="O53" i="32" s="1"/>
  <c r="O7" i="85"/>
  <c r="P52" i="30"/>
  <c r="P53" i="30" s="1"/>
  <c r="P5" i="85"/>
  <c r="P52" i="33"/>
  <c r="P53" i="33" s="1"/>
  <c r="P8" i="85"/>
  <c r="M46" i="84"/>
  <c r="M47" i="84" s="1"/>
  <c r="N52" i="37"/>
  <c r="N53" i="37" s="1"/>
  <c r="N7" i="84"/>
  <c r="O52" i="35"/>
  <c r="O53" i="35" s="1"/>
  <c r="O5" i="84"/>
  <c r="O3" i="83"/>
  <c r="O3" i="84"/>
  <c r="N4" i="83"/>
  <c r="N4" i="84"/>
  <c r="O4" i="83"/>
  <c r="O4" i="84"/>
  <c r="P52" i="28"/>
  <c r="P53" i="28" s="1"/>
  <c r="P6" i="83"/>
  <c r="O52" i="29"/>
  <c r="O53" i="29" s="1"/>
  <c r="O7" i="83"/>
  <c r="P52" i="27"/>
  <c r="P53" i="27" s="1"/>
  <c r="P5" i="83"/>
  <c r="O52" i="24"/>
  <c r="O53" i="24" s="1"/>
  <c r="P30" i="38"/>
  <c r="P4" i="90" s="1"/>
  <c r="O30" i="37"/>
  <c r="O15" i="90" s="1"/>
  <c r="N52" i="81"/>
  <c r="N53" i="81" s="1"/>
  <c r="O52" i="81"/>
  <c r="O53" i="81" s="1"/>
  <c r="Q26" i="80"/>
  <c r="Q27" i="80" s="1"/>
  <c r="Q30" i="80" s="1"/>
  <c r="Q23" i="80"/>
  <c r="P30" i="80"/>
  <c r="P26" i="79"/>
  <c r="P27" i="79" s="1"/>
  <c r="P30" i="79" s="1"/>
  <c r="P23" i="79"/>
  <c r="Q23" i="78"/>
  <c r="Q26" i="78"/>
  <c r="Q27" i="78" s="1"/>
  <c r="Q30" i="78" s="1"/>
  <c r="P26" i="39"/>
  <c r="P27" i="39" s="1"/>
  <c r="P30" i="39" s="1"/>
  <c r="P23" i="39"/>
  <c r="Q26" i="38"/>
  <c r="Q27" i="38" s="1"/>
  <c r="Q23" i="38"/>
  <c r="P26" i="37"/>
  <c r="P27" i="37" s="1"/>
  <c r="P23" i="37"/>
  <c r="P26" i="36"/>
  <c r="P27" i="36" s="1"/>
  <c r="P30" i="36" s="1"/>
  <c r="P23" i="36"/>
  <c r="O52" i="36"/>
  <c r="O53" i="36" s="1"/>
  <c r="P26" i="35"/>
  <c r="P27" i="35" s="1"/>
  <c r="P30" i="35" s="1"/>
  <c r="P23" i="35"/>
  <c r="Q23" i="33"/>
  <c r="Q26" i="33"/>
  <c r="Q27" i="33" s="1"/>
  <c r="Q30" i="33" s="1"/>
  <c r="Q8" i="90" s="1"/>
  <c r="P26" i="32"/>
  <c r="P27" i="32" s="1"/>
  <c r="P30" i="32" s="1"/>
  <c r="P26" i="31"/>
  <c r="P27" i="31" s="1"/>
  <c r="P30" i="31" s="1"/>
  <c r="P11" i="90" s="1"/>
  <c r="P23" i="31"/>
  <c r="O52" i="31"/>
  <c r="O53" i="31" s="1"/>
  <c r="Q23" i="30"/>
  <c r="Q26" i="30"/>
  <c r="Q27" i="30" s="1"/>
  <c r="Q30" i="30" s="1"/>
  <c r="Q7" i="90" s="1"/>
  <c r="P26" i="29"/>
  <c r="P27" i="29" s="1"/>
  <c r="P30" i="29" s="1"/>
  <c r="P3" i="90" s="1"/>
  <c r="P23" i="29"/>
  <c r="Q23" i="28"/>
  <c r="Q26" i="28"/>
  <c r="Q27" i="28" s="1"/>
  <c r="Q30" i="28" s="1"/>
  <c r="Q23" i="27"/>
  <c r="Q26" i="27"/>
  <c r="Q27" i="27" s="1"/>
  <c r="Q30" i="27" s="1"/>
  <c r="Q5" i="90" s="1"/>
  <c r="P26" i="24"/>
  <c r="P27" i="24" s="1"/>
  <c r="P30" i="24" s="1"/>
  <c r="P3" i="85" s="1"/>
  <c r="P23" i="24"/>
  <c r="O9" i="85" l="1"/>
  <c r="O47" i="85" s="1"/>
  <c r="O48" i="85" s="1"/>
  <c r="P9" i="90"/>
  <c r="P52" i="39"/>
  <c r="P53" i="39" s="1"/>
  <c r="P14" i="90"/>
  <c r="P52" i="38"/>
  <c r="P53" i="38" s="1"/>
  <c r="Q9" i="82"/>
  <c r="P8" i="82"/>
  <c r="P10" i="82"/>
  <c r="P9" i="82"/>
  <c r="P52" i="88"/>
  <c r="P53" i="88" s="1"/>
  <c r="P12" i="82"/>
  <c r="R52" i="89"/>
  <c r="R53" i="89" s="1"/>
  <c r="R11" i="82"/>
  <c r="S26" i="89"/>
  <c r="S27" i="89" s="1"/>
  <c r="S30" i="89" s="1"/>
  <c r="S23" i="89"/>
  <c r="Q26" i="88"/>
  <c r="Q27" i="88" s="1"/>
  <c r="Q30" i="88" s="1"/>
  <c r="Q23" i="88"/>
  <c r="N52" i="87"/>
  <c r="N53" i="87" s="1"/>
  <c r="P26" i="87"/>
  <c r="P27" i="87" s="1"/>
  <c r="P30" i="87" s="1"/>
  <c r="P23" i="87"/>
  <c r="O52" i="87"/>
  <c r="O53" i="87" s="1"/>
  <c r="Q26" i="86"/>
  <c r="Q27" i="86" s="1"/>
  <c r="Q30" i="86" s="1"/>
  <c r="Q23" i="86"/>
  <c r="P52" i="86"/>
  <c r="P53" i="86" s="1"/>
  <c r="Q52" i="78"/>
  <c r="Q53" i="78" s="1"/>
  <c r="Q7" i="82"/>
  <c r="P27" i="81"/>
  <c r="P30" i="81" s="1"/>
  <c r="P10" i="90" s="1"/>
  <c r="P52" i="32"/>
  <c r="P53" i="32" s="1"/>
  <c r="P7" i="85"/>
  <c r="P52" i="31"/>
  <c r="P53" i="31" s="1"/>
  <c r="P6" i="85"/>
  <c r="Q52" i="30"/>
  <c r="Q53" i="30" s="1"/>
  <c r="Q5" i="85"/>
  <c r="Q52" i="33"/>
  <c r="Q53" i="33" s="1"/>
  <c r="Q8" i="85"/>
  <c r="N8" i="84"/>
  <c r="N46" i="84" s="1"/>
  <c r="N47" i="84" s="1"/>
  <c r="O52" i="37"/>
  <c r="O53" i="37" s="1"/>
  <c r="O7" i="84"/>
  <c r="O8" i="84" s="1"/>
  <c r="P52" i="36"/>
  <c r="P53" i="36" s="1"/>
  <c r="P6" i="84"/>
  <c r="P52" i="35"/>
  <c r="P53" i="35" s="1"/>
  <c r="P5" i="84"/>
  <c r="P3" i="83"/>
  <c r="P3" i="84"/>
  <c r="Q5" i="83"/>
  <c r="Q52" i="28"/>
  <c r="Q53" i="28" s="1"/>
  <c r="Q6" i="83"/>
  <c r="P52" i="29"/>
  <c r="P53" i="29" s="1"/>
  <c r="P7" i="83"/>
  <c r="P52" i="24"/>
  <c r="P53" i="24" s="1"/>
  <c r="Q30" i="38"/>
  <c r="Q4" i="90" s="1"/>
  <c r="P30" i="37"/>
  <c r="P15" i="90" s="1"/>
  <c r="Q26" i="81"/>
  <c r="Q27" i="81" s="1"/>
  <c r="Q30" i="81" s="1"/>
  <c r="Q10" i="90" s="1"/>
  <c r="P52" i="80"/>
  <c r="P53" i="80" s="1"/>
  <c r="R26" i="80"/>
  <c r="R27" i="80" s="1"/>
  <c r="R30" i="80" s="1"/>
  <c r="R23" i="80"/>
  <c r="Q52" i="80"/>
  <c r="Q53" i="80" s="1"/>
  <c r="Q23" i="79"/>
  <c r="Q26" i="79"/>
  <c r="Q27" i="79" s="1"/>
  <c r="Q30" i="79" s="1"/>
  <c r="P52" i="79"/>
  <c r="P53" i="79" s="1"/>
  <c r="R23" i="78"/>
  <c r="R26" i="78"/>
  <c r="R27" i="78" s="1"/>
  <c r="R30" i="78" s="1"/>
  <c r="Q23" i="39"/>
  <c r="Q26" i="39"/>
  <c r="Q27" i="39" s="1"/>
  <c r="Q30" i="39" s="1"/>
  <c r="R23" i="38"/>
  <c r="R26" i="38"/>
  <c r="R27" i="38" s="1"/>
  <c r="Q23" i="37"/>
  <c r="Q26" i="37"/>
  <c r="Q27" i="37" s="1"/>
  <c r="Q23" i="36"/>
  <c r="Q26" i="36"/>
  <c r="Q27" i="36" s="1"/>
  <c r="Q30" i="36" s="1"/>
  <c r="Q6" i="84" s="1"/>
  <c r="Q23" i="35"/>
  <c r="Q26" i="35"/>
  <c r="Q27" i="35" s="1"/>
  <c r="Q30" i="35" s="1"/>
  <c r="R26" i="33"/>
  <c r="R27" i="33" s="1"/>
  <c r="R30" i="33" s="1"/>
  <c r="R8" i="90" s="1"/>
  <c r="R23" i="33"/>
  <c r="Q26" i="32"/>
  <c r="Q23" i="31"/>
  <c r="Q26" i="31"/>
  <c r="Q27" i="31" s="1"/>
  <c r="Q30" i="31" s="1"/>
  <c r="R26" i="30"/>
  <c r="R27" i="30" s="1"/>
  <c r="R30" i="30" s="1"/>
  <c r="R7" i="90" s="1"/>
  <c r="R23" i="30"/>
  <c r="Q23" i="29"/>
  <c r="Q26" i="29"/>
  <c r="Q27" i="29" s="1"/>
  <c r="Q30" i="29" s="1"/>
  <c r="Q3" i="90" s="1"/>
  <c r="R23" i="28"/>
  <c r="R26" i="28"/>
  <c r="R27" i="28" s="1"/>
  <c r="R30" i="28" s="1"/>
  <c r="Q52" i="27"/>
  <c r="Q53" i="27" s="1"/>
  <c r="R26" i="27"/>
  <c r="R27" i="27" s="1"/>
  <c r="R30" i="27" s="1"/>
  <c r="R5" i="90" s="1"/>
  <c r="R23" i="27"/>
  <c r="Q26" i="24"/>
  <c r="Q27" i="24" s="1"/>
  <c r="Q30" i="24" s="1"/>
  <c r="Q3" i="85" s="1"/>
  <c r="Q23" i="24"/>
  <c r="Q6" i="85" l="1"/>
  <c r="Q11" i="90"/>
  <c r="Q52" i="39"/>
  <c r="Q53" i="39" s="1"/>
  <c r="Q14" i="90"/>
  <c r="Q52" i="38"/>
  <c r="Q53" i="38" s="1"/>
  <c r="Q52" i="88"/>
  <c r="Q53" i="88" s="1"/>
  <c r="Q12" i="82"/>
  <c r="P52" i="87"/>
  <c r="P53" i="87" s="1"/>
  <c r="S52" i="89"/>
  <c r="S53" i="89" s="1"/>
  <c r="S11" i="82"/>
  <c r="Q52" i="86"/>
  <c r="Q53" i="86" s="1"/>
  <c r="Q10" i="82"/>
  <c r="R52" i="80"/>
  <c r="R53" i="80" s="1"/>
  <c r="R9" i="82"/>
  <c r="Q52" i="79"/>
  <c r="Q53" i="79" s="1"/>
  <c r="Q8" i="82"/>
  <c r="T26" i="89"/>
  <c r="T27" i="89" s="1"/>
  <c r="T30" i="89" s="1"/>
  <c r="T23" i="89"/>
  <c r="R23" i="88"/>
  <c r="R26" i="88"/>
  <c r="R27" i="88" s="1"/>
  <c r="R30" i="88" s="1"/>
  <c r="Q26" i="87"/>
  <c r="Q27" i="87" s="1"/>
  <c r="Q30" i="87" s="1"/>
  <c r="Q23" i="87"/>
  <c r="R23" i="86"/>
  <c r="R26" i="86"/>
  <c r="R27" i="86" s="1"/>
  <c r="R30" i="86" s="1"/>
  <c r="R52" i="78"/>
  <c r="R53" i="78" s="1"/>
  <c r="R7" i="82"/>
  <c r="Q27" i="32"/>
  <c r="Q30" i="32" s="1"/>
  <c r="P4" i="85"/>
  <c r="P9" i="85" s="1"/>
  <c r="P47" i="85" s="1"/>
  <c r="P48" i="85" s="1"/>
  <c r="P4" i="83"/>
  <c r="P52" i="81"/>
  <c r="P53" i="81" s="1"/>
  <c r="P4" i="84"/>
  <c r="R52" i="30"/>
  <c r="R53" i="30" s="1"/>
  <c r="R5" i="85"/>
  <c r="R52" i="33"/>
  <c r="R53" i="33" s="1"/>
  <c r="R8" i="85"/>
  <c r="Q4" i="84"/>
  <c r="Q4" i="85"/>
  <c r="O46" i="84"/>
  <c r="O47" i="84" s="1"/>
  <c r="P52" i="37"/>
  <c r="P53" i="37" s="1"/>
  <c r="P7" i="84"/>
  <c r="Q52" i="35"/>
  <c r="Q53" i="35" s="1"/>
  <c r="Q5" i="84"/>
  <c r="Q3" i="83"/>
  <c r="Q3" i="84"/>
  <c r="R52" i="28"/>
  <c r="R53" i="28" s="1"/>
  <c r="R6" i="83"/>
  <c r="Q52" i="29"/>
  <c r="Q53" i="29" s="1"/>
  <c r="Q7" i="83"/>
  <c r="R52" i="27"/>
  <c r="R53" i="27" s="1"/>
  <c r="R5" i="83"/>
  <c r="Q52" i="81"/>
  <c r="Q53" i="81" s="1"/>
  <c r="Q4" i="83"/>
  <c r="Q52" i="24"/>
  <c r="Q53" i="24" s="1"/>
  <c r="R30" i="38"/>
  <c r="R4" i="90" s="1"/>
  <c r="Q30" i="37"/>
  <c r="Q15" i="90" s="1"/>
  <c r="R27" i="81"/>
  <c r="R30" i="81" s="1"/>
  <c r="R10" i="90" s="1"/>
  <c r="S26" i="80"/>
  <c r="S27" i="80" s="1"/>
  <c r="S30" i="80" s="1"/>
  <c r="S23" i="80"/>
  <c r="R26" i="79"/>
  <c r="R27" i="79" s="1"/>
  <c r="R30" i="79" s="1"/>
  <c r="R23" i="79"/>
  <c r="S26" i="78"/>
  <c r="S27" i="78" s="1"/>
  <c r="S30" i="78" s="1"/>
  <c r="S23" i="78"/>
  <c r="R26" i="39"/>
  <c r="R27" i="39" s="1"/>
  <c r="R30" i="39" s="1"/>
  <c r="R23" i="39"/>
  <c r="S26" i="38"/>
  <c r="S27" i="38" s="1"/>
  <c r="S23" i="38"/>
  <c r="R26" i="37"/>
  <c r="R27" i="37" s="1"/>
  <c r="R23" i="37"/>
  <c r="Q52" i="36"/>
  <c r="Q53" i="36" s="1"/>
  <c r="R26" i="36"/>
  <c r="R27" i="36" s="1"/>
  <c r="R30" i="36" s="1"/>
  <c r="R23" i="36"/>
  <c r="R26" i="35"/>
  <c r="R27" i="35" s="1"/>
  <c r="R30" i="35" s="1"/>
  <c r="R23" i="35"/>
  <c r="S26" i="33"/>
  <c r="S27" i="33" s="1"/>
  <c r="S30" i="33" s="1"/>
  <c r="S8" i="90" s="1"/>
  <c r="S23" i="33"/>
  <c r="R26" i="32"/>
  <c r="R27" i="32" s="1"/>
  <c r="R30" i="32" s="1"/>
  <c r="Q52" i="31"/>
  <c r="Q53" i="31" s="1"/>
  <c r="R23" i="31"/>
  <c r="R26" i="31"/>
  <c r="R27" i="31" s="1"/>
  <c r="R30" i="31" s="1"/>
  <c r="R11" i="90" s="1"/>
  <c r="S26" i="30"/>
  <c r="S27" i="30" s="1"/>
  <c r="S30" i="30" s="1"/>
  <c r="S7" i="90" s="1"/>
  <c r="S23" i="30"/>
  <c r="R26" i="29"/>
  <c r="R27" i="29" s="1"/>
  <c r="R30" i="29" s="1"/>
  <c r="R3" i="90" s="1"/>
  <c r="R23" i="29"/>
  <c r="S26" i="28"/>
  <c r="S27" i="28" s="1"/>
  <c r="S30" i="28" s="1"/>
  <c r="S23" i="28"/>
  <c r="S26" i="27"/>
  <c r="S27" i="27" s="1"/>
  <c r="S30" i="27" s="1"/>
  <c r="S5" i="90" s="1"/>
  <c r="S23" i="27"/>
  <c r="R23" i="24"/>
  <c r="R26" i="24"/>
  <c r="R27" i="24" s="1"/>
  <c r="R30" i="24" s="1"/>
  <c r="R3" i="85" s="1"/>
  <c r="Q9" i="90" l="1"/>
  <c r="R9" i="90"/>
  <c r="R52" i="39"/>
  <c r="R53" i="39" s="1"/>
  <c r="R14" i="90"/>
  <c r="R52" i="38"/>
  <c r="R53" i="38" s="1"/>
  <c r="R10" i="82"/>
  <c r="T11" i="82"/>
  <c r="R52" i="88"/>
  <c r="R53" i="88" s="1"/>
  <c r="R12" i="82"/>
  <c r="S52" i="80"/>
  <c r="S53" i="80" s="1"/>
  <c r="S9" i="82"/>
  <c r="R52" i="79"/>
  <c r="R53" i="79" s="1"/>
  <c r="R8" i="82"/>
  <c r="T52" i="89"/>
  <c r="T53" i="89" s="1"/>
  <c r="U34" i="89"/>
  <c r="S26" i="88"/>
  <c r="S27" i="88" s="1"/>
  <c r="S30" i="88" s="1"/>
  <c r="S23" i="88"/>
  <c r="R23" i="87"/>
  <c r="R26" i="87"/>
  <c r="R27" i="87" s="1"/>
  <c r="R30" i="87" s="1"/>
  <c r="Q52" i="87"/>
  <c r="Q53" i="87" s="1"/>
  <c r="R52" i="86"/>
  <c r="R53" i="86" s="1"/>
  <c r="S26" i="86"/>
  <c r="S27" i="86" s="1"/>
  <c r="S30" i="86" s="1"/>
  <c r="S23" i="86"/>
  <c r="S52" i="78"/>
  <c r="S53" i="78" s="1"/>
  <c r="S7" i="82"/>
  <c r="Q52" i="32"/>
  <c r="Q53" i="32" s="1"/>
  <c r="Q7" i="85"/>
  <c r="Q9" i="85" s="1"/>
  <c r="Q47" i="85" s="1"/>
  <c r="Q48" i="85" s="1"/>
  <c r="P8" i="84"/>
  <c r="P46" i="84" s="1"/>
  <c r="P47" i="84" s="1"/>
  <c r="R52" i="32"/>
  <c r="R53" i="32" s="1"/>
  <c r="R7" i="85"/>
  <c r="R52" i="31"/>
  <c r="R53" i="31" s="1"/>
  <c r="R6" i="85"/>
  <c r="S52" i="30"/>
  <c r="S53" i="30" s="1"/>
  <c r="S5" i="85"/>
  <c r="S52" i="33"/>
  <c r="S53" i="33" s="1"/>
  <c r="S8" i="85"/>
  <c r="R4" i="84"/>
  <c r="R4" i="85"/>
  <c r="Q52" i="37"/>
  <c r="Q53" i="37" s="1"/>
  <c r="Q7" i="84"/>
  <c r="Q8" i="84" s="1"/>
  <c r="R52" i="36"/>
  <c r="R53" i="36" s="1"/>
  <c r="R6" i="84"/>
  <c r="R52" i="35"/>
  <c r="R53" i="35" s="1"/>
  <c r="R5" i="84"/>
  <c r="R3" i="83"/>
  <c r="R3" i="84"/>
  <c r="S52" i="28"/>
  <c r="S53" i="28" s="1"/>
  <c r="S6" i="83"/>
  <c r="R52" i="29"/>
  <c r="R53" i="29" s="1"/>
  <c r="R7" i="83"/>
  <c r="S52" i="27"/>
  <c r="S53" i="27" s="1"/>
  <c r="S5" i="83"/>
  <c r="R52" i="81"/>
  <c r="R53" i="81" s="1"/>
  <c r="R4" i="83"/>
  <c r="R52" i="24"/>
  <c r="R53" i="24" s="1"/>
  <c r="S30" i="38"/>
  <c r="S4" i="90" s="1"/>
  <c r="R30" i="37"/>
  <c r="R15" i="90" s="1"/>
  <c r="S26" i="81"/>
  <c r="S27" i="81" s="1"/>
  <c r="S30" i="81" s="1"/>
  <c r="S10" i="90" s="1"/>
  <c r="T26" i="80"/>
  <c r="T27" i="80" s="1"/>
  <c r="T30" i="80" s="1"/>
  <c r="T23" i="80"/>
  <c r="S26" i="79"/>
  <c r="S27" i="79" s="1"/>
  <c r="S30" i="79" s="1"/>
  <c r="S23" i="79"/>
  <c r="T26" i="78"/>
  <c r="T27" i="78" s="1"/>
  <c r="T30" i="78" s="1"/>
  <c r="T23" i="78"/>
  <c r="S26" i="39"/>
  <c r="S27" i="39" s="1"/>
  <c r="S30" i="39" s="1"/>
  <c r="S23" i="39"/>
  <c r="T26" i="38"/>
  <c r="T27" i="38" s="1"/>
  <c r="T23" i="38"/>
  <c r="S26" i="37"/>
  <c r="S27" i="37" s="1"/>
  <c r="S23" i="37"/>
  <c r="S26" i="36"/>
  <c r="S27" i="36" s="1"/>
  <c r="S30" i="36" s="1"/>
  <c r="S23" i="36"/>
  <c r="S26" i="35"/>
  <c r="S27" i="35" s="1"/>
  <c r="S30" i="35" s="1"/>
  <c r="S23" i="35"/>
  <c r="T26" i="33"/>
  <c r="T27" i="33" s="1"/>
  <c r="T30" i="33" s="1"/>
  <c r="T23" i="33"/>
  <c r="S26" i="32"/>
  <c r="S27" i="32" s="1"/>
  <c r="S30" i="32" s="1"/>
  <c r="S26" i="31"/>
  <c r="S27" i="31" s="1"/>
  <c r="S30" i="31" s="1"/>
  <c r="S11" i="90" s="1"/>
  <c r="S23" i="31"/>
  <c r="T26" i="30"/>
  <c r="T27" i="30" s="1"/>
  <c r="T30" i="30" s="1"/>
  <c r="T23" i="30"/>
  <c r="S26" i="29"/>
  <c r="S27" i="29" s="1"/>
  <c r="S30" i="29" s="1"/>
  <c r="S3" i="90" s="1"/>
  <c r="S23" i="29"/>
  <c r="T26" i="28"/>
  <c r="T27" i="28" s="1"/>
  <c r="T30" i="28" s="1"/>
  <c r="T23" i="28"/>
  <c r="T26" i="27"/>
  <c r="T27" i="27" s="1"/>
  <c r="T30" i="27" s="1"/>
  <c r="T5" i="90" s="1"/>
  <c r="T23" i="27"/>
  <c r="S26" i="24"/>
  <c r="S27" i="24" s="1"/>
  <c r="S30" i="24" s="1"/>
  <c r="S3" i="85" s="1"/>
  <c r="S23" i="24"/>
  <c r="S9" i="90" l="1"/>
  <c r="S52" i="39"/>
  <c r="S53" i="39" s="1"/>
  <c r="S14" i="90"/>
  <c r="T8" i="85"/>
  <c r="T8" i="90"/>
  <c r="T5" i="85"/>
  <c r="T7" i="90"/>
  <c r="S52" i="38"/>
  <c r="S53" i="38" s="1"/>
  <c r="T9" i="82"/>
  <c r="T7" i="82"/>
  <c r="S52" i="88"/>
  <c r="S53" i="88" s="1"/>
  <c r="S12" i="82"/>
  <c r="R52" i="87"/>
  <c r="R53" i="87" s="1"/>
  <c r="S52" i="86"/>
  <c r="S53" i="86" s="1"/>
  <c r="S10" i="82"/>
  <c r="S52" i="79"/>
  <c r="S53" i="79" s="1"/>
  <c r="S8" i="82"/>
  <c r="W21" i="89"/>
  <c r="V21" i="89"/>
  <c r="U21" i="89"/>
  <c r="T26" i="88"/>
  <c r="T27" i="88" s="1"/>
  <c r="T23" i="88"/>
  <c r="S26" i="87"/>
  <c r="S27" i="87" s="1"/>
  <c r="S30" i="87" s="1"/>
  <c r="S23" i="87"/>
  <c r="T26" i="86"/>
  <c r="T27" i="86" s="1"/>
  <c r="T23" i="86"/>
  <c r="Q46" i="84"/>
  <c r="Q47" i="84" s="1"/>
  <c r="S52" i="32"/>
  <c r="S53" i="32" s="1"/>
  <c r="S7" i="85"/>
  <c r="S52" i="31"/>
  <c r="S53" i="31" s="1"/>
  <c r="S6" i="85"/>
  <c r="R9" i="85"/>
  <c r="R47" i="85" s="1"/>
  <c r="R48" i="85" s="1"/>
  <c r="S4" i="84"/>
  <c r="S4" i="85"/>
  <c r="R52" i="37"/>
  <c r="R53" i="37" s="1"/>
  <c r="R7" i="84"/>
  <c r="R8" i="84" s="1"/>
  <c r="R46" i="84" s="1"/>
  <c r="R47" i="84" s="1"/>
  <c r="S52" i="36"/>
  <c r="S53" i="36" s="1"/>
  <c r="S6" i="84"/>
  <c r="S52" i="35"/>
  <c r="S53" i="35" s="1"/>
  <c r="S5" i="84"/>
  <c r="T6" i="83"/>
  <c r="S3" i="83"/>
  <c r="S3" i="84"/>
  <c r="T5" i="83"/>
  <c r="S52" i="29"/>
  <c r="S53" i="29" s="1"/>
  <c r="S7" i="83"/>
  <c r="S52" i="81"/>
  <c r="S53" i="81" s="1"/>
  <c r="S4" i="83"/>
  <c r="S52" i="24"/>
  <c r="S53" i="24" s="1"/>
  <c r="S30" i="37"/>
  <c r="S15" i="90" s="1"/>
  <c r="T26" i="81"/>
  <c r="T27" i="81" s="1"/>
  <c r="T52" i="80"/>
  <c r="T53" i="80" s="1"/>
  <c r="U34" i="80"/>
  <c r="T26" i="79"/>
  <c r="T23" i="79"/>
  <c r="T52" i="78"/>
  <c r="T53" i="78" s="1"/>
  <c r="U34" i="78"/>
  <c r="T26" i="39"/>
  <c r="T27" i="39" s="1"/>
  <c r="T30" i="39" s="1"/>
  <c r="T14" i="90" s="1"/>
  <c r="T23" i="39"/>
  <c r="T30" i="38"/>
  <c r="T4" i="90" s="1"/>
  <c r="H27" i="38"/>
  <c r="T26" i="37"/>
  <c r="T23" i="37"/>
  <c r="T26" i="36"/>
  <c r="T27" i="36" s="1"/>
  <c r="T30" i="36" s="1"/>
  <c r="T6" i="84" s="1"/>
  <c r="T23" i="36"/>
  <c r="T26" i="35"/>
  <c r="T27" i="35" s="1"/>
  <c r="T30" i="35" s="1"/>
  <c r="T5" i="84" s="1"/>
  <c r="T23" i="35"/>
  <c r="T52" i="33"/>
  <c r="T53" i="33" s="1"/>
  <c r="U34" i="33"/>
  <c r="T26" i="32"/>
  <c r="T27" i="32" s="1"/>
  <c r="T26" i="31"/>
  <c r="T27" i="31" s="1"/>
  <c r="T30" i="31" s="1"/>
  <c r="T23" i="31"/>
  <c r="T52" i="30"/>
  <c r="T53" i="30" s="1"/>
  <c r="U34" i="30"/>
  <c r="T26" i="29"/>
  <c r="T27" i="29" s="1"/>
  <c r="T30" i="29" s="1"/>
  <c r="T3" i="90" s="1"/>
  <c r="T23" i="29"/>
  <c r="T52" i="28"/>
  <c r="T53" i="28" s="1"/>
  <c r="U34" i="28"/>
  <c r="T52" i="27"/>
  <c r="T53" i="27" s="1"/>
  <c r="U34" i="27"/>
  <c r="T26" i="24"/>
  <c r="T27" i="24" s="1"/>
  <c r="T23" i="24"/>
  <c r="T6" i="85" l="1"/>
  <c r="T11" i="90"/>
  <c r="S52" i="87"/>
  <c r="S53" i="87" s="1"/>
  <c r="U26" i="89"/>
  <c r="U27" i="89" s="1"/>
  <c r="U30" i="89" s="1"/>
  <c r="H21" i="89"/>
  <c r="V26" i="89"/>
  <c r="V27" i="89" s="1"/>
  <c r="V30" i="89" s="1"/>
  <c r="W26" i="89"/>
  <c r="W27" i="89" s="1"/>
  <c r="T30" i="88"/>
  <c r="H27" i="88"/>
  <c r="T26" i="87"/>
  <c r="T27" i="87" s="1"/>
  <c r="T23" i="87"/>
  <c r="T30" i="86"/>
  <c r="T30" i="32"/>
  <c r="S9" i="85"/>
  <c r="S47" i="85" s="1"/>
  <c r="S48" i="85" s="1"/>
  <c r="S52" i="37"/>
  <c r="S53" i="37" s="1"/>
  <c r="S7" i="84"/>
  <c r="S8" i="84" s="1"/>
  <c r="S46" i="84" s="1"/>
  <c r="S47" i="84" s="1"/>
  <c r="T7" i="83"/>
  <c r="T27" i="37"/>
  <c r="T30" i="37" s="1"/>
  <c r="T30" i="81"/>
  <c r="H27" i="81"/>
  <c r="T27" i="79"/>
  <c r="T30" i="79" s="1"/>
  <c r="W21" i="80"/>
  <c r="V21" i="80"/>
  <c r="U21" i="80"/>
  <c r="W21" i="78"/>
  <c r="V21" i="78"/>
  <c r="U21" i="78"/>
  <c r="T52" i="39"/>
  <c r="T53" i="39" s="1"/>
  <c r="U34" i="39"/>
  <c r="T52" i="38"/>
  <c r="T53" i="38" s="1"/>
  <c r="U52" i="38"/>
  <c r="U53" i="38" s="1"/>
  <c r="U34" i="38"/>
  <c r="H30" i="38"/>
  <c r="H4" i="90" s="1"/>
  <c r="T52" i="36"/>
  <c r="T53" i="36" s="1"/>
  <c r="U34" i="36"/>
  <c r="T52" i="35"/>
  <c r="T53" i="35" s="1"/>
  <c r="U34" i="35"/>
  <c r="W21" i="33"/>
  <c r="V21" i="33"/>
  <c r="U21" i="33"/>
  <c r="T52" i="31"/>
  <c r="T53" i="31" s="1"/>
  <c r="U34" i="31"/>
  <c r="W21" i="30"/>
  <c r="V21" i="30"/>
  <c r="U21" i="30"/>
  <c r="T52" i="29"/>
  <c r="T53" i="29" s="1"/>
  <c r="U34" i="29"/>
  <c r="W21" i="28"/>
  <c r="V21" i="28"/>
  <c r="U21" i="28"/>
  <c r="W21" i="27"/>
  <c r="V21" i="27"/>
  <c r="U21" i="27"/>
  <c r="T30" i="24"/>
  <c r="T3" i="85" s="1"/>
  <c r="H27" i="24"/>
  <c r="T4" i="85" l="1"/>
  <c r="T10" i="90"/>
  <c r="T9" i="90"/>
  <c r="T7" i="84"/>
  <c r="T15" i="90"/>
  <c r="H31" i="38"/>
  <c r="T10" i="82"/>
  <c r="T12" i="82"/>
  <c r="V11" i="82"/>
  <c r="U52" i="89"/>
  <c r="U53" i="89" s="1"/>
  <c r="U11" i="82"/>
  <c r="T52" i="79"/>
  <c r="T53" i="79" s="1"/>
  <c r="T8" i="82"/>
  <c r="H27" i="89"/>
  <c r="V52" i="89"/>
  <c r="V53" i="89" s="1"/>
  <c r="W30" i="89"/>
  <c r="T52" i="88"/>
  <c r="T53" i="88" s="1"/>
  <c r="U52" i="88"/>
  <c r="U53" i="88" s="1"/>
  <c r="U34" i="88"/>
  <c r="H30" i="88"/>
  <c r="T30" i="87"/>
  <c r="T52" i="86"/>
  <c r="T53" i="86" s="1"/>
  <c r="U34" i="86"/>
  <c r="T7" i="85"/>
  <c r="U34" i="32"/>
  <c r="W21" i="32" s="1"/>
  <c r="T52" i="32"/>
  <c r="T53" i="32" s="1"/>
  <c r="T4" i="83"/>
  <c r="T4" i="84"/>
  <c r="T3" i="83"/>
  <c r="T3" i="84"/>
  <c r="U34" i="37"/>
  <c r="W21" i="37" s="1"/>
  <c r="T52" i="37"/>
  <c r="T53" i="37" s="1"/>
  <c r="T52" i="81"/>
  <c r="T53" i="81" s="1"/>
  <c r="U52" i="81"/>
  <c r="U53" i="81" s="1"/>
  <c r="U34" i="81"/>
  <c r="H30" i="81"/>
  <c r="H10" i="90" s="1"/>
  <c r="U34" i="79"/>
  <c r="W21" i="79" s="1"/>
  <c r="H21" i="80"/>
  <c r="U26" i="80"/>
  <c r="U27" i="80" s="1"/>
  <c r="U30" i="80" s="1"/>
  <c r="V26" i="80"/>
  <c r="V27" i="80" s="1"/>
  <c r="V30" i="80" s="1"/>
  <c r="W26" i="80"/>
  <c r="W27" i="80" s="1"/>
  <c r="U26" i="78"/>
  <c r="U27" i="78" s="1"/>
  <c r="U30" i="78" s="1"/>
  <c r="H21" i="78"/>
  <c r="V26" i="78"/>
  <c r="V27" i="78" s="1"/>
  <c r="V30" i="78" s="1"/>
  <c r="W26" i="78"/>
  <c r="W27" i="78" s="1"/>
  <c r="W21" i="39"/>
  <c r="V21" i="39"/>
  <c r="U21" i="39"/>
  <c r="B20" i="38"/>
  <c r="W21" i="36"/>
  <c r="V21" i="36"/>
  <c r="U21" i="36"/>
  <c r="W21" i="35"/>
  <c r="V21" i="35"/>
  <c r="U21" i="35"/>
  <c r="H21" i="33"/>
  <c r="U26" i="33"/>
  <c r="U27" i="33" s="1"/>
  <c r="U30" i="33" s="1"/>
  <c r="U8" i="90" s="1"/>
  <c r="V26" i="33"/>
  <c r="V27" i="33" s="1"/>
  <c r="V30" i="33" s="1"/>
  <c r="W26" i="33"/>
  <c r="W27" i="33" s="1"/>
  <c r="W21" i="31"/>
  <c r="V21" i="31"/>
  <c r="U21" i="31"/>
  <c r="U26" i="30"/>
  <c r="U27" i="30" s="1"/>
  <c r="U30" i="30" s="1"/>
  <c r="U7" i="90" s="1"/>
  <c r="H21" i="30"/>
  <c r="V26" i="30"/>
  <c r="V27" i="30" s="1"/>
  <c r="V30" i="30" s="1"/>
  <c r="W26" i="30"/>
  <c r="W27" i="30" s="1"/>
  <c r="W30" i="30" s="1"/>
  <c r="W21" i="29"/>
  <c r="V21" i="29"/>
  <c r="U21" i="29"/>
  <c r="U26" i="28"/>
  <c r="U27" i="28" s="1"/>
  <c r="U30" i="28" s="1"/>
  <c r="H21" i="28"/>
  <c r="V26" i="28"/>
  <c r="V27" i="28" s="1"/>
  <c r="V30" i="28" s="1"/>
  <c r="W26" i="28"/>
  <c r="W27" i="28" s="1"/>
  <c r="U26" i="27"/>
  <c r="U27" i="27" s="1"/>
  <c r="U30" i="27" s="1"/>
  <c r="U5" i="90" s="1"/>
  <c r="H21" i="27"/>
  <c r="V26" i="27"/>
  <c r="V27" i="27" s="1"/>
  <c r="V30" i="27" s="1"/>
  <c r="V5" i="90" s="1"/>
  <c r="W26" i="27"/>
  <c r="W27" i="27" s="1"/>
  <c r="T52" i="24"/>
  <c r="T53" i="24" s="1"/>
  <c r="U52" i="24"/>
  <c r="U53" i="24" s="1"/>
  <c r="U34" i="24"/>
  <c r="H30" i="24"/>
  <c r="H3" i="85" s="1"/>
  <c r="T9" i="85" l="1"/>
  <c r="T47" i="85" s="1"/>
  <c r="T48" i="85" s="1"/>
  <c r="V8" i="85"/>
  <c r="V8" i="90"/>
  <c r="W5" i="85"/>
  <c r="W7" i="90"/>
  <c r="V5" i="85"/>
  <c r="V7" i="90"/>
  <c r="G4" i="90"/>
  <c r="F4" i="90"/>
  <c r="H31" i="88"/>
  <c r="V7" i="82"/>
  <c r="V9" i="82"/>
  <c r="W11" i="82"/>
  <c r="U52" i="80"/>
  <c r="U53" i="80" s="1"/>
  <c r="U9" i="82"/>
  <c r="W52" i="89"/>
  <c r="W53" i="89" s="1"/>
  <c r="B20" i="89" s="1"/>
  <c r="H30" i="89"/>
  <c r="W21" i="86"/>
  <c r="W26" i="86" s="1"/>
  <c r="W27" i="86" s="1"/>
  <c r="W30" i="86" s="1"/>
  <c r="V21" i="86"/>
  <c r="U21" i="86"/>
  <c r="B20" i="88"/>
  <c r="T52" i="87"/>
  <c r="T53" i="87" s="1"/>
  <c r="U34" i="87"/>
  <c r="U52" i="78"/>
  <c r="U53" i="78" s="1"/>
  <c r="U7" i="82"/>
  <c r="U21" i="32"/>
  <c r="U26" i="32" s="1"/>
  <c r="U27" i="32" s="1"/>
  <c r="U30" i="32" s="1"/>
  <c r="V21" i="32"/>
  <c r="U52" i="30"/>
  <c r="U53" i="30" s="1"/>
  <c r="U5" i="85"/>
  <c r="U52" i="33"/>
  <c r="U53" i="33" s="1"/>
  <c r="U8" i="85"/>
  <c r="H4" i="84"/>
  <c r="H4" i="85"/>
  <c r="T8" i="84"/>
  <c r="T46" i="84" s="1"/>
  <c r="T47" i="84" s="1"/>
  <c r="H3" i="83"/>
  <c r="H3" i="84"/>
  <c r="V5" i="83"/>
  <c r="V6" i="83"/>
  <c r="U21" i="37"/>
  <c r="U26" i="37" s="1"/>
  <c r="U27" i="37" s="1"/>
  <c r="U30" i="37" s="1"/>
  <c r="U15" i="90" s="1"/>
  <c r="U52" i="28"/>
  <c r="U53" i="28" s="1"/>
  <c r="U6" i="83"/>
  <c r="U52" i="27"/>
  <c r="U53" i="27" s="1"/>
  <c r="U5" i="83"/>
  <c r="H31" i="81"/>
  <c r="H4" i="83"/>
  <c r="V21" i="37"/>
  <c r="V26" i="37" s="1"/>
  <c r="V27" i="37" s="1"/>
  <c r="V30" i="37" s="1"/>
  <c r="H31" i="24"/>
  <c r="B20" i="81"/>
  <c r="V21" i="79"/>
  <c r="V26" i="79" s="1"/>
  <c r="V27" i="79" s="1"/>
  <c r="V30" i="79" s="1"/>
  <c r="U21" i="79"/>
  <c r="U26" i="79" s="1"/>
  <c r="U27" i="79" s="1"/>
  <c r="U30" i="79" s="1"/>
  <c r="V52" i="80"/>
  <c r="V53" i="80" s="1"/>
  <c r="H27" i="80"/>
  <c r="W30" i="80"/>
  <c r="W26" i="79"/>
  <c r="W27" i="79" s="1"/>
  <c r="W30" i="79" s="1"/>
  <c r="H27" i="78"/>
  <c r="V52" i="78"/>
  <c r="V53" i="78" s="1"/>
  <c r="W30" i="78"/>
  <c r="U26" i="39"/>
  <c r="U27" i="39" s="1"/>
  <c r="U30" i="39" s="1"/>
  <c r="H21" i="39"/>
  <c r="V26" i="39"/>
  <c r="V27" i="39" s="1"/>
  <c r="V30" i="39" s="1"/>
  <c r="V14" i="90" s="1"/>
  <c r="W26" i="39"/>
  <c r="W27" i="39" s="1"/>
  <c r="W26" i="37"/>
  <c r="W27" i="37" s="1"/>
  <c r="U26" i="36"/>
  <c r="U27" i="36" s="1"/>
  <c r="U30" i="36" s="1"/>
  <c r="H21" i="36"/>
  <c r="V26" i="36"/>
  <c r="V27" i="36" s="1"/>
  <c r="V30" i="36" s="1"/>
  <c r="V6" i="84" s="1"/>
  <c r="W26" i="36"/>
  <c r="W27" i="36" s="1"/>
  <c r="U26" i="35"/>
  <c r="U27" i="35" s="1"/>
  <c r="U30" i="35" s="1"/>
  <c r="H21" i="35"/>
  <c r="V26" i="35"/>
  <c r="V27" i="35" s="1"/>
  <c r="V30" i="35" s="1"/>
  <c r="V5" i="84" s="1"/>
  <c r="W26" i="35"/>
  <c r="W27" i="35" s="1"/>
  <c r="H27" i="33"/>
  <c r="V52" i="33"/>
  <c r="V53" i="33" s="1"/>
  <c r="W30" i="33"/>
  <c r="W26" i="32"/>
  <c r="W27" i="32" s="1"/>
  <c r="U26" i="31"/>
  <c r="U27" i="31" s="1"/>
  <c r="U30" i="31" s="1"/>
  <c r="U11" i="90" s="1"/>
  <c r="H21" i="31"/>
  <c r="V26" i="31"/>
  <c r="V27" i="31" s="1"/>
  <c r="V30" i="31" s="1"/>
  <c r="W26" i="31"/>
  <c r="W27" i="31" s="1"/>
  <c r="W30" i="31" s="1"/>
  <c r="V52" i="30"/>
  <c r="V53" i="30" s="1"/>
  <c r="H27" i="30"/>
  <c r="W52" i="30"/>
  <c r="W53" i="30" s="1"/>
  <c r="H30" i="30"/>
  <c r="H7" i="90" s="1"/>
  <c r="U26" i="29"/>
  <c r="U27" i="29" s="1"/>
  <c r="U30" i="29" s="1"/>
  <c r="U3" i="90" s="1"/>
  <c r="H21" i="29"/>
  <c r="V26" i="29"/>
  <c r="V27" i="29" s="1"/>
  <c r="V30" i="29" s="1"/>
  <c r="V3" i="90" s="1"/>
  <c r="W26" i="29"/>
  <c r="W27" i="29" s="1"/>
  <c r="H27" i="28"/>
  <c r="H27" i="27"/>
  <c r="W30" i="28"/>
  <c r="V52" i="28"/>
  <c r="V53" i="28" s="1"/>
  <c r="W30" i="27"/>
  <c r="W5" i="90" s="1"/>
  <c r="V52" i="27"/>
  <c r="V53" i="27" s="1"/>
  <c r="B20" i="24"/>
  <c r="B10" i="23"/>
  <c r="D10" i="23" s="1"/>
  <c r="B9" i="23"/>
  <c r="T18" i="23" s="1"/>
  <c r="D17" i="23"/>
  <c r="B36" i="23"/>
  <c r="V31" i="23"/>
  <c r="U31" i="23" s="1"/>
  <c r="W31" i="23" s="1"/>
  <c r="AC29" i="23"/>
  <c r="AB29" i="23"/>
  <c r="AA29" i="23"/>
  <c r="Z29" i="23"/>
  <c r="W29" i="23"/>
  <c r="H29" i="23" s="1"/>
  <c r="AC28" i="23"/>
  <c r="AB28" i="23"/>
  <c r="AA28" i="23"/>
  <c r="Z28" i="23"/>
  <c r="AC27" i="23"/>
  <c r="AB27" i="23"/>
  <c r="AA27" i="23"/>
  <c r="Z27" i="23"/>
  <c r="Y22" i="23"/>
  <c r="X22" i="23"/>
  <c r="W21" i="23"/>
  <c r="V21" i="23"/>
  <c r="U21" i="23"/>
  <c r="H20" i="23"/>
  <c r="E19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D16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D15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D14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D13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D12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D11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W9" i="23"/>
  <c r="V9" i="23"/>
  <c r="U9" i="23"/>
  <c r="U24" i="23" s="1"/>
  <c r="T9" i="23"/>
  <c r="S9" i="23"/>
  <c r="R9" i="23"/>
  <c r="Q9" i="23"/>
  <c r="P9" i="23"/>
  <c r="O9" i="23"/>
  <c r="N9" i="23"/>
  <c r="M9" i="23"/>
  <c r="L9" i="23"/>
  <c r="K9" i="23"/>
  <c r="J9" i="23"/>
  <c r="I9" i="23"/>
  <c r="D7" i="23"/>
  <c r="D6" i="23"/>
  <c r="D19" i="23" s="1"/>
  <c r="W3" i="23"/>
  <c r="W4" i="23" s="1"/>
  <c r="W6" i="23" s="1"/>
  <c r="V3" i="23"/>
  <c r="V5" i="23" s="1"/>
  <c r="U3" i="23"/>
  <c r="U4" i="23" s="1"/>
  <c r="U6" i="23" s="1"/>
  <c r="T3" i="23"/>
  <c r="T5" i="23" s="1"/>
  <c r="S3" i="23"/>
  <c r="S4" i="23" s="1"/>
  <c r="S6" i="23" s="1"/>
  <c r="R3" i="23"/>
  <c r="R5" i="23" s="1"/>
  <c r="Q3" i="23"/>
  <c r="Q4" i="23" s="1"/>
  <c r="Q6" i="23" s="1"/>
  <c r="P3" i="23"/>
  <c r="P5" i="23" s="1"/>
  <c r="O3" i="23"/>
  <c r="O4" i="23" s="1"/>
  <c r="O6" i="23" s="1"/>
  <c r="N3" i="23"/>
  <c r="N5" i="23" s="1"/>
  <c r="M3" i="23"/>
  <c r="M4" i="23" s="1"/>
  <c r="M6" i="23" s="1"/>
  <c r="L3" i="23"/>
  <c r="L5" i="23" s="1"/>
  <c r="K3" i="23"/>
  <c r="K4" i="23" s="1"/>
  <c r="K6" i="23" s="1"/>
  <c r="J3" i="23"/>
  <c r="J5" i="23" s="1"/>
  <c r="I3" i="23"/>
  <c r="I4" i="23" s="1"/>
  <c r="I6" i="23" s="1"/>
  <c r="B36" i="22"/>
  <c r="V31" i="22"/>
  <c r="U31" i="22" s="1"/>
  <c r="W31" i="22" s="1"/>
  <c r="AC29" i="22"/>
  <c r="AB29" i="22"/>
  <c r="AA29" i="22"/>
  <c r="Z29" i="22"/>
  <c r="W29" i="22"/>
  <c r="H29" i="22" s="1"/>
  <c r="AC28" i="22"/>
  <c r="AB28" i="22"/>
  <c r="AA28" i="22"/>
  <c r="Z28" i="22"/>
  <c r="AC27" i="22"/>
  <c r="AB27" i="22"/>
  <c r="AA27" i="22"/>
  <c r="Z27" i="22"/>
  <c r="Y22" i="22"/>
  <c r="X22" i="22"/>
  <c r="W21" i="22"/>
  <c r="V21" i="22"/>
  <c r="U21" i="22"/>
  <c r="H20" i="22"/>
  <c r="E19" i="22"/>
  <c r="T18" i="22"/>
  <c r="B18" i="22"/>
  <c r="C18" i="22" s="1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D10" i="22"/>
  <c r="W9" i="22"/>
  <c r="W35" i="22" s="1"/>
  <c r="V9" i="22"/>
  <c r="V24" i="22" s="1"/>
  <c r="U9" i="22"/>
  <c r="U24" i="22" s="1"/>
  <c r="T9" i="22"/>
  <c r="S9" i="22"/>
  <c r="R9" i="22"/>
  <c r="Q9" i="22"/>
  <c r="P9" i="22"/>
  <c r="O9" i="22"/>
  <c r="N9" i="22"/>
  <c r="M9" i="22"/>
  <c r="L9" i="22"/>
  <c r="K9" i="22"/>
  <c r="J9" i="22"/>
  <c r="I9" i="22"/>
  <c r="D9" i="22"/>
  <c r="D18" i="22" s="1"/>
  <c r="E18" i="22" s="1"/>
  <c r="D7" i="22"/>
  <c r="D6" i="22"/>
  <c r="W3" i="22"/>
  <c r="W4" i="22" s="1"/>
  <c r="W6" i="22" s="1"/>
  <c r="V3" i="22"/>
  <c r="V4" i="22" s="1"/>
  <c r="V6" i="22" s="1"/>
  <c r="U3" i="22"/>
  <c r="U4" i="22" s="1"/>
  <c r="U6" i="22" s="1"/>
  <c r="T3" i="22"/>
  <c r="T5" i="22" s="1"/>
  <c r="S3" i="22"/>
  <c r="S4" i="22" s="1"/>
  <c r="S6" i="22" s="1"/>
  <c r="R3" i="22"/>
  <c r="R4" i="22" s="1"/>
  <c r="R6" i="22" s="1"/>
  <c r="Q3" i="22"/>
  <c r="Q4" i="22" s="1"/>
  <c r="Q6" i="22" s="1"/>
  <c r="P3" i="22"/>
  <c r="P5" i="22" s="1"/>
  <c r="O3" i="22"/>
  <c r="O4" i="22" s="1"/>
  <c r="O6" i="22" s="1"/>
  <c r="N3" i="22"/>
  <c r="N4" i="22" s="1"/>
  <c r="N6" i="22" s="1"/>
  <c r="M3" i="22"/>
  <c r="M4" i="22" s="1"/>
  <c r="M6" i="22" s="1"/>
  <c r="L3" i="22"/>
  <c r="L5" i="22" s="1"/>
  <c r="K3" i="22"/>
  <c r="K4" i="22" s="1"/>
  <c r="K6" i="22" s="1"/>
  <c r="J3" i="22"/>
  <c r="J4" i="22" s="1"/>
  <c r="J6" i="22" s="1"/>
  <c r="I3" i="22"/>
  <c r="I4" i="22" s="1"/>
  <c r="I6" i="22" s="1"/>
  <c r="B36" i="21"/>
  <c r="V31" i="21"/>
  <c r="U31" i="21" s="1"/>
  <c r="W31" i="21" s="1"/>
  <c r="AC29" i="21"/>
  <c r="AB29" i="21"/>
  <c r="AA29" i="21"/>
  <c r="Z29" i="21"/>
  <c r="H29" i="21"/>
  <c r="AC28" i="21"/>
  <c r="AB28" i="21"/>
  <c r="AA28" i="21"/>
  <c r="Z28" i="21"/>
  <c r="AC27" i="21"/>
  <c r="AB27" i="21"/>
  <c r="AA27" i="21"/>
  <c r="Z27" i="21"/>
  <c r="H20" i="21"/>
  <c r="B18" i="21"/>
  <c r="C18" i="21" s="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D17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D16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D15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D14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D13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D12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D11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D10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D9" i="21"/>
  <c r="D7" i="21"/>
  <c r="D6" i="21"/>
  <c r="W3" i="21"/>
  <c r="W5" i="21" s="1"/>
  <c r="V3" i="21"/>
  <c r="V4" i="21" s="1"/>
  <c r="V6" i="21" s="1"/>
  <c r="U3" i="21"/>
  <c r="U5" i="21" s="1"/>
  <c r="T3" i="21"/>
  <c r="T4" i="21" s="1"/>
  <c r="T6" i="21" s="1"/>
  <c r="S3" i="21"/>
  <c r="S4" i="21" s="1"/>
  <c r="S6" i="21" s="1"/>
  <c r="R3" i="21"/>
  <c r="R4" i="21" s="1"/>
  <c r="R6" i="21" s="1"/>
  <c r="Q3" i="21"/>
  <c r="Q5" i="21" s="1"/>
  <c r="P3" i="21"/>
  <c r="P4" i="21" s="1"/>
  <c r="P6" i="21" s="1"/>
  <c r="O3" i="21"/>
  <c r="O5" i="21" s="1"/>
  <c r="N3" i="21"/>
  <c r="N4" i="21" s="1"/>
  <c r="N6" i="21" s="1"/>
  <c r="M3" i="21"/>
  <c r="M5" i="21" s="1"/>
  <c r="L3" i="21"/>
  <c r="L4" i="21" s="1"/>
  <c r="L6" i="21" s="1"/>
  <c r="K3" i="21"/>
  <c r="K4" i="21" s="1"/>
  <c r="K6" i="21" s="1"/>
  <c r="J3" i="21"/>
  <c r="J4" i="21" s="1"/>
  <c r="J6" i="21" s="1"/>
  <c r="I3" i="21"/>
  <c r="I5" i="21" s="1"/>
  <c r="B36" i="20"/>
  <c r="V31" i="20"/>
  <c r="U31" i="20" s="1"/>
  <c r="W31" i="20" s="1"/>
  <c r="AC29" i="20"/>
  <c r="AB29" i="20"/>
  <c r="AA29" i="20"/>
  <c r="Z29" i="20"/>
  <c r="W29" i="20"/>
  <c r="H29" i="20" s="1"/>
  <c r="AC28" i="20"/>
  <c r="AB28" i="20"/>
  <c r="AA28" i="20"/>
  <c r="Z28" i="20"/>
  <c r="AC27" i="20"/>
  <c r="AB27" i="20"/>
  <c r="AA27" i="20"/>
  <c r="Z27" i="20"/>
  <c r="Y22" i="20"/>
  <c r="X22" i="20"/>
  <c r="W21" i="20"/>
  <c r="V21" i="20"/>
  <c r="U21" i="20"/>
  <c r="H20" i="20"/>
  <c r="E19" i="20"/>
  <c r="T18" i="20"/>
  <c r="B18" i="20"/>
  <c r="C18" i="20" s="1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D17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D16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D15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D14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D13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D12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D11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D10" i="20"/>
  <c r="W9" i="20"/>
  <c r="W35" i="20" s="1"/>
  <c r="V9" i="20"/>
  <c r="V24" i="20" s="1"/>
  <c r="U9" i="20"/>
  <c r="U24" i="20" s="1"/>
  <c r="T9" i="20"/>
  <c r="S9" i="20"/>
  <c r="R9" i="20"/>
  <c r="Q9" i="20"/>
  <c r="P9" i="20"/>
  <c r="O9" i="20"/>
  <c r="N9" i="20"/>
  <c r="M9" i="20"/>
  <c r="L9" i="20"/>
  <c r="K9" i="20"/>
  <c r="J9" i="20"/>
  <c r="I9" i="20"/>
  <c r="D9" i="20"/>
  <c r="D18" i="20" s="1"/>
  <c r="E18" i="20" s="1"/>
  <c r="D7" i="20"/>
  <c r="D6" i="20"/>
  <c r="W3" i="20"/>
  <c r="W4" i="20" s="1"/>
  <c r="W6" i="20" s="1"/>
  <c r="V3" i="20"/>
  <c r="V5" i="20" s="1"/>
  <c r="U3" i="20"/>
  <c r="U4" i="20" s="1"/>
  <c r="U6" i="20" s="1"/>
  <c r="T3" i="20"/>
  <c r="T5" i="20" s="1"/>
  <c r="S3" i="20"/>
  <c r="S4" i="20" s="1"/>
  <c r="S6" i="20" s="1"/>
  <c r="R3" i="20"/>
  <c r="R5" i="20" s="1"/>
  <c r="Q3" i="20"/>
  <c r="Q4" i="20" s="1"/>
  <c r="Q6" i="20" s="1"/>
  <c r="P3" i="20"/>
  <c r="P5" i="20" s="1"/>
  <c r="O3" i="20"/>
  <c r="O4" i="20" s="1"/>
  <c r="O6" i="20" s="1"/>
  <c r="N3" i="20"/>
  <c r="N5" i="20" s="1"/>
  <c r="M3" i="20"/>
  <c r="M4" i="20" s="1"/>
  <c r="M6" i="20" s="1"/>
  <c r="L3" i="20"/>
  <c r="L5" i="20" s="1"/>
  <c r="K3" i="20"/>
  <c r="K4" i="20" s="1"/>
  <c r="K6" i="20" s="1"/>
  <c r="J3" i="20"/>
  <c r="J5" i="20" s="1"/>
  <c r="I3" i="20"/>
  <c r="I4" i="20" s="1"/>
  <c r="I6" i="20" s="1"/>
  <c r="W3" i="13"/>
  <c r="W5" i="13" s="1"/>
  <c r="V3" i="13"/>
  <c r="V4" i="13" s="1"/>
  <c r="V6" i="13" s="1"/>
  <c r="U3" i="13"/>
  <c r="U5" i="13" s="1"/>
  <c r="T3" i="13"/>
  <c r="T4" i="13" s="1"/>
  <c r="T6" i="13" s="1"/>
  <c r="S3" i="13"/>
  <c r="S5" i="13" s="1"/>
  <c r="R3" i="13"/>
  <c r="R4" i="13" s="1"/>
  <c r="R6" i="13" s="1"/>
  <c r="Q3" i="13"/>
  <c r="Q5" i="13" s="1"/>
  <c r="P3" i="13"/>
  <c r="P4" i="13" s="1"/>
  <c r="P6" i="13" s="1"/>
  <c r="O3" i="13"/>
  <c r="O5" i="13" s="1"/>
  <c r="N3" i="13"/>
  <c r="N4" i="13" s="1"/>
  <c r="N6" i="13" s="1"/>
  <c r="M3" i="13"/>
  <c r="M5" i="13" s="1"/>
  <c r="L3" i="13"/>
  <c r="L4" i="13" s="1"/>
  <c r="L6" i="13" s="1"/>
  <c r="K3" i="13"/>
  <c r="K5" i="13" s="1"/>
  <c r="J3" i="13"/>
  <c r="J4" i="13" s="1"/>
  <c r="J6" i="13" s="1"/>
  <c r="I3" i="13"/>
  <c r="I5" i="13" s="1"/>
  <c r="W3" i="15"/>
  <c r="W4" i="15" s="1"/>
  <c r="W6" i="15" s="1"/>
  <c r="V3" i="15"/>
  <c r="V4" i="15" s="1"/>
  <c r="V6" i="15" s="1"/>
  <c r="U3" i="15"/>
  <c r="U5" i="15" s="1"/>
  <c r="T3" i="15"/>
  <c r="T4" i="15" s="1"/>
  <c r="T6" i="15" s="1"/>
  <c r="S3" i="15"/>
  <c r="S4" i="15" s="1"/>
  <c r="S6" i="15" s="1"/>
  <c r="R3" i="15"/>
  <c r="R4" i="15" s="1"/>
  <c r="R6" i="15" s="1"/>
  <c r="Q3" i="15"/>
  <c r="Q5" i="15" s="1"/>
  <c r="P3" i="15"/>
  <c r="P4" i="15" s="1"/>
  <c r="P6" i="15" s="1"/>
  <c r="O3" i="15"/>
  <c r="O4" i="15" s="1"/>
  <c r="O6" i="15" s="1"/>
  <c r="N3" i="15"/>
  <c r="N5" i="15" s="1"/>
  <c r="M3" i="15"/>
  <c r="M5" i="15" s="1"/>
  <c r="L3" i="15"/>
  <c r="L4" i="15" s="1"/>
  <c r="L6" i="15" s="1"/>
  <c r="K3" i="15"/>
  <c r="K4" i="15" s="1"/>
  <c r="K6" i="15" s="1"/>
  <c r="J3" i="15"/>
  <c r="J4" i="15" s="1"/>
  <c r="J6" i="15" s="1"/>
  <c r="I3" i="15"/>
  <c r="I5" i="15" s="1"/>
  <c r="W3" i="14"/>
  <c r="W5" i="14" s="1"/>
  <c r="V3" i="14"/>
  <c r="V4" i="14" s="1"/>
  <c r="V6" i="14" s="1"/>
  <c r="U3" i="14"/>
  <c r="U5" i="14" s="1"/>
  <c r="T3" i="14"/>
  <c r="T4" i="14" s="1"/>
  <c r="T6" i="14" s="1"/>
  <c r="S3" i="14"/>
  <c r="S5" i="14" s="1"/>
  <c r="R3" i="14"/>
  <c r="R4" i="14" s="1"/>
  <c r="R6" i="14" s="1"/>
  <c r="Q3" i="14"/>
  <c r="Q5" i="14" s="1"/>
  <c r="P3" i="14"/>
  <c r="P4" i="14" s="1"/>
  <c r="P6" i="14" s="1"/>
  <c r="O3" i="14"/>
  <c r="O5" i="14" s="1"/>
  <c r="N3" i="14"/>
  <c r="N4" i="14" s="1"/>
  <c r="N6" i="14" s="1"/>
  <c r="M3" i="14"/>
  <c r="M5" i="14" s="1"/>
  <c r="L3" i="14"/>
  <c r="L4" i="14" s="1"/>
  <c r="L6" i="14" s="1"/>
  <c r="K3" i="14"/>
  <c r="K5" i="14" s="1"/>
  <c r="J3" i="14"/>
  <c r="J4" i="14" s="1"/>
  <c r="J6" i="14" s="1"/>
  <c r="I3" i="14"/>
  <c r="I5" i="14" s="1"/>
  <c r="W3" i="17"/>
  <c r="W5" i="17" s="1"/>
  <c r="V3" i="17"/>
  <c r="V5" i="17" s="1"/>
  <c r="U3" i="17"/>
  <c r="U5" i="17" s="1"/>
  <c r="T3" i="17"/>
  <c r="T4" i="17" s="1"/>
  <c r="T6" i="17" s="1"/>
  <c r="S3" i="17"/>
  <c r="S5" i="17" s="1"/>
  <c r="R3" i="17"/>
  <c r="R5" i="17" s="1"/>
  <c r="Q3" i="17"/>
  <c r="Q5" i="17" s="1"/>
  <c r="P3" i="17"/>
  <c r="P4" i="17" s="1"/>
  <c r="P6" i="17" s="1"/>
  <c r="O3" i="17"/>
  <c r="O5" i="17" s="1"/>
  <c r="N3" i="17"/>
  <c r="N4" i="17" s="1"/>
  <c r="N6" i="17" s="1"/>
  <c r="M3" i="17"/>
  <c r="M5" i="17" s="1"/>
  <c r="L3" i="17"/>
  <c r="L4" i="17" s="1"/>
  <c r="L6" i="17" s="1"/>
  <c r="K3" i="17"/>
  <c r="K4" i="17" s="1"/>
  <c r="K6" i="17" s="1"/>
  <c r="J3" i="17"/>
  <c r="J4" i="17" s="1"/>
  <c r="J6" i="17" s="1"/>
  <c r="I3" i="17"/>
  <c r="I5" i="17" s="1"/>
  <c r="W3" i="16"/>
  <c r="W5" i="16" s="1"/>
  <c r="V3" i="16"/>
  <c r="V4" i="16" s="1"/>
  <c r="V6" i="16" s="1"/>
  <c r="U3" i="16"/>
  <c r="U5" i="16" s="1"/>
  <c r="T3" i="16"/>
  <c r="T4" i="16" s="1"/>
  <c r="T6" i="16" s="1"/>
  <c r="S3" i="16"/>
  <c r="S5" i="16" s="1"/>
  <c r="R3" i="16"/>
  <c r="R4" i="16" s="1"/>
  <c r="R6" i="16" s="1"/>
  <c r="Q3" i="16"/>
  <c r="Q5" i="16" s="1"/>
  <c r="P3" i="16"/>
  <c r="P4" i="16" s="1"/>
  <c r="P6" i="16" s="1"/>
  <c r="O3" i="16"/>
  <c r="O5" i="16" s="1"/>
  <c r="N3" i="16"/>
  <c r="N4" i="16" s="1"/>
  <c r="N6" i="16" s="1"/>
  <c r="M3" i="16"/>
  <c r="M5" i="16" s="1"/>
  <c r="L3" i="16"/>
  <c r="L4" i="16" s="1"/>
  <c r="L6" i="16" s="1"/>
  <c r="K3" i="16"/>
  <c r="K5" i="16" s="1"/>
  <c r="J3" i="16"/>
  <c r="J4" i="16" s="1"/>
  <c r="J6" i="16" s="1"/>
  <c r="I3" i="16"/>
  <c r="I5" i="16" s="1"/>
  <c r="W3" i="19"/>
  <c r="W5" i="19" s="1"/>
  <c r="V3" i="19"/>
  <c r="V4" i="19" s="1"/>
  <c r="V6" i="19" s="1"/>
  <c r="U3" i="19"/>
  <c r="U5" i="19" s="1"/>
  <c r="T3" i="19"/>
  <c r="T4" i="19" s="1"/>
  <c r="T6" i="19" s="1"/>
  <c r="S3" i="19"/>
  <c r="S5" i="19" s="1"/>
  <c r="R3" i="19"/>
  <c r="R4" i="19" s="1"/>
  <c r="R6" i="19" s="1"/>
  <c r="Q3" i="19"/>
  <c r="Q5" i="19" s="1"/>
  <c r="P3" i="19"/>
  <c r="P4" i="19" s="1"/>
  <c r="P6" i="19" s="1"/>
  <c r="O3" i="19"/>
  <c r="O5" i="19" s="1"/>
  <c r="N3" i="19"/>
  <c r="N4" i="19" s="1"/>
  <c r="N6" i="19" s="1"/>
  <c r="M3" i="19"/>
  <c r="M5" i="19" s="1"/>
  <c r="L3" i="19"/>
  <c r="L4" i="19" s="1"/>
  <c r="L6" i="19" s="1"/>
  <c r="K3" i="19"/>
  <c r="K5" i="19" s="1"/>
  <c r="J3" i="19"/>
  <c r="J4" i="19" s="1"/>
  <c r="J6" i="19" s="1"/>
  <c r="I3" i="19"/>
  <c r="I5" i="19" s="1"/>
  <c r="W3" i="3"/>
  <c r="W4" i="3" s="1"/>
  <c r="W6" i="3" s="1"/>
  <c r="V3" i="3"/>
  <c r="V4" i="3" s="1"/>
  <c r="V6" i="3" s="1"/>
  <c r="U3" i="3"/>
  <c r="U5" i="3" s="1"/>
  <c r="T3" i="3"/>
  <c r="T4" i="3" s="1"/>
  <c r="T6" i="3" s="1"/>
  <c r="S3" i="3"/>
  <c r="S4" i="3" s="1"/>
  <c r="S6" i="3" s="1"/>
  <c r="R3" i="3"/>
  <c r="R4" i="3" s="1"/>
  <c r="R6" i="3" s="1"/>
  <c r="Q3" i="3"/>
  <c r="Q5" i="3" s="1"/>
  <c r="P3" i="3"/>
  <c r="P4" i="3" s="1"/>
  <c r="P6" i="3" s="1"/>
  <c r="O3" i="3"/>
  <c r="O4" i="3" s="1"/>
  <c r="O6" i="3" s="1"/>
  <c r="N3" i="3"/>
  <c r="N4" i="3" s="1"/>
  <c r="N6" i="3" s="1"/>
  <c r="M3" i="3"/>
  <c r="M5" i="3" s="1"/>
  <c r="L3" i="3"/>
  <c r="L4" i="3" s="1"/>
  <c r="L6" i="3" s="1"/>
  <c r="K3" i="3"/>
  <c r="K4" i="3" s="1"/>
  <c r="K6" i="3" s="1"/>
  <c r="J3" i="3"/>
  <c r="J4" i="3" s="1"/>
  <c r="J6" i="3" s="1"/>
  <c r="I3" i="3"/>
  <c r="I5" i="3" s="1"/>
  <c r="W3" i="8"/>
  <c r="W5" i="8" s="1"/>
  <c r="V3" i="8"/>
  <c r="V4" i="8" s="1"/>
  <c r="V6" i="8" s="1"/>
  <c r="U3" i="8"/>
  <c r="U5" i="8" s="1"/>
  <c r="T3" i="8"/>
  <c r="T4" i="8" s="1"/>
  <c r="T6" i="8" s="1"/>
  <c r="S3" i="8"/>
  <c r="S5" i="8" s="1"/>
  <c r="R3" i="8"/>
  <c r="R4" i="8" s="1"/>
  <c r="R6" i="8" s="1"/>
  <c r="Q3" i="8"/>
  <c r="Q5" i="8" s="1"/>
  <c r="P3" i="8"/>
  <c r="P4" i="8" s="1"/>
  <c r="P6" i="8" s="1"/>
  <c r="O3" i="8"/>
  <c r="O5" i="8" s="1"/>
  <c r="N3" i="8"/>
  <c r="N4" i="8" s="1"/>
  <c r="N6" i="8" s="1"/>
  <c r="M3" i="8"/>
  <c r="M5" i="8" s="1"/>
  <c r="L3" i="8"/>
  <c r="L4" i="8" s="1"/>
  <c r="L6" i="8" s="1"/>
  <c r="K3" i="8"/>
  <c r="K5" i="8" s="1"/>
  <c r="J3" i="8"/>
  <c r="J4" i="8" s="1"/>
  <c r="J6" i="8" s="1"/>
  <c r="I3" i="8"/>
  <c r="I5" i="8" s="1"/>
  <c r="W3" i="12"/>
  <c r="W4" i="12" s="1"/>
  <c r="W6" i="12" s="1"/>
  <c r="V3" i="12"/>
  <c r="V4" i="12" s="1"/>
  <c r="V6" i="12" s="1"/>
  <c r="U3" i="12"/>
  <c r="U5" i="12" s="1"/>
  <c r="T3" i="12"/>
  <c r="T4" i="12" s="1"/>
  <c r="T6" i="12" s="1"/>
  <c r="S3" i="12"/>
  <c r="S4" i="12" s="1"/>
  <c r="S6" i="12" s="1"/>
  <c r="R3" i="12"/>
  <c r="R4" i="12" s="1"/>
  <c r="R6" i="12" s="1"/>
  <c r="Q3" i="12"/>
  <c r="Q5" i="12" s="1"/>
  <c r="P3" i="12"/>
  <c r="P4" i="12" s="1"/>
  <c r="P6" i="12" s="1"/>
  <c r="O3" i="12"/>
  <c r="O4" i="12" s="1"/>
  <c r="O6" i="12" s="1"/>
  <c r="N3" i="12"/>
  <c r="N4" i="12" s="1"/>
  <c r="N6" i="12" s="1"/>
  <c r="M3" i="12"/>
  <c r="M5" i="12" s="1"/>
  <c r="L3" i="12"/>
  <c r="L4" i="12" s="1"/>
  <c r="L6" i="12" s="1"/>
  <c r="K3" i="12"/>
  <c r="K4" i="12" s="1"/>
  <c r="K6" i="12" s="1"/>
  <c r="J3" i="12"/>
  <c r="J4" i="12" s="1"/>
  <c r="J6" i="12" s="1"/>
  <c r="I3" i="12"/>
  <c r="I5" i="12" s="1"/>
  <c r="Y22" i="5"/>
  <c r="X22" i="5"/>
  <c r="W3" i="5"/>
  <c r="W4" i="5" s="1"/>
  <c r="W6" i="5" s="1"/>
  <c r="V3" i="5"/>
  <c r="V4" i="5" s="1"/>
  <c r="V6" i="5" s="1"/>
  <c r="U3" i="5"/>
  <c r="U5" i="5" s="1"/>
  <c r="T3" i="5"/>
  <c r="T4" i="5" s="1"/>
  <c r="T6" i="5" s="1"/>
  <c r="S3" i="5"/>
  <c r="S4" i="5" s="1"/>
  <c r="S6" i="5" s="1"/>
  <c r="R3" i="5"/>
  <c r="R4" i="5" s="1"/>
  <c r="R6" i="5" s="1"/>
  <c r="Q3" i="5"/>
  <c r="Q5" i="5" s="1"/>
  <c r="P3" i="5"/>
  <c r="P4" i="5" s="1"/>
  <c r="P6" i="5" s="1"/>
  <c r="O3" i="5"/>
  <c r="O4" i="5" s="1"/>
  <c r="O6" i="5" s="1"/>
  <c r="N3" i="5"/>
  <c r="N4" i="5" s="1"/>
  <c r="N6" i="5" s="1"/>
  <c r="M3" i="5"/>
  <c r="M5" i="5" s="1"/>
  <c r="L3" i="5"/>
  <c r="L4" i="5" s="1"/>
  <c r="L6" i="5" s="1"/>
  <c r="K3" i="5"/>
  <c r="K4" i="5" s="1"/>
  <c r="K6" i="5" s="1"/>
  <c r="J3" i="5"/>
  <c r="J4" i="5" s="1"/>
  <c r="J6" i="5" s="1"/>
  <c r="I3" i="5"/>
  <c r="I5" i="5" s="1"/>
  <c r="J3" i="7"/>
  <c r="J4" i="7" s="1"/>
  <c r="J6" i="7" s="1"/>
  <c r="K3" i="7"/>
  <c r="K5" i="7" s="1"/>
  <c r="L3" i="7"/>
  <c r="L5" i="7" s="1"/>
  <c r="M3" i="7"/>
  <c r="M5" i="7" s="1"/>
  <c r="N3" i="7"/>
  <c r="N4" i="7" s="1"/>
  <c r="N6" i="7" s="1"/>
  <c r="O3" i="7"/>
  <c r="O5" i="7" s="1"/>
  <c r="P3" i="7"/>
  <c r="P5" i="7" s="1"/>
  <c r="Q3" i="7"/>
  <c r="Q5" i="7" s="1"/>
  <c r="R3" i="7"/>
  <c r="R4" i="7" s="1"/>
  <c r="R6" i="7" s="1"/>
  <c r="S3" i="7"/>
  <c r="S5" i="7" s="1"/>
  <c r="T3" i="7"/>
  <c r="T5" i="7" s="1"/>
  <c r="U3" i="7"/>
  <c r="U5" i="7" s="1"/>
  <c r="V3" i="7"/>
  <c r="V4" i="7" s="1"/>
  <c r="V6" i="7" s="1"/>
  <c r="W3" i="7"/>
  <c r="W5" i="7" s="1"/>
  <c r="I3" i="7"/>
  <c r="I5" i="7" s="1"/>
  <c r="J9" i="7"/>
  <c r="X10" i="7"/>
  <c r="X11" i="7"/>
  <c r="X12" i="7"/>
  <c r="X13" i="7"/>
  <c r="X14" i="7"/>
  <c r="X15" i="7"/>
  <c r="X16" i="7"/>
  <c r="X17" i="7"/>
  <c r="X9" i="7"/>
  <c r="S4" i="19" l="1"/>
  <c r="S6" i="19" s="1"/>
  <c r="S7" i="19" s="1"/>
  <c r="S22" i="19" s="1"/>
  <c r="W24" i="23"/>
  <c r="S4" i="8"/>
  <c r="S6" i="8" s="1"/>
  <c r="S7" i="8" s="1"/>
  <c r="S22" i="8" s="1"/>
  <c r="H21" i="23"/>
  <c r="W6" i="85"/>
  <c r="W11" i="90"/>
  <c r="V6" i="85"/>
  <c r="V11" i="90"/>
  <c r="G10" i="90"/>
  <c r="F10" i="90"/>
  <c r="U9" i="90"/>
  <c r="U52" i="39"/>
  <c r="U53" i="39" s="1"/>
  <c r="U14" i="90"/>
  <c r="V7" i="84"/>
  <c r="V8" i="84" s="1"/>
  <c r="V15" i="90"/>
  <c r="W8" i="85"/>
  <c r="W8" i="90"/>
  <c r="H31" i="89"/>
  <c r="M4" i="12"/>
  <c r="M6" i="12" s="1"/>
  <c r="M7" i="12" s="1"/>
  <c r="N4" i="15"/>
  <c r="N6" i="15" s="1"/>
  <c r="N7" i="15" s="1"/>
  <c r="N22" i="15" s="1"/>
  <c r="I24" i="20"/>
  <c r="I43" i="82" a="1"/>
  <c r="I43" i="82" s="1"/>
  <c r="I42" i="82" a="1"/>
  <c r="I42" i="82" s="1"/>
  <c r="M24" i="20"/>
  <c r="M43" i="82" a="1"/>
  <c r="M43" i="82" s="1"/>
  <c r="M42" i="82" a="1"/>
  <c r="M42" i="82" s="1"/>
  <c r="Q24" i="20"/>
  <c r="Q43" i="82" a="1"/>
  <c r="Q43" i="82" s="1"/>
  <c r="Q42" i="82" a="1"/>
  <c r="Q42" i="82" s="1"/>
  <c r="L50" i="90" a="1"/>
  <c r="L50" i="90" s="1"/>
  <c r="L49" i="90" a="1"/>
  <c r="L49" i="90" s="1"/>
  <c r="L47" i="82" a="1"/>
  <c r="L47" i="82" s="1"/>
  <c r="L46" i="82" a="1"/>
  <c r="L46" i="82" s="1"/>
  <c r="P50" i="90" a="1"/>
  <c r="P50" i="90" s="1"/>
  <c r="P49" i="90" a="1"/>
  <c r="P49" i="90" s="1"/>
  <c r="P47" i="82" a="1"/>
  <c r="P47" i="82" s="1"/>
  <c r="P46" i="82" a="1"/>
  <c r="P46" i="82" s="1"/>
  <c r="T50" i="90" a="1"/>
  <c r="T50" i="90" s="1"/>
  <c r="T49" i="90" a="1"/>
  <c r="T49" i="90" s="1"/>
  <c r="T47" i="82" a="1"/>
  <c r="T47" i="82" s="1"/>
  <c r="T46" i="82" a="1"/>
  <c r="T46" i="82" s="1"/>
  <c r="I24" i="22"/>
  <c r="M24" i="22"/>
  <c r="Q24" i="22"/>
  <c r="I24" i="23"/>
  <c r="I41" i="82" a="1"/>
  <c r="I41" i="82" s="1"/>
  <c r="I40" i="82" a="1"/>
  <c r="I40" i="82" s="1"/>
  <c r="M24" i="23"/>
  <c r="M41" i="82" a="1"/>
  <c r="M41" i="82" s="1"/>
  <c r="M40" i="82" a="1"/>
  <c r="M40" i="82" s="1"/>
  <c r="Q24" i="23"/>
  <c r="Q41" i="82" a="1"/>
  <c r="Q41" i="82" s="1"/>
  <c r="Q40" i="82" a="1"/>
  <c r="Q40" i="82" s="1"/>
  <c r="U4" i="12"/>
  <c r="U6" i="12" s="1"/>
  <c r="U7" i="12" s="1"/>
  <c r="J5" i="3"/>
  <c r="J7" i="3" s="1"/>
  <c r="J22" i="3" s="1"/>
  <c r="O4" i="16"/>
  <c r="O6" i="16" s="1"/>
  <c r="O7" i="16" s="1"/>
  <c r="O22" i="16" s="1"/>
  <c r="O4" i="17"/>
  <c r="O6" i="17" s="1"/>
  <c r="O7" i="17" s="1"/>
  <c r="O22" i="17" s="1"/>
  <c r="O5" i="15"/>
  <c r="O7" i="15" s="1"/>
  <c r="O22" i="15" s="1"/>
  <c r="P5" i="13"/>
  <c r="P7" i="13" s="1"/>
  <c r="P22" i="13" s="1"/>
  <c r="J24" i="20"/>
  <c r="J43" i="82" a="1"/>
  <c r="J43" i="82" s="1"/>
  <c r="J42" i="82" a="1"/>
  <c r="J42" i="82" s="1"/>
  <c r="N24" i="20"/>
  <c r="N43" i="82" a="1"/>
  <c r="N43" i="82" s="1"/>
  <c r="N42" i="82" a="1"/>
  <c r="N42" i="82" s="1"/>
  <c r="R24" i="20"/>
  <c r="R43" i="82" a="1"/>
  <c r="R43" i="82" s="1"/>
  <c r="R42" i="82" a="1"/>
  <c r="R42" i="82" s="1"/>
  <c r="H21" i="20"/>
  <c r="I50" i="90" a="1"/>
  <c r="I50" i="90" s="1"/>
  <c r="I49" i="90" a="1"/>
  <c r="I49" i="90" s="1"/>
  <c r="I47" i="82" a="1"/>
  <c r="I47" i="82" s="1"/>
  <c r="I46" i="82" a="1"/>
  <c r="I46" i="82" s="1"/>
  <c r="M36" i="21" a="1"/>
  <c r="M36" i="21" s="1"/>
  <c r="M50" i="90" a="1"/>
  <c r="M50" i="90" s="1"/>
  <c r="M49" i="90" a="1"/>
  <c r="M49" i="90" s="1"/>
  <c r="M47" i="82" a="1"/>
  <c r="M47" i="82" s="1"/>
  <c r="M46" i="82" a="1"/>
  <c r="M46" i="82" s="1"/>
  <c r="Q50" i="90" a="1"/>
  <c r="Q50" i="90" s="1"/>
  <c r="Q49" i="90" a="1"/>
  <c r="Q49" i="90" s="1"/>
  <c r="Q47" i="82" a="1"/>
  <c r="Q47" i="82" s="1"/>
  <c r="Q46" i="82" a="1"/>
  <c r="Q46" i="82" s="1"/>
  <c r="J24" i="22"/>
  <c r="N24" i="22"/>
  <c r="R24" i="22"/>
  <c r="J40" i="82" a="1"/>
  <c r="J40" i="82" s="1"/>
  <c r="J41" i="82" a="1"/>
  <c r="J41" i="82" s="1"/>
  <c r="N41" i="82" a="1"/>
  <c r="N41" i="82" s="1"/>
  <c r="N40" i="82" a="1"/>
  <c r="N40" i="82" s="1"/>
  <c r="R41" i="82" a="1"/>
  <c r="R41" i="82" s="1"/>
  <c r="R40" i="82" a="1"/>
  <c r="R40" i="82" s="1"/>
  <c r="K35" i="20"/>
  <c r="K43" i="82" a="1"/>
  <c r="K43" i="82" s="1"/>
  <c r="K42" i="82" a="1"/>
  <c r="K42" i="82" s="1"/>
  <c r="O35" i="20"/>
  <c r="O43" i="82" a="1"/>
  <c r="O43" i="82" s="1"/>
  <c r="O42" i="82" a="1"/>
  <c r="O42" i="82" s="1"/>
  <c r="S35" i="20"/>
  <c r="S43" i="82" a="1"/>
  <c r="S43" i="82" s="1"/>
  <c r="S42" i="82" a="1"/>
  <c r="S42" i="82" s="1"/>
  <c r="J50" i="90" a="1"/>
  <c r="J50" i="90" s="1"/>
  <c r="J49" i="90" a="1"/>
  <c r="J49" i="90" s="1"/>
  <c r="J47" i="82" a="1"/>
  <c r="J47" i="82" s="1"/>
  <c r="J46" i="82" a="1"/>
  <c r="J46" i="82" s="1"/>
  <c r="N50" i="90" a="1"/>
  <c r="N50" i="90" s="1"/>
  <c r="N49" i="90" a="1"/>
  <c r="N49" i="90" s="1"/>
  <c r="N47" i="82" a="1"/>
  <c r="N47" i="82" s="1"/>
  <c r="N46" i="82" a="1"/>
  <c r="N46" i="82" s="1"/>
  <c r="R50" i="90" a="1"/>
  <c r="R50" i="90" s="1"/>
  <c r="R49" i="90" a="1"/>
  <c r="R49" i="90" s="1"/>
  <c r="R47" i="82" a="1"/>
  <c r="R47" i="82" s="1"/>
  <c r="R46" i="82" a="1"/>
  <c r="R46" i="82" s="1"/>
  <c r="K35" i="22"/>
  <c r="O35" i="22"/>
  <c r="S35" i="22"/>
  <c r="K35" i="23"/>
  <c r="K41" i="82" a="1"/>
  <c r="K41" i="82" s="1"/>
  <c r="K40" i="82" a="1"/>
  <c r="K40" i="82" s="1"/>
  <c r="O41" i="82" a="1"/>
  <c r="O41" i="82" s="1"/>
  <c r="O40" i="82" a="1"/>
  <c r="O40" i="82" s="1"/>
  <c r="S41" i="82" a="1"/>
  <c r="S41" i="82" s="1"/>
  <c r="S40" i="82" a="1"/>
  <c r="S40" i="82" s="1"/>
  <c r="L35" i="20"/>
  <c r="L43" i="82" a="1"/>
  <c r="L43" i="82" s="1"/>
  <c r="L42" i="82" a="1"/>
  <c r="L42" i="82" s="1"/>
  <c r="P35" i="20"/>
  <c r="P43" i="82" a="1"/>
  <c r="P43" i="82" s="1"/>
  <c r="P42" i="82" a="1"/>
  <c r="P42" i="82" s="1"/>
  <c r="T35" i="20"/>
  <c r="T43" i="82" a="1"/>
  <c r="T43" i="82" s="1"/>
  <c r="T42" i="82" a="1"/>
  <c r="T42" i="82" s="1"/>
  <c r="K50" i="90" a="1"/>
  <c r="K50" i="90" s="1"/>
  <c r="K49" i="90" a="1"/>
  <c r="K49" i="90" s="1"/>
  <c r="K47" i="82" a="1"/>
  <c r="K47" i="82" s="1"/>
  <c r="K46" i="82" a="1"/>
  <c r="K46" i="82" s="1"/>
  <c r="O50" i="90" a="1"/>
  <c r="O50" i="90" s="1"/>
  <c r="O49" i="90" a="1"/>
  <c r="O49" i="90" s="1"/>
  <c r="O47" i="82" a="1"/>
  <c r="O47" i="82" s="1"/>
  <c r="O46" i="82" a="1"/>
  <c r="O46" i="82" s="1"/>
  <c r="S50" i="90" a="1"/>
  <c r="S50" i="90" s="1"/>
  <c r="S49" i="90" a="1"/>
  <c r="S49" i="90" s="1"/>
  <c r="S47" i="82" a="1"/>
  <c r="S47" i="82" s="1"/>
  <c r="S46" i="82" a="1"/>
  <c r="S46" i="82" s="1"/>
  <c r="L35" i="22"/>
  <c r="P35" i="22"/>
  <c r="T35" i="22"/>
  <c r="L35" i="23"/>
  <c r="L41" i="82" a="1"/>
  <c r="L41" i="82" s="1"/>
  <c r="L40" i="82" a="1"/>
  <c r="L40" i="82" s="1"/>
  <c r="P35" i="23"/>
  <c r="P41" i="82" a="1"/>
  <c r="P41" i="82" s="1"/>
  <c r="P40" i="82" a="1"/>
  <c r="P40" i="82" s="1"/>
  <c r="T35" i="23"/>
  <c r="T41" i="82" a="1"/>
  <c r="T41" i="82" s="1"/>
  <c r="T40" i="82" a="1"/>
  <c r="T40" i="82" s="1"/>
  <c r="W7" i="82"/>
  <c r="W9" i="82"/>
  <c r="V8" i="82"/>
  <c r="W8" i="82"/>
  <c r="W10" i="82"/>
  <c r="I45" i="82" a="1"/>
  <c r="I45" i="82" s="1"/>
  <c r="I44" i="82" a="1"/>
  <c r="I44" i="82" s="1"/>
  <c r="M45" i="82" a="1"/>
  <c r="M45" i="82" s="1"/>
  <c r="M44" i="82" a="1"/>
  <c r="M44" i="82" s="1"/>
  <c r="Q45" i="82" a="1"/>
  <c r="Q45" i="82" s="1"/>
  <c r="Q44" i="82" a="1"/>
  <c r="Q44" i="82" s="1"/>
  <c r="J45" i="82" a="1"/>
  <c r="J45" i="82" s="1"/>
  <c r="J44" i="82" a="1"/>
  <c r="J44" i="82" s="1"/>
  <c r="N45" i="82" a="1"/>
  <c r="N45" i="82" s="1"/>
  <c r="N44" i="82" a="1"/>
  <c r="N44" i="82" s="1"/>
  <c r="R45" i="82" a="1"/>
  <c r="R45" i="82" s="1"/>
  <c r="R44" i="82" a="1"/>
  <c r="R44" i="82" s="1"/>
  <c r="K45" i="82" a="1"/>
  <c r="K45" i="82" s="1"/>
  <c r="K44" i="82" a="1"/>
  <c r="K44" i="82" s="1"/>
  <c r="O45" i="82" a="1"/>
  <c r="O45" i="82" s="1"/>
  <c r="O44" i="82" a="1"/>
  <c r="O44" i="82" s="1"/>
  <c r="S45" i="82" a="1"/>
  <c r="S45" i="82" s="1"/>
  <c r="S44" i="82" a="1"/>
  <c r="S44" i="82" s="1"/>
  <c r="L45" i="82" a="1"/>
  <c r="L45" i="82" s="1"/>
  <c r="L44" i="82" a="1"/>
  <c r="L44" i="82" s="1"/>
  <c r="P44" i="82" a="1"/>
  <c r="P44" i="82" s="1"/>
  <c r="P45" i="82" a="1"/>
  <c r="P45" i="82" s="1"/>
  <c r="T45" i="82" a="1"/>
  <c r="T45" i="82" s="1"/>
  <c r="T44" i="82" a="1"/>
  <c r="T44" i="82" s="1"/>
  <c r="U52" i="79"/>
  <c r="U53" i="79" s="1"/>
  <c r="U8" i="82"/>
  <c r="U21" i="87"/>
  <c r="W21" i="87"/>
  <c r="V21" i="87"/>
  <c r="V26" i="87" s="1"/>
  <c r="V27" i="87" s="1"/>
  <c r="V30" i="87" s="1"/>
  <c r="V26" i="86"/>
  <c r="V27" i="86" s="1"/>
  <c r="V30" i="86" s="1"/>
  <c r="H21" i="86"/>
  <c r="U26" i="86"/>
  <c r="U27" i="86" s="1"/>
  <c r="H21" i="32"/>
  <c r="V26" i="32"/>
  <c r="V27" i="32" s="1"/>
  <c r="V30" i="32" s="1"/>
  <c r="U52" i="32"/>
  <c r="U53" i="32" s="1"/>
  <c r="U7" i="85"/>
  <c r="U52" i="31"/>
  <c r="U53" i="31" s="1"/>
  <c r="U6" i="85"/>
  <c r="H31" i="30"/>
  <c r="H5" i="85"/>
  <c r="F3" i="85"/>
  <c r="G3" i="85"/>
  <c r="G4" i="85"/>
  <c r="F4" i="85"/>
  <c r="U52" i="37"/>
  <c r="U53" i="37" s="1"/>
  <c r="U7" i="84"/>
  <c r="U52" i="36"/>
  <c r="U53" i="36" s="1"/>
  <c r="U6" i="84"/>
  <c r="U52" i="35"/>
  <c r="U53" i="35" s="1"/>
  <c r="U5" i="84"/>
  <c r="W5" i="83"/>
  <c r="G3" i="84"/>
  <c r="F3" i="84"/>
  <c r="W6" i="83"/>
  <c r="V7" i="83"/>
  <c r="G4" i="84"/>
  <c r="F4" i="84"/>
  <c r="H21" i="37"/>
  <c r="U52" i="29"/>
  <c r="U53" i="29" s="1"/>
  <c r="U7" i="83"/>
  <c r="F4" i="83"/>
  <c r="G4" i="83"/>
  <c r="F3" i="83"/>
  <c r="G3" i="83"/>
  <c r="H21" i="79"/>
  <c r="W52" i="80"/>
  <c r="W53" i="80" s="1"/>
  <c r="B20" i="80" s="1"/>
  <c r="H30" i="80"/>
  <c r="V52" i="79"/>
  <c r="V53" i="79" s="1"/>
  <c r="Q4" i="12"/>
  <c r="Q6" i="12" s="1"/>
  <c r="Q7" i="12" s="1"/>
  <c r="W4" i="8"/>
  <c r="W6" i="8" s="1"/>
  <c r="W7" i="8" s="1"/>
  <c r="W22" i="8" s="1"/>
  <c r="N5" i="3"/>
  <c r="N7" i="3" s="1"/>
  <c r="N22" i="3" s="1"/>
  <c r="U4" i="19"/>
  <c r="U6" i="19" s="1"/>
  <c r="U7" i="19" s="1"/>
  <c r="U22" i="19" s="1"/>
  <c r="Q4" i="16"/>
  <c r="Q6" i="16" s="1"/>
  <c r="Q7" i="16" s="1"/>
  <c r="Q22" i="16" s="1"/>
  <c r="Q4" i="17"/>
  <c r="Q6" i="17" s="1"/>
  <c r="Q7" i="17" s="1"/>
  <c r="Q22" i="17" s="1"/>
  <c r="Q4" i="15"/>
  <c r="Q6" i="15" s="1"/>
  <c r="Q7" i="15" s="1"/>
  <c r="Q22" i="15" s="1"/>
  <c r="R5" i="15"/>
  <c r="R7" i="15" s="1"/>
  <c r="R22" i="15" s="1"/>
  <c r="L5" i="8"/>
  <c r="L7" i="8" s="1"/>
  <c r="L22" i="8" s="1"/>
  <c r="R5" i="3"/>
  <c r="R7" i="3" s="1"/>
  <c r="R22" i="3" s="1"/>
  <c r="W4" i="19"/>
  <c r="W6" i="19" s="1"/>
  <c r="W7" i="19" s="1"/>
  <c r="W22" i="19" s="1"/>
  <c r="S4" i="16"/>
  <c r="S6" i="16" s="1"/>
  <c r="S7" i="16" s="1"/>
  <c r="S22" i="16" s="1"/>
  <c r="S4" i="17"/>
  <c r="S6" i="17" s="1"/>
  <c r="S7" i="17" s="1"/>
  <c r="S22" i="17" s="1"/>
  <c r="S5" i="15"/>
  <c r="S7" i="15" s="1"/>
  <c r="S22" i="15" s="1"/>
  <c r="T5" i="13"/>
  <c r="T7" i="13" s="1"/>
  <c r="T22" i="13" s="1"/>
  <c r="N4" i="20"/>
  <c r="N6" i="20" s="1"/>
  <c r="N7" i="20" s="1"/>
  <c r="N22" i="20" s="1"/>
  <c r="L5" i="13"/>
  <c r="L7" i="13" s="1"/>
  <c r="L22" i="13" s="1"/>
  <c r="J5" i="12"/>
  <c r="J7" i="12" s="1"/>
  <c r="P5" i="8"/>
  <c r="P7" i="8" s="1"/>
  <c r="P22" i="8" s="1"/>
  <c r="V5" i="3"/>
  <c r="V7" i="3" s="1"/>
  <c r="V22" i="3" s="1"/>
  <c r="I4" i="19"/>
  <c r="I6" i="19" s="1"/>
  <c r="I7" i="19" s="1"/>
  <c r="I22" i="19" s="1"/>
  <c r="L5" i="19"/>
  <c r="L7" i="19" s="1"/>
  <c r="L22" i="19" s="1"/>
  <c r="U4" i="16"/>
  <c r="U6" i="16" s="1"/>
  <c r="U7" i="16" s="1"/>
  <c r="U22" i="16" s="1"/>
  <c r="K5" i="17"/>
  <c r="K7" i="17" s="1"/>
  <c r="K22" i="17" s="1"/>
  <c r="U4" i="15"/>
  <c r="U6" i="15" s="1"/>
  <c r="U7" i="15" s="1"/>
  <c r="U22" i="15" s="1"/>
  <c r="V5" i="15"/>
  <c r="V7" i="15" s="1"/>
  <c r="V22" i="15" s="1"/>
  <c r="V4" i="20"/>
  <c r="V6" i="20" s="1"/>
  <c r="V7" i="20" s="1"/>
  <c r="V22" i="20" s="1"/>
  <c r="N5" i="12"/>
  <c r="N7" i="12" s="1"/>
  <c r="T5" i="8"/>
  <c r="T7" i="8" s="1"/>
  <c r="T22" i="8" s="1"/>
  <c r="I4" i="3"/>
  <c r="I6" i="3" s="1"/>
  <c r="I7" i="3" s="1"/>
  <c r="I22" i="3" s="1"/>
  <c r="K4" i="19"/>
  <c r="K6" i="19" s="1"/>
  <c r="K7" i="19" s="1"/>
  <c r="K22" i="19" s="1"/>
  <c r="P5" i="19"/>
  <c r="P7" i="19" s="1"/>
  <c r="P22" i="19" s="1"/>
  <c r="W4" i="16"/>
  <c r="W6" i="16" s="1"/>
  <c r="W7" i="16" s="1"/>
  <c r="W22" i="16" s="1"/>
  <c r="K4" i="14"/>
  <c r="K6" i="14" s="1"/>
  <c r="K7" i="14" s="1"/>
  <c r="K22" i="14" s="1"/>
  <c r="W5" i="15"/>
  <c r="W7" i="15" s="1"/>
  <c r="W22" i="15" s="1"/>
  <c r="K4" i="13"/>
  <c r="K6" i="13" s="1"/>
  <c r="K7" i="13" s="1"/>
  <c r="K22" i="13" s="1"/>
  <c r="R5" i="12"/>
  <c r="R7" i="12" s="1"/>
  <c r="M4" i="3"/>
  <c r="M6" i="3" s="1"/>
  <c r="M7" i="3" s="1"/>
  <c r="M22" i="3" s="1"/>
  <c r="M4" i="19"/>
  <c r="M6" i="19" s="1"/>
  <c r="M7" i="19" s="1"/>
  <c r="M22" i="19" s="1"/>
  <c r="T5" i="19"/>
  <c r="T7" i="19" s="1"/>
  <c r="T22" i="19" s="1"/>
  <c r="I4" i="16"/>
  <c r="I6" i="16" s="1"/>
  <c r="I7" i="16" s="1"/>
  <c r="I22" i="16" s="1"/>
  <c r="L5" i="16"/>
  <c r="L7" i="16" s="1"/>
  <c r="L22" i="16" s="1"/>
  <c r="S4" i="14"/>
  <c r="S6" i="14" s="1"/>
  <c r="S7" i="14" s="1"/>
  <c r="S22" i="14" s="1"/>
  <c r="I4" i="15"/>
  <c r="I6" i="15" s="1"/>
  <c r="I7" i="15" s="1"/>
  <c r="I22" i="15" s="1"/>
  <c r="J5" i="15"/>
  <c r="J7" i="15" s="1"/>
  <c r="J22" i="15" s="1"/>
  <c r="O4" i="13"/>
  <c r="O6" i="13" s="1"/>
  <c r="O7" i="13" s="1"/>
  <c r="O22" i="13" s="1"/>
  <c r="Q8" i="21" a="1"/>
  <c r="Q8" i="21" s="1"/>
  <c r="V5" i="12"/>
  <c r="V7" i="12" s="1"/>
  <c r="K4" i="8"/>
  <c r="K6" i="8" s="1"/>
  <c r="K7" i="8" s="1"/>
  <c r="K22" i="8" s="1"/>
  <c r="Q4" i="3"/>
  <c r="Q6" i="3" s="1"/>
  <c r="Q7" i="3" s="1"/>
  <c r="Q22" i="3" s="1"/>
  <c r="O4" i="19"/>
  <c r="O6" i="19" s="1"/>
  <c r="O7" i="19" s="1"/>
  <c r="O22" i="19" s="1"/>
  <c r="K4" i="16"/>
  <c r="K6" i="16" s="1"/>
  <c r="K7" i="16" s="1"/>
  <c r="K22" i="16" s="1"/>
  <c r="P5" i="16"/>
  <c r="P7" i="16" s="1"/>
  <c r="P22" i="16" s="1"/>
  <c r="K5" i="15"/>
  <c r="K7" i="15" s="1"/>
  <c r="K22" i="15" s="1"/>
  <c r="S4" i="13"/>
  <c r="S6" i="13" s="1"/>
  <c r="S7" i="13" s="1"/>
  <c r="S22" i="13" s="1"/>
  <c r="W8" i="21" a="1"/>
  <c r="W8" i="21" s="1"/>
  <c r="I4" i="12"/>
  <c r="I6" i="12" s="1"/>
  <c r="I7" i="12" s="1"/>
  <c r="O4" i="8"/>
  <c r="O6" i="8" s="1"/>
  <c r="O7" i="8" s="1"/>
  <c r="O22" i="8" s="1"/>
  <c r="U4" i="3"/>
  <c r="U6" i="3" s="1"/>
  <c r="U7" i="3" s="1"/>
  <c r="U22" i="3" s="1"/>
  <c r="Q4" i="19"/>
  <c r="Q6" i="19" s="1"/>
  <c r="Q7" i="19" s="1"/>
  <c r="Q22" i="19" s="1"/>
  <c r="M4" i="16"/>
  <c r="M6" i="16" s="1"/>
  <c r="M7" i="16" s="1"/>
  <c r="M22" i="16" s="1"/>
  <c r="T5" i="16"/>
  <c r="T7" i="16" s="1"/>
  <c r="T22" i="16" s="1"/>
  <c r="M4" i="15"/>
  <c r="M6" i="15" s="1"/>
  <c r="M7" i="15" s="1"/>
  <c r="M22" i="15" s="1"/>
  <c r="W4" i="13"/>
  <c r="W6" i="13" s="1"/>
  <c r="W7" i="13" s="1"/>
  <c r="W22" i="13" s="1"/>
  <c r="H27" i="79"/>
  <c r="W52" i="79"/>
  <c r="W53" i="79" s="1"/>
  <c r="H30" i="79"/>
  <c r="W52" i="78"/>
  <c r="W53" i="78" s="1"/>
  <c r="B20" i="78" s="1"/>
  <c r="H30" i="78"/>
  <c r="H27" i="39"/>
  <c r="W30" i="39"/>
  <c r="W14" i="90" s="1"/>
  <c r="V52" i="39"/>
  <c r="V53" i="39" s="1"/>
  <c r="V52" i="37"/>
  <c r="V53" i="37" s="1"/>
  <c r="H27" i="37"/>
  <c r="W30" i="37"/>
  <c r="H27" i="36"/>
  <c r="V52" i="36"/>
  <c r="V53" i="36" s="1"/>
  <c r="W30" i="36"/>
  <c r="W6" i="84" s="1"/>
  <c r="H27" i="35"/>
  <c r="V52" i="35"/>
  <c r="V53" i="35" s="1"/>
  <c r="W30" i="35"/>
  <c r="W5" i="84" s="1"/>
  <c r="W52" i="33"/>
  <c r="W53" i="33" s="1"/>
  <c r="B20" i="33" s="1"/>
  <c r="H30" i="33"/>
  <c r="H8" i="90" s="1"/>
  <c r="W30" i="32"/>
  <c r="V52" i="31"/>
  <c r="V53" i="31" s="1"/>
  <c r="H27" i="31"/>
  <c r="W52" i="31"/>
  <c r="W53" i="31" s="1"/>
  <c r="H30" i="31"/>
  <c r="H11" i="90" s="1"/>
  <c r="B20" i="30"/>
  <c r="V52" i="29"/>
  <c r="V53" i="29" s="1"/>
  <c r="H27" i="29"/>
  <c r="W30" i="29"/>
  <c r="W3" i="90" s="1"/>
  <c r="W52" i="28"/>
  <c r="W53" i="28" s="1"/>
  <c r="B20" i="28" s="1"/>
  <c r="H30" i="28"/>
  <c r="W52" i="27"/>
  <c r="W53" i="27" s="1"/>
  <c r="B20" i="27" s="1"/>
  <c r="H30" i="27"/>
  <c r="H5" i="90" s="1"/>
  <c r="N5" i="17"/>
  <c r="N7" i="17" s="1"/>
  <c r="N22" i="17" s="1"/>
  <c r="M4" i="17"/>
  <c r="M6" i="17" s="1"/>
  <c r="M7" i="17" s="1"/>
  <c r="M22" i="17" s="1"/>
  <c r="R4" i="17"/>
  <c r="R6" i="17" s="1"/>
  <c r="R7" i="17" s="1"/>
  <c r="R22" i="17" s="1"/>
  <c r="W4" i="17"/>
  <c r="W6" i="17" s="1"/>
  <c r="W7" i="17" s="1"/>
  <c r="W22" i="17" s="1"/>
  <c r="V4" i="17"/>
  <c r="V6" i="17" s="1"/>
  <c r="V7" i="17" s="1"/>
  <c r="V22" i="17" s="1"/>
  <c r="I4" i="17"/>
  <c r="I6" i="17" s="1"/>
  <c r="I7" i="17" s="1"/>
  <c r="I22" i="17" s="1"/>
  <c r="J5" i="17"/>
  <c r="J7" i="17" s="1"/>
  <c r="J22" i="17" s="1"/>
  <c r="U4" i="17"/>
  <c r="U6" i="17" s="1"/>
  <c r="U7" i="17" s="1"/>
  <c r="U22" i="17" s="1"/>
  <c r="M4" i="14"/>
  <c r="M6" i="14" s="1"/>
  <c r="M7" i="14" s="1"/>
  <c r="M22" i="14" s="1"/>
  <c r="U4" i="14"/>
  <c r="U6" i="14" s="1"/>
  <c r="U7" i="14" s="1"/>
  <c r="U22" i="14" s="1"/>
  <c r="R5" i="14"/>
  <c r="R7" i="14" s="1"/>
  <c r="R22" i="14" s="1"/>
  <c r="O4" i="14"/>
  <c r="O6" i="14" s="1"/>
  <c r="O7" i="14" s="1"/>
  <c r="O22" i="14" s="1"/>
  <c r="W4" i="14"/>
  <c r="W6" i="14" s="1"/>
  <c r="W7" i="14" s="1"/>
  <c r="W22" i="14" s="1"/>
  <c r="V5" i="14"/>
  <c r="V7" i="14" s="1"/>
  <c r="V22" i="14" s="1"/>
  <c r="I4" i="14"/>
  <c r="I6" i="14" s="1"/>
  <c r="I7" i="14" s="1"/>
  <c r="I22" i="14" s="1"/>
  <c r="Q4" i="14"/>
  <c r="Q6" i="14" s="1"/>
  <c r="Q7" i="14" s="1"/>
  <c r="Q22" i="14" s="1"/>
  <c r="J5" i="14"/>
  <c r="J7" i="14" s="1"/>
  <c r="J22" i="14" s="1"/>
  <c r="N5" i="14"/>
  <c r="N7" i="14" s="1"/>
  <c r="N22" i="14" s="1"/>
  <c r="L4" i="23"/>
  <c r="L6" i="23" s="1"/>
  <c r="L7" i="23" s="1"/>
  <c r="L22" i="23" s="1"/>
  <c r="T4" i="23"/>
  <c r="T6" i="23" s="1"/>
  <c r="T7" i="23" s="1"/>
  <c r="T22" i="23" s="1"/>
  <c r="K24" i="23"/>
  <c r="K25" i="23" s="1" a="1"/>
  <c r="K25" i="23" s="1"/>
  <c r="K31" i="23" s="1"/>
  <c r="Q5" i="23"/>
  <c r="Q7" i="23" s="1"/>
  <c r="Q22" i="23" s="1"/>
  <c r="N4" i="23"/>
  <c r="N6" i="23" s="1"/>
  <c r="N7" i="23" s="1"/>
  <c r="N22" i="23" s="1"/>
  <c r="V4" i="23"/>
  <c r="V6" i="23" s="1"/>
  <c r="V7" i="23" s="1"/>
  <c r="V22" i="23" s="1"/>
  <c r="U5" i="23"/>
  <c r="U7" i="23" s="1"/>
  <c r="U22" i="23" s="1"/>
  <c r="J24" i="23"/>
  <c r="N24" i="23"/>
  <c r="R24" i="23"/>
  <c r="V24" i="23"/>
  <c r="U28" i="23" s="1"/>
  <c r="P4" i="23"/>
  <c r="P6" i="23" s="1"/>
  <c r="P7" i="23" s="1"/>
  <c r="P22" i="23" s="1"/>
  <c r="I5" i="23"/>
  <c r="I7" i="23" s="1"/>
  <c r="I22" i="23" s="1"/>
  <c r="O35" i="23"/>
  <c r="S35" i="23"/>
  <c r="W35" i="23"/>
  <c r="W25" i="23" s="1" a="1"/>
  <c r="W25" i="23" s="1"/>
  <c r="O24" i="23"/>
  <c r="J4" i="23"/>
  <c r="J6" i="23" s="1"/>
  <c r="J7" i="23" s="1"/>
  <c r="J22" i="23" s="1"/>
  <c r="R4" i="23"/>
  <c r="R6" i="23" s="1"/>
  <c r="R7" i="23" s="1"/>
  <c r="R22" i="23" s="1"/>
  <c r="M5" i="23"/>
  <c r="M7" i="23" s="1"/>
  <c r="M22" i="23" s="1"/>
  <c r="S24" i="23"/>
  <c r="B18" i="23"/>
  <c r="C18" i="23" s="1"/>
  <c r="D9" i="23"/>
  <c r="D18" i="23" s="1"/>
  <c r="E18" i="23" s="1"/>
  <c r="U26" i="23"/>
  <c r="V28" i="23"/>
  <c r="W26" i="23" s="1"/>
  <c r="I35" i="23"/>
  <c r="M35" i="23"/>
  <c r="M25" i="23" s="1" a="1"/>
  <c r="M25" i="23" s="1"/>
  <c r="Q35" i="23"/>
  <c r="U35" i="23"/>
  <c r="U25" i="23" s="1" a="1"/>
  <c r="U25" i="23" s="1"/>
  <c r="I36" i="23" a="1"/>
  <c r="I36" i="23" s="1"/>
  <c r="K36" i="23" a="1"/>
  <c r="K36" i="23" s="1"/>
  <c r="M36" i="23" a="1"/>
  <c r="M36" i="23" s="1"/>
  <c r="O36" i="23" a="1"/>
  <c r="O36" i="23" s="1"/>
  <c r="Q36" i="23" a="1"/>
  <c r="Q36" i="23" s="1"/>
  <c r="S36" i="23" a="1"/>
  <c r="S36" i="23" s="1"/>
  <c r="U36" i="23" a="1"/>
  <c r="U36" i="23" s="1"/>
  <c r="W36" i="23" a="1"/>
  <c r="W36" i="23" s="1"/>
  <c r="L24" i="23"/>
  <c r="P24" i="23"/>
  <c r="T24" i="23"/>
  <c r="J35" i="23"/>
  <c r="N35" i="23"/>
  <c r="R35" i="23"/>
  <c r="V35" i="23"/>
  <c r="K5" i="23"/>
  <c r="K7" i="23" s="1"/>
  <c r="K22" i="23" s="1"/>
  <c r="O5" i="23"/>
  <c r="O7" i="23" s="1"/>
  <c r="O22" i="23" s="1"/>
  <c r="S5" i="23"/>
  <c r="S7" i="23" s="1"/>
  <c r="S22" i="23" s="1"/>
  <c r="W5" i="23"/>
  <c r="W7" i="23" s="1"/>
  <c r="W22" i="23" s="1"/>
  <c r="J36" i="23" a="1"/>
  <c r="J36" i="23" s="1"/>
  <c r="L36" i="23" a="1"/>
  <c r="L36" i="23" s="1"/>
  <c r="N36" i="23" a="1"/>
  <c r="N36" i="23" s="1"/>
  <c r="P36" i="23" a="1"/>
  <c r="P36" i="23" s="1"/>
  <c r="R36" i="23" a="1"/>
  <c r="R36" i="23" s="1"/>
  <c r="T36" i="23" a="1"/>
  <c r="T36" i="23" s="1"/>
  <c r="V36" i="23" a="1"/>
  <c r="V36" i="23" s="1"/>
  <c r="I36" i="21" a="1"/>
  <c r="I36" i="21" s="1"/>
  <c r="Q36" i="21" a="1"/>
  <c r="Q36" i="21" s="1"/>
  <c r="U36" i="21" a="1"/>
  <c r="U36" i="21" s="1"/>
  <c r="P24" i="21"/>
  <c r="P5" i="21"/>
  <c r="P7" i="21" s="1"/>
  <c r="P22" i="21" s="1"/>
  <c r="K35" i="21"/>
  <c r="O35" i="21"/>
  <c r="S35" i="21"/>
  <c r="W35" i="21"/>
  <c r="L35" i="21"/>
  <c r="P35" i="21"/>
  <c r="T35" i="21"/>
  <c r="I4" i="21"/>
  <c r="I6" i="21" s="1"/>
  <c r="I7" i="21" s="1"/>
  <c r="I22" i="21" s="1"/>
  <c r="Q4" i="21"/>
  <c r="Q6" i="21" s="1"/>
  <c r="Q7" i="21" s="1"/>
  <c r="Q22" i="21" s="1"/>
  <c r="J36" i="21" a="1"/>
  <c r="J36" i="21" s="1"/>
  <c r="N36" i="21" a="1"/>
  <c r="N36" i="21" s="1"/>
  <c r="R36" i="21" a="1"/>
  <c r="R36" i="21" s="1"/>
  <c r="V36" i="21" a="1"/>
  <c r="V36" i="21" s="1"/>
  <c r="O4" i="21"/>
  <c r="O6" i="21" s="1"/>
  <c r="O7" i="21" s="1"/>
  <c r="O22" i="21" s="1"/>
  <c r="W4" i="21"/>
  <c r="W6" i="21" s="1"/>
  <c r="W7" i="21" s="1"/>
  <c r="W22" i="21" s="1"/>
  <c r="K5" i="21"/>
  <c r="K7" i="21" s="1"/>
  <c r="K22" i="21" s="1"/>
  <c r="S5" i="21"/>
  <c r="S7" i="21" s="1"/>
  <c r="S22" i="21" s="1"/>
  <c r="U8" i="21" a="1"/>
  <c r="U8" i="21" s="1"/>
  <c r="K8" i="21" a="1"/>
  <c r="K8" i="21" s="1"/>
  <c r="O8" i="21" a="1"/>
  <c r="O8" i="21" s="1"/>
  <c r="S8" i="21" a="1"/>
  <c r="S8" i="21" s="1"/>
  <c r="T24" i="21"/>
  <c r="L5" i="21"/>
  <c r="L7" i="21" s="1"/>
  <c r="L22" i="21" s="1"/>
  <c r="T5" i="21"/>
  <c r="T7" i="21" s="1"/>
  <c r="I8" i="21" a="1"/>
  <c r="I8" i="21" s="1"/>
  <c r="M4" i="21"/>
  <c r="M6" i="21" s="1"/>
  <c r="M7" i="21" s="1"/>
  <c r="M22" i="21" s="1"/>
  <c r="U4" i="21"/>
  <c r="U6" i="21" s="1"/>
  <c r="U7" i="21" s="1"/>
  <c r="U22" i="21" s="1"/>
  <c r="M8" i="21" a="1"/>
  <c r="M8" i="21" s="1"/>
  <c r="L24" i="21"/>
  <c r="L25" i="21" s="1" a="1"/>
  <c r="L25" i="21" s="1"/>
  <c r="D18" i="21"/>
  <c r="U26" i="22"/>
  <c r="U28" i="22"/>
  <c r="V26" i="22" s="1"/>
  <c r="L4" i="22"/>
  <c r="L6" i="22" s="1"/>
  <c r="L7" i="22" s="1"/>
  <c r="L22" i="22" s="1"/>
  <c r="P4" i="22"/>
  <c r="P6" i="22" s="1"/>
  <c r="P7" i="22" s="1"/>
  <c r="P22" i="22" s="1"/>
  <c r="T4" i="22"/>
  <c r="T6" i="22" s="1"/>
  <c r="T7" i="22" s="1"/>
  <c r="T22" i="22" s="1"/>
  <c r="I5" i="22"/>
  <c r="I7" i="22" s="1"/>
  <c r="I22" i="22" s="1"/>
  <c r="I26" i="22" s="1"/>
  <c r="M5" i="22"/>
  <c r="M7" i="22" s="1"/>
  <c r="M22" i="22" s="1"/>
  <c r="Q5" i="22"/>
  <c r="Q7" i="22" s="1"/>
  <c r="Q22" i="22" s="1"/>
  <c r="U5" i="22"/>
  <c r="U7" i="22" s="1"/>
  <c r="U22" i="22" s="1"/>
  <c r="D19" i="22"/>
  <c r="H21" i="22"/>
  <c r="K24" i="22"/>
  <c r="O24" i="22"/>
  <c r="S24" i="22"/>
  <c r="W24" i="22"/>
  <c r="I35" i="22"/>
  <c r="M35" i="22"/>
  <c r="M25" i="22" s="1" a="1"/>
  <c r="M25" i="22" s="1"/>
  <c r="Q35" i="22"/>
  <c r="U35" i="22"/>
  <c r="U25" i="22" s="1" a="1"/>
  <c r="U25" i="22" s="1"/>
  <c r="I36" i="22" a="1"/>
  <c r="I36" i="22" s="1"/>
  <c r="K36" i="22" a="1"/>
  <c r="K36" i="22" s="1"/>
  <c r="M36" i="22" a="1"/>
  <c r="M36" i="22" s="1"/>
  <c r="O36" i="22" a="1"/>
  <c r="O36" i="22" s="1"/>
  <c r="Q36" i="22" a="1"/>
  <c r="Q36" i="22" s="1"/>
  <c r="S36" i="22" a="1"/>
  <c r="S36" i="22" s="1"/>
  <c r="U36" i="22" a="1"/>
  <c r="U36" i="22" s="1"/>
  <c r="W36" i="22" a="1"/>
  <c r="W36" i="22" s="1"/>
  <c r="J5" i="22"/>
  <c r="J7" i="22" s="1"/>
  <c r="J22" i="22" s="1"/>
  <c r="N5" i="22"/>
  <c r="N7" i="22" s="1"/>
  <c r="N22" i="22" s="1"/>
  <c r="R5" i="22"/>
  <c r="R7" i="22" s="1"/>
  <c r="R22" i="22" s="1"/>
  <c r="V5" i="22"/>
  <c r="V7" i="22" s="1"/>
  <c r="V22" i="22" s="1"/>
  <c r="L24" i="22"/>
  <c r="L25" i="22" s="1" a="1"/>
  <c r="L25" i="22" s="1"/>
  <c r="P24" i="22"/>
  <c r="P25" i="22" s="1" a="1"/>
  <c r="P25" i="22" s="1"/>
  <c r="T24" i="22"/>
  <c r="T25" i="22" s="1" a="1"/>
  <c r="T25" i="22" s="1"/>
  <c r="J35" i="22"/>
  <c r="J25" i="22" s="1" a="1"/>
  <c r="J25" i="22" s="1"/>
  <c r="N35" i="22"/>
  <c r="N25" i="22" s="1" a="1"/>
  <c r="N25" i="22" s="1"/>
  <c r="R35" i="22"/>
  <c r="R25" i="22" s="1" a="1"/>
  <c r="R25" i="22" s="1"/>
  <c r="V35" i="22"/>
  <c r="V25" i="22" s="1" a="1"/>
  <c r="V25" i="22" s="1"/>
  <c r="K5" i="22"/>
  <c r="K7" i="22" s="1"/>
  <c r="K22" i="22" s="1"/>
  <c r="O5" i="22"/>
  <c r="O7" i="22" s="1"/>
  <c r="O22" i="22" s="1"/>
  <c r="S5" i="22"/>
  <c r="S7" i="22" s="1"/>
  <c r="S22" i="22" s="1"/>
  <c r="W5" i="22"/>
  <c r="W7" i="22" s="1"/>
  <c r="W22" i="22" s="1"/>
  <c r="J36" i="22" a="1"/>
  <c r="J36" i="22" s="1"/>
  <c r="L36" i="22" a="1"/>
  <c r="L36" i="22" s="1"/>
  <c r="N36" i="22" a="1"/>
  <c r="N36" i="22" s="1"/>
  <c r="P36" i="22" a="1"/>
  <c r="P36" i="22" s="1"/>
  <c r="R36" i="22" a="1"/>
  <c r="R36" i="22" s="1"/>
  <c r="T36" i="22" a="1"/>
  <c r="T36" i="22" s="1"/>
  <c r="V36" i="22" a="1"/>
  <c r="V36" i="22" s="1"/>
  <c r="I24" i="21"/>
  <c r="M24" i="21"/>
  <c r="Q24" i="21"/>
  <c r="U24" i="21"/>
  <c r="I35" i="21"/>
  <c r="M35" i="21"/>
  <c r="Q35" i="21"/>
  <c r="U35" i="21"/>
  <c r="K36" i="21" a="1"/>
  <c r="K36" i="21" s="1"/>
  <c r="O36" i="21" a="1"/>
  <c r="O36" i="21" s="1"/>
  <c r="S36" i="21" a="1"/>
  <c r="S36" i="21" s="1"/>
  <c r="W36" i="21" a="1"/>
  <c r="W36" i="21" s="1"/>
  <c r="N5" i="21"/>
  <c r="N7" i="21" s="1"/>
  <c r="N22" i="21" s="1"/>
  <c r="V5" i="21"/>
  <c r="V7" i="21" s="1"/>
  <c r="V22" i="21" s="1"/>
  <c r="V8" i="21" a="1"/>
  <c r="V8" i="21" s="1"/>
  <c r="D19" i="21"/>
  <c r="J24" i="21"/>
  <c r="N24" i="21"/>
  <c r="R24" i="21"/>
  <c r="V24" i="21"/>
  <c r="J35" i="21"/>
  <c r="N35" i="21"/>
  <c r="R35" i="21"/>
  <c r="V35" i="21"/>
  <c r="J5" i="21"/>
  <c r="J7" i="21" s="1"/>
  <c r="J22" i="21" s="1"/>
  <c r="R5" i="21"/>
  <c r="R7" i="21" s="1"/>
  <c r="R22" i="21" s="1"/>
  <c r="K24" i="21"/>
  <c r="O24" i="21"/>
  <c r="S24" i="21"/>
  <c r="W24" i="21"/>
  <c r="L36" i="21" a="1"/>
  <c r="L36" i="21" s="1"/>
  <c r="P36" i="21" a="1"/>
  <c r="P36" i="21" s="1"/>
  <c r="T36" i="21" a="1"/>
  <c r="T36" i="21" s="1"/>
  <c r="R4" i="20"/>
  <c r="R6" i="20" s="1"/>
  <c r="R7" i="20" s="1"/>
  <c r="R22" i="20" s="1"/>
  <c r="J4" i="20"/>
  <c r="J6" i="20" s="1"/>
  <c r="J7" i="20" s="1"/>
  <c r="J22" i="20" s="1"/>
  <c r="U28" i="20"/>
  <c r="V26" i="20" s="1"/>
  <c r="U26" i="20"/>
  <c r="L4" i="20"/>
  <c r="L6" i="20" s="1"/>
  <c r="L7" i="20" s="1"/>
  <c r="L22" i="20" s="1"/>
  <c r="P4" i="20"/>
  <c r="P6" i="20" s="1"/>
  <c r="P7" i="20" s="1"/>
  <c r="P22" i="20" s="1"/>
  <c r="T4" i="20"/>
  <c r="T6" i="20" s="1"/>
  <c r="T7" i="20" s="1"/>
  <c r="T22" i="20" s="1"/>
  <c r="I5" i="20"/>
  <c r="I7" i="20" s="1"/>
  <c r="I22" i="20" s="1"/>
  <c r="M5" i="20"/>
  <c r="M7" i="20" s="1"/>
  <c r="M22" i="20" s="1"/>
  <c r="Q5" i="20"/>
  <c r="Q7" i="20" s="1"/>
  <c r="Q22" i="20" s="1"/>
  <c r="U5" i="20"/>
  <c r="U7" i="20" s="1"/>
  <c r="U22" i="20" s="1"/>
  <c r="D19" i="20"/>
  <c r="K24" i="20"/>
  <c r="O24" i="20"/>
  <c r="O25" i="20" s="1" a="1"/>
  <c r="O25" i="20" s="1"/>
  <c r="S24" i="20"/>
  <c r="S25" i="20" s="1" a="1"/>
  <c r="S25" i="20" s="1"/>
  <c r="W24" i="20"/>
  <c r="I35" i="20"/>
  <c r="M35" i="20"/>
  <c r="M25" i="20" s="1" a="1"/>
  <c r="M25" i="20" s="1"/>
  <c r="Q35" i="20"/>
  <c r="Q25" i="20" s="1" a="1"/>
  <c r="Q25" i="20" s="1"/>
  <c r="U35" i="20"/>
  <c r="U25" i="20" s="1" a="1"/>
  <c r="U25" i="20" s="1"/>
  <c r="U27" i="20" s="1"/>
  <c r="I36" i="20" a="1"/>
  <c r="I36" i="20" s="1"/>
  <c r="K36" i="20" a="1"/>
  <c r="K36" i="20" s="1"/>
  <c r="M36" i="20" a="1"/>
  <c r="M36" i="20" s="1"/>
  <c r="O36" i="20" a="1"/>
  <c r="O36" i="20" s="1"/>
  <c r="Q36" i="20" a="1"/>
  <c r="Q36" i="20" s="1"/>
  <c r="S36" i="20" a="1"/>
  <c r="S36" i="20" s="1"/>
  <c r="U36" i="20" a="1"/>
  <c r="U36" i="20" s="1"/>
  <c r="W36" i="20" a="1"/>
  <c r="W36" i="20" s="1"/>
  <c r="L24" i="20"/>
  <c r="L25" i="20" s="1" a="1"/>
  <c r="L25" i="20" s="1"/>
  <c r="P24" i="20"/>
  <c r="P25" i="20" s="1" a="1"/>
  <c r="P25" i="20" s="1"/>
  <c r="T24" i="20"/>
  <c r="T25" i="20" s="1" a="1"/>
  <c r="T25" i="20" s="1"/>
  <c r="J35" i="20"/>
  <c r="N35" i="20"/>
  <c r="N25" i="20" s="1" a="1"/>
  <c r="N25" i="20" s="1"/>
  <c r="R35" i="20"/>
  <c r="R25" i="20" s="1" a="1"/>
  <c r="R25" i="20" s="1"/>
  <c r="V35" i="20"/>
  <c r="V25" i="20" s="1" a="1"/>
  <c r="V25" i="20" s="1"/>
  <c r="K5" i="20"/>
  <c r="K7" i="20" s="1"/>
  <c r="K22" i="20" s="1"/>
  <c r="O5" i="20"/>
  <c r="O7" i="20" s="1"/>
  <c r="O22" i="20" s="1"/>
  <c r="S5" i="20"/>
  <c r="S7" i="20" s="1"/>
  <c r="S22" i="20" s="1"/>
  <c r="W5" i="20"/>
  <c r="W7" i="20" s="1"/>
  <c r="W22" i="20" s="1"/>
  <c r="J36" i="20" a="1"/>
  <c r="J36" i="20" s="1"/>
  <c r="L36" i="20" a="1"/>
  <c r="L36" i="20" s="1"/>
  <c r="N36" i="20" a="1"/>
  <c r="N36" i="20" s="1"/>
  <c r="P36" i="20" a="1"/>
  <c r="P36" i="20" s="1"/>
  <c r="R36" i="20" a="1"/>
  <c r="R36" i="20" s="1"/>
  <c r="T36" i="20" a="1"/>
  <c r="T36" i="20" s="1"/>
  <c r="V36" i="20" a="1"/>
  <c r="V36" i="20" s="1"/>
  <c r="I4" i="13"/>
  <c r="I6" i="13" s="1"/>
  <c r="I7" i="13" s="1"/>
  <c r="I22" i="13" s="1"/>
  <c r="M4" i="13"/>
  <c r="M6" i="13" s="1"/>
  <c r="M7" i="13" s="1"/>
  <c r="M22" i="13" s="1"/>
  <c r="Q4" i="13"/>
  <c r="Q6" i="13" s="1"/>
  <c r="Q7" i="13" s="1"/>
  <c r="Q22" i="13" s="1"/>
  <c r="U4" i="13"/>
  <c r="U6" i="13" s="1"/>
  <c r="U7" i="13" s="1"/>
  <c r="U22" i="13" s="1"/>
  <c r="J5" i="13"/>
  <c r="J7" i="13" s="1"/>
  <c r="J22" i="13" s="1"/>
  <c r="N5" i="13"/>
  <c r="N7" i="13" s="1"/>
  <c r="N22" i="13" s="1"/>
  <c r="R5" i="13"/>
  <c r="R7" i="13" s="1"/>
  <c r="R22" i="13" s="1"/>
  <c r="V5" i="13"/>
  <c r="V7" i="13" s="1"/>
  <c r="V22" i="13" s="1"/>
  <c r="L5" i="15"/>
  <c r="L7" i="15" s="1"/>
  <c r="L22" i="15" s="1"/>
  <c r="P5" i="15"/>
  <c r="P7" i="15" s="1"/>
  <c r="P22" i="15" s="1"/>
  <c r="T5" i="15"/>
  <c r="T7" i="15" s="1"/>
  <c r="T22" i="15" s="1"/>
  <c r="L5" i="14"/>
  <c r="L7" i="14" s="1"/>
  <c r="L22" i="14" s="1"/>
  <c r="P5" i="14"/>
  <c r="P7" i="14" s="1"/>
  <c r="P22" i="14" s="1"/>
  <c r="T5" i="14"/>
  <c r="T7" i="14" s="1"/>
  <c r="T22" i="14" s="1"/>
  <c r="L5" i="17"/>
  <c r="L7" i="17" s="1"/>
  <c r="L22" i="17" s="1"/>
  <c r="P5" i="17"/>
  <c r="P7" i="17" s="1"/>
  <c r="P22" i="17" s="1"/>
  <c r="T5" i="17"/>
  <c r="T7" i="17" s="1"/>
  <c r="T22" i="17" s="1"/>
  <c r="J5" i="16"/>
  <c r="J7" i="16" s="1"/>
  <c r="J22" i="16" s="1"/>
  <c r="N5" i="16"/>
  <c r="N7" i="16" s="1"/>
  <c r="N22" i="16" s="1"/>
  <c r="R5" i="16"/>
  <c r="R7" i="16" s="1"/>
  <c r="R22" i="16" s="1"/>
  <c r="V5" i="16"/>
  <c r="V7" i="16" s="1"/>
  <c r="V22" i="16" s="1"/>
  <c r="J5" i="19"/>
  <c r="J7" i="19" s="1"/>
  <c r="J22" i="19" s="1"/>
  <c r="N5" i="19"/>
  <c r="N7" i="19" s="1"/>
  <c r="N22" i="19" s="1"/>
  <c r="R5" i="19"/>
  <c r="R7" i="19" s="1"/>
  <c r="R22" i="19" s="1"/>
  <c r="V5" i="19"/>
  <c r="V7" i="19" s="1"/>
  <c r="V22" i="19" s="1"/>
  <c r="K5" i="3"/>
  <c r="K7" i="3" s="1"/>
  <c r="K22" i="3" s="1"/>
  <c r="O5" i="3"/>
  <c r="O7" i="3" s="1"/>
  <c r="O22" i="3" s="1"/>
  <c r="S5" i="3"/>
  <c r="S7" i="3" s="1"/>
  <c r="S22" i="3" s="1"/>
  <c r="W5" i="3"/>
  <c r="W7" i="3" s="1"/>
  <c r="W22" i="3" s="1"/>
  <c r="L5" i="3"/>
  <c r="L7" i="3" s="1"/>
  <c r="L22" i="3" s="1"/>
  <c r="P5" i="3"/>
  <c r="P7" i="3" s="1"/>
  <c r="P22" i="3" s="1"/>
  <c r="T5" i="3"/>
  <c r="T7" i="3" s="1"/>
  <c r="T22" i="3" s="1"/>
  <c r="I4" i="8"/>
  <c r="I6" i="8" s="1"/>
  <c r="I7" i="8" s="1"/>
  <c r="I22" i="8" s="1"/>
  <c r="M4" i="8"/>
  <c r="M6" i="8" s="1"/>
  <c r="M7" i="8" s="1"/>
  <c r="M22" i="8" s="1"/>
  <c r="Q4" i="8"/>
  <c r="Q6" i="8" s="1"/>
  <c r="Q7" i="8" s="1"/>
  <c r="Q22" i="8" s="1"/>
  <c r="U4" i="8"/>
  <c r="U6" i="8" s="1"/>
  <c r="U7" i="8" s="1"/>
  <c r="U22" i="8" s="1"/>
  <c r="J5" i="8"/>
  <c r="J7" i="8" s="1"/>
  <c r="J22" i="8" s="1"/>
  <c r="N5" i="8"/>
  <c r="N7" i="8" s="1"/>
  <c r="N22" i="8" s="1"/>
  <c r="R5" i="8"/>
  <c r="R7" i="8" s="1"/>
  <c r="R22" i="8" s="1"/>
  <c r="V5" i="8"/>
  <c r="V7" i="8" s="1"/>
  <c r="V22" i="8" s="1"/>
  <c r="K5" i="12"/>
  <c r="K7" i="12" s="1"/>
  <c r="O5" i="12"/>
  <c r="O7" i="12" s="1"/>
  <c r="S5" i="12"/>
  <c r="S7" i="12" s="1"/>
  <c r="W5" i="12"/>
  <c r="W7" i="12" s="1"/>
  <c r="L5" i="12"/>
  <c r="L7" i="12" s="1"/>
  <c r="P5" i="12"/>
  <c r="P7" i="12" s="1"/>
  <c r="T5" i="12"/>
  <c r="T7" i="12" s="1"/>
  <c r="I4" i="5"/>
  <c r="I6" i="5" s="1"/>
  <c r="I7" i="5" s="1"/>
  <c r="I22" i="5" s="1"/>
  <c r="M4" i="5"/>
  <c r="M6" i="5" s="1"/>
  <c r="M7" i="5" s="1"/>
  <c r="M22" i="5" s="1"/>
  <c r="Q4" i="5"/>
  <c r="Q6" i="5" s="1"/>
  <c r="Q7" i="5" s="1"/>
  <c r="Q22" i="5" s="1"/>
  <c r="U4" i="5"/>
  <c r="U6" i="5" s="1"/>
  <c r="U7" i="5" s="1"/>
  <c r="U22" i="5" s="1"/>
  <c r="J5" i="5"/>
  <c r="J7" i="5" s="1"/>
  <c r="J22" i="5" s="1"/>
  <c r="N5" i="5"/>
  <c r="N7" i="5" s="1"/>
  <c r="N22" i="5" s="1"/>
  <c r="R5" i="5"/>
  <c r="R7" i="5" s="1"/>
  <c r="R22" i="5" s="1"/>
  <c r="V5" i="5"/>
  <c r="V7" i="5" s="1"/>
  <c r="V22" i="5" s="1"/>
  <c r="K5" i="5"/>
  <c r="K7" i="5" s="1"/>
  <c r="K22" i="5" s="1"/>
  <c r="O5" i="5"/>
  <c r="O7" i="5" s="1"/>
  <c r="O22" i="5" s="1"/>
  <c r="S5" i="5"/>
  <c r="S7" i="5" s="1"/>
  <c r="S22" i="5" s="1"/>
  <c r="W5" i="5"/>
  <c r="W7" i="5" s="1"/>
  <c r="W22" i="5" s="1"/>
  <c r="L5" i="5"/>
  <c r="L7" i="5" s="1"/>
  <c r="L22" i="5" s="1"/>
  <c r="P5" i="5"/>
  <c r="P7" i="5" s="1"/>
  <c r="P22" i="5" s="1"/>
  <c r="T5" i="5"/>
  <c r="T7" i="5" s="1"/>
  <c r="T22" i="5" s="1"/>
  <c r="J5" i="7"/>
  <c r="J7" i="7" s="1"/>
  <c r="J22" i="7" s="1"/>
  <c r="V5" i="7"/>
  <c r="V7" i="7" s="1"/>
  <c r="V22" i="7" s="1"/>
  <c r="U4" i="7"/>
  <c r="U6" i="7" s="1"/>
  <c r="U7" i="7" s="1"/>
  <c r="U22" i="7" s="1"/>
  <c r="R5" i="7"/>
  <c r="R7" i="7" s="1"/>
  <c r="R22" i="7" s="1"/>
  <c r="Q4" i="7"/>
  <c r="Q6" i="7" s="1"/>
  <c r="Q7" i="7" s="1"/>
  <c r="Q22" i="7" s="1"/>
  <c r="N5" i="7"/>
  <c r="N7" i="7" s="1"/>
  <c r="N22" i="7" s="1"/>
  <c r="M4" i="7"/>
  <c r="M6" i="7" s="1"/>
  <c r="M7" i="7" s="1"/>
  <c r="M22" i="7" s="1"/>
  <c r="I4" i="7"/>
  <c r="I6" i="7" s="1"/>
  <c r="I7" i="7" s="1"/>
  <c r="I22" i="7" s="1"/>
  <c r="T4" i="7"/>
  <c r="T6" i="7" s="1"/>
  <c r="T7" i="7" s="1"/>
  <c r="T22" i="7" s="1"/>
  <c r="P4" i="7"/>
  <c r="P6" i="7" s="1"/>
  <c r="P7" i="7" s="1"/>
  <c r="P22" i="7" s="1"/>
  <c r="L4" i="7"/>
  <c r="L6" i="7" s="1"/>
  <c r="L7" i="7" s="1"/>
  <c r="L22" i="7" s="1"/>
  <c r="W4" i="7"/>
  <c r="W6" i="7" s="1"/>
  <c r="W7" i="7" s="1"/>
  <c r="W22" i="7" s="1"/>
  <c r="S4" i="7"/>
  <c r="S6" i="7" s="1"/>
  <c r="S7" i="7" s="1"/>
  <c r="S22" i="7" s="1"/>
  <c r="O4" i="7"/>
  <c r="O6" i="7" s="1"/>
  <c r="O7" i="7" s="1"/>
  <c r="O22" i="7" s="1"/>
  <c r="K4" i="7"/>
  <c r="K6" i="7" s="1"/>
  <c r="K7" i="7" s="1"/>
  <c r="K22" i="7" s="1"/>
  <c r="B36" i="19"/>
  <c r="V31" i="19"/>
  <c r="U31" i="19" s="1"/>
  <c r="W31" i="19" s="1"/>
  <c r="AC29" i="19"/>
  <c r="AB29" i="19"/>
  <c r="AA29" i="19"/>
  <c r="Z29" i="19"/>
  <c r="H29" i="19"/>
  <c r="AC28" i="19"/>
  <c r="AB28" i="19"/>
  <c r="AA28" i="19"/>
  <c r="Z28" i="19"/>
  <c r="AC27" i="19"/>
  <c r="AB27" i="19"/>
  <c r="AA27" i="19"/>
  <c r="Z27" i="19"/>
  <c r="H20" i="19"/>
  <c r="B18" i="19"/>
  <c r="C18" i="19" s="1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D17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D16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D15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D14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D13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D12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D11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D10" i="19"/>
  <c r="W9" i="19"/>
  <c r="V9" i="19"/>
  <c r="U9" i="19"/>
  <c r="U36" i="19" s="1" a="1"/>
  <c r="U36" i="19" s="1"/>
  <c r="T9" i="19"/>
  <c r="S9" i="19"/>
  <c r="R9" i="19"/>
  <c r="Q9" i="19"/>
  <c r="Q8" i="19" s="1" a="1"/>
  <c r="Q8" i="19" s="1"/>
  <c r="P9" i="19"/>
  <c r="P24" i="19" s="1"/>
  <c r="O9" i="19"/>
  <c r="O8" i="19" s="1" a="1"/>
  <c r="O8" i="19" s="1"/>
  <c r="N9" i="19"/>
  <c r="M9" i="19"/>
  <c r="M36" i="19" s="1" a="1"/>
  <c r="M36" i="19" s="1"/>
  <c r="L9" i="19"/>
  <c r="L24" i="19" s="1"/>
  <c r="K9" i="19"/>
  <c r="J9" i="19"/>
  <c r="I9" i="19"/>
  <c r="I36" i="19" s="1" a="1"/>
  <c r="I36" i="19" s="1"/>
  <c r="D9" i="19"/>
  <c r="D18" i="19" s="1"/>
  <c r="W8" i="19" a="1"/>
  <c r="W8" i="19" s="1"/>
  <c r="V8" i="19" a="1"/>
  <c r="V8" i="19" s="1"/>
  <c r="U8" i="19" a="1"/>
  <c r="U8" i="19" s="1"/>
  <c r="D7" i="19"/>
  <c r="D6" i="19"/>
  <c r="B7" i="10"/>
  <c r="B6" i="10"/>
  <c r="P25" i="23" l="1" a="1"/>
  <c r="P25" i="23" s="1"/>
  <c r="K25" i="22" a="1"/>
  <c r="K25" i="22" s="1"/>
  <c r="L25" i="23" a="1"/>
  <c r="L25" i="23" s="1"/>
  <c r="I25" i="23" a="1"/>
  <c r="I25" i="23" s="1"/>
  <c r="I31" i="23" s="1"/>
  <c r="I25" i="20" a="1"/>
  <c r="I25" i="20" s="1"/>
  <c r="I31" i="20" s="1"/>
  <c r="K25" i="20" a="1"/>
  <c r="K25" i="20" s="1"/>
  <c r="J25" i="20" a="1"/>
  <c r="J25" i="20" s="1"/>
  <c r="Q25" i="22" a="1"/>
  <c r="Q25" i="22" s="1"/>
  <c r="S25" i="22" a="1"/>
  <c r="S25" i="22" s="1"/>
  <c r="S31" i="22" s="1"/>
  <c r="T25" i="23" a="1"/>
  <c r="T25" i="23" s="1"/>
  <c r="Q25" i="23" a="1"/>
  <c r="Q25" i="23" s="1"/>
  <c r="O25" i="22" a="1"/>
  <c r="O25" i="22" s="1"/>
  <c r="O31" i="22" s="1"/>
  <c r="I25" i="22" a="1"/>
  <c r="I25" i="22" s="1"/>
  <c r="I27" i="22" s="1"/>
  <c r="I30" i="22" s="1"/>
  <c r="T24" i="19"/>
  <c r="W7" i="85"/>
  <c r="W9" i="85" s="1"/>
  <c r="W9" i="90"/>
  <c r="V7" i="85"/>
  <c r="V9" i="85" s="1"/>
  <c r="V9" i="90"/>
  <c r="W7" i="84"/>
  <c r="W8" i="84" s="1"/>
  <c r="W15" i="90"/>
  <c r="G8" i="90"/>
  <c r="F8" i="90"/>
  <c r="G7" i="90"/>
  <c r="F7" i="90"/>
  <c r="F5" i="90"/>
  <c r="G5" i="90"/>
  <c r="H31" i="80"/>
  <c r="V10" i="82"/>
  <c r="H31" i="79"/>
  <c r="H8" i="82"/>
  <c r="H27" i="86"/>
  <c r="W26" i="87"/>
  <c r="W27" i="87" s="1"/>
  <c r="W30" i="87" s="1"/>
  <c r="H21" i="87"/>
  <c r="U26" i="87"/>
  <c r="U27" i="87" s="1"/>
  <c r="W52" i="86"/>
  <c r="W53" i="86" s="1"/>
  <c r="U30" i="86"/>
  <c r="H31" i="78"/>
  <c r="H7" i="82"/>
  <c r="G7" i="82"/>
  <c r="F7" i="82"/>
  <c r="V52" i="32"/>
  <c r="V53" i="32" s="1"/>
  <c r="H27" i="32"/>
  <c r="U9" i="85"/>
  <c r="U47" i="85" s="1"/>
  <c r="U48" i="85" s="1"/>
  <c r="H31" i="31"/>
  <c r="H6" i="85"/>
  <c r="F5" i="85"/>
  <c r="G5" i="85"/>
  <c r="H31" i="33"/>
  <c r="H8" i="85"/>
  <c r="F8" i="85"/>
  <c r="G8" i="85"/>
  <c r="U8" i="84"/>
  <c r="U46" i="84" s="1"/>
  <c r="U47" i="84" s="1"/>
  <c r="W7" i="83"/>
  <c r="H31" i="28"/>
  <c r="H6" i="83"/>
  <c r="G6" i="83"/>
  <c r="F6" i="83"/>
  <c r="H31" i="27"/>
  <c r="H5" i="83"/>
  <c r="F5" i="83"/>
  <c r="G5" i="83"/>
  <c r="B20" i="79"/>
  <c r="W52" i="39"/>
  <c r="W53" i="39" s="1"/>
  <c r="B20" i="39" s="1"/>
  <c r="H30" i="39"/>
  <c r="W52" i="37"/>
  <c r="W53" i="37" s="1"/>
  <c r="B20" i="37" s="1"/>
  <c r="H30" i="37"/>
  <c r="H15" i="90" s="1"/>
  <c r="W52" i="36"/>
  <c r="W53" i="36" s="1"/>
  <c r="B20" i="36" s="1"/>
  <c r="H30" i="36"/>
  <c r="W52" i="35"/>
  <c r="W53" i="35" s="1"/>
  <c r="B20" i="35" s="1"/>
  <c r="H30" i="35"/>
  <c r="B20" i="31"/>
  <c r="W52" i="32"/>
  <c r="W53" i="32" s="1"/>
  <c r="H30" i="32"/>
  <c r="O25" i="21" a="1"/>
  <c r="O25" i="21" s="1"/>
  <c r="O31" i="21" s="1"/>
  <c r="W52" i="29"/>
  <c r="W53" i="29" s="1"/>
  <c r="B20" i="29" s="1"/>
  <c r="H30" i="29"/>
  <c r="H3" i="90" s="1"/>
  <c r="V25" i="23" a="1"/>
  <c r="V25" i="23" s="1"/>
  <c r="S25" i="23" a="1"/>
  <c r="S25" i="23" s="1"/>
  <c r="S31" i="23" s="1"/>
  <c r="J25" i="23" a="1"/>
  <c r="J25" i="23" s="1"/>
  <c r="J31" i="23" s="1"/>
  <c r="P25" i="21" a="1"/>
  <c r="P25" i="21" s="1"/>
  <c r="P31" i="21" s="1"/>
  <c r="U27" i="23"/>
  <c r="U30" i="23" s="1"/>
  <c r="V27" i="20"/>
  <c r="K25" i="21" a="1"/>
  <c r="K25" i="21" s="1"/>
  <c r="K31" i="21" s="1"/>
  <c r="R25" i="23" a="1"/>
  <c r="R25" i="23" s="1"/>
  <c r="R31" i="23" s="1"/>
  <c r="O25" i="23" a="1"/>
  <c r="O25" i="23" s="1"/>
  <c r="O31" i="23" s="1"/>
  <c r="N25" i="23" a="1"/>
  <c r="N25" i="23" s="1"/>
  <c r="N31" i="23" s="1"/>
  <c r="W27" i="23"/>
  <c r="W30" i="23" s="1"/>
  <c r="M31" i="23"/>
  <c r="Q31" i="23"/>
  <c r="P31" i="23"/>
  <c r="L31" i="23"/>
  <c r="H28" i="23"/>
  <c r="V26" i="23"/>
  <c r="T31" i="23"/>
  <c r="I23" i="23"/>
  <c r="J23" i="23" s="1"/>
  <c r="K23" i="23" s="1"/>
  <c r="L23" i="23" s="1"/>
  <c r="M23" i="23" s="1"/>
  <c r="N23" i="23" s="1"/>
  <c r="O23" i="23" s="1"/>
  <c r="P23" i="23" s="1"/>
  <c r="Q23" i="23" s="1"/>
  <c r="R23" i="23" s="1"/>
  <c r="S23" i="23" s="1"/>
  <c r="T23" i="23" s="1"/>
  <c r="H22" i="23"/>
  <c r="I26" i="23"/>
  <c r="T25" i="21" a="1"/>
  <c r="T25" i="21" s="1"/>
  <c r="T31" i="21" s="1"/>
  <c r="S25" i="21" a="1"/>
  <c r="S25" i="21" s="1"/>
  <c r="S31" i="21" s="1"/>
  <c r="U27" i="22"/>
  <c r="U30" i="22" s="1"/>
  <c r="V27" i="22"/>
  <c r="Q31" i="22"/>
  <c r="R31" i="22"/>
  <c r="N31" i="22"/>
  <c r="J31" i="22"/>
  <c r="T31" i="22"/>
  <c r="K31" i="22"/>
  <c r="P31" i="22"/>
  <c r="W25" i="22" a="1"/>
  <c r="W25" i="22" s="1"/>
  <c r="V28" i="22"/>
  <c r="W26" i="22" s="1"/>
  <c r="M31" i="22"/>
  <c r="L31" i="22"/>
  <c r="I23" i="22"/>
  <c r="H22" i="22"/>
  <c r="J25" i="21" a="1"/>
  <c r="J25" i="21" s="1"/>
  <c r="I26" i="21"/>
  <c r="I25" i="21" a="1"/>
  <c r="I25" i="21" s="1"/>
  <c r="V25" i="21" a="1"/>
  <c r="V25" i="21" s="1"/>
  <c r="U28" i="21"/>
  <c r="U25" i="21" a="1"/>
  <c r="U25" i="21" s="1"/>
  <c r="R25" i="21" a="1"/>
  <c r="R25" i="21" s="1"/>
  <c r="Q25" i="21" a="1"/>
  <c r="Q25" i="21" s="1"/>
  <c r="L31" i="21"/>
  <c r="V28" i="21"/>
  <c r="W25" i="21" a="1"/>
  <c r="W25" i="21" s="1"/>
  <c r="N25" i="21" a="1"/>
  <c r="N25" i="21" s="1"/>
  <c r="M25" i="21" a="1"/>
  <c r="M25" i="21" s="1"/>
  <c r="I23" i="21"/>
  <c r="H22" i="21"/>
  <c r="N31" i="20"/>
  <c r="J31" i="20"/>
  <c r="R31" i="20"/>
  <c r="U30" i="20"/>
  <c r="L31" i="20"/>
  <c r="S31" i="20"/>
  <c r="Q31" i="20"/>
  <c r="O31" i="20"/>
  <c r="M31" i="20"/>
  <c r="T31" i="20"/>
  <c r="K31" i="20"/>
  <c r="P31" i="20"/>
  <c r="W25" i="20" a="1"/>
  <c r="W25" i="20" s="1"/>
  <c r="V28" i="20"/>
  <c r="W26" i="20" s="1"/>
  <c r="I23" i="20"/>
  <c r="J23" i="20" s="1"/>
  <c r="H22" i="20"/>
  <c r="I26" i="20"/>
  <c r="I27" i="20" s="1"/>
  <c r="H22" i="5"/>
  <c r="I24" i="19"/>
  <c r="M24" i="19"/>
  <c r="Q24" i="19"/>
  <c r="U24" i="19"/>
  <c r="J35" i="19"/>
  <c r="N35" i="19"/>
  <c r="R35" i="19"/>
  <c r="V35" i="19"/>
  <c r="J36" i="19" a="1"/>
  <c r="J36" i="19" s="1"/>
  <c r="N36" i="19" a="1"/>
  <c r="N36" i="19" s="1"/>
  <c r="R36" i="19" a="1"/>
  <c r="R36" i="19" s="1"/>
  <c r="V36" i="19" a="1"/>
  <c r="V36" i="19" s="1"/>
  <c r="I23" i="19"/>
  <c r="J24" i="19"/>
  <c r="N24" i="19"/>
  <c r="R24" i="19"/>
  <c r="V24" i="19"/>
  <c r="U28" i="19" s="1"/>
  <c r="K35" i="19"/>
  <c r="O35" i="19"/>
  <c r="S35" i="19"/>
  <c r="W35" i="19"/>
  <c r="K36" i="19" a="1"/>
  <c r="K36" i="19" s="1"/>
  <c r="O36" i="19" a="1"/>
  <c r="O36" i="19" s="1"/>
  <c r="S36" i="19" a="1"/>
  <c r="S36" i="19" s="1"/>
  <c r="W36" i="19" a="1"/>
  <c r="W36" i="19" s="1"/>
  <c r="I8" i="19" a="1"/>
  <c r="I8" i="19" s="1"/>
  <c r="K24" i="19"/>
  <c r="O24" i="19"/>
  <c r="S24" i="19"/>
  <c r="W24" i="19"/>
  <c r="V28" i="19" s="1"/>
  <c r="L35" i="19"/>
  <c r="L25" i="19" s="1" a="1"/>
  <c r="L25" i="19" s="1"/>
  <c r="L31" i="19" s="1"/>
  <c r="P35" i="19"/>
  <c r="P25" i="19" s="1" a="1"/>
  <c r="P25" i="19" s="1"/>
  <c r="P31" i="19" s="1"/>
  <c r="T35" i="19"/>
  <c r="T25" i="19" s="1" a="1"/>
  <c r="T25" i="19" s="1"/>
  <c r="T31" i="19" s="1"/>
  <c r="L36" i="19" a="1"/>
  <c r="L36" i="19" s="1"/>
  <c r="P36" i="19" a="1"/>
  <c r="P36" i="19" s="1"/>
  <c r="T36" i="19" a="1"/>
  <c r="T36" i="19" s="1"/>
  <c r="M8" i="19" a="1"/>
  <c r="M8" i="19" s="1"/>
  <c r="I35" i="19"/>
  <c r="M35" i="19"/>
  <c r="Q35" i="19"/>
  <c r="U35" i="19"/>
  <c r="Q36" i="19" a="1"/>
  <c r="Q36" i="19" s="1"/>
  <c r="K8" i="19" a="1"/>
  <c r="K8" i="19" s="1"/>
  <c r="S8" i="19" a="1"/>
  <c r="S8" i="19" s="1"/>
  <c r="H22" i="19"/>
  <c r="D19" i="19"/>
  <c r="E19" i="5"/>
  <c r="B23" i="18"/>
  <c r="B8" i="18"/>
  <c r="I31" i="22" l="1"/>
  <c r="I27" i="23"/>
  <c r="I30" i="23" s="1"/>
  <c r="W47" i="85"/>
  <c r="W48" i="85" s="1"/>
  <c r="G11" i="90"/>
  <c r="F11" i="90"/>
  <c r="H9" i="90"/>
  <c r="H31" i="39"/>
  <c r="H14" i="90"/>
  <c r="G14" i="90"/>
  <c r="F14" i="90"/>
  <c r="G15" i="90"/>
  <c r="F15" i="90"/>
  <c r="F3" i="90"/>
  <c r="G3" i="90"/>
  <c r="W3" i="82"/>
  <c r="U4" i="82"/>
  <c r="U10" i="82"/>
  <c r="I5" i="82"/>
  <c r="U5" i="82"/>
  <c r="U3" i="82"/>
  <c r="W52" i="87"/>
  <c r="W53" i="87" s="1"/>
  <c r="H27" i="87"/>
  <c r="U30" i="87"/>
  <c r="U52" i="86"/>
  <c r="U53" i="86" s="1"/>
  <c r="H30" i="86"/>
  <c r="V52" i="86"/>
  <c r="V53" i="86" s="1"/>
  <c r="B20" i="32"/>
  <c r="V47" i="85"/>
  <c r="V48" i="85" s="1"/>
  <c r="H31" i="32"/>
  <c r="H7" i="85"/>
  <c r="F6" i="85"/>
  <c r="F9" i="85" s="1"/>
  <c r="G6" i="85"/>
  <c r="G9" i="85" s="1"/>
  <c r="H9" i="85"/>
  <c r="H10" i="85" s="1"/>
  <c r="G7" i="84"/>
  <c r="F7" i="84"/>
  <c r="V46" i="84"/>
  <c r="V47" i="84" s="1"/>
  <c r="H31" i="37"/>
  <c r="H7" i="84"/>
  <c r="F6" i="84"/>
  <c r="G6" i="84"/>
  <c r="H31" i="36"/>
  <c r="H6" i="84"/>
  <c r="H31" i="35"/>
  <c r="H5" i="84"/>
  <c r="F5" i="84"/>
  <c r="G5" i="84"/>
  <c r="W46" i="84"/>
  <c r="W47" i="84" s="1"/>
  <c r="H8" i="84"/>
  <c r="H9" i="84" s="1"/>
  <c r="G7" i="83"/>
  <c r="F7" i="83"/>
  <c r="H31" i="29"/>
  <c r="H7" i="83"/>
  <c r="V27" i="23"/>
  <c r="V30" i="23" s="1"/>
  <c r="J25" i="19" a="1"/>
  <c r="J25" i="19" s="1"/>
  <c r="J31" i="19" s="1"/>
  <c r="M25" i="19" a="1"/>
  <c r="M25" i="19" s="1"/>
  <c r="M31" i="19" s="1"/>
  <c r="Q25" i="19" a="1"/>
  <c r="Q25" i="19" s="1"/>
  <c r="Q31" i="19" s="1"/>
  <c r="N25" i="19" a="1"/>
  <c r="N25" i="19" s="1"/>
  <c r="N31" i="19" s="1"/>
  <c r="W25" i="19" a="1"/>
  <c r="W25" i="19" s="1"/>
  <c r="H28" i="19"/>
  <c r="I25" i="19" a="1"/>
  <c r="I25" i="19" s="1"/>
  <c r="I31" i="19" s="1"/>
  <c r="I26" i="19"/>
  <c r="O25" i="19" a="1"/>
  <c r="O25" i="19" s="1"/>
  <c r="O31" i="19" s="1"/>
  <c r="S25" i="19" a="1"/>
  <c r="S25" i="19" s="1"/>
  <c r="S31" i="19" s="1"/>
  <c r="R25" i="19" a="1"/>
  <c r="R25" i="19" s="1"/>
  <c r="R31" i="19" s="1"/>
  <c r="V25" i="19" a="1"/>
  <c r="V25" i="19" s="1"/>
  <c r="U25" i="19" a="1"/>
  <c r="U25" i="19" s="1"/>
  <c r="K25" i="19" a="1"/>
  <c r="K25" i="19" s="1"/>
  <c r="K31" i="19" s="1"/>
  <c r="J26" i="23"/>
  <c r="J27" i="23" s="1"/>
  <c r="J30" i="23" s="1"/>
  <c r="J23" i="21"/>
  <c r="J23" i="22"/>
  <c r="K23" i="22" s="1"/>
  <c r="L23" i="22" s="1"/>
  <c r="M23" i="22" s="1"/>
  <c r="N23" i="22" s="1"/>
  <c r="O23" i="22" s="1"/>
  <c r="P23" i="22" s="1"/>
  <c r="Q23" i="22" s="1"/>
  <c r="R23" i="22" s="1"/>
  <c r="S23" i="22" s="1"/>
  <c r="T23" i="22" s="1"/>
  <c r="I52" i="22"/>
  <c r="I53" i="22" s="1"/>
  <c r="J26" i="22"/>
  <c r="J27" i="22" s="1"/>
  <c r="J30" i="22" s="1"/>
  <c r="W27" i="22"/>
  <c r="W30" i="22" s="1"/>
  <c r="H28" i="22"/>
  <c r="V30" i="22"/>
  <c r="J26" i="21"/>
  <c r="J27" i="21" s="1"/>
  <c r="J30" i="21" s="1"/>
  <c r="Q31" i="21"/>
  <c r="J31" i="21"/>
  <c r="I31" i="21"/>
  <c r="I27" i="21"/>
  <c r="M31" i="21"/>
  <c r="R31" i="21"/>
  <c r="N31" i="21"/>
  <c r="H28" i="21"/>
  <c r="K23" i="20"/>
  <c r="L23" i="20" s="1"/>
  <c r="M23" i="20" s="1"/>
  <c r="N23" i="20" s="1"/>
  <c r="O23" i="20" s="1"/>
  <c r="P23" i="20" s="1"/>
  <c r="Q23" i="20" s="1"/>
  <c r="R23" i="20" s="1"/>
  <c r="S23" i="20" s="1"/>
  <c r="T23" i="20" s="1"/>
  <c r="W27" i="20"/>
  <c r="W30" i="20" s="1"/>
  <c r="I30" i="20"/>
  <c r="V30" i="20"/>
  <c r="H28" i="20"/>
  <c r="J26" i="20"/>
  <c r="J27" i="20" s="1"/>
  <c r="J30" i="20" s="1"/>
  <c r="J23" i="19"/>
  <c r="K23" i="19" s="1"/>
  <c r="L23" i="19" s="1"/>
  <c r="M23" i="19" s="1"/>
  <c r="N23" i="19" s="1"/>
  <c r="O23" i="19" s="1"/>
  <c r="P23" i="19" s="1"/>
  <c r="Q23" i="19" s="1"/>
  <c r="R23" i="19" s="1"/>
  <c r="S23" i="19" s="1"/>
  <c r="T23" i="19" s="1"/>
  <c r="J26" i="19"/>
  <c r="B11" i="85" l="1"/>
  <c r="G9" i="90"/>
  <c r="G7" i="85"/>
  <c r="F9" i="90"/>
  <c r="H31" i="86"/>
  <c r="J4" i="82"/>
  <c r="W4" i="82"/>
  <c r="W5" i="82"/>
  <c r="J6" i="82"/>
  <c r="J6" i="90"/>
  <c r="J3" i="82"/>
  <c r="I4" i="82"/>
  <c r="I3" i="82"/>
  <c r="H30" i="87"/>
  <c r="U52" i="87"/>
  <c r="U53" i="87" s="1"/>
  <c r="V52" i="87"/>
  <c r="V53" i="87" s="1"/>
  <c r="B20" i="86"/>
  <c r="F7" i="85"/>
  <c r="V52" i="22"/>
  <c r="V53" i="22" s="1"/>
  <c r="V5" i="82"/>
  <c r="J52" i="22"/>
  <c r="J53" i="22" s="1"/>
  <c r="J5" i="82"/>
  <c r="V52" i="20"/>
  <c r="V53" i="20" s="1"/>
  <c r="V4" i="82"/>
  <c r="W52" i="23"/>
  <c r="W53" i="23" s="1"/>
  <c r="V3" i="82"/>
  <c r="B10" i="84"/>
  <c r="F8" i="84"/>
  <c r="G8" i="84"/>
  <c r="V52" i="23"/>
  <c r="V53" i="23" s="1"/>
  <c r="J27" i="19"/>
  <c r="J30" i="19" s="1"/>
  <c r="I27" i="19"/>
  <c r="I30" i="19" s="1"/>
  <c r="J52" i="23"/>
  <c r="J53" i="23" s="1"/>
  <c r="I52" i="23"/>
  <c r="I53" i="23" s="1"/>
  <c r="K26" i="23"/>
  <c r="K27" i="23" s="1"/>
  <c r="K30" i="23" s="1"/>
  <c r="K23" i="21"/>
  <c r="K26" i="22"/>
  <c r="K27" i="22" s="1"/>
  <c r="W52" i="22"/>
  <c r="W53" i="22" s="1"/>
  <c r="I30" i="21"/>
  <c r="I6" i="90" s="1"/>
  <c r="K26" i="21"/>
  <c r="K27" i="21" s="1"/>
  <c r="K30" i="21" s="1"/>
  <c r="K6" i="90" s="1"/>
  <c r="J52" i="20"/>
  <c r="J53" i="20" s="1"/>
  <c r="W52" i="20"/>
  <c r="W53" i="20" s="1"/>
  <c r="K26" i="20"/>
  <c r="I52" i="20"/>
  <c r="I53" i="20" s="1"/>
  <c r="K26" i="19"/>
  <c r="K27" i="19" s="1"/>
  <c r="K30" i="19" s="1"/>
  <c r="L26" i="19"/>
  <c r="L27" i="19" s="1"/>
  <c r="L30" i="19" s="1"/>
  <c r="B36" i="17"/>
  <c r="V31" i="17"/>
  <c r="U31" i="17" s="1"/>
  <c r="W31" i="17" s="1"/>
  <c r="AC29" i="17"/>
  <c r="AB29" i="17"/>
  <c r="AA29" i="17"/>
  <c r="Z29" i="17"/>
  <c r="W29" i="17"/>
  <c r="AC28" i="17"/>
  <c r="AB28" i="17"/>
  <c r="AA28" i="17"/>
  <c r="Z28" i="17"/>
  <c r="AC27" i="17"/>
  <c r="AB27" i="17"/>
  <c r="AA27" i="17"/>
  <c r="Z27" i="17"/>
  <c r="W21" i="17"/>
  <c r="V21" i="17"/>
  <c r="U21" i="17"/>
  <c r="H20" i="17"/>
  <c r="T18" i="17"/>
  <c r="B18" i="17"/>
  <c r="C18" i="17" s="1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D17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D16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D15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D14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D13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D12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D11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D10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D9" i="17"/>
  <c r="D18" i="17" s="1"/>
  <c r="D7" i="17"/>
  <c r="D6" i="17"/>
  <c r="B36" i="16"/>
  <c r="V31" i="16"/>
  <c r="U31" i="16" s="1"/>
  <c r="W31" i="16" s="1"/>
  <c r="AC29" i="16"/>
  <c r="AB29" i="16"/>
  <c r="AA29" i="16"/>
  <c r="Z29" i="16"/>
  <c r="W29" i="16"/>
  <c r="H29" i="16" s="1"/>
  <c r="AC28" i="16"/>
  <c r="AB28" i="16"/>
  <c r="AA28" i="16"/>
  <c r="Z28" i="16"/>
  <c r="AC27" i="16"/>
  <c r="AB27" i="16"/>
  <c r="AA27" i="16"/>
  <c r="Z27" i="16"/>
  <c r="W21" i="16"/>
  <c r="V21" i="16"/>
  <c r="U21" i="16"/>
  <c r="H20" i="16"/>
  <c r="T18" i="16"/>
  <c r="B18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D17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D16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D15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D14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D13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D12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D11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D10" i="16"/>
  <c r="W9" i="16"/>
  <c r="W35" i="16" s="1"/>
  <c r="V9" i="16"/>
  <c r="V24" i="16" s="1"/>
  <c r="U9" i="16"/>
  <c r="U24" i="16" s="1"/>
  <c r="T9" i="16"/>
  <c r="S9" i="16"/>
  <c r="R9" i="16"/>
  <c r="Q9" i="16"/>
  <c r="P9" i="16"/>
  <c r="O9" i="16"/>
  <c r="N9" i="16"/>
  <c r="M9" i="16"/>
  <c r="L9" i="16"/>
  <c r="K9" i="16"/>
  <c r="J9" i="16"/>
  <c r="I9" i="16"/>
  <c r="D9" i="16"/>
  <c r="D18" i="16" s="1"/>
  <c r="D6" i="16"/>
  <c r="D19" i="16" s="1"/>
  <c r="B36" i="15"/>
  <c r="V31" i="15"/>
  <c r="U31" i="15" s="1"/>
  <c r="W31" i="15" s="1"/>
  <c r="AC29" i="15"/>
  <c r="AB29" i="15"/>
  <c r="AA29" i="15"/>
  <c r="Z29" i="15"/>
  <c r="H29" i="15"/>
  <c r="AC28" i="15"/>
  <c r="AB28" i="15"/>
  <c r="AA28" i="15"/>
  <c r="Z28" i="15"/>
  <c r="AC27" i="15"/>
  <c r="AB27" i="15"/>
  <c r="AA27" i="15"/>
  <c r="Z27" i="15"/>
  <c r="H20" i="15"/>
  <c r="B18" i="15"/>
  <c r="C18" i="15" s="1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D17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D16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D15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D14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D13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D12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D11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D10" i="15"/>
  <c r="W9" i="15"/>
  <c r="W35" i="15" s="1"/>
  <c r="V9" i="15"/>
  <c r="U9" i="15"/>
  <c r="U24" i="15" s="1"/>
  <c r="T9" i="15"/>
  <c r="S9" i="15"/>
  <c r="R9" i="15"/>
  <c r="Q9" i="15"/>
  <c r="Q8" i="15" s="1" a="1"/>
  <c r="Q8" i="15" s="1"/>
  <c r="P9" i="15"/>
  <c r="O9" i="15"/>
  <c r="N9" i="15"/>
  <c r="M9" i="15"/>
  <c r="M8" i="15" s="1" a="1"/>
  <c r="M8" i="15" s="1"/>
  <c r="L9" i="15"/>
  <c r="K9" i="15"/>
  <c r="J9" i="15"/>
  <c r="I9" i="15"/>
  <c r="I8" i="15" s="1" a="1"/>
  <c r="I8" i="15" s="1"/>
  <c r="D9" i="15"/>
  <c r="D18" i="15" s="1"/>
  <c r="W8" i="15" a="1"/>
  <c r="W8" i="15" s="1"/>
  <c r="V8" i="15" a="1"/>
  <c r="V8" i="15" s="1"/>
  <c r="U8" i="15" a="1"/>
  <c r="U8" i="15" s="1"/>
  <c r="D7" i="15"/>
  <c r="D6" i="15"/>
  <c r="B36" i="14"/>
  <c r="V31" i="14"/>
  <c r="U31" i="14" s="1"/>
  <c r="W31" i="14" s="1"/>
  <c r="AC29" i="14"/>
  <c r="AB29" i="14"/>
  <c r="AA29" i="14"/>
  <c r="Z29" i="14"/>
  <c r="H29" i="14"/>
  <c r="AC28" i="14"/>
  <c r="AB28" i="14"/>
  <c r="AA28" i="14"/>
  <c r="Z28" i="14"/>
  <c r="AC27" i="14"/>
  <c r="AB27" i="14"/>
  <c r="AA27" i="14"/>
  <c r="Z27" i="14"/>
  <c r="H20" i="14"/>
  <c r="B18" i="14"/>
  <c r="C18" i="14" s="1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D17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D16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D15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D14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D13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D12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D11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D10" i="14"/>
  <c r="W9" i="14"/>
  <c r="W35" i="14" s="1"/>
  <c r="V9" i="14"/>
  <c r="U9" i="14"/>
  <c r="U24" i="14" s="1"/>
  <c r="T9" i="14"/>
  <c r="S9" i="14"/>
  <c r="R9" i="14"/>
  <c r="Q9" i="14"/>
  <c r="P9" i="14"/>
  <c r="O9" i="14"/>
  <c r="N9" i="14"/>
  <c r="M9" i="14"/>
  <c r="L9" i="14"/>
  <c r="K9" i="14"/>
  <c r="J9" i="14"/>
  <c r="I9" i="14"/>
  <c r="D9" i="14"/>
  <c r="W8" i="14" a="1"/>
  <c r="W8" i="14" s="1"/>
  <c r="D7" i="14"/>
  <c r="D6" i="14"/>
  <c r="B36" i="13"/>
  <c r="V31" i="13"/>
  <c r="U31" i="13" s="1"/>
  <c r="W31" i="13" s="1"/>
  <c r="AC29" i="13"/>
  <c r="AB29" i="13"/>
  <c r="AA29" i="13"/>
  <c r="Z29" i="13"/>
  <c r="H29" i="13"/>
  <c r="AC28" i="13"/>
  <c r="AB28" i="13"/>
  <c r="AA28" i="13"/>
  <c r="Z28" i="13"/>
  <c r="AC27" i="13"/>
  <c r="AB27" i="13"/>
  <c r="AA27" i="13"/>
  <c r="Z27" i="13"/>
  <c r="H20" i="13"/>
  <c r="B18" i="13"/>
  <c r="C18" i="13" s="1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D17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D16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D15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D14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D13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D12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D11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D10" i="13"/>
  <c r="W9" i="13"/>
  <c r="W35" i="13" s="1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I8" i="13" s="1" a="1"/>
  <c r="I8" i="13" s="1"/>
  <c r="D9" i="13"/>
  <c r="D7" i="13"/>
  <c r="D6" i="13"/>
  <c r="D19" i="13" s="1"/>
  <c r="B36" i="12"/>
  <c r="V31" i="12"/>
  <c r="U31" i="12" s="1"/>
  <c r="W31" i="12" s="1"/>
  <c r="AC29" i="12"/>
  <c r="AB29" i="12"/>
  <c r="AA29" i="12"/>
  <c r="Z29" i="12"/>
  <c r="H29" i="12"/>
  <c r="AC28" i="12"/>
  <c r="AB28" i="12"/>
  <c r="AA28" i="12"/>
  <c r="Z28" i="12"/>
  <c r="AC27" i="12"/>
  <c r="AB27" i="12"/>
  <c r="AA27" i="12"/>
  <c r="Z27" i="12"/>
  <c r="H20" i="12"/>
  <c r="B18" i="12"/>
  <c r="C18" i="12" s="1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D17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D16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D15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D14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D13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D12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D11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D10" i="12"/>
  <c r="W9" i="12"/>
  <c r="V9" i="12"/>
  <c r="U9" i="12"/>
  <c r="U8" i="12" s="1" a="1"/>
  <c r="U8" i="12" s="1"/>
  <c r="T9" i="12"/>
  <c r="T8" i="12" s="1" a="1"/>
  <c r="T8" i="12" s="1"/>
  <c r="S9" i="12"/>
  <c r="R9" i="12"/>
  <c r="R8" i="12" s="1" a="1"/>
  <c r="R8" i="12" s="1"/>
  <c r="Q9" i="12"/>
  <c r="P9" i="12"/>
  <c r="P8" i="12" s="1" a="1"/>
  <c r="P8" i="12" s="1"/>
  <c r="O9" i="12"/>
  <c r="N9" i="12"/>
  <c r="N8" i="12" s="1" a="1"/>
  <c r="N8" i="12" s="1"/>
  <c r="M9" i="12"/>
  <c r="L9" i="12"/>
  <c r="L8" i="12" s="1" a="1"/>
  <c r="L8" i="12" s="1"/>
  <c r="K9" i="12"/>
  <c r="J9" i="12"/>
  <c r="J8" i="12" s="1" a="1"/>
  <c r="J8" i="12" s="1"/>
  <c r="I9" i="12"/>
  <c r="I8" i="12" s="1" a="1"/>
  <c r="I8" i="12" s="1"/>
  <c r="D9" i="12"/>
  <c r="D7" i="12"/>
  <c r="D6" i="12"/>
  <c r="W29" i="5"/>
  <c r="W21" i="5"/>
  <c r="V21" i="5"/>
  <c r="U21" i="5"/>
  <c r="K8" i="12" l="1" a="1"/>
  <c r="K8" i="12" s="1"/>
  <c r="H31" i="87"/>
  <c r="J18" i="90"/>
  <c r="I18" i="90"/>
  <c r="B20" i="87"/>
  <c r="K52" i="21"/>
  <c r="K53" i="21" s="1"/>
  <c r="K6" i="82"/>
  <c r="J52" i="21"/>
  <c r="J53" i="21" s="1"/>
  <c r="I6" i="82"/>
  <c r="K52" i="23"/>
  <c r="K53" i="23" s="1"/>
  <c r="K3" i="82"/>
  <c r="U24" i="17"/>
  <c r="U26" i="17" s="1"/>
  <c r="U39" i="18" a="1"/>
  <c r="U39" i="18" s="1"/>
  <c r="U40" i="18" a="1"/>
  <c r="U40" i="18" s="1"/>
  <c r="V24" i="17"/>
  <c r="U28" i="17" s="1"/>
  <c r="V40" i="18" a="1"/>
  <c r="V40" i="18" s="1"/>
  <c r="V39" i="18" a="1"/>
  <c r="V39" i="18" s="1"/>
  <c r="W35" i="17"/>
  <c r="W39" i="18" a="1"/>
  <c r="W39" i="18" s="1"/>
  <c r="W40" i="18" a="1"/>
  <c r="W40" i="18" s="1"/>
  <c r="V22" i="12" a="1"/>
  <c r="V22" i="12" s="1"/>
  <c r="V8" i="12" a="1"/>
  <c r="V8" i="12" s="1"/>
  <c r="W35" i="12"/>
  <c r="W8" i="12" a="1"/>
  <c r="W8" i="12" s="1"/>
  <c r="O8" i="14" a="1"/>
  <c r="O8" i="14" s="1"/>
  <c r="K52" i="19"/>
  <c r="K53" i="19" s="1"/>
  <c r="J52" i="19"/>
  <c r="J53" i="19" s="1"/>
  <c r="I52" i="19"/>
  <c r="I53" i="19" s="1"/>
  <c r="L26" i="23"/>
  <c r="L27" i="23" s="1"/>
  <c r="L23" i="21"/>
  <c r="L26" i="22"/>
  <c r="L27" i="22" s="1"/>
  <c r="L30" i="22" s="1"/>
  <c r="K30" i="22"/>
  <c r="L26" i="21"/>
  <c r="L27" i="21" s="1"/>
  <c r="L30" i="21" s="1"/>
  <c r="L6" i="90" s="1"/>
  <c r="I52" i="21"/>
  <c r="I53" i="21" s="1"/>
  <c r="K27" i="20"/>
  <c r="K30" i="20" s="1"/>
  <c r="L26" i="20"/>
  <c r="L27" i="20" s="1"/>
  <c r="L52" i="19"/>
  <c r="L53" i="19" s="1"/>
  <c r="K35" i="12"/>
  <c r="K41" i="10" a="1"/>
  <c r="K41" i="10" s="1"/>
  <c r="K42" i="10" a="1"/>
  <c r="K42" i="10" s="1"/>
  <c r="O35" i="12"/>
  <c r="O41" i="10" a="1"/>
  <c r="O41" i="10" s="1"/>
  <c r="O42" i="10" a="1"/>
  <c r="O42" i="10" s="1"/>
  <c r="S35" i="12"/>
  <c r="S41" i="10" a="1"/>
  <c r="S41" i="10" s="1"/>
  <c r="S42" i="10" a="1"/>
  <c r="S42" i="10" s="1"/>
  <c r="J33" i="18" a="1"/>
  <c r="J33" i="18" s="1"/>
  <c r="J34" i="18" a="1"/>
  <c r="J34" i="18" s="1"/>
  <c r="N33" i="18" a="1"/>
  <c r="N33" i="18" s="1"/>
  <c r="N34" i="18" a="1"/>
  <c r="N34" i="18" s="1"/>
  <c r="R33" i="18" a="1"/>
  <c r="R33" i="18" s="1"/>
  <c r="R34" i="18" a="1"/>
  <c r="R34" i="18" s="1"/>
  <c r="L35" i="14"/>
  <c r="L37" i="18" a="1"/>
  <c r="L37" i="18" s="1"/>
  <c r="L38" i="18" a="1"/>
  <c r="L38" i="18" s="1"/>
  <c r="P35" i="14"/>
  <c r="P37" i="18" a="1"/>
  <c r="P37" i="18" s="1"/>
  <c r="P38" i="18" a="1"/>
  <c r="P38" i="18" s="1"/>
  <c r="T35" i="14"/>
  <c r="T37" i="18" a="1"/>
  <c r="T37" i="18" s="1"/>
  <c r="T38" i="18" a="1"/>
  <c r="T38" i="18" s="1"/>
  <c r="K35" i="15"/>
  <c r="K36" i="18" a="1"/>
  <c r="K36" i="18" s="1"/>
  <c r="K35" i="18" a="1"/>
  <c r="K35" i="18" s="1"/>
  <c r="O35" i="15"/>
  <c r="O36" i="18" a="1"/>
  <c r="O36" i="18" s="1"/>
  <c r="O35" i="18" a="1"/>
  <c r="O35" i="18" s="1"/>
  <c r="S35" i="15"/>
  <c r="S36" i="18" a="1"/>
  <c r="S36" i="18" s="1"/>
  <c r="S35" i="18" a="1"/>
  <c r="S35" i="18" s="1"/>
  <c r="J24" i="16"/>
  <c r="J41" i="18" a="1"/>
  <c r="J41" i="18" s="1"/>
  <c r="J42" i="18" a="1"/>
  <c r="J42" i="18" s="1"/>
  <c r="N24" i="16"/>
  <c r="N41" i="18" a="1"/>
  <c r="N41" i="18" s="1"/>
  <c r="N42" i="18" a="1"/>
  <c r="N42" i="18" s="1"/>
  <c r="R24" i="16"/>
  <c r="R41" i="18" a="1"/>
  <c r="R41" i="18" s="1"/>
  <c r="R42" i="18" a="1"/>
  <c r="R42" i="18" s="1"/>
  <c r="J24" i="17"/>
  <c r="J39" i="18" a="1"/>
  <c r="J39" i="18" s="1"/>
  <c r="J40" i="18" a="1"/>
  <c r="J40" i="18" s="1"/>
  <c r="N24" i="17"/>
  <c r="N39" i="18" a="1"/>
  <c r="N39" i="18" s="1"/>
  <c r="N40" i="18" a="1"/>
  <c r="N40" i="18" s="1"/>
  <c r="R24" i="17"/>
  <c r="R39" i="18" a="1"/>
  <c r="R39" i="18" s="1"/>
  <c r="R40" i="18" a="1"/>
  <c r="R40" i="18" s="1"/>
  <c r="L35" i="12"/>
  <c r="L41" i="10" a="1"/>
  <c r="L41" i="10" s="1"/>
  <c r="L42" i="10" a="1"/>
  <c r="L42" i="10" s="1"/>
  <c r="P35" i="12"/>
  <c r="P42" i="10" a="1"/>
  <c r="P42" i="10" s="1"/>
  <c r="P41" i="10" a="1"/>
  <c r="P41" i="10" s="1"/>
  <c r="T35" i="12"/>
  <c r="T41" i="10" a="1"/>
  <c r="T41" i="10" s="1"/>
  <c r="T42" i="10" a="1"/>
  <c r="T42" i="10" s="1"/>
  <c r="K35" i="13"/>
  <c r="K33" i="18" a="1"/>
  <c r="K33" i="18" s="1"/>
  <c r="K34" i="18" a="1"/>
  <c r="K34" i="18" s="1"/>
  <c r="O33" i="18" a="1"/>
  <c r="O33" i="18" s="1"/>
  <c r="O34" i="18" a="1"/>
  <c r="O34" i="18" s="1"/>
  <c r="S35" i="13"/>
  <c r="S33" i="18" a="1"/>
  <c r="S33" i="18" s="1"/>
  <c r="S34" i="18" a="1"/>
  <c r="S34" i="18" s="1"/>
  <c r="I24" i="14"/>
  <c r="I26" i="14" s="1"/>
  <c r="I37" i="18" a="1"/>
  <c r="I37" i="18" s="1"/>
  <c r="I38" i="18" a="1"/>
  <c r="I38" i="18" s="1"/>
  <c r="M24" i="14"/>
  <c r="M38" i="18" a="1"/>
  <c r="M38" i="18" s="1"/>
  <c r="M37" i="18" a="1"/>
  <c r="M37" i="18" s="1"/>
  <c r="Q24" i="14"/>
  <c r="Q38" i="18" a="1"/>
  <c r="Q38" i="18" s="1"/>
  <c r="Q37" i="18" a="1"/>
  <c r="Q37" i="18" s="1"/>
  <c r="M8" i="14" a="1"/>
  <c r="M8" i="14" s="1"/>
  <c r="K8" i="15" a="1"/>
  <c r="K8" i="15" s="1"/>
  <c r="S8" i="15" a="1"/>
  <c r="S8" i="15" s="1"/>
  <c r="L35" i="15"/>
  <c r="L35" i="18" a="1"/>
  <c r="L35" i="18" s="1"/>
  <c r="L36" i="18" a="1"/>
  <c r="L36" i="18" s="1"/>
  <c r="P35" i="15"/>
  <c r="P35" i="18" a="1"/>
  <c r="P35" i="18" s="1"/>
  <c r="P36" i="18" a="1"/>
  <c r="P36" i="18" s="1"/>
  <c r="T35" i="15"/>
  <c r="T35" i="18" a="1"/>
  <c r="T35" i="18" s="1"/>
  <c r="T36" i="18" a="1"/>
  <c r="T36" i="18" s="1"/>
  <c r="K35" i="16"/>
  <c r="K41" i="18" a="1"/>
  <c r="K41" i="18" s="1"/>
  <c r="K42" i="18" a="1"/>
  <c r="K42" i="18" s="1"/>
  <c r="O35" i="16"/>
  <c r="O41" i="18" a="1"/>
  <c r="O41" i="18" s="1"/>
  <c r="O42" i="18" a="1"/>
  <c r="O42" i="18" s="1"/>
  <c r="S35" i="16"/>
  <c r="S41" i="18" a="1"/>
  <c r="S41" i="18" s="1"/>
  <c r="S42" i="18" a="1"/>
  <c r="S42" i="18" s="1"/>
  <c r="I42" i="10" a="1"/>
  <c r="I42" i="10" s="1"/>
  <c r="I41" i="10" a="1"/>
  <c r="I41" i="10" s="1"/>
  <c r="M42" i="10" a="1"/>
  <c r="M42" i="10" s="1"/>
  <c r="M41" i="10" a="1"/>
  <c r="M41" i="10" s="1"/>
  <c r="Q42" i="10" a="1"/>
  <c r="Q42" i="10" s="1"/>
  <c r="Q41" i="10" a="1"/>
  <c r="Q41" i="10" s="1"/>
  <c r="L35" i="13"/>
  <c r="L33" i="18" a="1"/>
  <c r="L33" i="18" s="1"/>
  <c r="L34" i="18" a="1"/>
  <c r="L34" i="18" s="1"/>
  <c r="P35" i="13"/>
  <c r="P33" i="18" a="1"/>
  <c r="P33" i="18" s="1"/>
  <c r="P34" i="18" a="1"/>
  <c r="P34" i="18" s="1"/>
  <c r="T35" i="13"/>
  <c r="T33" i="18" a="1"/>
  <c r="T33" i="18" s="1"/>
  <c r="T34" i="18" a="1"/>
  <c r="T34" i="18" s="1"/>
  <c r="U8" i="14" a="1"/>
  <c r="U8" i="14" s="1"/>
  <c r="J37" i="18" a="1"/>
  <c r="J37" i="18" s="1"/>
  <c r="J38" i="18" a="1"/>
  <c r="J38" i="18" s="1"/>
  <c r="N37" i="18" a="1"/>
  <c r="N37" i="18" s="1"/>
  <c r="N38" i="18" a="1"/>
  <c r="N38" i="18" s="1"/>
  <c r="R37" i="18" a="1"/>
  <c r="R37" i="18" s="1"/>
  <c r="R38" i="18" a="1"/>
  <c r="R38" i="18" s="1"/>
  <c r="V8" i="14" a="1"/>
  <c r="V8" i="14" s="1"/>
  <c r="I24" i="15"/>
  <c r="I26" i="15" s="1"/>
  <c r="I36" i="18" a="1"/>
  <c r="I36" i="18" s="1"/>
  <c r="I35" i="18" a="1"/>
  <c r="I35" i="18" s="1"/>
  <c r="M24" i="15"/>
  <c r="M35" i="18" a="1"/>
  <c r="M35" i="18" s="1"/>
  <c r="M36" i="18" a="1"/>
  <c r="M36" i="18" s="1"/>
  <c r="Q24" i="15"/>
  <c r="Q35" i="18" a="1"/>
  <c r="Q35" i="18" s="1"/>
  <c r="Q36" i="18" a="1"/>
  <c r="Q36" i="18" s="1"/>
  <c r="B7" i="16"/>
  <c r="C18" i="16" s="1"/>
  <c r="L35" i="16"/>
  <c r="L41" i="18" a="1"/>
  <c r="L41" i="18" s="1"/>
  <c r="L42" i="18" a="1"/>
  <c r="L42" i="18" s="1"/>
  <c r="P35" i="16"/>
  <c r="P41" i="18" a="1"/>
  <c r="P41" i="18" s="1"/>
  <c r="P42" i="18" a="1"/>
  <c r="P42" i="18" s="1"/>
  <c r="T35" i="16"/>
  <c r="T41" i="18" a="1"/>
  <c r="T41" i="18" s="1"/>
  <c r="T42" i="18" a="1"/>
  <c r="T42" i="18" s="1"/>
  <c r="K24" i="16"/>
  <c r="L35" i="17"/>
  <c r="L39" i="18" a="1"/>
  <c r="L39" i="18" s="1"/>
  <c r="L40" i="18" a="1"/>
  <c r="L40" i="18" s="1"/>
  <c r="P35" i="17"/>
  <c r="P39" i="18" a="1"/>
  <c r="P39" i="18" s="1"/>
  <c r="P40" i="18" a="1"/>
  <c r="P40" i="18" s="1"/>
  <c r="T35" i="17"/>
  <c r="T39" i="18" a="1"/>
  <c r="T39" i="18" s="1"/>
  <c r="T40" i="18" a="1"/>
  <c r="T40" i="18" s="1"/>
  <c r="J36" i="12" a="1"/>
  <c r="J36" i="12" s="1"/>
  <c r="J41" i="10" a="1"/>
  <c r="J41" i="10" s="1"/>
  <c r="J42" i="10" a="1"/>
  <c r="J42" i="10" s="1"/>
  <c r="N36" i="12" a="1"/>
  <c r="N36" i="12" s="1"/>
  <c r="N41" i="10" a="1"/>
  <c r="N41" i="10" s="1"/>
  <c r="N42" i="10" a="1"/>
  <c r="N42" i="10" s="1"/>
  <c r="R36" i="12" a="1"/>
  <c r="R36" i="12" s="1"/>
  <c r="R41" i="10" a="1"/>
  <c r="R41" i="10" s="1"/>
  <c r="R42" i="10" a="1"/>
  <c r="R42" i="10" s="1"/>
  <c r="I24" i="13"/>
  <c r="I26" i="13" s="1"/>
  <c r="I33" i="18" a="1"/>
  <c r="I33" i="18" s="1"/>
  <c r="I34" i="18" a="1"/>
  <c r="I34" i="18" s="1"/>
  <c r="M24" i="13"/>
  <c r="M34" i="18" a="1"/>
  <c r="M34" i="18" s="1"/>
  <c r="M33" i="18" a="1"/>
  <c r="M33" i="18" s="1"/>
  <c r="Q24" i="13"/>
  <c r="Q34" i="18" a="1"/>
  <c r="Q34" i="18" s="1"/>
  <c r="Q33" i="18" a="1"/>
  <c r="Q33" i="18" s="1"/>
  <c r="K35" i="14"/>
  <c r="K37" i="18" a="1"/>
  <c r="K37" i="18" s="1"/>
  <c r="K38" i="18" a="1"/>
  <c r="K38" i="18" s="1"/>
  <c r="O35" i="14"/>
  <c r="O37" i="18" a="1"/>
  <c r="O37" i="18" s="1"/>
  <c r="O38" i="18" a="1"/>
  <c r="O38" i="18" s="1"/>
  <c r="S35" i="14"/>
  <c r="S37" i="18" a="1"/>
  <c r="S37" i="18" s="1"/>
  <c r="S38" i="18" a="1"/>
  <c r="S38" i="18" s="1"/>
  <c r="O8" i="15" a="1"/>
  <c r="O8" i="15" s="1"/>
  <c r="J35" i="18" a="1"/>
  <c r="J35" i="18" s="1"/>
  <c r="J36" i="18" a="1"/>
  <c r="J36" i="18" s="1"/>
  <c r="N35" i="18" a="1"/>
  <c r="N35" i="18" s="1"/>
  <c r="N36" i="18" a="1"/>
  <c r="N36" i="18" s="1"/>
  <c r="R35" i="18" a="1"/>
  <c r="R35" i="18" s="1"/>
  <c r="R36" i="18" a="1"/>
  <c r="R36" i="18" s="1"/>
  <c r="I24" i="16"/>
  <c r="I41" i="18" a="1"/>
  <c r="I41" i="18" s="1"/>
  <c r="I42" i="18" a="1"/>
  <c r="I42" i="18" s="1"/>
  <c r="M24" i="16"/>
  <c r="M42" i="18" a="1"/>
  <c r="M42" i="18" s="1"/>
  <c r="M41" i="18" a="1"/>
  <c r="M41" i="18" s="1"/>
  <c r="Q24" i="16"/>
  <c r="Q42" i="18" a="1"/>
  <c r="Q42" i="18" s="1"/>
  <c r="Q41" i="18" a="1"/>
  <c r="Q41" i="18" s="1"/>
  <c r="I35" i="16"/>
  <c r="M36" i="16" a="1"/>
  <c r="M36" i="16" s="1"/>
  <c r="Q35" i="16"/>
  <c r="U36" i="16" a="1"/>
  <c r="U36" i="16" s="1"/>
  <c r="K36" i="16" a="1"/>
  <c r="K36" i="16" s="1"/>
  <c r="I24" i="17"/>
  <c r="I26" i="17" s="1"/>
  <c r="I40" i="18" a="1"/>
  <c r="I40" i="18" s="1"/>
  <c r="I39" i="18" a="1"/>
  <c r="I39" i="18" s="1"/>
  <c r="M24" i="17"/>
  <c r="M39" i="18" a="1"/>
  <c r="M39" i="18" s="1"/>
  <c r="M40" i="18" a="1"/>
  <c r="M40" i="18" s="1"/>
  <c r="Q24" i="17"/>
  <c r="Q39" i="18" a="1"/>
  <c r="Q39" i="18" s="1"/>
  <c r="Q40" i="18" a="1"/>
  <c r="Q40" i="18" s="1"/>
  <c r="O36" i="16" a="1"/>
  <c r="O36" i="16" s="1"/>
  <c r="S24" i="16"/>
  <c r="W36" i="16" a="1"/>
  <c r="W36" i="16" s="1"/>
  <c r="K35" i="17"/>
  <c r="K40" i="18" a="1"/>
  <c r="K40" i="18" s="1"/>
  <c r="K39" i="18" a="1"/>
  <c r="K39" i="18" s="1"/>
  <c r="O35" i="17"/>
  <c r="O40" i="18" a="1"/>
  <c r="O40" i="18" s="1"/>
  <c r="O39" i="18" a="1"/>
  <c r="O39" i="18" s="1"/>
  <c r="S35" i="17"/>
  <c r="S40" i="18" a="1"/>
  <c r="S40" i="18" s="1"/>
  <c r="S39" i="18" a="1"/>
  <c r="S39" i="18" s="1"/>
  <c r="M26" i="19"/>
  <c r="M27" i="19" s="1"/>
  <c r="M30" i="19" s="1"/>
  <c r="M52" i="19" s="1"/>
  <c r="M53" i="19" s="1"/>
  <c r="I23" i="16"/>
  <c r="M35" i="16"/>
  <c r="I36" i="16" a="1"/>
  <c r="I36" i="16" s="1"/>
  <c r="Q36" i="16" a="1"/>
  <c r="Q36" i="16" s="1"/>
  <c r="O24" i="16"/>
  <c r="S36" i="16" a="1"/>
  <c r="S36" i="16" s="1"/>
  <c r="U35" i="16"/>
  <c r="U25" i="16" s="1" a="1"/>
  <c r="U25" i="16" s="1"/>
  <c r="W24" i="16"/>
  <c r="V28" i="16" s="1"/>
  <c r="W26" i="16" s="1"/>
  <c r="I8" i="14" a="1"/>
  <c r="I8" i="14" s="1"/>
  <c r="Q8" i="14" a="1"/>
  <c r="Q8" i="14" s="1"/>
  <c r="K8" i="14" a="1"/>
  <c r="K8" i="14" s="1"/>
  <c r="S8" i="14" a="1"/>
  <c r="S8" i="14" s="1"/>
  <c r="D18" i="14"/>
  <c r="Q8" i="13" a="1"/>
  <c r="Q8" i="13" s="1"/>
  <c r="U8" i="13" a="1"/>
  <c r="U8" i="13" s="1"/>
  <c r="U24" i="13"/>
  <c r="V8" i="13" a="1"/>
  <c r="V8" i="13" s="1"/>
  <c r="M8" i="13" a="1"/>
  <c r="M8" i="13" s="1"/>
  <c r="D18" i="13"/>
  <c r="I23" i="13"/>
  <c r="J23" i="13" s="1"/>
  <c r="K23" i="13" s="1"/>
  <c r="L23" i="13" s="1"/>
  <c r="M23" i="13" s="1"/>
  <c r="N23" i="13" s="1"/>
  <c r="O23" i="13" s="1"/>
  <c r="P23" i="13" s="1"/>
  <c r="Q23" i="13" s="1"/>
  <c r="R23" i="13" s="1"/>
  <c r="S23" i="13" s="1"/>
  <c r="T23" i="13" s="1"/>
  <c r="D19" i="17"/>
  <c r="K24" i="17"/>
  <c r="O24" i="17"/>
  <c r="S24" i="17"/>
  <c r="W24" i="17"/>
  <c r="I35" i="17"/>
  <c r="M35" i="17"/>
  <c r="Q35" i="17"/>
  <c r="U35" i="17"/>
  <c r="I36" i="17" a="1"/>
  <c r="I36" i="17" s="1"/>
  <c r="K36" i="17" a="1"/>
  <c r="K36" i="17" s="1"/>
  <c r="M36" i="17" a="1"/>
  <c r="M36" i="17" s="1"/>
  <c r="O36" i="17" a="1"/>
  <c r="O36" i="17" s="1"/>
  <c r="Q36" i="17" a="1"/>
  <c r="Q36" i="17" s="1"/>
  <c r="S36" i="17" a="1"/>
  <c r="S36" i="17" s="1"/>
  <c r="U36" i="17" a="1"/>
  <c r="U36" i="17" s="1"/>
  <c r="W36" i="17" a="1"/>
  <c r="W36" i="17" s="1"/>
  <c r="L24" i="17"/>
  <c r="P24" i="17"/>
  <c r="T24" i="17"/>
  <c r="J35" i="17"/>
  <c r="N35" i="17"/>
  <c r="R35" i="17"/>
  <c r="V35" i="17"/>
  <c r="J23" i="17"/>
  <c r="J36" i="17" a="1"/>
  <c r="J36" i="17" s="1"/>
  <c r="L36" i="17" a="1"/>
  <c r="L36" i="17" s="1"/>
  <c r="N36" i="17" a="1"/>
  <c r="N36" i="17" s="1"/>
  <c r="P36" i="17" a="1"/>
  <c r="P36" i="17" s="1"/>
  <c r="R36" i="17" a="1"/>
  <c r="R36" i="17" s="1"/>
  <c r="T36" i="17" a="1"/>
  <c r="T36" i="17" s="1"/>
  <c r="V36" i="17" a="1"/>
  <c r="V36" i="17" s="1"/>
  <c r="H21" i="17"/>
  <c r="U26" i="16"/>
  <c r="U28" i="16"/>
  <c r="L24" i="16"/>
  <c r="P24" i="16"/>
  <c r="T24" i="16"/>
  <c r="J35" i="16"/>
  <c r="N35" i="16"/>
  <c r="R35" i="16"/>
  <c r="V35" i="16"/>
  <c r="V25" i="16" s="1" a="1"/>
  <c r="V25" i="16" s="1"/>
  <c r="J36" i="16" a="1"/>
  <c r="J36" i="16" s="1"/>
  <c r="L36" i="16" a="1"/>
  <c r="L36" i="16" s="1"/>
  <c r="N36" i="16" a="1"/>
  <c r="N36" i="16" s="1"/>
  <c r="P36" i="16" a="1"/>
  <c r="P36" i="16" s="1"/>
  <c r="R36" i="16" a="1"/>
  <c r="R36" i="16" s="1"/>
  <c r="T36" i="16" a="1"/>
  <c r="T36" i="16" s="1"/>
  <c r="V36" i="16" a="1"/>
  <c r="V36" i="16" s="1"/>
  <c r="H21" i="16"/>
  <c r="J24" i="15"/>
  <c r="N24" i="15"/>
  <c r="R24" i="15"/>
  <c r="V24" i="15"/>
  <c r="I35" i="15"/>
  <c r="M35" i="15"/>
  <c r="Q35" i="15"/>
  <c r="U35" i="15"/>
  <c r="U25" i="15" s="1" a="1"/>
  <c r="U25" i="15" s="1"/>
  <c r="I36" i="15" a="1"/>
  <c r="I36" i="15" s="1"/>
  <c r="K36" i="15" a="1"/>
  <c r="K36" i="15" s="1"/>
  <c r="M36" i="15" a="1"/>
  <c r="M36" i="15" s="1"/>
  <c r="O36" i="15" a="1"/>
  <c r="O36" i="15" s="1"/>
  <c r="Q36" i="15" a="1"/>
  <c r="Q36" i="15" s="1"/>
  <c r="S36" i="15" a="1"/>
  <c r="S36" i="15" s="1"/>
  <c r="U36" i="15" a="1"/>
  <c r="U36" i="15" s="1"/>
  <c r="W36" i="15" a="1"/>
  <c r="W36" i="15" s="1"/>
  <c r="D19" i="15"/>
  <c r="K24" i="15"/>
  <c r="O24" i="15"/>
  <c r="S24" i="15"/>
  <c r="W24" i="15"/>
  <c r="J35" i="15"/>
  <c r="N35" i="15"/>
  <c r="R35" i="15"/>
  <c r="V35" i="15"/>
  <c r="L24" i="15"/>
  <c r="P24" i="15"/>
  <c r="T24" i="15"/>
  <c r="J36" i="15" a="1"/>
  <c r="J36" i="15" s="1"/>
  <c r="L36" i="15" a="1"/>
  <c r="L36" i="15" s="1"/>
  <c r="N36" i="15" a="1"/>
  <c r="N36" i="15" s="1"/>
  <c r="P36" i="15" a="1"/>
  <c r="P36" i="15" s="1"/>
  <c r="R36" i="15" a="1"/>
  <c r="R36" i="15" s="1"/>
  <c r="T36" i="15" a="1"/>
  <c r="T36" i="15" s="1"/>
  <c r="V36" i="15" a="1"/>
  <c r="V36" i="15" s="1"/>
  <c r="J24" i="14"/>
  <c r="N24" i="14"/>
  <c r="R24" i="14"/>
  <c r="V24" i="14"/>
  <c r="I35" i="14"/>
  <c r="M35" i="14"/>
  <c r="Q35" i="14"/>
  <c r="U35" i="14"/>
  <c r="U25" i="14" s="1" a="1"/>
  <c r="U25" i="14" s="1"/>
  <c r="I36" i="14" a="1"/>
  <c r="I36" i="14" s="1"/>
  <c r="K36" i="14" a="1"/>
  <c r="K36" i="14" s="1"/>
  <c r="M36" i="14" a="1"/>
  <c r="M36" i="14" s="1"/>
  <c r="O36" i="14" a="1"/>
  <c r="O36" i="14" s="1"/>
  <c r="Q36" i="14" a="1"/>
  <c r="Q36" i="14" s="1"/>
  <c r="S36" i="14" a="1"/>
  <c r="S36" i="14" s="1"/>
  <c r="U36" i="14" a="1"/>
  <c r="U36" i="14" s="1"/>
  <c r="W36" i="14" a="1"/>
  <c r="W36" i="14" s="1"/>
  <c r="D19" i="14"/>
  <c r="K24" i="14"/>
  <c r="O24" i="14"/>
  <c r="S24" i="14"/>
  <c r="W24" i="14"/>
  <c r="J35" i="14"/>
  <c r="N35" i="14"/>
  <c r="R35" i="14"/>
  <c r="V35" i="14"/>
  <c r="L24" i="14"/>
  <c r="P24" i="14"/>
  <c r="T24" i="14"/>
  <c r="J36" i="14" a="1"/>
  <c r="J36" i="14" s="1"/>
  <c r="L36" i="14" a="1"/>
  <c r="L36" i="14" s="1"/>
  <c r="N36" i="14" a="1"/>
  <c r="N36" i="14" s="1"/>
  <c r="P36" i="14" a="1"/>
  <c r="P36" i="14" s="1"/>
  <c r="R36" i="14" a="1"/>
  <c r="R36" i="14" s="1"/>
  <c r="T36" i="14" a="1"/>
  <c r="T36" i="14" s="1"/>
  <c r="V36" i="14" a="1"/>
  <c r="V36" i="14" s="1"/>
  <c r="W8" i="13" a="1"/>
  <c r="W8" i="13" s="1"/>
  <c r="J24" i="13"/>
  <c r="N24" i="13"/>
  <c r="R24" i="13"/>
  <c r="V24" i="13"/>
  <c r="I35" i="13"/>
  <c r="M35" i="13"/>
  <c r="Q35" i="13"/>
  <c r="U35" i="13"/>
  <c r="I36" i="13" a="1"/>
  <c r="I36" i="13" s="1"/>
  <c r="K36" i="13" a="1"/>
  <c r="K36" i="13" s="1"/>
  <c r="M36" i="13" a="1"/>
  <c r="M36" i="13" s="1"/>
  <c r="O36" i="13" a="1"/>
  <c r="O36" i="13" s="1"/>
  <c r="Q36" i="13" a="1"/>
  <c r="Q36" i="13" s="1"/>
  <c r="S36" i="13" a="1"/>
  <c r="S36" i="13" s="1"/>
  <c r="U36" i="13" a="1"/>
  <c r="U36" i="13" s="1"/>
  <c r="W36" i="13" a="1"/>
  <c r="W36" i="13" s="1"/>
  <c r="K24" i="13"/>
  <c r="O24" i="13"/>
  <c r="S24" i="13"/>
  <c r="W24" i="13"/>
  <c r="J35" i="13"/>
  <c r="N35" i="13"/>
  <c r="R35" i="13"/>
  <c r="V35" i="13"/>
  <c r="K8" i="13" a="1"/>
  <c r="K8" i="13" s="1"/>
  <c r="O8" i="13" a="1"/>
  <c r="O8" i="13" s="1"/>
  <c r="S8" i="13" a="1"/>
  <c r="S8" i="13" s="1"/>
  <c r="T24" i="13"/>
  <c r="O35" i="13"/>
  <c r="J36" i="13" a="1"/>
  <c r="J36" i="13" s="1"/>
  <c r="L36" i="13" a="1"/>
  <c r="L36" i="13" s="1"/>
  <c r="N36" i="13" a="1"/>
  <c r="N36" i="13" s="1"/>
  <c r="P36" i="13" a="1"/>
  <c r="P36" i="13" s="1"/>
  <c r="R36" i="13" a="1"/>
  <c r="R36" i="13" s="1"/>
  <c r="T36" i="13" a="1"/>
  <c r="T36" i="13" s="1"/>
  <c r="V36" i="13" a="1"/>
  <c r="V36" i="13" s="1"/>
  <c r="L24" i="13"/>
  <c r="P24" i="13"/>
  <c r="P25" i="13" s="1" a="1"/>
  <c r="P25" i="13" s="1"/>
  <c r="N22" i="12" a="1"/>
  <c r="N22" i="12" s="1"/>
  <c r="R22" i="12" a="1"/>
  <c r="R22" i="12" s="1"/>
  <c r="J22" i="12" a="1"/>
  <c r="J22" i="12" s="1"/>
  <c r="L22" i="12" a="1"/>
  <c r="L22" i="12" s="1"/>
  <c r="P22" i="12" a="1"/>
  <c r="P22" i="12" s="1"/>
  <c r="T22" i="12" a="1"/>
  <c r="T22" i="12" s="1"/>
  <c r="V24" i="12"/>
  <c r="U28" i="12" s="1"/>
  <c r="D18" i="12"/>
  <c r="M24" i="12"/>
  <c r="M22" i="12" a="1"/>
  <c r="M22" i="12" s="1"/>
  <c r="M36" i="12" a="1"/>
  <c r="M36" i="12" s="1"/>
  <c r="M35" i="12"/>
  <c r="D19" i="12"/>
  <c r="Q24" i="12"/>
  <c r="Q22" i="12" a="1"/>
  <c r="Q22" i="12" s="1"/>
  <c r="Q36" i="12" a="1"/>
  <c r="Q36" i="12" s="1"/>
  <c r="Q35" i="12"/>
  <c r="U24" i="12"/>
  <c r="U22" i="12" a="1"/>
  <c r="U22" i="12" s="1"/>
  <c r="U36" i="12" a="1"/>
  <c r="U36" i="12" s="1"/>
  <c r="U35" i="12"/>
  <c r="I24" i="12"/>
  <c r="I22" i="12" a="1"/>
  <c r="I22" i="12" s="1"/>
  <c r="I36" i="12" a="1"/>
  <c r="I36" i="12" s="1"/>
  <c r="I35" i="12"/>
  <c r="K36" i="12" a="1"/>
  <c r="K36" i="12" s="1"/>
  <c r="O36" i="12" a="1"/>
  <c r="O36" i="12" s="1"/>
  <c r="S36" i="12" a="1"/>
  <c r="S36" i="12" s="1"/>
  <c r="W36" i="12" a="1"/>
  <c r="W36" i="12" s="1"/>
  <c r="J24" i="12"/>
  <c r="N24" i="12"/>
  <c r="R24" i="12"/>
  <c r="K22" i="12" a="1"/>
  <c r="K22" i="12" s="1"/>
  <c r="O22" i="12" a="1"/>
  <c r="O22" i="12" s="1"/>
  <c r="S22" i="12" a="1"/>
  <c r="S22" i="12" s="1"/>
  <c r="W22" i="12" a="1"/>
  <c r="W22" i="12" s="1"/>
  <c r="K24" i="12"/>
  <c r="O24" i="12"/>
  <c r="S24" i="12"/>
  <c r="W24" i="12"/>
  <c r="J35" i="12"/>
  <c r="N35" i="12"/>
  <c r="R35" i="12"/>
  <c r="V35" i="12"/>
  <c r="L24" i="12"/>
  <c r="P24" i="12"/>
  <c r="T24" i="12"/>
  <c r="L36" i="12" a="1"/>
  <c r="L36" i="12" s="1"/>
  <c r="P36" i="12" a="1"/>
  <c r="P36" i="12" s="1"/>
  <c r="T36" i="12" a="1"/>
  <c r="T36" i="12" s="1"/>
  <c r="V36" i="12" a="1"/>
  <c r="V36" i="12" s="1"/>
  <c r="C2" i="11" a="1"/>
  <c r="C2" i="11" s="1"/>
  <c r="D2" i="11" a="1"/>
  <c r="D2" i="11" s="1"/>
  <c r="E2" i="11" a="1"/>
  <c r="E2" i="11" s="1"/>
  <c r="F2" i="11" a="1"/>
  <c r="F2" i="11" s="1"/>
  <c r="G2" i="11" a="1"/>
  <c r="G2" i="11" s="1"/>
  <c r="H2" i="11" a="1"/>
  <c r="H2" i="11" s="1"/>
  <c r="I2" i="11" a="1"/>
  <c r="I2" i="11" s="1"/>
  <c r="J2" i="11" a="1"/>
  <c r="J2" i="11" s="1"/>
  <c r="K2" i="11" a="1"/>
  <c r="K2" i="11" s="1"/>
  <c r="B2" i="11" a="1"/>
  <c r="B2" i="11" s="1"/>
  <c r="B18" i="5"/>
  <c r="C18" i="5" s="1"/>
  <c r="U25" i="17" l="1" a="1"/>
  <c r="U25" i="17" s="1"/>
  <c r="K25" i="16" a="1"/>
  <c r="K25" i="16" s="1"/>
  <c r="P25" i="15" a="1"/>
  <c r="P25" i="15" s="1"/>
  <c r="P31" i="15" s="1"/>
  <c r="O25" i="15" a="1"/>
  <c r="O25" i="15" s="1"/>
  <c r="O31" i="15" s="1"/>
  <c r="J72" i="90"/>
  <c r="J73" i="90" s="1"/>
  <c r="K25" i="12" a="1"/>
  <c r="K25" i="12" s="1"/>
  <c r="K31" i="12" s="1"/>
  <c r="U25" i="13" a="1"/>
  <c r="U25" i="13" s="1"/>
  <c r="I25" i="15" a="1"/>
  <c r="I25" i="15" s="1"/>
  <c r="I27" i="15" s="1"/>
  <c r="P25" i="17" a="1"/>
  <c r="P25" i="17" s="1"/>
  <c r="P31" i="17" s="1"/>
  <c r="V25" i="17" a="1"/>
  <c r="V25" i="17" s="1"/>
  <c r="K5" i="82"/>
  <c r="K18" i="90"/>
  <c r="L5" i="82"/>
  <c r="I72" i="90"/>
  <c r="I73" i="90" s="1"/>
  <c r="L52" i="21"/>
  <c r="L53" i="21" s="1"/>
  <c r="L6" i="82"/>
  <c r="K52" i="20"/>
  <c r="K53" i="20" s="1"/>
  <c r="K4" i="82"/>
  <c r="Q25" i="15" a="1"/>
  <c r="Q25" i="15" s="1"/>
  <c r="Q31" i="15" s="1"/>
  <c r="R25" i="16" a="1"/>
  <c r="R25" i="16" s="1"/>
  <c r="R31" i="16" s="1"/>
  <c r="O25" i="12" a="1"/>
  <c r="O25" i="12" s="1"/>
  <c r="O31" i="12" s="1"/>
  <c r="L25" i="12" a="1"/>
  <c r="L25" i="12" s="1"/>
  <c r="S25" i="16" a="1"/>
  <c r="S25" i="16" s="1"/>
  <c r="S31" i="16" s="1"/>
  <c r="L25" i="13" a="1"/>
  <c r="L25" i="13" s="1"/>
  <c r="L31" i="13" s="1"/>
  <c r="I25" i="13" a="1"/>
  <c r="I25" i="13" s="1"/>
  <c r="I31" i="13" s="1"/>
  <c r="P25" i="12" a="1"/>
  <c r="P25" i="12" s="1"/>
  <c r="Q25" i="13" a="1"/>
  <c r="Q25" i="13" s="1"/>
  <c r="Q31" i="13" s="1"/>
  <c r="T25" i="15" a="1"/>
  <c r="T25" i="15" s="1"/>
  <c r="T31" i="15" s="1"/>
  <c r="S25" i="15" a="1"/>
  <c r="S25" i="15" s="1"/>
  <c r="S31" i="15" s="1"/>
  <c r="P25" i="16" a="1"/>
  <c r="P25" i="16" s="1"/>
  <c r="P31" i="16" s="1"/>
  <c r="S25" i="12" a="1"/>
  <c r="S25" i="12" s="1"/>
  <c r="S31" i="12" s="1"/>
  <c r="I25" i="16" a="1"/>
  <c r="I25" i="16" s="1"/>
  <c r="I31" i="16" s="1"/>
  <c r="Q25" i="16" a="1"/>
  <c r="Q25" i="16" s="1"/>
  <c r="Q31" i="16" s="1"/>
  <c r="T25" i="12" a="1"/>
  <c r="T25" i="12" s="1"/>
  <c r="T31" i="12" s="1"/>
  <c r="S25" i="13" a="1"/>
  <c r="S25" i="13" s="1"/>
  <c r="S31" i="13" s="1"/>
  <c r="J25" i="16" a="1"/>
  <c r="J25" i="16" s="1"/>
  <c r="J31" i="16" s="1"/>
  <c r="T25" i="16" a="1"/>
  <c r="T25" i="16" s="1"/>
  <c r="T31" i="16" s="1"/>
  <c r="M25" i="14" a="1"/>
  <c r="M25" i="14" s="1"/>
  <c r="M31" i="14" s="1"/>
  <c r="L25" i="14" a="1"/>
  <c r="L25" i="14" s="1"/>
  <c r="L31" i="14" s="1"/>
  <c r="R25" i="17" a="1"/>
  <c r="R25" i="17" s="1"/>
  <c r="R31" i="17" s="1"/>
  <c r="T25" i="17" a="1"/>
  <c r="T25" i="17" s="1"/>
  <c r="T31" i="17" s="1"/>
  <c r="O25" i="14" a="1"/>
  <c r="O25" i="14" s="1"/>
  <c r="O31" i="14" s="1"/>
  <c r="T25" i="14" a="1"/>
  <c r="T25" i="14" s="1"/>
  <c r="T31" i="14" s="1"/>
  <c r="N25" i="17" a="1"/>
  <c r="N25" i="17" s="1"/>
  <c r="N31" i="17" s="1"/>
  <c r="M25" i="17" a="1"/>
  <c r="M25" i="17" s="1"/>
  <c r="M31" i="17" s="1"/>
  <c r="O25" i="17" a="1"/>
  <c r="O25" i="17" s="1"/>
  <c r="O31" i="17" s="1"/>
  <c r="I25" i="17" a="1"/>
  <c r="I25" i="17" s="1"/>
  <c r="I31" i="17" s="1"/>
  <c r="Q25" i="17" a="1"/>
  <c r="Q25" i="17" s="1"/>
  <c r="Q31" i="17" s="1"/>
  <c r="L25" i="17" a="1"/>
  <c r="L25" i="17" s="1"/>
  <c r="L31" i="17" s="1"/>
  <c r="S25" i="17" a="1"/>
  <c r="S25" i="17" s="1"/>
  <c r="S31" i="17" s="1"/>
  <c r="S25" i="14" a="1"/>
  <c r="S25" i="14" s="1"/>
  <c r="S31" i="14" s="1"/>
  <c r="I25" i="14" a="1"/>
  <c r="I25" i="14" s="1"/>
  <c r="I27" i="14" s="1"/>
  <c r="I30" i="14" s="1"/>
  <c r="K25" i="14" a="1"/>
  <c r="K25" i="14" s="1"/>
  <c r="K31" i="14" s="1"/>
  <c r="L30" i="23"/>
  <c r="M26" i="23"/>
  <c r="M27" i="23" s="1"/>
  <c r="M30" i="23" s="1"/>
  <c r="M23" i="21"/>
  <c r="L52" i="22"/>
  <c r="L53" i="22" s="1"/>
  <c r="K52" i="22"/>
  <c r="K53" i="22" s="1"/>
  <c r="M26" i="22"/>
  <c r="M27" i="22" s="1"/>
  <c r="M30" i="22" s="1"/>
  <c r="M26" i="21"/>
  <c r="M27" i="21" s="1"/>
  <c r="M26" i="20"/>
  <c r="L30" i="20"/>
  <c r="K25" i="17" a="1"/>
  <c r="K25" i="17" s="1"/>
  <c r="K31" i="17" s="1"/>
  <c r="B7" i="18"/>
  <c r="C7" i="18" s="1"/>
  <c r="B6" i="18"/>
  <c r="C6" i="18" s="1"/>
  <c r="D7" i="16"/>
  <c r="T25" i="13" a="1"/>
  <c r="T25" i="13" s="1"/>
  <c r="T31" i="13" s="1"/>
  <c r="K25" i="13" a="1"/>
  <c r="K25" i="13" s="1"/>
  <c r="K31" i="13" s="1"/>
  <c r="M25" i="13" a="1"/>
  <c r="M25" i="13" s="1"/>
  <c r="M31" i="13" s="1"/>
  <c r="P25" i="14" a="1"/>
  <c r="P25" i="14" s="1"/>
  <c r="P31" i="14" s="1"/>
  <c r="Q25" i="14" a="1"/>
  <c r="Q25" i="14" s="1"/>
  <c r="Q31" i="14" s="1"/>
  <c r="L25" i="15" a="1"/>
  <c r="L25" i="15" s="1"/>
  <c r="L31" i="15" s="1"/>
  <c r="K25" i="15" a="1"/>
  <c r="K25" i="15" s="1"/>
  <c r="K31" i="15" s="1"/>
  <c r="M25" i="15" a="1"/>
  <c r="M25" i="15" s="1"/>
  <c r="M31" i="15" s="1"/>
  <c r="N25" i="16" a="1"/>
  <c r="N25" i="16" s="1"/>
  <c r="N31" i="16" s="1"/>
  <c r="L25" i="16" a="1"/>
  <c r="L25" i="16" s="1"/>
  <c r="L31" i="16" s="1"/>
  <c r="J25" i="17" a="1"/>
  <c r="J25" i="17" s="1"/>
  <c r="J31" i="17" s="1"/>
  <c r="O25" i="16" a="1"/>
  <c r="O25" i="16" s="1"/>
  <c r="O31" i="16" s="1"/>
  <c r="M25" i="16" a="1"/>
  <c r="M25" i="16" s="1"/>
  <c r="M31" i="16" s="1"/>
  <c r="I26" i="16"/>
  <c r="I27" i="16" s="1"/>
  <c r="N26" i="19"/>
  <c r="N27" i="19" s="1"/>
  <c r="K26" i="17"/>
  <c r="K23" i="17"/>
  <c r="W25" i="16" a="1"/>
  <c r="W25" i="16" s="1"/>
  <c r="W27" i="16" s="1"/>
  <c r="W30" i="16" s="1"/>
  <c r="U27" i="16"/>
  <c r="U30" i="16" s="1"/>
  <c r="H22" i="16"/>
  <c r="U27" i="17"/>
  <c r="U30" i="17" s="1"/>
  <c r="R25" i="14" a="1"/>
  <c r="R25" i="14" s="1"/>
  <c r="R31" i="14" s="1"/>
  <c r="R25" i="15" a="1"/>
  <c r="R25" i="15" s="1"/>
  <c r="R31" i="15" s="1"/>
  <c r="J25" i="13" a="1"/>
  <c r="J25" i="13" s="1"/>
  <c r="J31" i="13" s="1"/>
  <c r="H22" i="17"/>
  <c r="W25" i="17" a="1"/>
  <c r="W25" i="17" s="1"/>
  <c r="V28" i="17"/>
  <c r="W26" i="17" s="1"/>
  <c r="V26" i="17"/>
  <c r="K31" i="16"/>
  <c r="V26" i="16"/>
  <c r="V27" i="16" s="1"/>
  <c r="V30" i="16" s="1"/>
  <c r="H28" i="16"/>
  <c r="J23" i="16"/>
  <c r="J26" i="16"/>
  <c r="I23" i="15"/>
  <c r="H22" i="15"/>
  <c r="N25" i="15" a="1"/>
  <c r="N25" i="15" s="1"/>
  <c r="W25" i="15" a="1"/>
  <c r="W25" i="15" s="1"/>
  <c r="V28" i="15"/>
  <c r="J25" i="15" a="1"/>
  <c r="J25" i="15" s="1"/>
  <c r="U28" i="15"/>
  <c r="V25" i="15" a="1"/>
  <c r="V25" i="15" s="1"/>
  <c r="I23" i="14"/>
  <c r="H22" i="14"/>
  <c r="N25" i="14" a="1"/>
  <c r="N25" i="14" s="1"/>
  <c r="W25" i="14" a="1"/>
  <c r="W25" i="14" s="1"/>
  <c r="V28" i="14"/>
  <c r="J25" i="14" a="1"/>
  <c r="J25" i="14" s="1"/>
  <c r="U28" i="14"/>
  <c r="V25" i="14" a="1"/>
  <c r="V25" i="14" s="1"/>
  <c r="P31" i="13"/>
  <c r="O25" i="13" a="1"/>
  <c r="O25" i="13" s="1"/>
  <c r="R25" i="13" a="1"/>
  <c r="R25" i="13" s="1"/>
  <c r="W25" i="13" a="1"/>
  <c r="W25" i="13" s="1"/>
  <c r="V28" i="13"/>
  <c r="N25" i="13" a="1"/>
  <c r="N25" i="13" s="1"/>
  <c r="J26" i="13"/>
  <c r="U28" i="13"/>
  <c r="V25" i="13" a="1"/>
  <c r="V25" i="13" s="1"/>
  <c r="H22" i="13"/>
  <c r="V25" i="12" a="1"/>
  <c r="V25" i="12" s="1"/>
  <c r="R25" i="12" a="1"/>
  <c r="R25" i="12" s="1"/>
  <c r="N25" i="12" a="1"/>
  <c r="N25" i="12" s="1"/>
  <c r="J25" i="12" a="1"/>
  <c r="J25" i="12" s="1"/>
  <c r="J31" i="12" s="1"/>
  <c r="U25" i="12" a="1"/>
  <c r="U25" i="12" s="1"/>
  <c r="I25" i="12" a="1"/>
  <c r="I25" i="12" s="1"/>
  <c r="I26" i="12"/>
  <c r="L31" i="12"/>
  <c r="W25" i="12" a="1"/>
  <c r="W25" i="12" s="1"/>
  <c r="V28" i="12"/>
  <c r="H28" i="12" s="1"/>
  <c r="I23" i="12"/>
  <c r="H22" i="12"/>
  <c r="P31" i="12"/>
  <c r="Q25" i="12" a="1"/>
  <c r="Q25" i="12" s="1"/>
  <c r="M25" i="12" a="1"/>
  <c r="M25" i="12" s="1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B8" i="10"/>
  <c r="C7" i="10"/>
  <c r="C6" i="10"/>
  <c r="B23" i="10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B36" i="8"/>
  <c r="V31" i="8"/>
  <c r="U31" i="8" s="1"/>
  <c r="W31" i="8" s="1"/>
  <c r="AC29" i="8"/>
  <c r="AB29" i="8"/>
  <c r="AA29" i="8"/>
  <c r="Z29" i="8"/>
  <c r="H29" i="8"/>
  <c r="AC28" i="8"/>
  <c r="AB28" i="8"/>
  <c r="AA28" i="8"/>
  <c r="Z28" i="8"/>
  <c r="AC27" i="8"/>
  <c r="AB27" i="8"/>
  <c r="AA27" i="8"/>
  <c r="Z27" i="8"/>
  <c r="H20" i="8"/>
  <c r="T18" i="8"/>
  <c r="B18" i="8"/>
  <c r="C18" i="8" s="1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D17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D16" i="8"/>
  <c r="D15" i="8"/>
  <c r="D14" i="8"/>
  <c r="D13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D12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D11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D10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D9" i="8"/>
  <c r="D7" i="8"/>
  <c r="D6" i="8"/>
  <c r="B36" i="7"/>
  <c r="V31" i="7"/>
  <c r="U31" i="7" s="1"/>
  <c r="W31" i="7" s="1"/>
  <c r="AC29" i="7"/>
  <c r="AB29" i="7"/>
  <c r="AA29" i="7"/>
  <c r="Z29" i="7"/>
  <c r="H29" i="7"/>
  <c r="AC28" i="7"/>
  <c r="AB28" i="7"/>
  <c r="AA28" i="7"/>
  <c r="Z28" i="7"/>
  <c r="AC27" i="7"/>
  <c r="AB27" i="7"/>
  <c r="AA27" i="7"/>
  <c r="Z27" i="7"/>
  <c r="H20" i="7"/>
  <c r="B18" i="7"/>
  <c r="C18" i="7" s="1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D17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D16" i="7"/>
  <c r="D14" i="7"/>
  <c r="D13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D12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D11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D10" i="7"/>
  <c r="W9" i="7"/>
  <c r="V9" i="7"/>
  <c r="U9" i="7"/>
  <c r="T9" i="7"/>
  <c r="S9" i="7"/>
  <c r="R9" i="7"/>
  <c r="Q9" i="7"/>
  <c r="P9" i="7"/>
  <c r="O9" i="7"/>
  <c r="N9" i="7"/>
  <c r="M9" i="7"/>
  <c r="L9" i="7"/>
  <c r="K9" i="7"/>
  <c r="I9" i="7"/>
  <c r="D9" i="7"/>
  <c r="D7" i="7"/>
  <c r="D6" i="7"/>
  <c r="B36" i="5"/>
  <c r="V31" i="5"/>
  <c r="U31" i="5" s="1"/>
  <c r="W31" i="5" s="1"/>
  <c r="AC29" i="5"/>
  <c r="AB29" i="5"/>
  <c r="AA29" i="5"/>
  <c r="Z29" i="5"/>
  <c r="H29" i="5"/>
  <c r="AC28" i="5"/>
  <c r="AB28" i="5"/>
  <c r="AA28" i="5"/>
  <c r="Z28" i="5"/>
  <c r="AC27" i="5"/>
  <c r="AB27" i="5"/>
  <c r="AA27" i="5"/>
  <c r="Z27" i="5"/>
  <c r="H20" i="5"/>
  <c r="T18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D17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D16" i="5"/>
  <c r="D14" i="5"/>
  <c r="D13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D12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D11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D10" i="5"/>
  <c r="W9" i="5"/>
  <c r="V9" i="5"/>
  <c r="U9" i="5"/>
  <c r="T9" i="5"/>
  <c r="S9" i="5"/>
  <c r="R9" i="5"/>
  <c r="Q9" i="5"/>
  <c r="P9" i="5"/>
  <c r="O9" i="5"/>
  <c r="N9" i="5"/>
  <c r="N36" i="5" s="1" a="1"/>
  <c r="N36" i="5" s="1"/>
  <c r="M9" i="5"/>
  <c r="L9" i="5"/>
  <c r="K9" i="5"/>
  <c r="J9" i="5"/>
  <c r="I9" i="5"/>
  <c r="D9" i="5"/>
  <c r="D7" i="5"/>
  <c r="D6" i="5"/>
  <c r="D13" i="3"/>
  <c r="D14" i="3"/>
  <c r="D15" i="3"/>
  <c r="D16" i="3"/>
  <c r="D11" i="3"/>
  <c r="D12" i="3"/>
  <c r="D17" i="3"/>
  <c r="U24" i="8" l="1"/>
  <c r="K35" i="5"/>
  <c r="M24" i="5"/>
  <c r="V27" i="17"/>
  <c r="V30" i="17" s="1"/>
  <c r="I31" i="15"/>
  <c r="K72" i="90"/>
  <c r="K73" i="90" s="1"/>
  <c r="M3" i="82"/>
  <c r="L4" i="82"/>
  <c r="L3" i="82"/>
  <c r="M52" i="22"/>
  <c r="M53" i="22" s="1"/>
  <c r="M5" i="82"/>
  <c r="I27" i="13"/>
  <c r="W7" i="18"/>
  <c r="I5" i="18"/>
  <c r="V7" i="18"/>
  <c r="U6" i="18"/>
  <c r="U7" i="18"/>
  <c r="N31" i="12"/>
  <c r="J27" i="16"/>
  <c r="J30" i="16" s="1"/>
  <c r="R31" i="12"/>
  <c r="I27" i="17"/>
  <c r="I30" i="17" s="1"/>
  <c r="I31" i="14"/>
  <c r="M52" i="23"/>
  <c r="M53" i="23" s="1"/>
  <c r="N26" i="23"/>
  <c r="N27" i="23" s="1"/>
  <c r="N30" i="23" s="1"/>
  <c r="L52" i="23"/>
  <c r="L53" i="23" s="1"/>
  <c r="N23" i="21"/>
  <c r="O23" i="21" s="1"/>
  <c r="P23" i="21" s="1"/>
  <c r="Q23" i="21" s="1"/>
  <c r="R23" i="21" s="1"/>
  <c r="S23" i="21" s="1"/>
  <c r="T23" i="21" s="1"/>
  <c r="N26" i="22"/>
  <c r="N27" i="22" s="1"/>
  <c r="N30" i="22" s="1"/>
  <c r="N26" i="21"/>
  <c r="N27" i="21" s="1"/>
  <c r="N30" i="21" s="1"/>
  <c r="M30" i="21"/>
  <c r="M27" i="20"/>
  <c r="M30" i="20" s="1"/>
  <c r="L52" i="20"/>
  <c r="L53" i="20" s="1"/>
  <c r="N26" i="20"/>
  <c r="J23" i="14"/>
  <c r="K23" i="14" s="1"/>
  <c r="L23" i="14" s="1"/>
  <c r="M23" i="14" s="1"/>
  <c r="N23" i="14" s="1"/>
  <c r="O23" i="14" s="1"/>
  <c r="P23" i="14" s="1"/>
  <c r="Q23" i="14" s="1"/>
  <c r="R23" i="14" s="1"/>
  <c r="S23" i="14" s="1"/>
  <c r="T23" i="14" s="1"/>
  <c r="J23" i="15"/>
  <c r="K23" i="15" s="1"/>
  <c r="L23" i="15" s="1"/>
  <c r="M23" i="15" s="1"/>
  <c r="N23" i="15" s="1"/>
  <c r="O23" i="15" s="1"/>
  <c r="P23" i="15" s="1"/>
  <c r="Q23" i="15" s="1"/>
  <c r="R23" i="15" s="1"/>
  <c r="S23" i="15" s="1"/>
  <c r="T23" i="15" s="1"/>
  <c r="M24" i="8"/>
  <c r="M36" i="10" a="1"/>
  <c r="M36" i="10" s="1"/>
  <c r="M35" i="10" a="1"/>
  <c r="M35" i="10" s="1"/>
  <c r="J36" i="8" a="1"/>
  <c r="J36" i="8" s="1"/>
  <c r="J36" i="10" a="1"/>
  <c r="J36" i="10" s="1"/>
  <c r="J35" i="10" a="1"/>
  <c r="J35" i="10" s="1"/>
  <c r="N36" i="8" a="1"/>
  <c r="N36" i="8" s="1"/>
  <c r="N36" i="10" a="1"/>
  <c r="N36" i="10" s="1"/>
  <c r="N35" i="10" a="1"/>
  <c r="N35" i="10" s="1"/>
  <c r="R24" i="8"/>
  <c r="R36" i="10" a="1"/>
  <c r="R36" i="10" s="1"/>
  <c r="R35" i="10" a="1"/>
  <c r="R35" i="10" s="1"/>
  <c r="V36" i="8" a="1"/>
  <c r="V36" i="8" s="1"/>
  <c r="S40" i="10" a="1"/>
  <c r="S40" i="10" s="1"/>
  <c r="K35" i="8"/>
  <c r="K36" i="10" a="1"/>
  <c r="K36" i="10" s="1"/>
  <c r="K35" i="10" a="1"/>
  <c r="K35" i="10" s="1"/>
  <c r="O35" i="8"/>
  <c r="O36" i="10" a="1"/>
  <c r="O36" i="10" s="1"/>
  <c r="O35" i="10" a="1"/>
  <c r="O35" i="10" s="1"/>
  <c r="S35" i="8"/>
  <c r="S36" i="10" a="1"/>
  <c r="S36" i="10" s="1"/>
  <c r="S35" i="10" a="1"/>
  <c r="S35" i="10" s="1"/>
  <c r="W35" i="8"/>
  <c r="L35" i="8"/>
  <c r="L36" i="10" a="1"/>
  <c r="L36" i="10" s="1"/>
  <c r="L35" i="10" a="1"/>
  <c r="L35" i="10" s="1"/>
  <c r="P35" i="8"/>
  <c r="P36" i="10" a="1"/>
  <c r="P36" i="10" s="1"/>
  <c r="P35" i="10" a="1"/>
  <c r="P35" i="10" s="1"/>
  <c r="T35" i="8"/>
  <c r="T36" i="10" a="1"/>
  <c r="T36" i="10" s="1"/>
  <c r="T35" i="10" a="1"/>
  <c r="T35" i="10" s="1"/>
  <c r="C9" i="18"/>
  <c r="I28" i="18" s="1"/>
  <c r="J28" i="18" s="1"/>
  <c r="K28" i="18" s="1"/>
  <c r="L28" i="18" s="1"/>
  <c r="M28" i="18" s="1"/>
  <c r="N28" i="18" s="1"/>
  <c r="O28" i="18" s="1"/>
  <c r="P28" i="18" s="1"/>
  <c r="Q28" i="18" s="1"/>
  <c r="R28" i="18" s="1"/>
  <c r="S28" i="18" s="1"/>
  <c r="T28" i="18" s="1"/>
  <c r="U28" i="18" s="1"/>
  <c r="V28" i="18" s="1"/>
  <c r="W28" i="18" s="1"/>
  <c r="H29" i="18"/>
  <c r="I24" i="8"/>
  <c r="I26" i="8" s="1"/>
  <c r="I36" i="10" a="1"/>
  <c r="I36" i="10" s="1"/>
  <c r="I35" i="10" a="1"/>
  <c r="I35" i="10" s="1"/>
  <c r="Q24" i="8"/>
  <c r="Q36" i="10" a="1"/>
  <c r="Q36" i="10" s="1"/>
  <c r="Q35" i="10" a="1"/>
  <c r="Q35" i="10" s="1"/>
  <c r="I36" i="8" a="1"/>
  <c r="I36" i="8" s="1"/>
  <c r="M35" i="8"/>
  <c r="U36" i="8" a="1"/>
  <c r="U36" i="8" s="1"/>
  <c r="R38" i="10" a="1"/>
  <c r="R38" i="10" s="1"/>
  <c r="R37" i="10" a="1"/>
  <c r="R37" i="10" s="1"/>
  <c r="J38" i="10" a="1"/>
  <c r="J38" i="10" s="1"/>
  <c r="J37" i="10" a="1"/>
  <c r="J37" i="10" s="1"/>
  <c r="K38" i="10" a="1"/>
  <c r="K38" i="10" s="1"/>
  <c r="K37" i="10" a="1"/>
  <c r="K37" i="10" s="1"/>
  <c r="O38" i="10" a="1"/>
  <c r="O38" i="10" s="1"/>
  <c r="O37" i="10" a="1"/>
  <c r="O37" i="10" s="1"/>
  <c r="S38" i="10" a="1"/>
  <c r="S38" i="10" s="1"/>
  <c r="S37" i="10" a="1"/>
  <c r="S37" i="10" s="1"/>
  <c r="M38" i="10" a="1"/>
  <c r="M38" i="10" s="1"/>
  <c r="M37" i="10" a="1"/>
  <c r="M37" i="10" s="1"/>
  <c r="Q38" i="10" a="1"/>
  <c r="Q38" i="10" s="1"/>
  <c r="Q37" i="10" a="1"/>
  <c r="Q37" i="10" s="1"/>
  <c r="I38" i="10" a="1"/>
  <c r="I38" i="10" s="1"/>
  <c r="I37" i="10" a="1"/>
  <c r="I37" i="10" s="1"/>
  <c r="N38" i="10" a="1"/>
  <c r="N38" i="10" s="1"/>
  <c r="N37" i="10" a="1"/>
  <c r="N37" i="10" s="1"/>
  <c r="L38" i="10" a="1"/>
  <c r="L38" i="10" s="1"/>
  <c r="L37" i="10" a="1"/>
  <c r="L37" i="10" s="1"/>
  <c r="P38" i="10" a="1"/>
  <c r="P38" i="10" s="1"/>
  <c r="P37" i="10" a="1"/>
  <c r="P37" i="10" s="1"/>
  <c r="T38" i="10" a="1"/>
  <c r="T38" i="10" s="1"/>
  <c r="T37" i="10" a="1"/>
  <c r="T37" i="10" s="1"/>
  <c r="J27" i="13"/>
  <c r="J30" i="13" s="1"/>
  <c r="H28" i="13"/>
  <c r="L26" i="17"/>
  <c r="L27" i="17" s="1"/>
  <c r="L23" i="17"/>
  <c r="O26" i="19"/>
  <c r="O27" i="19" s="1"/>
  <c r="O30" i="19" s="1"/>
  <c r="N30" i="19"/>
  <c r="R40" i="10" a="1"/>
  <c r="R40" i="10" s="1"/>
  <c r="N40" i="10" a="1"/>
  <c r="N40" i="10" s="1"/>
  <c r="J40" i="10" a="1"/>
  <c r="J40" i="10" s="1"/>
  <c r="Q40" i="10" a="1"/>
  <c r="Q40" i="10" s="1"/>
  <c r="M40" i="10" a="1"/>
  <c r="M40" i="10" s="1"/>
  <c r="I40" i="10" a="1"/>
  <c r="I40" i="10" s="1"/>
  <c r="O40" i="10" a="1"/>
  <c r="O40" i="10" s="1"/>
  <c r="K40" i="10" a="1"/>
  <c r="K40" i="10" s="1"/>
  <c r="T40" i="10" a="1"/>
  <c r="T40" i="10" s="1"/>
  <c r="P40" i="10" a="1"/>
  <c r="P40" i="10" s="1"/>
  <c r="L40" i="10" a="1"/>
  <c r="L40" i="10" s="1"/>
  <c r="V52" i="16"/>
  <c r="V53" i="16" s="1"/>
  <c r="H28" i="15"/>
  <c r="W27" i="17"/>
  <c r="W30" i="17" s="1"/>
  <c r="H28" i="17"/>
  <c r="J26" i="17"/>
  <c r="J27" i="17" s="1"/>
  <c r="J30" i="17" s="1"/>
  <c r="W52" i="16"/>
  <c r="W53" i="16" s="1"/>
  <c r="K26" i="16"/>
  <c r="K27" i="16" s="1"/>
  <c r="K30" i="16" s="1"/>
  <c r="K23" i="16"/>
  <c r="I30" i="16"/>
  <c r="J26" i="15"/>
  <c r="J27" i="15" s="1"/>
  <c r="N31" i="15"/>
  <c r="J31" i="15"/>
  <c r="I30" i="15"/>
  <c r="J31" i="14"/>
  <c r="I52" i="14"/>
  <c r="I53" i="14" s="1"/>
  <c r="J26" i="14"/>
  <c r="J27" i="14" s="1"/>
  <c r="H28" i="14"/>
  <c r="N31" i="14"/>
  <c r="N31" i="13"/>
  <c r="I30" i="13"/>
  <c r="O31" i="13"/>
  <c r="K26" i="13"/>
  <c r="K27" i="13" s="1"/>
  <c r="K30" i="13" s="1"/>
  <c r="R31" i="13"/>
  <c r="I31" i="12"/>
  <c r="I27" i="12"/>
  <c r="J26" i="12"/>
  <c r="J27" i="12" s="1"/>
  <c r="J30" i="12" s="1"/>
  <c r="J23" i="12"/>
  <c r="Q31" i="12"/>
  <c r="M31" i="12"/>
  <c r="C9" i="10"/>
  <c r="I28" i="10" s="1"/>
  <c r="J28" i="10" s="1"/>
  <c r="K28" i="10" s="1"/>
  <c r="L28" i="10" s="1"/>
  <c r="M28" i="10" s="1"/>
  <c r="N28" i="10" s="1"/>
  <c r="O28" i="10" s="1"/>
  <c r="P28" i="10" s="1"/>
  <c r="Q28" i="10" s="1"/>
  <c r="R28" i="10" s="1"/>
  <c r="S28" i="10" s="1"/>
  <c r="T28" i="10" s="1"/>
  <c r="U28" i="10" s="1"/>
  <c r="V28" i="10" s="1"/>
  <c r="W28" i="10" s="1"/>
  <c r="H29" i="10"/>
  <c r="R39" i="10" a="1"/>
  <c r="R39" i="10" s="1"/>
  <c r="J39" i="10" a="1"/>
  <c r="J39" i="10" s="1"/>
  <c r="P39" i="10" a="1"/>
  <c r="P39" i="10" s="1"/>
  <c r="O39" i="10" a="1"/>
  <c r="O39" i="10" s="1"/>
  <c r="Q39" i="10" a="1"/>
  <c r="Q39" i="10" s="1"/>
  <c r="I39" i="10" a="1"/>
  <c r="I39" i="10" s="1"/>
  <c r="N39" i="10" a="1"/>
  <c r="N39" i="10" s="1"/>
  <c r="M39" i="10" a="1"/>
  <c r="M39" i="10" s="1"/>
  <c r="T39" i="10" a="1"/>
  <c r="T39" i="10" s="1"/>
  <c r="L39" i="10" a="1"/>
  <c r="L39" i="10" s="1"/>
  <c r="S39" i="10" a="1"/>
  <c r="S39" i="10" s="1"/>
  <c r="K39" i="10" a="1"/>
  <c r="K39" i="10" s="1"/>
  <c r="M35" i="7"/>
  <c r="U36" i="7" a="1"/>
  <c r="U36" i="7" s="1"/>
  <c r="D18" i="7"/>
  <c r="I36" i="7" a="1"/>
  <c r="I36" i="7" s="1"/>
  <c r="M24" i="7"/>
  <c r="M8" i="7" a="1"/>
  <c r="M8" i="7" s="1"/>
  <c r="V24" i="7"/>
  <c r="U28" i="7" s="1"/>
  <c r="V8" i="7" a="1"/>
  <c r="V8" i="7" s="1"/>
  <c r="O8" i="7" a="1"/>
  <c r="O8" i="7" s="1"/>
  <c r="W8" i="7" a="1"/>
  <c r="W8" i="7" s="1"/>
  <c r="R24" i="7"/>
  <c r="U24" i="7"/>
  <c r="U8" i="7" a="1"/>
  <c r="U8" i="7" s="1"/>
  <c r="I24" i="7"/>
  <c r="I26" i="7" s="1"/>
  <c r="I8" i="7" a="1"/>
  <c r="I8" i="7" s="1"/>
  <c r="K8" i="7" a="1"/>
  <c r="K8" i="7" s="1"/>
  <c r="S8" i="7" a="1"/>
  <c r="S8" i="7" s="1"/>
  <c r="Q24" i="7"/>
  <c r="Q8" i="7" a="1"/>
  <c r="Q8" i="7" s="1"/>
  <c r="D18" i="5"/>
  <c r="E18" i="5" s="1"/>
  <c r="O35" i="5"/>
  <c r="L35" i="5"/>
  <c r="J36" i="5" a="1"/>
  <c r="J36" i="5" s="1"/>
  <c r="V36" i="5" a="1"/>
  <c r="V36" i="5" s="1"/>
  <c r="S35" i="5"/>
  <c r="W35" i="5"/>
  <c r="R36" i="5" a="1"/>
  <c r="R36" i="5" s="1"/>
  <c r="I24" i="5"/>
  <c r="Q24" i="5"/>
  <c r="U24" i="5"/>
  <c r="P35" i="5"/>
  <c r="T35" i="5"/>
  <c r="Q35" i="8"/>
  <c r="K36" i="8" a="1"/>
  <c r="K36" i="8" s="1"/>
  <c r="O36" i="8" a="1"/>
  <c r="O36" i="8" s="1"/>
  <c r="W36" i="8" a="1"/>
  <c r="W36" i="8" s="1"/>
  <c r="I23" i="8"/>
  <c r="J23" i="8" s="1"/>
  <c r="K23" i="8" s="1"/>
  <c r="L23" i="8" s="1"/>
  <c r="M23" i="8" s="1"/>
  <c r="N23" i="8" s="1"/>
  <c r="O23" i="8" s="1"/>
  <c r="P23" i="8" s="1"/>
  <c r="Q23" i="8" s="1"/>
  <c r="R23" i="8" s="1"/>
  <c r="S23" i="8" s="1"/>
  <c r="T23" i="8" s="1"/>
  <c r="U35" i="8"/>
  <c r="U25" i="8" s="1" a="1"/>
  <c r="U25" i="8" s="1"/>
  <c r="M36" i="8" a="1"/>
  <c r="M36" i="8" s="1"/>
  <c r="I35" i="8"/>
  <c r="Q36" i="8" a="1"/>
  <c r="Q36" i="8" s="1"/>
  <c r="O36" i="7" a="1"/>
  <c r="O36" i="7" s="1"/>
  <c r="Q35" i="7"/>
  <c r="U35" i="7"/>
  <c r="I35" i="7"/>
  <c r="M36" i="7" a="1"/>
  <c r="M36" i="7" s="1"/>
  <c r="I23" i="7"/>
  <c r="Q36" i="7" a="1"/>
  <c r="Q36" i="7" s="1"/>
  <c r="D19" i="8"/>
  <c r="J24" i="8"/>
  <c r="N24" i="8"/>
  <c r="S36" i="8" a="1"/>
  <c r="S36" i="8" s="1"/>
  <c r="K24" i="8"/>
  <c r="O24" i="8"/>
  <c r="S24" i="8"/>
  <c r="W24" i="8"/>
  <c r="J35" i="8"/>
  <c r="N35" i="8"/>
  <c r="R35" i="8"/>
  <c r="V35" i="8"/>
  <c r="V24" i="8"/>
  <c r="L24" i="8"/>
  <c r="P24" i="8"/>
  <c r="T24" i="8"/>
  <c r="L36" i="8" a="1"/>
  <c r="L36" i="8" s="1"/>
  <c r="P36" i="8" a="1"/>
  <c r="P36" i="8" s="1"/>
  <c r="R36" i="8" a="1"/>
  <c r="R36" i="8" s="1"/>
  <c r="T36" i="8" a="1"/>
  <c r="T36" i="8" s="1"/>
  <c r="S35" i="7"/>
  <c r="S24" i="7"/>
  <c r="W36" i="7" a="1"/>
  <c r="W36" i="7" s="1"/>
  <c r="O24" i="7"/>
  <c r="O35" i="7"/>
  <c r="P35" i="7"/>
  <c r="J36" i="7" a="1"/>
  <c r="J36" i="7" s="1"/>
  <c r="J35" i="7"/>
  <c r="K35" i="7"/>
  <c r="K24" i="7"/>
  <c r="W24" i="7"/>
  <c r="W35" i="7"/>
  <c r="L35" i="7"/>
  <c r="T35" i="7"/>
  <c r="D19" i="7"/>
  <c r="J24" i="7"/>
  <c r="K36" i="7" a="1"/>
  <c r="K36" i="7" s="1"/>
  <c r="S36" i="7" a="1"/>
  <c r="S36" i="7" s="1"/>
  <c r="N35" i="7"/>
  <c r="N36" i="7" a="1"/>
  <c r="N36" i="7" s="1"/>
  <c r="R36" i="7" a="1"/>
  <c r="R36" i="7" s="1"/>
  <c r="R35" i="7"/>
  <c r="V35" i="7"/>
  <c r="V36" i="7" a="1"/>
  <c r="V36" i="7" s="1"/>
  <c r="N24" i="7"/>
  <c r="L24" i="7"/>
  <c r="P24" i="7"/>
  <c r="T24" i="7"/>
  <c r="L36" i="7" a="1"/>
  <c r="L36" i="7" s="1"/>
  <c r="P36" i="7" a="1"/>
  <c r="P36" i="7" s="1"/>
  <c r="T36" i="7" a="1"/>
  <c r="T36" i="7" s="1"/>
  <c r="D19" i="5"/>
  <c r="J24" i="5"/>
  <c r="N24" i="5"/>
  <c r="R24" i="5"/>
  <c r="V24" i="5"/>
  <c r="I35" i="5"/>
  <c r="M35" i="5"/>
  <c r="Q35" i="5"/>
  <c r="U35" i="5"/>
  <c r="I36" i="5" a="1"/>
  <c r="I36" i="5" s="1"/>
  <c r="K36" i="5" a="1"/>
  <c r="K36" i="5" s="1"/>
  <c r="M36" i="5" a="1"/>
  <c r="M36" i="5" s="1"/>
  <c r="O36" i="5" a="1"/>
  <c r="O36" i="5" s="1"/>
  <c r="Q36" i="5" a="1"/>
  <c r="Q36" i="5" s="1"/>
  <c r="S36" i="5" a="1"/>
  <c r="S36" i="5" s="1"/>
  <c r="U36" i="5" a="1"/>
  <c r="U36" i="5" s="1"/>
  <c r="W36" i="5" a="1"/>
  <c r="W36" i="5" s="1"/>
  <c r="K24" i="5"/>
  <c r="O24" i="5"/>
  <c r="S24" i="5"/>
  <c r="W24" i="5"/>
  <c r="J35" i="5"/>
  <c r="N35" i="5"/>
  <c r="R35" i="5"/>
  <c r="V35" i="5"/>
  <c r="L24" i="5"/>
  <c r="P24" i="5"/>
  <c r="T24" i="5"/>
  <c r="L36" i="5" a="1"/>
  <c r="L36" i="5" s="1"/>
  <c r="P36" i="5" a="1"/>
  <c r="P36" i="5" s="1"/>
  <c r="T36" i="5" a="1"/>
  <c r="T36" i="5" s="1"/>
  <c r="AC29" i="3"/>
  <c r="AB29" i="3"/>
  <c r="AA29" i="3"/>
  <c r="Z29" i="3"/>
  <c r="Z28" i="3"/>
  <c r="AC28" i="3"/>
  <c r="AB28" i="3"/>
  <c r="AA28" i="3"/>
  <c r="Z27" i="3"/>
  <c r="AA27" i="3"/>
  <c r="AC27" i="3"/>
  <c r="AB27" i="3"/>
  <c r="K25" i="5" l="1" a="1"/>
  <c r="K25" i="5" s="1"/>
  <c r="M25" i="5" a="1"/>
  <c r="M25" i="5" s="1"/>
  <c r="L18" i="90"/>
  <c r="L72" i="90" s="1"/>
  <c r="L73" i="90" s="1"/>
  <c r="N6" i="82"/>
  <c r="N6" i="90"/>
  <c r="N5" i="82"/>
  <c r="M6" i="82"/>
  <c r="M6" i="90"/>
  <c r="M18" i="90" s="1"/>
  <c r="M52" i="20"/>
  <c r="M53" i="20" s="1"/>
  <c r="M4" i="82"/>
  <c r="N52" i="23"/>
  <c r="N53" i="23" s="1"/>
  <c r="N3" i="82"/>
  <c r="S25" i="8" a="1"/>
  <c r="S25" i="8" s="1"/>
  <c r="J7" i="10"/>
  <c r="L25" i="8" a="1"/>
  <c r="L25" i="8" s="1"/>
  <c r="L31" i="8" s="1"/>
  <c r="M25" i="8" a="1"/>
  <c r="M25" i="8" s="1"/>
  <c r="M31" i="8" s="1"/>
  <c r="W6" i="18"/>
  <c r="J3" i="18"/>
  <c r="J7" i="18"/>
  <c r="I4" i="18"/>
  <c r="I7" i="18"/>
  <c r="J6" i="18"/>
  <c r="I6" i="18"/>
  <c r="I3" i="18"/>
  <c r="R25" i="8" a="1"/>
  <c r="R25" i="8" s="1"/>
  <c r="R31" i="8" s="1"/>
  <c r="K25" i="8" a="1"/>
  <c r="K25" i="8" s="1"/>
  <c r="K31" i="8" s="1"/>
  <c r="Q25" i="8" a="1"/>
  <c r="Q25" i="8" s="1"/>
  <c r="Q31" i="8" s="1"/>
  <c r="O25" i="8" a="1"/>
  <c r="O25" i="8" s="1"/>
  <c r="O31" i="8" s="1"/>
  <c r="O26" i="23"/>
  <c r="O27" i="23" s="1"/>
  <c r="O30" i="23" s="1"/>
  <c r="N52" i="22"/>
  <c r="N53" i="22" s="1"/>
  <c r="O26" i="22"/>
  <c r="O27" i="22" s="1"/>
  <c r="O30" i="22" s="1"/>
  <c r="M52" i="21"/>
  <c r="M53" i="21" s="1"/>
  <c r="N52" i="21"/>
  <c r="N53" i="21" s="1"/>
  <c r="O26" i="21"/>
  <c r="O27" i="21" s="1"/>
  <c r="N27" i="20"/>
  <c r="N30" i="20" s="1"/>
  <c r="O26" i="20"/>
  <c r="T25" i="8" a="1"/>
  <c r="T25" i="8" s="1"/>
  <c r="T31" i="8" s="1"/>
  <c r="P25" i="8" a="1"/>
  <c r="P25" i="8" s="1"/>
  <c r="P31" i="8" s="1"/>
  <c r="I25" i="8" a="1"/>
  <c r="I25" i="8" s="1"/>
  <c r="I27" i="8" s="1"/>
  <c r="Q25" i="5" a="1"/>
  <c r="Q25" i="5" s="1"/>
  <c r="Q31" i="5" s="1"/>
  <c r="V25" i="7" a="1"/>
  <c r="V25" i="7" s="1"/>
  <c r="O52" i="19"/>
  <c r="O53" i="19" s="1"/>
  <c r="O25" i="5" a="1"/>
  <c r="O25" i="5" s="1"/>
  <c r="O31" i="5" s="1"/>
  <c r="K52" i="16"/>
  <c r="K53" i="16" s="1"/>
  <c r="K7" i="18"/>
  <c r="K52" i="13"/>
  <c r="K53" i="13" s="1"/>
  <c r="K3" i="18"/>
  <c r="M23" i="17"/>
  <c r="M26" i="17"/>
  <c r="M25" i="7" a="1"/>
  <c r="M25" i="7" s="1"/>
  <c r="M31" i="7" s="1"/>
  <c r="N52" i="19"/>
  <c r="N53" i="19" s="1"/>
  <c r="P26" i="19"/>
  <c r="P27" i="19" s="1"/>
  <c r="P30" i="19" s="1"/>
  <c r="P52" i="19" s="1"/>
  <c r="P53" i="19" s="1"/>
  <c r="V52" i="17"/>
  <c r="V53" i="17" s="1"/>
  <c r="V6" i="18"/>
  <c r="W52" i="17"/>
  <c r="W53" i="17" s="1"/>
  <c r="J52" i="17"/>
  <c r="J53" i="17" s="1"/>
  <c r="I52" i="17"/>
  <c r="I53" i="17" s="1"/>
  <c r="K27" i="17"/>
  <c r="L26" i="16"/>
  <c r="L27" i="16" s="1"/>
  <c r="L30" i="16" s="1"/>
  <c r="L23" i="16"/>
  <c r="I52" i="16"/>
  <c r="I53" i="16" s="1"/>
  <c r="J52" i="16"/>
  <c r="J53" i="16" s="1"/>
  <c r="J30" i="15"/>
  <c r="I52" i="15"/>
  <c r="I53" i="15" s="1"/>
  <c r="K26" i="15"/>
  <c r="K27" i="15" s="1"/>
  <c r="K30" i="15" s="1"/>
  <c r="J30" i="14"/>
  <c r="K26" i="14"/>
  <c r="K27" i="14" s="1"/>
  <c r="K30" i="14" s="1"/>
  <c r="L26" i="13"/>
  <c r="L27" i="13" s="1"/>
  <c r="L30" i="13" s="1"/>
  <c r="I52" i="13"/>
  <c r="I53" i="13" s="1"/>
  <c r="J52" i="13"/>
  <c r="J53" i="13" s="1"/>
  <c r="K26" i="12"/>
  <c r="K23" i="12"/>
  <c r="I30" i="12"/>
  <c r="S25" i="5" a="1"/>
  <c r="S25" i="5" s="1"/>
  <c r="S31" i="5" s="1"/>
  <c r="I26" i="5"/>
  <c r="R25" i="7" a="1"/>
  <c r="R25" i="7" s="1"/>
  <c r="R31" i="7" s="1"/>
  <c r="I25" i="7" a="1"/>
  <c r="I25" i="7" s="1"/>
  <c r="I27" i="7" s="1"/>
  <c r="I30" i="7" s="1"/>
  <c r="U25" i="7" a="1"/>
  <c r="U25" i="7" s="1"/>
  <c r="Q25" i="7" a="1"/>
  <c r="Q25" i="7" s="1"/>
  <c r="Q31" i="7" s="1"/>
  <c r="L25" i="5" a="1"/>
  <c r="L25" i="5" s="1"/>
  <c r="L31" i="5" s="1"/>
  <c r="N25" i="8" a="1"/>
  <c r="N25" i="8" s="1"/>
  <c r="N31" i="8" s="1"/>
  <c r="P25" i="5" a="1"/>
  <c r="P25" i="5" s="1"/>
  <c r="I25" i="5" a="1"/>
  <c r="I25" i="5" s="1"/>
  <c r="U25" i="5" a="1"/>
  <c r="U25" i="5" s="1"/>
  <c r="T25" i="5" a="1"/>
  <c r="T25" i="5" s="1"/>
  <c r="H22" i="8"/>
  <c r="T25" i="7" a="1"/>
  <c r="T25" i="7" s="1"/>
  <c r="T31" i="7" s="1"/>
  <c r="J25" i="7" a="1"/>
  <c r="J25" i="7" s="1"/>
  <c r="J31" i="7" s="1"/>
  <c r="O25" i="7" a="1"/>
  <c r="O25" i="7" s="1"/>
  <c r="O31" i="7" s="1"/>
  <c r="P25" i="7" a="1"/>
  <c r="P25" i="7" s="1"/>
  <c r="P31" i="7" s="1"/>
  <c r="L25" i="7" a="1"/>
  <c r="L25" i="7" s="1"/>
  <c r="L31" i="7" s="1"/>
  <c r="J25" i="8" a="1"/>
  <c r="J25" i="8" s="1"/>
  <c r="S31" i="8"/>
  <c r="U28" i="8"/>
  <c r="V25" i="8" a="1"/>
  <c r="V25" i="8" s="1"/>
  <c r="J26" i="8"/>
  <c r="W25" i="8" a="1"/>
  <c r="W25" i="8" s="1"/>
  <c r="V28" i="8"/>
  <c r="N25" i="7" a="1"/>
  <c r="N25" i="7" s="1"/>
  <c r="J23" i="7"/>
  <c r="J26" i="7"/>
  <c r="W25" i="7" a="1"/>
  <c r="W25" i="7" s="1"/>
  <c r="V28" i="7"/>
  <c r="H28" i="7" s="1"/>
  <c r="H22" i="7"/>
  <c r="K25" i="7" a="1"/>
  <c r="K25" i="7" s="1"/>
  <c r="S25" i="7" a="1"/>
  <c r="S25" i="7" s="1"/>
  <c r="M31" i="5"/>
  <c r="J25" i="5" a="1"/>
  <c r="J25" i="5" s="1"/>
  <c r="I23" i="5"/>
  <c r="W25" i="5" a="1"/>
  <c r="W25" i="5" s="1"/>
  <c r="V28" i="5"/>
  <c r="U28" i="5"/>
  <c r="V25" i="5" a="1"/>
  <c r="V25" i="5" s="1"/>
  <c r="R25" i="5" a="1"/>
  <c r="R25" i="5" s="1"/>
  <c r="K31" i="5"/>
  <c r="N25" i="5" a="1"/>
  <c r="N25" i="5" s="1"/>
  <c r="T18" i="3"/>
  <c r="V31" i="3"/>
  <c r="U31" i="3" s="1"/>
  <c r="W31" i="3" s="1"/>
  <c r="B18" i="3"/>
  <c r="C18" i="3" s="1"/>
  <c r="H2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S9" i="3"/>
  <c r="T9" i="3"/>
  <c r="U9" i="3"/>
  <c r="V9" i="3"/>
  <c r="W9" i="3"/>
  <c r="J9" i="3"/>
  <c r="K9" i="3"/>
  <c r="L9" i="3"/>
  <c r="M9" i="3"/>
  <c r="N9" i="3"/>
  <c r="O9" i="3"/>
  <c r="P9" i="3"/>
  <c r="Q9" i="3"/>
  <c r="R9" i="3"/>
  <c r="I9" i="3"/>
  <c r="Q34" i="10" l="1" a="1"/>
  <c r="Q34" i="10" s="1"/>
  <c r="M72" i="90"/>
  <c r="M73" i="90" s="1"/>
  <c r="N18" i="90"/>
  <c r="N72" i="90" s="1"/>
  <c r="N73" i="90" s="1"/>
  <c r="O3" i="82"/>
  <c r="O52" i="22"/>
  <c r="O53" i="22" s="1"/>
  <c r="O5" i="82"/>
  <c r="N52" i="20"/>
  <c r="N53" i="20" s="1"/>
  <c r="N4" i="82"/>
  <c r="M34" i="10" a="1"/>
  <c r="M34" i="10" s="1"/>
  <c r="S34" i="10" a="1"/>
  <c r="S34" i="10" s="1"/>
  <c r="I8" i="18"/>
  <c r="I46" i="18" s="1"/>
  <c r="I47" i="18" s="1"/>
  <c r="I5" i="10"/>
  <c r="J5" i="18"/>
  <c r="K4" i="18"/>
  <c r="K5" i="18"/>
  <c r="I31" i="8"/>
  <c r="K27" i="12"/>
  <c r="K30" i="12" s="1"/>
  <c r="P26" i="23"/>
  <c r="P27" i="23" s="1"/>
  <c r="P30" i="23" s="1"/>
  <c r="O52" i="23"/>
  <c r="O53" i="23" s="1"/>
  <c r="P26" i="22"/>
  <c r="P27" i="22" s="1"/>
  <c r="P30" i="22" s="1"/>
  <c r="O30" i="21"/>
  <c r="P26" i="21"/>
  <c r="P27" i="21" s="1"/>
  <c r="P30" i="21" s="1"/>
  <c r="O27" i="20"/>
  <c r="O30" i="20" s="1"/>
  <c r="P26" i="20"/>
  <c r="L34" i="10" a="1"/>
  <c r="L34" i="10" s="1"/>
  <c r="K34" i="10" a="1"/>
  <c r="K34" i="10" s="1"/>
  <c r="P34" i="10" a="1"/>
  <c r="P34" i="10" s="1"/>
  <c r="I34" i="10" a="1"/>
  <c r="I34" i="10" s="1"/>
  <c r="O34" i="10" a="1"/>
  <c r="O34" i="10" s="1"/>
  <c r="R34" i="10" a="1"/>
  <c r="R34" i="10" s="1"/>
  <c r="N34" i="10" a="1"/>
  <c r="N34" i="10" s="1"/>
  <c r="J34" i="10" a="1"/>
  <c r="J34" i="10" s="1"/>
  <c r="T34" i="10" a="1"/>
  <c r="T34" i="10" s="1"/>
  <c r="J52" i="12"/>
  <c r="J53" i="12" s="1"/>
  <c r="I7" i="10"/>
  <c r="N26" i="17"/>
  <c r="N23" i="17"/>
  <c r="L52" i="13"/>
  <c r="L53" i="13" s="1"/>
  <c r="L3" i="18"/>
  <c r="Q26" i="19"/>
  <c r="Q27" i="19" s="1"/>
  <c r="Q30" i="19" s="1"/>
  <c r="Q52" i="19" s="1"/>
  <c r="Q53" i="19" s="1"/>
  <c r="J52" i="15"/>
  <c r="J53" i="15" s="1"/>
  <c r="J4" i="18"/>
  <c r="L52" i="16"/>
  <c r="L53" i="16" s="1"/>
  <c r="L7" i="18"/>
  <c r="J26" i="5"/>
  <c r="J27" i="5" s="1"/>
  <c r="J23" i="5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K52" i="14"/>
  <c r="K53" i="14" s="1"/>
  <c r="K52" i="15"/>
  <c r="K53" i="15" s="1"/>
  <c r="K30" i="17"/>
  <c r="L30" i="17"/>
  <c r="M26" i="16"/>
  <c r="M27" i="16" s="1"/>
  <c r="M30" i="16" s="1"/>
  <c r="M23" i="16"/>
  <c r="L26" i="15"/>
  <c r="L27" i="15" s="1"/>
  <c r="L26" i="14"/>
  <c r="L27" i="14" s="1"/>
  <c r="L30" i="14" s="1"/>
  <c r="J52" i="14"/>
  <c r="J53" i="14" s="1"/>
  <c r="M26" i="13"/>
  <c r="M27" i="13" s="1"/>
  <c r="M30" i="13" s="1"/>
  <c r="L26" i="12"/>
  <c r="L27" i="12" s="1"/>
  <c r="L23" i="12"/>
  <c r="I52" i="12"/>
  <c r="I53" i="12" s="1"/>
  <c r="L33" i="10" a="1"/>
  <c r="L33" i="10" s="1"/>
  <c r="S33" i="10" a="1"/>
  <c r="S33" i="10" s="1"/>
  <c r="I33" i="10" a="1"/>
  <c r="I33" i="10" s="1"/>
  <c r="K33" i="10" a="1"/>
  <c r="K33" i="10" s="1"/>
  <c r="J33" i="10" a="1"/>
  <c r="J33" i="10" s="1"/>
  <c r="M33" i="10" a="1"/>
  <c r="M33" i="10" s="1"/>
  <c r="R33" i="10" a="1"/>
  <c r="R33" i="10" s="1"/>
  <c r="Q33" i="10" a="1"/>
  <c r="Q33" i="10" s="1"/>
  <c r="O33" i="10" a="1"/>
  <c r="O33" i="10" s="1"/>
  <c r="P33" i="10" a="1"/>
  <c r="P33" i="10" s="1"/>
  <c r="N33" i="10" a="1"/>
  <c r="N33" i="10" s="1"/>
  <c r="T33" i="10" a="1"/>
  <c r="T33" i="10" s="1"/>
  <c r="I31" i="7"/>
  <c r="I52" i="7"/>
  <c r="I53" i="7" s="1"/>
  <c r="J27" i="7"/>
  <c r="J30" i="7" s="1"/>
  <c r="P31" i="5"/>
  <c r="T31" i="5"/>
  <c r="I27" i="5"/>
  <c r="I30" i="5" s="1"/>
  <c r="I31" i="5"/>
  <c r="H28" i="5"/>
  <c r="H28" i="8"/>
  <c r="K26" i="8"/>
  <c r="K27" i="8" s="1"/>
  <c r="K30" i="8" s="1"/>
  <c r="J31" i="8"/>
  <c r="J27" i="8"/>
  <c r="J30" i="8" s="1"/>
  <c r="I30" i="8"/>
  <c r="S31" i="7"/>
  <c r="K31" i="7"/>
  <c r="K26" i="7"/>
  <c r="K27" i="7" s="1"/>
  <c r="K30" i="7" s="1"/>
  <c r="K23" i="7"/>
  <c r="N31" i="7"/>
  <c r="J31" i="5"/>
  <c r="N31" i="5"/>
  <c r="R31" i="5"/>
  <c r="R36" i="3" a="1"/>
  <c r="R36" i="3" s="1"/>
  <c r="Q24" i="3"/>
  <c r="W24" i="3"/>
  <c r="V28" i="3" s="1"/>
  <c r="S24" i="3"/>
  <c r="I24" i="3"/>
  <c r="I26" i="3" s="1"/>
  <c r="O24" i="3"/>
  <c r="K24" i="3"/>
  <c r="U24" i="3"/>
  <c r="T24" i="3"/>
  <c r="P24" i="3"/>
  <c r="L24" i="3"/>
  <c r="J24" i="3"/>
  <c r="V24" i="3"/>
  <c r="M36" i="3" a="1"/>
  <c r="M36" i="3" s="1"/>
  <c r="N24" i="3"/>
  <c r="R24" i="3"/>
  <c r="M24" i="3"/>
  <c r="L36" i="3" a="1"/>
  <c r="L36" i="3" s="1"/>
  <c r="P35" i="3"/>
  <c r="I35" i="3"/>
  <c r="O36" i="3" a="1"/>
  <c r="O36" i="3" s="1"/>
  <c r="J36" i="3" a="1"/>
  <c r="J36" i="3" s="1"/>
  <c r="T36" i="3" a="1"/>
  <c r="T36" i="3" s="1"/>
  <c r="K35" i="3"/>
  <c r="U36" i="3" a="1"/>
  <c r="U36" i="3" s="1"/>
  <c r="W36" i="3" a="1"/>
  <c r="W36" i="3" s="1"/>
  <c r="S35" i="3"/>
  <c r="I23" i="3"/>
  <c r="J23" i="3" s="1"/>
  <c r="K23" i="3" s="1"/>
  <c r="L23" i="3" s="1"/>
  <c r="M23" i="3" s="1"/>
  <c r="N23" i="3" s="1"/>
  <c r="O23" i="3" s="1"/>
  <c r="P23" i="3" s="1"/>
  <c r="Q23" i="3" s="1"/>
  <c r="R23" i="3" s="1"/>
  <c r="S23" i="3" s="1"/>
  <c r="T23" i="3" s="1"/>
  <c r="V35" i="3"/>
  <c r="R35" i="3"/>
  <c r="N35" i="3"/>
  <c r="J35" i="3"/>
  <c r="V36" i="3" a="1"/>
  <c r="V36" i="3" s="1"/>
  <c r="Q36" i="3" a="1"/>
  <c r="Q36" i="3" s="1"/>
  <c r="N36" i="3" a="1"/>
  <c r="N36" i="3" s="1"/>
  <c r="U35" i="3"/>
  <c r="Q35" i="3"/>
  <c r="M35" i="3"/>
  <c r="I36" i="3" a="1"/>
  <c r="I36" i="3" s="1"/>
  <c r="S36" i="3" a="1"/>
  <c r="S36" i="3" s="1"/>
  <c r="P36" i="3" a="1"/>
  <c r="P36" i="3" s="1"/>
  <c r="K36" i="3" a="1"/>
  <c r="K36" i="3" s="1"/>
  <c r="T35" i="3"/>
  <c r="L35" i="3"/>
  <c r="W35" i="3"/>
  <c r="O35" i="3"/>
  <c r="B36" i="3"/>
  <c r="H20" i="3"/>
  <c r="D7" i="3"/>
  <c r="D6" i="3"/>
  <c r="D19" i="3" s="1"/>
  <c r="D9" i="3"/>
  <c r="D10" i="3"/>
  <c r="O55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F55" i="2"/>
  <c r="G55" i="2"/>
  <c r="H55" i="2"/>
  <c r="I55" i="2"/>
  <c r="J55" i="2"/>
  <c r="K55" i="2"/>
  <c r="L55" i="2"/>
  <c r="M55" i="2"/>
  <c r="N55" i="2"/>
  <c r="P55" i="2"/>
  <c r="Q55" i="2"/>
  <c r="R55" i="2"/>
  <c r="S55" i="2"/>
  <c r="T55" i="2"/>
  <c r="U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U49" i="2"/>
  <c r="T49" i="2"/>
  <c r="S49" i="2"/>
  <c r="R49" i="2"/>
  <c r="U41" i="2"/>
  <c r="T41" i="2"/>
  <c r="S41" i="2"/>
  <c r="R41" i="2"/>
  <c r="U33" i="2"/>
  <c r="T33" i="2"/>
  <c r="S33" i="2"/>
  <c r="R33" i="2"/>
  <c r="Q49" i="2"/>
  <c r="P49" i="2"/>
  <c r="O49" i="2"/>
  <c r="N49" i="2"/>
  <c r="M49" i="2"/>
  <c r="L49" i="2"/>
  <c r="K49" i="2"/>
  <c r="J49" i="2"/>
  <c r="I49" i="2"/>
  <c r="H49" i="2"/>
  <c r="G49" i="2"/>
  <c r="F49" i="2"/>
  <c r="E48" i="2"/>
  <c r="E47" i="2"/>
  <c r="E46" i="2"/>
  <c r="E45" i="2"/>
  <c r="E44" i="2"/>
  <c r="Q41" i="2"/>
  <c r="P41" i="2"/>
  <c r="O41" i="2"/>
  <c r="N41" i="2"/>
  <c r="M41" i="2"/>
  <c r="L41" i="2"/>
  <c r="K41" i="2"/>
  <c r="J41" i="2"/>
  <c r="I41" i="2"/>
  <c r="H41" i="2"/>
  <c r="G41" i="2"/>
  <c r="F41" i="2"/>
  <c r="E40" i="2"/>
  <c r="E39" i="2"/>
  <c r="E38" i="2"/>
  <c r="E37" i="2"/>
  <c r="E36" i="2"/>
  <c r="Q33" i="2"/>
  <c r="P33" i="2"/>
  <c r="O33" i="2"/>
  <c r="N33" i="2"/>
  <c r="M33" i="2"/>
  <c r="L33" i="2"/>
  <c r="K33" i="2"/>
  <c r="J33" i="2"/>
  <c r="I33" i="2"/>
  <c r="H33" i="2"/>
  <c r="G33" i="2"/>
  <c r="F33" i="2"/>
  <c r="E32" i="2"/>
  <c r="E31" i="2"/>
  <c r="E30" i="2"/>
  <c r="E29" i="2"/>
  <c r="E28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4" i="2"/>
  <c r="E23" i="2"/>
  <c r="E22" i="2"/>
  <c r="E21" i="2"/>
  <c r="E20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6" i="2"/>
  <c r="E15" i="2"/>
  <c r="E14" i="2"/>
  <c r="E13" i="2"/>
  <c r="E12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8" i="2"/>
  <c r="E7" i="2"/>
  <c r="E6" i="2"/>
  <c r="E5" i="2"/>
  <c r="E4" i="2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3" i="1"/>
  <c r="E22" i="1"/>
  <c r="E21" i="1"/>
  <c r="E20" i="1"/>
  <c r="E19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5" i="1"/>
  <c r="E14" i="1"/>
  <c r="E13" i="1"/>
  <c r="E12" i="1"/>
  <c r="E11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E5" i="1"/>
  <c r="E6" i="1"/>
  <c r="E7" i="1"/>
  <c r="E4" i="1"/>
  <c r="E3" i="1"/>
  <c r="P6" i="82" l="1"/>
  <c r="P6" i="90"/>
  <c r="O6" i="82"/>
  <c r="O6" i="90"/>
  <c r="O18" i="90" s="1"/>
  <c r="P52" i="22"/>
  <c r="P53" i="22" s="1"/>
  <c r="P5" i="82"/>
  <c r="O52" i="20"/>
  <c r="O53" i="20" s="1"/>
  <c r="O4" i="82"/>
  <c r="P52" i="23"/>
  <c r="P53" i="23" s="1"/>
  <c r="P3" i="82"/>
  <c r="J8" i="18"/>
  <c r="J46" i="18" s="1"/>
  <c r="J47" i="18" s="1"/>
  <c r="K4" i="10"/>
  <c r="I4" i="10"/>
  <c r="J4" i="10"/>
  <c r="J5" i="10"/>
  <c r="L6" i="18"/>
  <c r="K6" i="18"/>
  <c r="K8" i="18" s="1"/>
  <c r="K52" i="12"/>
  <c r="K53" i="12" s="1"/>
  <c r="K7" i="10"/>
  <c r="Q26" i="23"/>
  <c r="Q27" i="23" s="1"/>
  <c r="Q30" i="23" s="1"/>
  <c r="Q26" i="22"/>
  <c r="Q27" i="22" s="1"/>
  <c r="Q30" i="22" s="1"/>
  <c r="P52" i="21"/>
  <c r="P53" i="21" s="1"/>
  <c r="Q26" i="21"/>
  <c r="Q27" i="21" s="1"/>
  <c r="Q30" i="21" s="1"/>
  <c r="Q6" i="90" s="1"/>
  <c r="O52" i="21"/>
  <c r="O53" i="21" s="1"/>
  <c r="P27" i="20"/>
  <c r="P30" i="20" s="1"/>
  <c r="Q26" i="20"/>
  <c r="E54" i="2"/>
  <c r="F57" i="2"/>
  <c r="J57" i="2"/>
  <c r="N57" i="2"/>
  <c r="Q25" i="3" a="1"/>
  <c r="Q25" i="3" s="1"/>
  <c r="Q31" i="3" s="1"/>
  <c r="R26" i="19"/>
  <c r="R27" i="19" s="1"/>
  <c r="R30" i="19" s="1"/>
  <c r="R52" i="19" s="1"/>
  <c r="R53" i="19" s="1"/>
  <c r="M52" i="13"/>
  <c r="M53" i="13" s="1"/>
  <c r="M3" i="18"/>
  <c r="M52" i="16"/>
  <c r="M53" i="16" s="1"/>
  <c r="M7" i="18"/>
  <c r="O26" i="17"/>
  <c r="O23" i="17"/>
  <c r="L52" i="14"/>
  <c r="L53" i="14" s="1"/>
  <c r="L5" i="18"/>
  <c r="K26" i="5"/>
  <c r="L52" i="17"/>
  <c r="L53" i="17" s="1"/>
  <c r="M27" i="17"/>
  <c r="K52" i="17"/>
  <c r="K53" i="17" s="1"/>
  <c r="N23" i="16"/>
  <c r="N26" i="16"/>
  <c r="N27" i="16" s="1"/>
  <c r="N30" i="16" s="1"/>
  <c r="M26" i="15"/>
  <c r="M27" i="15" s="1"/>
  <c r="M30" i="15" s="1"/>
  <c r="L30" i="15"/>
  <c r="M26" i="14"/>
  <c r="M27" i="14" s="1"/>
  <c r="N26" i="13"/>
  <c r="N27" i="13" s="1"/>
  <c r="M23" i="12"/>
  <c r="M26" i="12"/>
  <c r="L30" i="12"/>
  <c r="K52" i="7"/>
  <c r="K53" i="7" s="1"/>
  <c r="K5" i="10"/>
  <c r="J52" i="7"/>
  <c r="J53" i="7" s="1"/>
  <c r="I6" i="10"/>
  <c r="I52" i="5"/>
  <c r="I53" i="5" s="1"/>
  <c r="K52" i="8"/>
  <c r="K53" i="8" s="1"/>
  <c r="I52" i="8"/>
  <c r="I53" i="8" s="1"/>
  <c r="L26" i="8"/>
  <c r="L27" i="8" s="1"/>
  <c r="L30" i="8" s="1"/>
  <c r="J52" i="8"/>
  <c r="J53" i="8" s="1"/>
  <c r="L26" i="7"/>
  <c r="L27" i="7" s="1"/>
  <c r="L30" i="7" s="1"/>
  <c r="L23" i="7"/>
  <c r="J30" i="5"/>
  <c r="L26" i="5"/>
  <c r="I25" i="3" a="1"/>
  <c r="I25" i="3" s="1"/>
  <c r="I31" i="3" s="1"/>
  <c r="W25" i="3" a="1"/>
  <c r="W25" i="3" s="1"/>
  <c r="J26" i="3"/>
  <c r="K25" i="3" a="1"/>
  <c r="K25" i="3" s="1"/>
  <c r="K31" i="3" s="1"/>
  <c r="U25" i="3" a="1"/>
  <c r="U25" i="3" s="1"/>
  <c r="T25" i="3" a="1"/>
  <c r="T25" i="3" s="1"/>
  <c r="T31" i="3" s="1"/>
  <c r="S25" i="3" a="1"/>
  <c r="S25" i="3" s="1"/>
  <c r="S31" i="3" s="1"/>
  <c r="H57" i="2"/>
  <c r="L57" i="2"/>
  <c r="P57" i="2"/>
  <c r="T57" i="2"/>
  <c r="G57" i="2"/>
  <c r="K57" i="2"/>
  <c r="Q57" i="2"/>
  <c r="E56" i="2"/>
  <c r="I57" i="2"/>
  <c r="U57" i="2"/>
  <c r="O25" i="3" a="1"/>
  <c r="O25" i="3" s="1"/>
  <c r="L25" i="3" a="1"/>
  <c r="L25" i="3" s="1"/>
  <c r="L31" i="3" s="1"/>
  <c r="E9" i="2"/>
  <c r="E41" i="2"/>
  <c r="R25" i="3" a="1"/>
  <c r="R25" i="3" s="1"/>
  <c r="R31" i="3" s="1"/>
  <c r="U28" i="3"/>
  <c r="V25" i="3" a="1"/>
  <c r="V25" i="3" s="1"/>
  <c r="N25" i="3" a="1"/>
  <c r="N25" i="3" s="1"/>
  <c r="N31" i="3" s="1"/>
  <c r="J25" i="3" a="1"/>
  <c r="J25" i="3" s="1"/>
  <c r="J31" i="3" s="1"/>
  <c r="M25" i="3" a="1"/>
  <c r="M25" i="3" s="1"/>
  <c r="M31" i="3" s="1"/>
  <c r="P25" i="3" a="1"/>
  <c r="P25" i="3" s="1"/>
  <c r="P31" i="3" s="1"/>
  <c r="E17" i="2"/>
  <c r="M57" i="2"/>
  <c r="E55" i="2"/>
  <c r="E25" i="2"/>
  <c r="O57" i="2"/>
  <c r="S57" i="2"/>
  <c r="R57" i="2"/>
  <c r="E53" i="2"/>
  <c r="E33" i="2"/>
  <c r="E49" i="2"/>
  <c r="E24" i="1"/>
  <c r="E8" i="1"/>
  <c r="E16" i="1"/>
  <c r="P18" i="90" l="1"/>
  <c r="P72" i="90" s="1"/>
  <c r="P73" i="90" s="1"/>
  <c r="O72" i="90"/>
  <c r="O73" i="90" s="1"/>
  <c r="Q52" i="21"/>
  <c r="Q53" i="21" s="1"/>
  <c r="Q6" i="82"/>
  <c r="Q52" i="22"/>
  <c r="Q53" i="22" s="1"/>
  <c r="Q5" i="82"/>
  <c r="P52" i="20"/>
  <c r="P53" i="20" s="1"/>
  <c r="P4" i="82"/>
  <c r="Q52" i="23"/>
  <c r="Q53" i="23" s="1"/>
  <c r="Q3" i="82"/>
  <c r="K46" i="18"/>
  <c r="K47" i="18" s="1"/>
  <c r="J6" i="10"/>
  <c r="L7" i="10"/>
  <c r="L4" i="18"/>
  <c r="L8" i="18" s="1"/>
  <c r="M4" i="18"/>
  <c r="M27" i="12"/>
  <c r="M30" i="12" s="1"/>
  <c r="R26" i="23"/>
  <c r="R27" i="23" s="1"/>
  <c r="R30" i="23" s="1"/>
  <c r="R26" i="22"/>
  <c r="R27" i="22" s="1"/>
  <c r="R30" i="22" s="1"/>
  <c r="R26" i="21"/>
  <c r="R27" i="21" s="1"/>
  <c r="R30" i="21" s="1"/>
  <c r="Q27" i="20"/>
  <c r="Q30" i="20" s="1"/>
  <c r="R26" i="20"/>
  <c r="S26" i="19"/>
  <c r="S27" i="19" s="1"/>
  <c r="S30" i="19" s="1"/>
  <c r="S52" i="19" s="1"/>
  <c r="S53" i="19" s="1"/>
  <c r="N52" i="16"/>
  <c r="N53" i="16" s="1"/>
  <c r="N7" i="18"/>
  <c r="P26" i="17"/>
  <c r="P23" i="17"/>
  <c r="M52" i="15"/>
  <c r="M53" i="15" s="1"/>
  <c r="N27" i="17"/>
  <c r="N30" i="17" s="1"/>
  <c r="M30" i="17"/>
  <c r="O23" i="16"/>
  <c r="O26" i="16"/>
  <c r="O27" i="16" s="1"/>
  <c r="L52" i="15"/>
  <c r="L53" i="15" s="1"/>
  <c r="N26" i="15"/>
  <c r="N27" i="15" s="1"/>
  <c r="N30" i="15" s="1"/>
  <c r="M30" i="14"/>
  <c r="N26" i="14"/>
  <c r="N27" i="14" s="1"/>
  <c r="N30" i="14" s="1"/>
  <c r="O26" i="13"/>
  <c r="O27" i="13" s="1"/>
  <c r="O30" i="13" s="1"/>
  <c r="N30" i="13"/>
  <c r="L52" i="12"/>
  <c r="L53" i="12" s="1"/>
  <c r="N26" i="12"/>
  <c r="N23" i="12"/>
  <c r="L52" i="7"/>
  <c r="L53" i="7" s="1"/>
  <c r="L5" i="10"/>
  <c r="K27" i="5"/>
  <c r="K30" i="5" s="1"/>
  <c r="L52" i="8"/>
  <c r="L53" i="8" s="1"/>
  <c r="L4" i="10"/>
  <c r="M26" i="8"/>
  <c r="M27" i="8" s="1"/>
  <c r="M30" i="8" s="1"/>
  <c r="M23" i="7"/>
  <c r="M26" i="7"/>
  <c r="M27" i="7" s="1"/>
  <c r="M30" i="7" s="1"/>
  <c r="M26" i="5"/>
  <c r="J52" i="5"/>
  <c r="J53" i="5" s="1"/>
  <c r="K26" i="3"/>
  <c r="O31" i="3"/>
  <c r="J27" i="3"/>
  <c r="H22" i="3"/>
  <c r="E57" i="2"/>
  <c r="Q18" i="90" l="1"/>
  <c r="Q72" i="90" s="1"/>
  <c r="Q73" i="90" s="1"/>
  <c r="R6" i="82"/>
  <c r="R6" i="90"/>
  <c r="R52" i="22"/>
  <c r="R53" i="22" s="1"/>
  <c r="R5" i="82"/>
  <c r="Q52" i="20"/>
  <c r="Q53" i="20" s="1"/>
  <c r="Q4" i="82"/>
  <c r="R52" i="23"/>
  <c r="R53" i="23" s="1"/>
  <c r="R3" i="82"/>
  <c r="M4" i="10"/>
  <c r="M5" i="10"/>
  <c r="N6" i="18"/>
  <c r="O3" i="18"/>
  <c r="M5" i="18"/>
  <c r="N3" i="18"/>
  <c r="M6" i="18"/>
  <c r="M7" i="10"/>
  <c r="M52" i="12"/>
  <c r="M53" i="12" s="1"/>
  <c r="N27" i="12"/>
  <c r="N30" i="12" s="1"/>
  <c r="S26" i="23"/>
  <c r="S26" i="22"/>
  <c r="S27" i="22" s="1"/>
  <c r="S30" i="22" s="1"/>
  <c r="R52" i="21"/>
  <c r="R53" i="21" s="1"/>
  <c r="S26" i="21"/>
  <c r="S27" i="21" s="1"/>
  <c r="S30" i="21" s="1"/>
  <c r="S6" i="90" s="1"/>
  <c r="R27" i="20"/>
  <c r="R30" i="20" s="1"/>
  <c r="S26" i="20"/>
  <c r="Q23" i="17"/>
  <c r="Q26" i="17"/>
  <c r="T26" i="19"/>
  <c r="T27" i="19" s="1"/>
  <c r="T30" i="19" s="1"/>
  <c r="N52" i="15"/>
  <c r="N53" i="15" s="1"/>
  <c r="N4" i="18"/>
  <c r="L46" i="18"/>
  <c r="L47" i="18" s="1"/>
  <c r="N52" i="14"/>
  <c r="N53" i="14" s="1"/>
  <c r="N5" i="18"/>
  <c r="O52" i="13"/>
  <c r="O53" i="13" s="1"/>
  <c r="N52" i="17"/>
  <c r="N53" i="17" s="1"/>
  <c r="M52" i="17"/>
  <c r="M53" i="17" s="1"/>
  <c r="O27" i="17"/>
  <c r="O30" i="16"/>
  <c r="P26" i="16"/>
  <c r="P27" i="16" s="1"/>
  <c r="P30" i="16" s="1"/>
  <c r="P23" i="16"/>
  <c r="O26" i="15"/>
  <c r="O27" i="15" s="1"/>
  <c r="O30" i="15" s="1"/>
  <c r="O26" i="14"/>
  <c r="O27" i="14" s="1"/>
  <c r="O30" i="14" s="1"/>
  <c r="M52" i="14"/>
  <c r="M53" i="14" s="1"/>
  <c r="P26" i="13"/>
  <c r="P27" i="13" s="1"/>
  <c r="P30" i="13" s="1"/>
  <c r="N52" i="13"/>
  <c r="N53" i="13" s="1"/>
  <c r="O26" i="12"/>
  <c r="O27" i="12" s="1"/>
  <c r="O23" i="12"/>
  <c r="K52" i="5"/>
  <c r="K53" i="5" s="1"/>
  <c r="K6" i="10"/>
  <c r="L27" i="5"/>
  <c r="L30" i="5" s="1"/>
  <c r="M52" i="8"/>
  <c r="M53" i="8" s="1"/>
  <c r="N26" i="8"/>
  <c r="N27" i="8" s="1"/>
  <c r="N30" i="8" s="1"/>
  <c r="N23" i="7"/>
  <c r="N26" i="7"/>
  <c r="M52" i="7"/>
  <c r="M53" i="7" s="1"/>
  <c r="N26" i="5"/>
  <c r="K27" i="3"/>
  <c r="L26" i="3"/>
  <c r="L27" i="3" s="1"/>
  <c r="L30" i="3" s="1"/>
  <c r="J30" i="3"/>
  <c r="H28" i="3"/>
  <c r="I27" i="3" s="1"/>
  <c r="I30" i="3" s="1"/>
  <c r="R18" i="90" l="1"/>
  <c r="R72" i="90" s="1"/>
  <c r="R73" i="90" s="1"/>
  <c r="S52" i="21"/>
  <c r="S53" i="21" s="1"/>
  <c r="S6" i="82"/>
  <c r="S52" i="22"/>
  <c r="S53" i="22" s="1"/>
  <c r="S5" i="82"/>
  <c r="R52" i="20"/>
  <c r="R53" i="20" s="1"/>
  <c r="R4" i="82"/>
  <c r="J15" i="82"/>
  <c r="J8" i="83"/>
  <c r="I15" i="82"/>
  <c r="I67" i="82" s="1"/>
  <c r="I68" i="82" s="1"/>
  <c r="I8" i="83"/>
  <c r="M8" i="18"/>
  <c r="M46" i="18" s="1"/>
  <c r="M47" i="18" s="1"/>
  <c r="J3" i="10"/>
  <c r="J8" i="10" s="1"/>
  <c r="L3" i="10"/>
  <c r="O7" i="18"/>
  <c r="P7" i="18"/>
  <c r="N7" i="10"/>
  <c r="N52" i="12"/>
  <c r="N53" i="12" s="1"/>
  <c r="S27" i="23"/>
  <c r="S30" i="23" s="1"/>
  <c r="T26" i="23"/>
  <c r="T27" i="23" s="1"/>
  <c r="T26" i="22"/>
  <c r="T27" i="22" s="1"/>
  <c r="T26" i="21"/>
  <c r="S27" i="20"/>
  <c r="S30" i="20" s="1"/>
  <c r="T26" i="20"/>
  <c r="T27" i="20" s="1"/>
  <c r="N8" i="18"/>
  <c r="T52" i="19"/>
  <c r="T53" i="19" s="1"/>
  <c r="U34" i="19"/>
  <c r="O52" i="15"/>
  <c r="O53" i="15" s="1"/>
  <c r="O4" i="18"/>
  <c r="P52" i="13"/>
  <c r="P53" i="13" s="1"/>
  <c r="P3" i="18"/>
  <c r="R26" i="17"/>
  <c r="R23" i="17"/>
  <c r="O52" i="14"/>
  <c r="O53" i="14" s="1"/>
  <c r="O5" i="18"/>
  <c r="P52" i="16"/>
  <c r="P53" i="16" s="1"/>
  <c r="P27" i="17"/>
  <c r="P30" i="17" s="1"/>
  <c r="O30" i="17"/>
  <c r="Q26" i="16"/>
  <c r="Q27" i="16" s="1"/>
  <c r="Q30" i="16" s="1"/>
  <c r="Q23" i="16"/>
  <c r="O52" i="16"/>
  <c r="O53" i="16" s="1"/>
  <c r="P26" i="15"/>
  <c r="P27" i="15" s="1"/>
  <c r="P30" i="15" s="1"/>
  <c r="P26" i="14"/>
  <c r="P27" i="14" s="1"/>
  <c r="P30" i="14" s="1"/>
  <c r="Q26" i="13"/>
  <c r="Q27" i="13" s="1"/>
  <c r="Q30" i="13" s="1"/>
  <c r="O30" i="12"/>
  <c r="P26" i="12"/>
  <c r="P23" i="12"/>
  <c r="N27" i="7"/>
  <c r="N30" i="7" s="1"/>
  <c r="L52" i="5"/>
  <c r="L53" i="5" s="1"/>
  <c r="L6" i="10"/>
  <c r="M27" i="5"/>
  <c r="M30" i="5" s="1"/>
  <c r="N52" i="8"/>
  <c r="N53" i="8" s="1"/>
  <c r="N4" i="10"/>
  <c r="I52" i="3"/>
  <c r="I53" i="3" s="1"/>
  <c r="I3" i="10"/>
  <c r="I8" i="10" s="1"/>
  <c r="O26" i="8"/>
  <c r="O27" i="8" s="1"/>
  <c r="O30" i="8" s="1"/>
  <c r="O26" i="7"/>
  <c r="O27" i="7" s="1"/>
  <c r="O30" i="7" s="1"/>
  <c r="O23" i="7"/>
  <c r="O26" i="5"/>
  <c r="J52" i="3"/>
  <c r="J53" i="3" s="1"/>
  <c r="M26" i="3"/>
  <c r="M27" i="3" s="1"/>
  <c r="M30" i="3" s="1"/>
  <c r="K30" i="3"/>
  <c r="S18" i="90" l="1"/>
  <c r="S72" i="90" s="1"/>
  <c r="S73" i="90" s="1"/>
  <c r="S52" i="20"/>
  <c r="S53" i="20" s="1"/>
  <c r="S4" i="82"/>
  <c r="S52" i="23"/>
  <c r="S53" i="23" s="1"/>
  <c r="S3" i="82"/>
  <c r="L15" i="82"/>
  <c r="J67" i="82"/>
  <c r="J68" i="82" s="1"/>
  <c r="I46" i="83"/>
  <c r="I47" i="83" s="1"/>
  <c r="L8" i="83"/>
  <c r="K15" i="82"/>
  <c r="K67" i="82" s="1"/>
  <c r="K68" i="82" s="1"/>
  <c r="K8" i="83"/>
  <c r="K46" i="83" s="1"/>
  <c r="K47" i="83" s="1"/>
  <c r="J46" i="83"/>
  <c r="J47" i="83" s="1"/>
  <c r="N46" i="18"/>
  <c r="N47" i="18" s="1"/>
  <c r="L8" i="10"/>
  <c r="O7" i="10"/>
  <c r="M6" i="10"/>
  <c r="P4" i="18"/>
  <c r="O6" i="18"/>
  <c r="O8" i="18" s="1"/>
  <c r="O46" i="18" s="1"/>
  <c r="O47" i="18" s="1"/>
  <c r="P6" i="18"/>
  <c r="Q3" i="18"/>
  <c r="P5" i="18"/>
  <c r="P27" i="12"/>
  <c r="P30" i="12" s="1"/>
  <c r="T30" i="23"/>
  <c r="H27" i="23"/>
  <c r="T27" i="21"/>
  <c r="T30" i="21" s="1"/>
  <c r="T30" i="22"/>
  <c r="H27" i="22"/>
  <c r="T30" i="20"/>
  <c r="H27" i="20"/>
  <c r="S26" i="17"/>
  <c r="S23" i="17"/>
  <c r="W21" i="19"/>
  <c r="V21" i="19"/>
  <c r="U21" i="19"/>
  <c r="U23" i="19" s="1"/>
  <c r="Q52" i="16"/>
  <c r="Q53" i="16" s="1"/>
  <c r="Q7" i="18"/>
  <c r="O52" i="17"/>
  <c r="O53" i="17" s="1"/>
  <c r="Q27" i="17"/>
  <c r="P52" i="17"/>
  <c r="P53" i="17" s="1"/>
  <c r="R23" i="16"/>
  <c r="R26" i="16"/>
  <c r="R27" i="16" s="1"/>
  <c r="R30" i="16" s="1"/>
  <c r="P52" i="15"/>
  <c r="P53" i="15" s="1"/>
  <c r="Q26" i="15"/>
  <c r="Q27" i="15" s="1"/>
  <c r="Q30" i="15" s="1"/>
  <c r="Q26" i="14"/>
  <c r="Q27" i="14" s="1"/>
  <c r="Q30" i="14" s="1"/>
  <c r="P52" i="14"/>
  <c r="P53" i="14" s="1"/>
  <c r="R26" i="13"/>
  <c r="R27" i="13" s="1"/>
  <c r="R30" i="13" s="1"/>
  <c r="Q52" i="13"/>
  <c r="Q53" i="13" s="1"/>
  <c r="Q23" i="12"/>
  <c r="Q26" i="12"/>
  <c r="Q27" i="12" s="1"/>
  <c r="O52" i="12"/>
  <c r="O53" i="12" s="1"/>
  <c r="I46" i="10"/>
  <c r="I47" i="10" s="1"/>
  <c r="N52" i="7"/>
  <c r="N53" i="7" s="1"/>
  <c r="N5" i="10"/>
  <c r="O52" i="7"/>
  <c r="O53" i="7" s="1"/>
  <c r="O5" i="10"/>
  <c r="M52" i="5"/>
  <c r="M53" i="5" s="1"/>
  <c r="N27" i="5"/>
  <c r="N30" i="5" s="1"/>
  <c r="O52" i="8"/>
  <c r="O53" i="8" s="1"/>
  <c r="O4" i="10"/>
  <c r="J46" i="10"/>
  <c r="J47" i="10" s="1"/>
  <c r="K52" i="3"/>
  <c r="K53" i="3" s="1"/>
  <c r="K3" i="10"/>
  <c r="K8" i="10" s="1"/>
  <c r="M52" i="3"/>
  <c r="M53" i="3" s="1"/>
  <c r="M3" i="10"/>
  <c r="P26" i="8"/>
  <c r="P27" i="8" s="1"/>
  <c r="P30" i="8" s="1"/>
  <c r="P26" i="7"/>
  <c r="P27" i="7" s="1"/>
  <c r="P30" i="7" s="1"/>
  <c r="P23" i="7"/>
  <c r="P26" i="5"/>
  <c r="L52" i="3"/>
  <c r="L53" i="3" s="1"/>
  <c r="N26" i="3"/>
  <c r="N27" i="3" s="1"/>
  <c r="N30" i="3" s="1"/>
  <c r="T4" i="82" l="1"/>
  <c r="T3" i="82"/>
  <c r="T5" i="82"/>
  <c r="T6" i="82"/>
  <c r="T6" i="90"/>
  <c r="M8" i="83"/>
  <c r="M46" i="83" s="1"/>
  <c r="M47" i="83" s="1"/>
  <c r="M15" i="82"/>
  <c r="M67" i="82" s="1"/>
  <c r="M68" i="82" s="1"/>
  <c r="L67" i="82"/>
  <c r="L68" i="82" s="1"/>
  <c r="L46" i="83"/>
  <c r="L47" i="83" s="1"/>
  <c r="P8" i="18"/>
  <c r="P46" i="18" s="1"/>
  <c r="P47" i="18" s="1"/>
  <c r="M8" i="10"/>
  <c r="M46" i="10" s="1"/>
  <c r="M47" i="10" s="1"/>
  <c r="P7" i="10"/>
  <c r="P52" i="12"/>
  <c r="P53" i="12" s="1"/>
  <c r="T52" i="23"/>
  <c r="T53" i="23" s="1"/>
  <c r="U52" i="23"/>
  <c r="U53" i="23" s="1"/>
  <c r="U34" i="23"/>
  <c r="H30" i="23"/>
  <c r="T52" i="21"/>
  <c r="T53" i="21" s="1"/>
  <c r="U34" i="21"/>
  <c r="T52" i="22"/>
  <c r="T53" i="22" s="1"/>
  <c r="U52" i="22"/>
  <c r="U53" i="22" s="1"/>
  <c r="U34" i="22"/>
  <c r="H30" i="22"/>
  <c r="T52" i="20"/>
  <c r="T53" i="20" s="1"/>
  <c r="U52" i="20"/>
  <c r="U53" i="20" s="1"/>
  <c r="U34" i="20"/>
  <c r="H30" i="20"/>
  <c r="V23" i="19"/>
  <c r="W23" i="19" s="1"/>
  <c r="Q52" i="15"/>
  <c r="Q53" i="15" s="1"/>
  <c r="Q4" i="18"/>
  <c r="V26" i="19"/>
  <c r="V27" i="19" s="1"/>
  <c r="V30" i="19" s="1"/>
  <c r="R52" i="13"/>
  <c r="R53" i="13" s="1"/>
  <c r="R3" i="18"/>
  <c r="W26" i="19"/>
  <c r="W27" i="19" s="1"/>
  <c r="T23" i="17"/>
  <c r="T26" i="17"/>
  <c r="U26" i="19"/>
  <c r="U27" i="19" s="1"/>
  <c r="U30" i="19" s="1"/>
  <c r="U52" i="19" s="1"/>
  <c r="U53" i="19" s="1"/>
  <c r="H21" i="19"/>
  <c r="R52" i="16"/>
  <c r="R53" i="16" s="1"/>
  <c r="R7" i="18"/>
  <c r="Q52" i="14"/>
  <c r="Q53" i="14" s="1"/>
  <c r="Q5" i="18"/>
  <c r="R27" i="17"/>
  <c r="R30" i="17" s="1"/>
  <c r="S23" i="16"/>
  <c r="S26" i="16"/>
  <c r="S27" i="16" s="1"/>
  <c r="S30" i="16" s="1"/>
  <c r="R26" i="15"/>
  <c r="R27" i="15" s="1"/>
  <c r="R30" i="15" s="1"/>
  <c r="R26" i="14"/>
  <c r="R27" i="14" s="1"/>
  <c r="R30" i="14" s="1"/>
  <c r="S26" i="13"/>
  <c r="S27" i="13" s="1"/>
  <c r="S30" i="13" s="1"/>
  <c r="Q30" i="12"/>
  <c r="R26" i="12"/>
  <c r="R23" i="12"/>
  <c r="P52" i="7"/>
  <c r="P53" i="7" s="1"/>
  <c r="P5" i="10"/>
  <c r="N6" i="10"/>
  <c r="N52" i="5"/>
  <c r="N53" i="5" s="1"/>
  <c r="O27" i="5"/>
  <c r="O30" i="5" s="1"/>
  <c r="P52" i="8"/>
  <c r="P53" i="8" s="1"/>
  <c r="P4" i="10"/>
  <c r="N52" i="3"/>
  <c r="N53" i="3" s="1"/>
  <c r="N3" i="10"/>
  <c r="K46" i="10"/>
  <c r="K47" i="10" s="1"/>
  <c r="L46" i="10"/>
  <c r="L47" i="10" s="1"/>
  <c r="Q26" i="8"/>
  <c r="Q27" i="8" s="1"/>
  <c r="Q30" i="8" s="1"/>
  <c r="Q23" i="7"/>
  <c r="Q26" i="7"/>
  <c r="Q27" i="7" s="1"/>
  <c r="Q30" i="7" s="1"/>
  <c r="Q26" i="5"/>
  <c r="O26" i="3"/>
  <c r="O27" i="3" s="1"/>
  <c r="O30" i="3" s="1"/>
  <c r="T18" i="90" l="1"/>
  <c r="T72" i="90" s="1"/>
  <c r="T73" i="90" s="1"/>
  <c r="W21" i="21"/>
  <c r="W26" i="21" s="1"/>
  <c r="W27" i="21" s="1"/>
  <c r="H31" i="22"/>
  <c r="H5" i="82"/>
  <c r="H31" i="20"/>
  <c r="H4" i="82"/>
  <c r="H31" i="23"/>
  <c r="H3" i="82"/>
  <c r="N15" i="82"/>
  <c r="N67" i="82" s="1"/>
  <c r="N68" i="82" s="1"/>
  <c r="N8" i="83"/>
  <c r="N46" i="83" s="1"/>
  <c r="N47" i="83" s="1"/>
  <c r="Q7" i="10"/>
  <c r="R5" i="18"/>
  <c r="R27" i="12"/>
  <c r="R30" i="12" s="1"/>
  <c r="B20" i="23"/>
  <c r="U21" i="21"/>
  <c r="V21" i="21"/>
  <c r="V26" i="21" s="1"/>
  <c r="V27" i="21" s="1"/>
  <c r="V30" i="21" s="1"/>
  <c r="B20" i="22"/>
  <c r="B20" i="20"/>
  <c r="V52" i="19"/>
  <c r="V53" i="19" s="1"/>
  <c r="H27" i="19"/>
  <c r="S52" i="13"/>
  <c r="S53" i="13" s="1"/>
  <c r="S3" i="18"/>
  <c r="W30" i="19"/>
  <c r="R52" i="15"/>
  <c r="R53" i="15" s="1"/>
  <c r="R4" i="18"/>
  <c r="S52" i="16"/>
  <c r="S53" i="16" s="1"/>
  <c r="S7" i="18"/>
  <c r="R6" i="18"/>
  <c r="S27" i="17"/>
  <c r="S30" i="17" s="1"/>
  <c r="T26" i="16"/>
  <c r="T27" i="16" s="1"/>
  <c r="T23" i="16"/>
  <c r="S26" i="15"/>
  <c r="S27" i="15" s="1"/>
  <c r="S30" i="15" s="1"/>
  <c r="R52" i="14"/>
  <c r="R53" i="14" s="1"/>
  <c r="S26" i="14"/>
  <c r="S27" i="14" s="1"/>
  <c r="S30" i="14" s="1"/>
  <c r="T26" i="13"/>
  <c r="T27" i="13" s="1"/>
  <c r="T30" i="13" s="1"/>
  <c r="Q52" i="12"/>
  <c r="Q53" i="12" s="1"/>
  <c r="S26" i="12"/>
  <c r="S23" i="12"/>
  <c r="Q52" i="7"/>
  <c r="Q53" i="7" s="1"/>
  <c r="Q5" i="10"/>
  <c r="N8" i="10"/>
  <c r="O52" i="5"/>
  <c r="O53" i="5" s="1"/>
  <c r="O6" i="10"/>
  <c r="P27" i="5"/>
  <c r="P30" i="5" s="1"/>
  <c r="Q52" i="8"/>
  <c r="Q53" i="8" s="1"/>
  <c r="Q4" i="10"/>
  <c r="O52" i="3"/>
  <c r="O53" i="3" s="1"/>
  <c r="O3" i="10"/>
  <c r="R26" i="8"/>
  <c r="R27" i="8" s="1"/>
  <c r="R30" i="8" s="1"/>
  <c r="R23" i="7"/>
  <c r="R26" i="7"/>
  <c r="R27" i="7" s="1"/>
  <c r="R30" i="7" s="1"/>
  <c r="R26" i="5"/>
  <c r="P26" i="3"/>
  <c r="P27" i="3" s="1"/>
  <c r="P30" i="3" s="1"/>
  <c r="V6" i="82" l="1"/>
  <c r="V6" i="90"/>
  <c r="V18" i="90" s="1"/>
  <c r="G18" i="90"/>
  <c r="F5" i="82"/>
  <c r="G5" i="82"/>
  <c r="F4" i="82"/>
  <c r="G4" i="82"/>
  <c r="G3" i="82"/>
  <c r="F3" i="82"/>
  <c r="O8" i="83"/>
  <c r="O46" i="83" s="1"/>
  <c r="O47" i="83" s="1"/>
  <c r="O15" i="82"/>
  <c r="O67" i="82" s="1"/>
  <c r="O68" i="82" s="1"/>
  <c r="T3" i="18"/>
  <c r="R7" i="10"/>
  <c r="R52" i="12"/>
  <c r="R53" i="12" s="1"/>
  <c r="S27" i="12"/>
  <c r="S30" i="12" s="1"/>
  <c r="H21" i="21"/>
  <c r="U26" i="21"/>
  <c r="U27" i="21" s="1"/>
  <c r="U30" i="21" s="1"/>
  <c r="U6" i="90" s="1"/>
  <c r="U18" i="90" s="1"/>
  <c r="U72" i="90" s="1"/>
  <c r="U73" i="90" s="1"/>
  <c r="W30" i="21"/>
  <c r="R8" i="18"/>
  <c r="S52" i="15"/>
  <c r="S53" i="15" s="1"/>
  <c r="S4" i="18"/>
  <c r="W52" i="19"/>
  <c r="W53" i="19" s="1"/>
  <c r="B20" i="19" s="1"/>
  <c r="H30" i="19"/>
  <c r="H31" i="19" s="1"/>
  <c r="S52" i="14"/>
  <c r="S53" i="14" s="1"/>
  <c r="S5" i="18"/>
  <c r="S52" i="17"/>
  <c r="S53" i="17" s="1"/>
  <c r="S6" i="18"/>
  <c r="T27" i="17"/>
  <c r="T30" i="16"/>
  <c r="H27" i="16"/>
  <c r="T26" i="15"/>
  <c r="T27" i="15" s="1"/>
  <c r="T30" i="15" s="1"/>
  <c r="T26" i="14"/>
  <c r="T27" i="14" s="1"/>
  <c r="T30" i="14" s="1"/>
  <c r="T52" i="13"/>
  <c r="T53" i="13" s="1"/>
  <c r="U34" i="13"/>
  <c r="T26" i="12"/>
  <c r="T23" i="12"/>
  <c r="N46" i="10"/>
  <c r="N47" i="10" s="1"/>
  <c r="R52" i="7"/>
  <c r="R53" i="7" s="1"/>
  <c r="R5" i="10"/>
  <c r="O8" i="10"/>
  <c r="O46" i="10" s="1"/>
  <c r="O47" i="10" s="1"/>
  <c r="P52" i="5"/>
  <c r="P53" i="5" s="1"/>
  <c r="P6" i="10"/>
  <c r="Q27" i="5"/>
  <c r="Q30" i="5" s="1"/>
  <c r="R52" i="8"/>
  <c r="R53" i="8" s="1"/>
  <c r="R4" i="10"/>
  <c r="P52" i="3"/>
  <c r="P53" i="3" s="1"/>
  <c r="P3" i="10"/>
  <c r="S26" i="8"/>
  <c r="S27" i="8" s="1"/>
  <c r="S30" i="8" s="1"/>
  <c r="S26" i="7"/>
  <c r="S27" i="7" s="1"/>
  <c r="S30" i="7" s="1"/>
  <c r="S23" i="7"/>
  <c r="S26" i="5"/>
  <c r="Q26" i="3"/>
  <c r="Q27" i="3" s="1"/>
  <c r="Q30" i="3" s="1"/>
  <c r="W6" i="82" l="1"/>
  <c r="W6" i="90"/>
  <c r="W18" i="90" s="1"/>
  <c r="V72" i="90"/>
  <c r="V73" i="90" s="1"/>
  <c r="U52" i="21"/>
  <c r="U53" i="21" s="1"/>
  <c r="U6" i="82"/>
  <c r="P15" i="82"/>
  <c r="P67" i="82" s="1"/>
  <c r="P68" i="82" s="1"/>
  <c r="P8" i="83"/>
  <c r="Q6" i="10"/>
  <c r="T5" i="18"/>
  <c r="T4" i="18"/>
  <c r="T7" i="18"/>
  <c r="S52" i="12"/>
  <c r="S53" i="12" s="1"/>
  <c r="S7" i="10"/>
  <c r="T27" i="12"/>
  <c r="T30" i="12" s="1"/>
  <c r="H27" i="21"/>
  <c r="V52" i="21"/>
  <c r="V53" i="21" s="1"/>
  <c r="W52" i="21"/>
  <c r="W53" i="21" s="1"/>
  <c r="H30" i="21"/>
  <c r="H6" i="90" s="1"/>
  <c r="S8" i="18"/>
  <c r="S46" i="18" s="1"/>
  <c r="S47" i="18" s="1"/>
  <c r="H27" i="17"/>
  <c r="T52" i="16"/>
  <c r="T53" i="16" s="1"/>
  <c r="U52" i="16"/>
  <c r="U53" i="16" s="1"/>
  <c r="U34" i="16"/>
  <c r="H30" i="16"/>
  <c r="T52" i="15"/>
  <c r="T53" i="15" s="1"/>
  <c r="U34" i="15"/>
  <c r="T52" i="14"/>
  <c r="T53" i="14" s="1"/>
  <c r="U34" i="14"/>
  <c r="W21" i="13"/>
  <c r="V21" i="13"/>
  <c r="U21" i="13"/>
  <c r="S52" i="7"/>
  <c r="S53" i="7" s="1"/>
  <c r="S5" i="10"/>
  <c r="P8" i="10"/>
  <c r="P46" i="10" s="1"/>
  <c r="P47" i="10" s="1"/>
  <c r="Q52" i="5"/>
  <c r="Q53" i="5" s="1"/>
  <c r="R27" i="5"/>
  <c r="R30" i="5" s="1"/>
  <c r="S52" i="8"/>
  <c r="S53" i="8" s="1"/>
  <c r="S4" i="10"/>
  <c r="Q52" i="3"/>
  <c r="Q53" i="3" s="1"/>
  <c r="Q3" i="10"/>
  <c r="T26" i="8"/>
  <c r="T27" i="8" s="1"/>
  <c r="T30" i="8" s="1"/>
  <c r="T26" i="7"/>
  <c r="T27" i="7" s="1"/>
  <c r="T30" i="7" s="1"/>
  <c r="T23" i="7"/>
  <c r="T26" i="5"/>
  <c r="R26" i="3"/>
  <c r="R27" i="3" s="1"/>
  <c r="W72" i="90" l="1"/>
  <c r="W73" i="90" s="1"/>
  <c r="B12" i="90" s="1"/>
  <c r="H18" i="90"/>
  <c r="H19" i="90" s="1"/>
  <c r="H31" i="21"/>
  <c r="H6" i="82"/>
  <c r="Q15" i="82"/>
  <c r="Q67" i="82" s="1"/>
  <c r="Q68" i="82" s="1"/>
  <c r="Q8" i="83"/>
  <c r="Q46" i="83" s="1"/>
  <c r="Q47" i="83" s="1"/>
  <c r="P46" i="83"/>
  <c r="P47" i="83" s="1"/>
  <c r="Q8" i="10"/>
  <c r="Q46" i="10" s="1"/>
  <c r="Q47" i="10" s="1"/>
  <c r="T5" i="10"/>
  <c r="T4" i="10"/>
  <c r="T7" i="10"/>
  <c r="T52" i="12"/>
  <c r="T53" i="12" s="1"/>
  <c r="U34" i="12"/>
  <c r="W21" i="12" s="1"/>
  <c r="B20" i="21"/>
  <c r="H31" i="16"/>
  <c r="H7" i="18"/>
  <c r="Q29" i="17"/>
  <c r="Q30" i="17" s="1"/>
  <c r="T29" i="17"/>
  <c r="T30" i="17" s="1"/>
  <c r="B20" i="16"/>
  <c r="W21" i="15"/>
  <c r="V21" i="15"/>
  <c r="U21" i="15"/>
  <c r="W21" i="14"/>
  <c r="V21" i="14"/>
  <c r="U21" i="14"/>
  <c r="V26" i="13"/>
  <c r="V27" i="13" s="1"/>
  <c r="V30" i="13" s="1"/>
  <c r="U26" i="13"/>
  <c r="U27" i="13" s="1"/>
  <c r="U30" i="13" s="1"/>
  <c r="H21" i="13"/>
  <c r="W26" i="13"/>
  <c r="W27" i="13" s="1"/>
  <c r="W30" i="13" s="1"/>
  <c r="R6" i="10"/>
  <c r="R52" i="5"/>
  <c r="R53" i="5" s="1"/>
  <c r="S27" i="5"/>
  <c r="S30" i="5" s="1"/>
  <c r="T52" i="8"/>
  <c r="T53" i="8" s="1"/>
  <c r="U34" i="8"/>
  <c r="T52" i="7"/>
  <c r="T53" i="7" s="1"/>
  <c r="U34" i="7"/>
  <c r="R30" i="3"/>
  <c r="S26" i="3"/>
  <c r="S27" i="3" s="1"/>
  <c r="S30" i="3" s="1"/>
  <c r="G6" i="90" l="1"/>
  <c r="F6" i="90"/>
  <c r="F18" i="90" s="1"/>
  <c r="G6" i="82"/>
  <c r="F6" i="82"/>
  <c r="R15" i="82"/>
  <c r="R67" i="82" s="1"/>
  <c r="R68" i="82" s="1"/>
  <c r="R8" i="83"/>
  <c r="R46" i="83" s="1"/>
  <c r="R47" i="83" s="1"/>
  <c r="S3" i="10"/>
  <c r="V3" i="18"/>
  <c r="T6" i="18"/>
  <c r="T8" i="18" s="1"/>
  <c r="T46" i="18" s="1"/>
  <c r="T47" i="18" s="1"/>
  <c r="W3" i="18"/>
  <c r="V21" i="12"/>
  <c r="V26" i="12" s="1"/>
  <c r="V27" i="12" s="1"/>
  <c r="V30" i="12" s="1"/>
  <c r="U21" i="12"/>
  <c r="U52" i="13"/>
  <c r="U53" i="13" s="1"/>
  <c r="U3" i="18"/>
  <c r="F7" i="18"/>
  <c r="G7" i="18"/>
  <c r="R52" i="17"/>
  <c r="R53" i="17" s="1"/>
  <c r="Q52" i="17"/>
  <c r="Q53" i="17" s="1"/>
  <c r="Q6" i="18"/>
  <c r="Q8" i="18" s="1"/>
  <c r="Q46" i="18" s="1"/>
  <c r="Q47" i="18" s="1"/>
  <c r="T52" i="17"/>
  <c r="T53" i="17" s="1"/>
  <c r="H30" i="17"/>
  <c r="U52" i="17"/>
  <c r="U53" i="17" s="1"/>
  <c r="U34" i="17"/>
  <c r="H29" i="17"/>
  <c r="U26" i="15"/>
  <c r="U27" i="15" s="1"/>
  <c r="U30" i="15" s="1"/>
  <c r="H21" i="15"/>
  <c r="V26" i="15"/>
  <c r="V27" i="15" s="1"/>
  <c r="V30" i="15" s="1"/>
  <c r="W26" i="15"/>
  <c r="W27" i="15" s="1"/>
  <c r="V26" i="14"/>
  <c r="V27" i="14" s="1"/>
  <c r="V30" i="14" s="1"/>
  <c r="U26" i="14"/>
  <c r="U27" i="14" s="1"/>
  <c r="U30" i="14" s="1"/>
  <c r="H21" i="14"/>
  <c r="W26" i="14"/>
  <c r="W27" i="14" s="1"/>
  <c r="V52" i="13"/>
  <c r="V53" i="13" s="1"/>
  <c r="H27" i="13"/>
  <c r="W52" i="13"/>
  <c r="W53" i="13" s="1"/>
  <c r="H30" i="13"/>
  <c r="W26" i="12"/>
  <c r="W27" i="12" s="1"/>
  <c r="S52" i="5"/>
  <c r="S53" i="5" s="1"/>
  <c r="S6" i="10"/>
  <c r="T27" i="5"/>
  <c r="T30" i="5" s="1"/>
  <c r="R52" i="3"/>
  <c r="R53" i="3" s="1"/>
  <c r="R3" i="10"/>
  <c r="R8" i="10" s="1"/>
  <c r="R46" i="10" s="1"/>
  <c r="R47" i="10" s="1"/>
  <c r="W21" i="8"/>
  <c r="V21" i="8"/>
  <c r="U21" i="8"/>
  <c r="W21" i="7"/>
  <c r="V21" i="7"/>
  <c r="U21" i="7"/>
  <c r="S52" i="3"/>
  <c r="S53" i="3" s="1"/>
  <c r="T26" i="3"/>
  <c r="T27" i="3" s="1"/>
  <c r="S8" i="83" l="1"/>
  <c r="S46" i="83" s="1"/>
  <c r="S47" i="83" s="1"/>
  <c r="S15" i="82"/>
  <c r="S67" i="82" s="1"/>
  <c r="S68" i="82" s="1"/>
  <c r="S8" i="10"/>
  <c r="S46" i="10" s="1"/>
  <c r="S47" i="10" s="1"/>
  <c r="V7" i="10"/>
  <c r="V5" i="18"/>
  <c r="H31" i="17"/>
  <c r="V4" i="18"/>
  <c r="H21" i="12"/>
  <c r="U26" i="12"/>
  <c r="U27" i="12" s="1"/>
  <c r="U30" i="12" s="1"/>
  <c r="U52" i="15"/>
  <c r="U53" i="15" s="1"/>
  <c r="U4" i="18"/>
  <c r="H31" i="13"/>
  <c r="H3" i="18"/>
  <c r="U52" i="14"/>
  <c r="U53" i="14" s="1"/>
  <c r="U5" i="18"/>
  <c r="B20" i="17"/>
  <c r="R46" i="18"/>
  <c r="R47" i="18" s="1"/>
  <c r="H6" i="18"/>
  <c r="H27" i="14"/>
  <c r="H27" i="15"/>
  <c r="V52" i="15"/>
  <c r="V53" i="15" s="1"/>
  <c r="W30" i="15"/>
  <c r="V52" i="14"/>
  <c r="V53" i="14" s="1"/>
  <c r="W30" i="14"/>
  <c r="B20" i="13"/>
  <c r="W30" i="12"/>
  <c r="T6" i="10"/>
  <c r="T52" i="5"/>
  <c r="T53" i="5" s="1"/>
  <c r="U34" i="5"/>
  <c r="H21" i="8"/>
  <c r="U26" i="8"/>
  <c r="U27" i="8" s="1"/>
  <c r="U30" i="8" s="1"/>
  <c r="V26" i="8"/>
  <c r="V27" i="8" s="1"/>
  <c r="V30" i="8" s="1"/>
  <c r="W26" i="8"/>
  <c r="W27" i="8" s="1"/>
  <c r="H21" i="7"/>
  <c r="U26" i="7"/>
  <c r="U27" i="7" s="1"/>
  <c r="U30" i="7" s="1"/>
  <c r="V26" i="7"/>
  <c r="V27" i="7" s="1"/>
  <c r="V30" i="7" s="1"/>
  <c r="W26" i="7"/>
  <c r="W27" i="7" s="1"/>
  <c r="T30" i="3"/>
  <c r="T15" i="82" l="1"/>
  <c r="T67" i="82" s="1"/>
  <c r="T68" i="82" s="1"/>
  <c r="T8" i="83"/>
  <c r="T46" i="83" s="1"/>
  <c r="T47" i="83" s="1"/>
  <c r="U8" i="18"/>
  <c r="U46" i="18" s="1"/>
  <c r="U47" i="18" s="1"/>
  <c r="V8" i="18"/>
  <c r="V5" i="10"/>
  <c r="V4" i="10"/>
  <c r="W7" i="10"/>
  <c r="U52" i="12"/>
  <c r="U53" i="12" s="1"/>
  <c r="T3" i="10"/>
  <c r="T8" i="10" s="1"/>
  <c r="T46" i="10" s="1"/>
  <c r="T47" i="10" s="1"/>
  <c r="W4" i="18"/>
  <c r="W5" i="18"/>
  <c r="G6" i="18"/>
  <c r="V52" i="12"/>
  <c r="V53" i="12" s="1"/>
  <c r="H27" i="12"/>
  <c r="U7" i="10"/>
  <c r="F3" i="18"/>
  <c r="G3" i="18"/>
  <c r="F6" i="18"/>
  <c r="W52" i="15"/>
  <c r="W53" i="15" s="1"/>
  <c r="B20" i="15" s="1"/>
  <c r="H30" i="15"/>
  <c r="W52" i="14"/>
  <c r="W53" i="14" s="1"/>
  <c r="B20" i="14" s="1"/>
  <c r="H30" i="14"/>
  <c r="W52" i="12"/>
  <c r="W53" i="12" s="1"/>
  <c r="H30" i="12"/>
  <c r="U52" i="7"/>
  <c r="U53" i="7" s="1"/>
  <c r="U5" i="10"/>
  <c r="U52" i="8"/>
  <c r="U53" i="8" s="1"/>
  <c r="U4" i="10"/>
  <c r="H27" i="8"/>
  <c r="V52" i="7"/>
  <c r="V53" i="7" s="1"/>
  <c r="W30" i="8"/>
  <c r="V52" i="8"/>
  <c r="V53" i="8" s="1"/>
  <c r="H27" i="7"/>
  <c r="W30" i="7"/>
  <c r="H21" i="5"/>
  <c r="U26" i="5"/>
  <c r="U27" i="5" s="1"/>
  <c r="U30" i="5" s="1"/>
  <c r="V26" i="5"/>
  <c r="V27" i="5" s="1"/>
  <c r="V30" i="5" s="1"/>
  <c r="W26" i="5"/>
  <c r="W27" i="5" s="1"/>
  <c r="U34" i="3"/>
  <c r="V21" i="3" s="1"/>
  <c r="V26" i="3" s="1"/>
  <c r="V27" i="3" s="1"/>
  <c r="V30" i="3" s="1"/>
  <c r="T52" i="3"/>
  <c r="T53" i="3" s="1"/>
  <c r="V46" i="18" l="1"/>
  <c r="V47" i="18" s="1"/>
  <c r="W8" i="18"/>
  <c r="W46" i="18" s="1"/>
  <c r="W47" i="18" s="1"/>
  <c r="B20" i="12"/>
  <c r="F7" i="10" s="1"/>
  <c r="W5" i="10"/>
  <c r="V3" i="10"/>
  <c r="W4" i="10"/>
  <c r="H31" i="12"/>
  <c r="H7" i="10"/>
  <c r="H31" i="15"/>
  <c r="H4" i="18"/>
  <c r="F4" i="18"/>
  <c r="G4" i="18"/>
  <c r="F5" i="18"/>
  <c r="G5" i="18"/>
  <c r="H31" i="14"/>
  <c r="H5" i="18"/>
  <c r="V52" i="5"/>
  <c r="V53" i="5" s="1"/>
  <c r="V6" i="10"/>
  <c r="U52" i="5"/>
  <c r="U53" i="5" s="1"/>
  <c r="U6" i="10"/>
  <c r="W52" i="8"/>
  <c r="W53" i="8" s="1"/>
  <c r="B20" i="8" s="1"/>
  <c r="H30" i="8"/>
  <c r="W52" i="7"/>
  <c r="W53" i="7" s="1"/>
  <c r="B20" i="7" s="1"/>
  <c r="H30" i="7"/>
  <c r="H27" i="5"/>
  <c r="W30" i="5"/>
  <c r="U21" i="3"/>
  <c r="W21" i="3"/>
  <c r="W26" i="3" s="1"/>
  <c r="W27" i="3" s="1"/>
  <c r="W30" i="3" s="1"/>
  <c r="G7" i="10" l="1"/>
  <c r="V15" i="82"/>
  <c r="V8" i="83"/>
  <c r="B10" i="18"/>
  <c r="H8" i="18"/>
  <c r="H9" i="18" s="1"/>
  <c r="V8" i="10"/>
  <c r="W6" i="10"/>
  <c r="F8" i="18"/>
  <c r="G8" i="18"/>
  <c r="F5" i="10"/>
  <c r="G5" i="10"/>
  <c r="H31" i="7"/>
  <c r="H5" i="10"/>
  <c r="H31" i="8"/>
  <c r="H4" i="10"/>
  <c r="G4" i="10"/>
  <c r="F4" i="10"/>
  <c r="W52" i="3"/>
  <c r="W53" i="3" s="1"/>
  <c r="W3" i="10"/>
  <c r="W52" i="5"/>
  <c r="W53" i="5" s="1"/>
  <c r="B20" i="5" s="1"/>
  <c r="H30" i="5"/>
  <c r="H21" i="3"/>
  <c r="U26" i="3"/>
  <c r="U27" i="3" s="1"/>
  <c r="H27" i="3" s="1"/>
  <c r="W8" i="83" l="1"/>
  <c r="W46" i="83" s="1"/>
  <c r="W47" i="83" s="1"/>
  <c r="W15" i="82"/>
  <c r="W67" i="82" s="1"/>
  <c r="W68" i="82" s="1"/>
  <c r="W8" i="10"/>
  <c r="W46" i="10" s="1"/>
  <c r="W47" i="10" s="1"/>
  <c r="H6" i="10"/>
  <c r="H31" i="5"/>
  <c r="F6" i="10"/>
  <c r="G6" i="10"/>
  <c r="U30" i="3"/>
  <c r="U15" i="82" l="1"/>
  <c r="U67" i="82" s="1"/>
  <c r="U68" i="82" s="1"/>
  <c r="U8" i="83"/>
  <c r="U52" i="3"/>
  <c r="U53" i="3" s="1"/>
  <c r="U3" i="10"/>
  <c r="U8" i="10" s="1"/>
  <c r="H8" i="10" s="1"/>
  <c r="H9" i="10" s="1"/>
  <c r="H30" i="3"/>
  <c r="V52" i="3"/>
  <c r="V53" i="3" s="1"/>
  <c r="V67" i="82" l="1"/>
  <c r="V68" i="82" s="1"/>
  <c r="B10" i="82" s="1"/>
  <c r="G9" i="82" s="1"/>
  <c r="H15" i="82"/>
  <c r="H16" i="82" s="1"/>
  <c r="U46" i="83"/>
  <c r="U47" i="83" s="1"/>
  <c r="V46" i="83"/>
  <c r="V47" i="83" s="1"/>
  <c r="H8" i="83"/>
  <c r="H9" i="83" s="1"/>
  <c r="B20" i="3"/>
  <c r="H31" i="3"/>
  <c r="H3" i="10"/>
  <c r="U46" i="10"/>
  <c r="U47" i="10" s="1"/>
  <c r="V46" i="10"/>
  <c r="V47" i="10" s="1"/>
  <c r="B10" i="83" l="1"/>
  <c r="F8" i="83"/>
  <c r="G8" i="83"/>
  <c r="F15" i="82"/>
  <c r="G15" i="82"/>
  <c r="F3" i="10"/>
  <c r="F8" i="10" s="1"/>
  <c r="G3" i="10"/>
  <c r="G8" i="10" s="1"/>
  <c r="B10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<sst xmlns="http://schemas.openxmlformats.org/spreadsheetml/2006/main" count="3230" uniqueCount="323">
  <si>
    <t>Type 1</t>
  </si>
  <si>
    <t>100% CA</t>
  </si>
  <si>
    <t>100% exam</t>
  </si>
  <si>
    <t>7.5 credits</t>
  </si>
  <si>
    <t>75 hours</t>
  </si>
  <si>
    <t>wk 1</t>
  </si>
  <si>
    <t>wk 2</t>
  </si>
  <si>
    <t>wk 3</t>
  </si>
  <si>
    <t>wk 4</t>
  </si>
  <si>
    <t>wk 5</t>
  </si>
  <si>
    <t>wk 6</t>
  </si>
  <si>
    <t>wk 7</t>
  </si>
  <si>
    <t>wk 8</t>
  </si>
  <si>
    <t>wk 9</t>
  </si>
  <si>
    <t>wk 10</t>
  </si>
  <si>
    <t>wk 11</t>
  </si>
  <si>
    <t>wk 12</t>
  </si>
  <si>
    <t>(wk 13)</t>
  </si>
  <si>
    <t>(wk 14)</t>
  </si>
  <si>
    <t>(wk 15)</t>
  </si>
  <si>
    <t>(wk 16)</t>
  </si>
  <si>
    <t>Contact</t>
  </si>
  <si>
    <t xml:space="preserve"> </t>
  </si>
  <si>
    <t>total hrs</t>
  </si>
  <si>
    <t>Study</t>
  </si>
  <si>
    <t>CA</t>
  </si>
  <si>
    <t>Activity</t>
  </si>
  <si>
    <t>Exam</t>
  </si>
  <si>
    <t>Total</t>
  </si>
  <si>
    <t>Type 2</t>
  </si>
  <si>
    <t>75% exam</t>
  </si>
  <si>
    <t>Type 3</t>
  </si>
  <si>
    <t>Exam period</t>
  </si>
  <si>
    <t>(xmas)</t>
  </si>
  <si>
    <t>ELECxx1</t>
  </si>
  <si>
    <t>ELECxx2</t>
  </si>
  <si>
    <t>ELECxx3</t>
  </si>
  <si>
    <t>ELECxx4</t>
  </si>
  <si>
    <t>ELECxx5</t>
  </si>
  <si>
    <t>ELECxx6</t>
  </si>
  <si>
    <t>15 credits</t>
  </si>
  <si>
    <t>150 hours</t>
  </si>
  <si>
    <t>Total contact</t>
  </si>
  <si>
    <t>Total study</t>
  </si>
  <si>
    <t>Total CA</t>
  </si>
  <si>
    <t>Total activity</t>
  </si>
  <si>
    <t>Total effort</t>
  </si>
  <si>
    <t>Total credits</t>
  </si>
  <si>
    <t>Example cohort taking 52.5 credits in a single semester</t>
  </si>
  <si>
    <t>ELEC</t>
  </si>
  <si>
    <t>Semester</t>
  </si>
  <si>
    <t>Credits</t>
  </si>
  <si>
    <t>Module name</t>
  </si>
  <si>
    <t>Co-ordinator</t>
  </si>
  <si>
    <t>Waleed Al-Nuaimy</t>
  </si>
  <si>
    <t># of CA components</t>
  </si>
  <si>
    <t>component 3 (%)</t>
  </si>
  <si>
    <t>component 2 (%)</t>
  </si>
  <si>
    <t>component 1 (%)</t>
  </si>
  <si>
    <t>CA (%)</t>
  </si>
  <si>
    <t>component 4 (%)</t>
  </si>
  <si>
    <t>component 5 (%)</t>
  </si>
  <si>
    <t>component 6 (%)</t>
  </si>
  <si>
    <t>Module Profile</t>
  </si>
  <si>
    <t>Nominal hrs</t>
  </si>
  <si>
    <t>CARE hrs</t>
  </si>
  <si>
    <t>D/L week</t>
  </si>
  <si>
    <t>Modelled hrs</t>
  </si>
  <si>
    <t>Average hours/week</t>
  </si>
  <si>
    <t>timetabled hrs</t>
  </si>
  <si>
    <t>Time const</t>
  </si>
  <si>
    <t>CA component</t>
  </si>
  <si>
    <t>Pre-activity</t>
  </si>
  <si>
    <t>Discounted hrs</t>
  </si>
  <si>
    <t>CA week</t>
  </si>
  <si>
    <t>Additional hrs</t>
  </si>
  <si>
    <t>D/L this wk</t>
  </si>
  <si>
    <t>check %s add up</t>
  </si>
  <si>
    <t>Class Test 1</t>
  </si>
  <si>
    <t>Class Test 2</t>
  </si>
  <si>
    <t>&lt;--------------------------------       Week number     ------------------------------&gt;</t>
  </si>
  <si>
    <t>Activity required</t>
  </si>
  <si>
    <t>Contact hrs</t>
  </si>
  <si>
    <t>Study hrs</t>
  </si>
  <si>
    <t xml:space="preserve">Timetabled CA </t>
  </si>
  <si>
    <t>&lt;--- exam revision</t>
  </si>
  <si>
    <t>&lt;--- revision profile</t>
  </si>
  <si>
    <t>Is there a deadline this week?</t>
  </si>
  <si>
    <t>(=0 for last-minute work, =1 for 1 week head start, =2 for 2 weeks ahead)</t>
  </si>
  <si>
    <t>D/L - 2 wks</t>
  </si>
  <si>
    <t>D/L - 3 wks</t>
  </si>
  <si>
    <t>D/L - 1 wk</t>
  </si>
  <si>
    <t>Wk of D/L</t>
  </si>
  <si>
    <t>Lookup table shows fraction of effort put in before deadline</t>
  </si>
  <si>
    <t>extra hours if T=0</t>
  </si>
  <si>
    <t>offset from d/l wk</t>
  </si>
  <si>
    <t>fraction of Ho</t>
  </si>
  <si>
    <r>
      <rPr>
        <sz val="9"/>
        <color rgb="FF00B050"/>
        <rFont val="Calibri"/>
        <family val="2"/>
        <scheme val="minor"/>
      </rPr>
      <t>This column will contain student-supplied information about</t>
    </r>
    <r>
      <rPr>
        <b/>
        <sz val="9"/>
        <color rgb="FF00B050"/>
        <rFont val="Calibri"/>
        <family val="2"/>
        <scheme val="minor"/>
      </rPr>
      <t xml:space="preserve"> actual </t>
    </r>
    <r>
      <rPr>
        <sz val="9"/>
        <color rgb="FF00B050"/>
        <rFont val="Calibri"/>
        <family val="2"/>
        <scheme val="minor"/>
      </rPr>
      <t xml:space="preserve">effort </t>
    </r>
  </si>
  <si>
    <t>Cumltv disc hrs</t>
  </si>
  <si>
    <t>Hour gradient</t>
  </si>
  <si>
    <t>Pain score (sum of square of rises)</t>
  </si>
  <si>
    <t>gradient squared</t>
  </si>
  <si>
    <t>component 7 (%)</t>
  </si>
  <si>
    <t>component 8 (%)</t>
  </si>
  <si>
    <t>component 9 (%)</t>
  </si>
  <si>
    <t>https://theuniversityofliverpool.sharepoint.com/:w:/s/EEECS/EcGek6aNE2ZFgCTzLOkBrkcBix3AgAMi9pCt9z_p9WU6qw?e=09Oghg</t>
  </si>
  <si>
    <t>Signals and Systems</t>
  </si>
  <si>
    <t>Class Test 3</t>
  </si>
  <si>
    <t>Class Test 4</t>
  </si>
  <si>
    <t>Class Test 5</t>
  </si>
  <si>
    <t>Instrumentation &amp; Control (sem 1)</t>
  </si>
  <si>
    <t>Kai Hoettges</t>
  </si>
  <si>
    <t>Ali Al Ataby</t>
  </si>
  <si>
    <t>Experimntal Skills</t>
  </si>
  <si>
    <t>Angel Garcia-Fernandez</t>
  </si>
  <si>
    <t>EEE</t>
  </si>
  <si>
    <t>Semester Profile</t>
  </si>
  <si>
    <t>Programme</t>
  </si>
  <si>
    <t>Year</t>
  </si>
  <si>
    <t>Credits of CA</t>
  </si>
  <si>
    <t>ELEC207</t>
  </si>
  <si>
    <t>ELEC209</t>
  </si>
  <si>
    <t>ELEC270</t>
  </si>
  <si>
    <t>ELEC273</t>
  </si>
  <si>
    <t>Modelled Effort hrs</t>
  </si>
  <si>
    <r>
      <t xml:space="preserve">Pain score </t>
    </r>
    <r>
      <rPr>
        <sz val="8"/>
        <color theme="1"/>
        <rFont val="Calibri (Body)"/>
      </rPr>
      <t>(normalised to credits)</t>
    </r>
  </si>
  <si>
    <r>
      <t xml:space="preserve">Pain score </t>
    </r>
    <r>
      <rPr>
        <sz val="8"/>
        <color theme="1"/>
        <rFont val="Calibri (Body)"/>
      </rPr>
      <t>(raw)</t>
    </r>
  </si>
  <si>
    <t>Mock Test</t>
  </si>
  <si>
    <t>Requirements</t>
  </si>
  <si>
    <t>Software Eng</t>
  </si>
  <si>
    <t>&lt;-- in sem 1</t>
  </si>
  <si>
    <t>Final exam?</t>
  </si>
  <si>
    <t>No</t>
  </si>
  <si>
    <t>§</t>
  </si>
  <si>
    <t>&lt;---------------------------       Week number     ---------------------------&gt;</t>
  </si>
  <si>
    <t>First</t>
  </si>
  <si>
    <t>Second</t>
  </si>
  <si>
    <t>Third</t>
  </si>
  <si>
    <t>Fourth</t>
  </si>
  <si>
    <t>Fifth</t>
  </si>
  <si>
    <t>Sixth</t>
  </si>
  <si>
    <t>Seventh</t>
  </si>
  <si>
    <t>Eighth</t>
  </si>
  <si>
    <t>Ninth</t>
  </si>
  <si>
    <t>Tenth</t>
  </si>
  <si>
    <t>MATH28x</t>
  </si>
  <si>
    <t>Year 2 CW Calendar 2021-22 (sem 1).pdf: 202122-EE-EEALLYRS - Electrical Engineering and Electronics (liverpool.ac.uk)</t>
  </si>
  <si>
    <t>28x</t>
  </si>
  <si>
    <t>MATH</t>
  </si>
  <si>
    <t>Maths Dept</t>
  </si>
  <si>
    <t>Maths</t>
  </si>
  <si>
    <t>CW1</t>
  </si>
  <si>
    <t>CW2</t>
  </si>
  <si>
    <t>&lt;--- in sem 1</t>
  </si>
  <si>
    <t>Maths for Elec Eng</t>
  </si>
  <si>
    <t>Ian Sandall</t>
  </si>
  <si>
    <t>Programming in C++</t>
  </si>
  <si>
    <t>Miguel Lopez-Benitez</t>
  </si>
  <si>
    <t>Naser Sedghi</t>
  </si>
  <si>
    <t>Exp I</t>
  </si>
  <si>
    <t>Mon</t>
  </si>
  <si>
    <t>&lt;--- 10% of 15cr</t>
  </si>
  <si>
    <t>Electronic Circuits</t>
  </si>
  <si>
    <t>Paul Bryant</t>
  </si>
  <si>
    <t>Electrical Circuits &amp; Systems</t>
  </si>
  <si>
    <t>Assignment 2</t>
  </si>
  <si>
    <t>Assignment 3</t>
  </si>
  <si>
    <t>Mark Bowden</t>
  </si>
  <si>
    <t>MATLAB</t>
  </si>
  <si>
    <t>Skills Test</t>
  </si>
  <si>
    <t>Exp Q</t>
  </si>
  <si>
    <t>Exp S</t>
  </si>
  <si>
    <t>ELEC104</t>
  </si>
  <si>
    <t>ELEC142</t>
  </si>
  <si>
    <t>ELEC191</t>
  </si>
  <si>
    <t>ELEC129</t>
  </si>
  <si>
    <t>ELEC171</t>
  </si>
  <si>
    <r>
      <t xml:space="preserve">Average </t>
    </r>
    <r>
      <rPr>
        <b/>
        <sz val="11"/>
        <color theme="1"/>
        <rFont val="Calibri"/>
        <family val="2"/>
        <scheme val="minor"/>
      </rPr>
      <t>expected</t>
    </r>
    <r>
      <rPr>
        <sz val="11"/>
        <color theme="1"/>
        <rFont val="Calibri"/>
        <family val="2"/>
        <scheme val="minor"/>
      </rPr>
      <t xml:space="preserve"> hours/week</t>
    </r>
  </si>
  <si>
    <t>Empyblty &amp;Sustnblty</t>
  </si>
  <si>
    <t>Exam (hr fudge)</t>
  </si>
  <si>
    <r>
      <t xml:space="preserve">Average </t>
    </r>
    <r>
      <rPr>
        <b/>
        <sz val="11"/>
        <color theme="1"/>
        <rFont val="Calibri"/>
        <family val="2"/>
        <scheme val="minor"/>
      </rPr>
      <t xml:space="preserve">expected </t>
    </r>
    <r>
      <rPr>
        <sz val="11"/>
        <color theme="1"/>
        <rFont val="Calibri"/>
        <family val="2"/>
        <scheme val="minor"/>
      </rPr>
      <t>hours/week</t>
    </r>
  </si>
  <si>
    <t>Coursework Calendar (EEE year 2, sem 1)</t>
  </si>
  <si>
    <t>Coursework Calendar (EEE year 1, sem 1)</t>
  </si>
  <si>
    <t>Total Credits (rounded)</t>
  </si>
  <si>
    <t>AERO</t>
  </si>
  <si>
    <t>Intro to Aerospace Eng</t>
  </si>
  <si>
    <t>N Watson</t>
  </si>
  <si>
    <t>Flight Awareness Lab</t>
  </si>
  <si>
    <t>Class Test</t>
  </si>
  <si>
    <t>d/l varies</t>
  </si>
  <si>
    <t>yes</t>
  </si>
  <si>
    <t>&lt;-- timetabled CA index</t>
  </si>
  <si>
    <t>&lt;-- timetabled hours 1</t>
  </si>
  <si>
    <t>&lt;-- timetabled hours 2</t>
  </si>
  <si>
    <t>&lt;-- total timetabled CA</t>
  </si>
  <si>
    <t>BEng Project</t>
  </si>
  <si>
    <t>Specification Report</t>
  </si>
  <si>
    <t>Interim Presentation</t>
  </si>
  <si>
    <t>Project Management and Entrepreneurial Skills</t>
  </si>
  <si>
    <t>Task 0</t>
  </si>
  <si>
    <t>Task 1</t>
  </si>
  <si>
    <t>Task 2</t>
  </si>
  <si>
    <t>Task 3</t>
  </si>
  <si>
    <t>Graduates First</t>
  </si>
  <si>
    <t>Video Interview</t>
  </si>
  <si>
    <t>Mohammad Hasan</t>
  </si>
  <si>
    <t>Application Development with C++</t>
  </si>
  <si>
    <t>Software Development Project</t>
  </si>
  <si>
    <t>Coding Assignment</t>
  </si>
  <si>
    <t>Heba Lakany</t>
  </si>
  <si>
    <t>Robotic Systems II</t>
  </si>
  <si>
    <t>above are adjusted to sem 1 credits</t>
  </si>
  <si>
    <t>was 3</t>
  </si>
  <si>
    <t>was 5</t>
  </si>
  <si>
    <t>Ethics</t>
  </si>
  <si>
    <r>
      <t>This column will contain student-supplied information about</t>
    </r>
    <r>
      <rPr>
        <b/>
        <sz val="8"/>
        <color rgb="FF00B050"/>
        <rFont val="Calibri"/>
        <family val="2"/>
        <scheme val="minor"/>
      </rPr>
      <t xml:space="preserve"> actual </t>
    </r>
    <r>
      <rPr>
        <sz val="8"/>
        <color rgb="FF00B050"/>
        <rFont val="Calibri"/>
        <family val="2"/>
        <scheme val="minor"/>
      </rPr>
      <t xml:space="preserve">effort </t>
    </r>
  </si>
  <si>
    <t>Software Engineering and Programming</t>
  </si>
  <si>
    <t>Xin Tu</t>
  </si>
  <si>
    <t>GUI Design</t>
  </si>
  <si>
    <t>Measurment, Monitoring, Sensors and Power Systems</t>
  </si>
  <si>
    <t>Jospeh Spencer</t>
  </si>
  <si>
    <t>Sensor Report</t>
  </si>
  <si>
    <t>NO CA</t>
  </si>
  <si>
    <t>Power Systems and Dynamics</t>
  </si>
  <si>
    <t>Christos Zachariades</t>
  </si>
  <si>
    <t>Power Flow etc</t>
  </si>
  <si>
    <t>Advanced Computer Architecture</t>
  </si>
  <si>
    <t>Saqib Syed</t>
  </si>
  <si>
    <t>sem2 cw</t>
  </si>
  <si>
    <t>Internet of Things Architecture and Applications</t>
  </si>
  <si>
    <t>Valerio Selis</t>
  </si>
  <si>
    <t>M2M Implementation</t>
  </si>
  <si>
    <t>IoT Prototype</t>
  </si>
  <si>
    <t>Digital System Design</t>
  </si>
  <si>
    <t>Jeremy Smith</t>
  </si>
  <si>
    <t>1+2</t>
  </si>
  <si>
    <t>Design Assignment</t>
  </si>
  <si>
    <t>Integrated Circuits Concepts and Design</t>
  </si>
  <si>
    <t>Munira Raja and Kai Hoettges</t>
  </si>
  <si>
    <t>no ca</t>
  </si>
  <si>
    <t>Wireless Systems and CAD Design</t>
  </si>
  <si>
    <t>Jiafeng Zhou</t>
  </si>
  <si>
    <t>Advanced Signal Processing</t>
  </si>
  <si>
    <t>all in sem 1</t>
  </si>
  <si>
    <t>Advanced System Modelling and Control</t>
  </si>
  <si>
    <t>Lin Jiang</t>
  </si>
  <si>
    <t>Computer Architecture</t>
  </si>
  <si>
    <t>CW</t>
  </si>
  <si>
    <t>&lt;-- of 7.5 credits</t>
  </si>
  <si>
    <t>&lt;-- of 7.5 cr</t>
  </si>
  <si>
    <t>Research Skills</t>
  </si>
  <si>
    <t>James Bradley</t>
  </si>
  <si>
    <t>PGT</t>
  </si>
  <si>
    <t>ELEC483</t>
  </si>
  <si>
    <t>ELEC431</t>
  </si>
  <si>
    <t>ELEC421</t>
  </si>
  <si>
    <t>ELEC402</t>
  </si>
  <si>
    <t>ELEC432</t>
  </si>
  <si>
    <t>Coursework Calendar (MSc Energy and Power Systems, sem 1)</t>
  </si>
  <si>
    <t>ELEC477</t>
  </si>
  <si>
    <t>ELEC462</t>
  </si>
  <si>
    <t>ELEC474</t>
  </si>
  <si>
    <t>ELEC472</t>
  </si>
  <si>
    <t>ELEC470</t>
  </si>
  <si>
    <t>ELEC423</t>
  </si>
  <si>
    <t>ELEC473</t>
  </si>
  <si>
    <t>Microelectronic Systems</t>
  </si>
  <si>
    <t>Telecommunications and Wireless Systems</t>
  </si>
  <si>
    <t>Energy and Power Systems</t>
  </si>
  <si>
    <t>Coursework Calendar (Microelectronic Systems, sem 1)</t>
  </si>
  <si>
    <t>Coursework Calendar (Telecommunications and Wireless Systems, sem 1)</t>
  </si>
  <si>
    <t>Short Pilot Literature Review</t>
  </si>
  <si>
    <t>Oral Presentation</t>
  </si>
  <si>
    <t>was 7</t>
  </si>
  <si>
    <t>Simon Maher</t>
  </si>
  <si>
    <t>COMP305</t>
  </si>
  <si>
    <t>COMP390</t>
  </si>
  <si>
    <t>ELEC330</t>
  </si>
  <si>
    <t>ELEC340</t>
  </si>
  <si>
    <t>ELEC352</t>
  </si>
  <si>
    <t>ELEC362</t>
  </si>
  <si>
    <t>ELEC370</t>
  </si>
  <si>
    <t>ELEC372</t>
  </si>
  <si>
    <t>ELEC373</t>
  </si>
  <si>
    <t>COMP</t>
  </si>
  <si>
    <t>-</t>
  </si>
  <si>
    <t>Detailed Proposal</t>
  </si>
  <si>
    <t>CA1</t>
  </si>
  <si>
    <t>CA2</t>
  </si>
  <si>
    <t>CA3</t>
  </si>
  <si>
    <t>Yes</t>
  </si>
  <si>
    <t>COMP323</t>
  </si>
  <si>
    <t>Coursework Calendar (year 3, sem 1)</t>
  </si>
  <si>
    <t>&lt;-- of 15 credits</t>
  </si>
  <si>
    <t>Mock Assmnt Centre</t>
  </si>
  <si>
    <t>Coursework Calendar (year 4, sem 1)</t>
  </si>
  <si>
    <t>Munira Raja</t>
  </si>
  <si>
    <t>COMP521</t>
  </si>
  <si>
    <t>COMP523</t>
  </si>
  <si>
    <t>ELEC450</t>
  </si>
  <si>
    <t>ELEC476</t>
  </si>
  <si>
    <t>Skills Audit</t>
  </si>
  <si>
    <t>Interim Report</t>
  </si>
  <si>
    <t>Presentation</t>
  </si>
  <si>
    <t>Class Test (sem 2 wk 1)</t>
  </si>
  <si>
    <t>Online Class Test 1</t>
  </si>
  <si>
    <t>Online Class Test 2</t>
  </si>
  <si>
    <t>Online Class Test 3</t>
  </si>
  <si>
    <t>Online Class Test 4</t>
  </si>
  <si>
    <t>Exp 4 (or as timetabled)</t>
  </si>
  <si>
    <t>Exp 88 (or as timetabled)</t>
  </si>
  <si>
    <t>Exp 22 (or as timetabled)</t>
  </si>
  <si>
    <t>Exp 17 (or as timetabled)</t>
  </si>
  <si>
    <t>Exp 3 (or as timetabled)</t>
  </si>
  <si>
    <t>LinkedIn</t>
  </si>
  <si>
    <t>Homework 2</t>
  </si>
  <si>
    <t>Homework 3</t>
  </si>
  <si>
    <t>Homework 4</t>
  </si>
  <si>
    <t>Academic Integrity Quiz</t>
  </si>
  <si>
    <t>Assignment 1</t>
  </si>
  <si>
    <t>Canvas Quiz x4 per Semester</t>
  </si>
  <si>
    <t>Classes &amp; Objects</t>
  </si>
  <si>
    <t>Interfacing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</si>
</sst>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8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9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6"/>
      <color rgb="FF7030A0"/>
      <name val="Calibri"/>
      <family val="2"/>
      <scheme val="minor"/>
    </font>
    <font>
      <sz val="8"/>
      <color theme="1"/>
      <name val="Calibri (Body)"/>
    </font>
    <font>
      <sz val="8"/>
      <color theme="1"/>
      <name val="Calibri"/>
      <family val="2"/>
      <scheme val="minor"/>
    </font>
    <font>
      <sz val="7"/>
      <color theme="1"/>
      <name val="Arial Narrow"/>
      <family val="2"/>
    </font>
    <font>
      <u/>
      <sz val="11"/>
      <color theme="1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9"/>
      <color theme="7" tint="0.59999389629810485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7030A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11"/>
      <color rgb="FFD9D9D9"/>
      <name val="Calibri"/>
      <family val="2"/>
      <scheme val="minor"/>
    </font>
    <font>
      <sz val="8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darkTrellis">
        <fgColor theme="0" tint="-0.499984740745262"/>
        <bgColor theme="9" tint="0.799951170384838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gray125">
        <fgColor rgb="FFFFC000"/>
      </patternFill>
    </fill>
    <fill>
      <patternFill patternType="gray125">
        <fgColor theme="7"/>
      </patternFill>
    </fill>
  </fills>
  <borders count="56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/>
      <bottom/>
      <diagonal/>
    </border>
    <border>
      <left style="hair">
        <color theme="0" tint="-0.14993743705557422"/>
      </left>
      <right style="hair">
        <color theme="0" tint="-0.14993743705557422"/>
      </right>
      <top style="hair">
        <color theme="0" tint="-0.14996795556505021"/>
      </top>
      <bottom style="hair">
        <color theme="0" tint="-0.14993743705557422"/>
      </bottom>
      <diagonal/>
    </border>
    <border>
      <left style="medium">
        <color indexed="64"/>
      </left>
      <right style="dotted">
        <color theme="0" tint="-0.24994659260841701"/>
      </right>
      <top style="medium">
        <color indexed="64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medium">
        <color indexed="64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medium">
        <color indexed="64"/>
      </right>
      <top style="medium">
        <color indexed="64"/>
      </top>
      <bottom style="dotted">
        <color theme="0" tint="-0.24994659260841701"/>
      </bottom>
      <diagonal/>
    </border>
    <border>
      <left style="medium">
        <color indexed="64"/>
      </left>
      <right style="dotted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medium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indexed="64"/>
      </left>
      <right style="dotted">
        <color theme="0" tint="-0.24994659260841701"/>
      </right>
      <top style="dotted">
        <color theme="0" tint="-0.24994659260841701"/>
      </top>
      <bottom style="medium">
        <color indexed="64"/>
      </bottom>
      <diagonal/>
    </border>
    <border>
      <left style="dotted">
        <color theme="0" tint="-0.24994659260841701"/>
      </left>
      <right style="dotted">
        <color theme="0" tint="-0.24994659260841701"/>
      </right>
      <top style="dotted">
        <color theme="0" tint="-0.24994659260841701"/>
      </top>
      <bottom style="medium">
        <color indexed="64"/>
      </bottom>
      <diagonal/>
    </border>
    <border>
      <left style="dotted">
        <color theme="0" tint="-0.24994659260841701"/>
      </left>
      <right style="medium">
        <color indexed="64"/>
      </right>
      <top style="dotted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dotted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indexed="64"/>
      </left>
      <right/>
      <top style="dotted">
        <color theme="0" tint="-0.24994659260841701"/>
      </top>
      <bottom style="medium">
        <color indexed="64"/>
      </bottom>
      <diagonal/>
    </border>
    <border>
      <left style="dotted">
        <color theme="0" tint="-0.24994659260841701"/>
      </left>
      <right style="thick">
        <color auto="1"/>
      </right>
      <top style="thick">
        <color auto="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thick">
        <color auto="1"/>
      </right>
      <top style="dotted">
        <color theme="0" tint="-0.2499465926084170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thick">
        <color auto="1"/>
      </right>
      <top style="dotted">
        <color theme="0" tint="-0.2499465926084170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dotted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tted">
        <color theme="0" tint="-0.24994659260841701"/>
      </left>
      <right style="thick">
        <color auto="1"/>
      </right>
      <top/>
      <bottom style="dotted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theme="0" tint="-0.14993743705557422"/>
      </left>
      <right style="hair">
        <color theme="0" tint="-0.14993743705557422"/>
      </right>
      <top/>
      <bottom/>
      <diagonal/>
    </border>
    <border>
      <left style="dotted">
        <color theme="0" tint="-0.24994659260841701"/>
      </left>
      <right style="thick">
        <color auto="1"/>
      </right>
      <top style="medium">
        <color theme="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thick">
        <color auto="1"/>
      </right>
      <top style="dotted">
        <color theme="0" tint="-0.24994659260841701"/>
      </top>
      <bottom style="medium">
        <color indexed="64"/>
      </bottom>
      <diagonal/>
    </border>
    <border>
      <left style="dotted">
        <color theme="0" tint="-0.24994659260841701"/>
      </left>
      <right style="thick">
        <color auto="1"/>
      </right>
      <top style="dotted">
        <color theme="0" tint="-0.24994659260841701"/>
      </top>
      <bottom/>
      <diagonal/>
    </border>
    <border>
      <left style="dotted">
        <color theme="0" tint="-0.24994659260841701"/>
      </left>
      <right style="thick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theme="0" tint="-0.24994659260841701"/>
      </left>
      <right style="thick">
        <color auto="1"/>
      </right>
      <top style="thick">
        <color theme="1"/>
      </top>
      <bottom style="dotted">
        <color theme="0" tint="-0.24994659260841701"/>
      </bottom>
      <diagonal/>
    </border>
    <border>
      <left style="dotted">
        <color theme="0" tint="-0.24994659260841701"/>
      </left>
      <right style="thick">
        <color auto="1"/>
      </right>
      <top style="thick">
        <color rgb="FF000000"/>
      </top>
      <bottom style="dotted">
        <color theme="0" tint="-0.24994659260841701"/>
      </bottom>
      <diagonal/>
    </border>
    <border>
      <left style="double">
        <color auto="1"/>
      </left>
      <right style="double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7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0" xfId="0" applyFont="1"/>
    <xf numFmtId="0" fontId="3" fillId="0" borderId="2" xfId="0" applyFont="1" applyBorder="1"/>
    <xf numFmtId="0" fontId="4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right"/>
    </xf>
    <xf numFmtId="0" fontId="5" fillId="0" borderId="0" xfId="0" applyFont="1"/>
    <xf numFmtId="0" fontId="0" fillId="0" borderId="0" xfId="0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0" fillId="0" borderId="3" xfId="0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9" fillId="0" borderId="0" xfId="0" applyFont="1"/>
    <xf numFmtId="1" fontId="7" fillId="0" borderId="0" xfId="0" applyNumberFormat="1" applyFont="1"/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10" fillId="0" borderId="0" xfId="0" applyFont="1"/>
    <xf numFmtId="0" fontId="13" fillId="3" borderId="5" xfId="0" applyFont="1" applyFill="1" applyBorder="1"/>
    <xf numFmtId="0" fontId="13" fillId="3" borderId="7" xfId="0" applyFont="1" applyFill="1" applyBorder="1"/>
    <xf numFmtId="0" fontId="13" fillId="3" borderId="8" xfId="0" applyFont="1" applyFill="1" applyBorder="1"/>
    <xf numFmtId="0" fontId="13" fillId="3" borderId="10" xfId="0" applyFont="1" applyFill="1" applyBorder="1"/>
    <xf numFmtId="0" fontId="13" fillId="3" borderId="11" xfId="0" applyFont="1" applyFill="1" applyBorder="1"/>
    <xf numFmtId="0" fontId="13" fillId="3" borderId="13" xfId="0" applyFont="1" applyFill="1" applyBorder="1"/>
    <xf numFmtId="0" fontId="13" fillId="3" borderId="14" xfId="0" applyFont="1" applyFill="1" applyBorder="1"/>
    <xf numFmtId="0" fontId="13" fillId="3" borderId="15" xfId="0" applyFont="1" applyFill="1" applyBorder="1" applyAlignment="1">
      <alignment horizontal="center"/>
    </xf>
    <xf numFmtId="0" fontId="12" fillId="3" borderId="14" xfId="0" applyFont="1" applyFill="1" applyBorder="1" applyAlignment="1">
      <alignment horizontal="left"/>
    </xf>
    <xf numFmtId="0" fontId="13" fillId="3" borderId="16" xfId="0" applyFont="1" applyFill="1" applyBorder="1"/>
    <xf numFmtId="0" fontId="0" fillId="3" borderId="19" xfId="0" applyFill="1" applyBorder="1"/>
    <xf numFmtId="0" fontId="0" fillId="3" borderId="20" xfId="0" applyFill="1" applyBorder="1"/>
    <xf numFmtId="0" fontId="0" fillId="3" borderId="21" xfId="0" applyFill="1" applyBorder="1"/>
    <xf numFmtId="0" fontId="13" fillId="4" borderId="6" xfId="0" applyFont="1" applyFill="1" applyBorder="1"/>
    <xf numFmtId="0" fontId="13" fillId="4" borderId="9" xfId="0" applyFont="1" applyFill="1" applyBorder="1"/>
    <xf numFmtId="0" fontId="13" fillId="4" borderId="12" xfId="0" applyFont="1" applyFill="1" applyBorder="1"/>
    <xf numFmtId="0" fontId="13" fillId="3" borderId="16" xfId="0" applyFont="1" applyFill="1" applyBorder="1" applyAlignment="1">
      <alignment horizontal="center"/>
    </xf>
    <xf numFmtId="0" fontId="13" fillId="3" borderId="17" xfId="0" applyFont="1" applyFill="1" applyBorder="1" applyAlignment="1">
      <alignment horizontal="center"/>
    </xf>
    <xf numFmtId="0" fontId="13" fillId="3" borderId="18" xfId="0" applyFont="1" applyFill="1" applyBorder="1" applyAlignment="1">
      <alignment horizontal="center"/>
    </xf>
    <xf numFmtId="0" fontId="13" fillId="3" borderId="16" xfId="0" applyFont="1" applyFill="1" applyBorder="1" applyAlignment="1">
      <alignment wrapText="1"/>
    </xf>
    <xf numFmtId="0" fontId="0" fillId="0" borderId="0" xfId="0" applyAlignment="1">
      <alignment horizontal="center" wrapText="1"/>
    </xf>
    <xf numFmtId="1" fontId="0" fillId="0" borderId="0" xfId="0" applyNumberFormat="1"/>
    <xf numFmtId="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1" fillId="5" borderId="0" xfId="0" applyFont="1" applyFill="1" applyAlignment="1">
      <alignment horizontal="left"/>
    </xf>
    <xf numFmtId="0" fontId="11" fillId="5" borderId="0" xfId="0" applyFont="1" applyFill="1"/>
    <xf numFmtId="0" fontId="11" fillId="5" borderId="0" xfId="0" applyFont="1" applyFill="1" applyAlignment="1">
      <alignment horizontal="center" wrapText="1"/>
    </xf>
    <xf numFmtId="1" fontId="11" fillId="5" borderId="0" xfId="0" applyNumberFormat="1" applyFont="1" applyFill="1" applyAlignment="1">
      <alignment horizontal="center"/>
    </xf>
    <xf numFmtId="2" fontId="11" fillId="5" borderId="0" xfId="0" applyNumberFormat="1" applyFont="1" applyFill="1"/>
    <xf numFmtId="2" fontId="8" fillId="0" borderId="0" xfId="0" applyNumberFormat="1" applyFont="1"/>
    <xf numFmtId="0" fontId="15" fillId="0" borderId="0" xfId="0" applyFont="1" applyAlignment="1">
      <alignment wrapText="1"/>
    </xf>
    <xf numFmtId="0" fontId="0" fillId="0" borderId="1" xfId="0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wrapText="1"/>
    </xf>
    <xf numFmtId="1" fontId="1" fillId="6" borderId="22" xfId="0" applyNumberFormat="1" applyFont="1" applyFill="1" applyBorder="1"/>
    <xf numFmtId="0" fontId="7" fillId="0" borderId="1" xfId="0" applyFont="1" applyBorder="1" applyAlignment="1">
      <alignment horizontal="center"/>
    </xf>
    <xf numFmtId="2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3" fillId="3" borderId="16" xfId="0" applyFont="1" applyFill="1" applyBorder="1" applyAlignment="1">
      <alignment horizontal="center" wrapText="1"/>
    </xf>
    <xf numFmtId="1" fontId="6" fillId="0" borderId="0" xfId="0" applyNumberFormat="1" applyFont="1"/>
    <xf numFmtId="0" fontId="13" fillId="6" borderId="16" xfId="0" applyFont="1" applyFill="1" applyBorder="1" applyAlignment="1">
      <alignment horizontal="center"/>
    </xf>
    <xf numFmtId="0" fontId="13" fillId="6" borderId="15" xfId="0" applyFont="1" applyFill="1" applyBorder="1" applyAlignment="1">
      <alignment horizontal="center"/>
    </xf>
    <xf numFmtId="0" fontId="13" fillId="6" borderId="23" xfId="0" applyFont="1" applyFill="1" applyBorder="1" applyAlignment="1">
      <alignment horizontal="center"/>
    </xf>
    <xf numFmtId="1" fontId="1" fillId="6" borderId="22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20" fillId="3" borderId="14" xfId="0" applyFont="1" applyFill="1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2" fillId="0" borderId="0" xfId="0" applyFont="1" applyAlignment="1">
      <alignment horizontal="center" vertical="center" wrapText="1"/>
    </xf>
    <xf numFmtId="0" fontId="25" fillId="0" borderId="0" xfId="0" applyFont="1" applyAlignment="1">
      <alignment horizontal="left"/>
    </xf>
    <xf numFmtId="0" fontId="23" fillId="0" borderId="28" xfId="0" applyFont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3" fillId="0" borderId="29" xfId="0" applyFont="1" applyBorder="1" applyAlignment="1">
      <alignment horizontal="center" vertical="center" wrapText="1"/>
    </xf>
    <xf numFmtId="0" fontId="23" fillId="0" borderId="30" xfId="0" applyFont="1" applyBorder="1" applyAlignment="1">
      <alignment horizontal="center" vertical="center" wrapText="1"/>
    </xf>
    <xf numFmtId="0" fontId="23" fillId="0" borderId="31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6" fillId="0" borderId="0" xfId="0" applyFont="1"/>
    <xf numFmtId="0" fontId="25" fillId="0" borderId="0" xfId="0" applyFont="1"/>
    <xf numFmtId="0" fontId="13" fillId="3" borderId="16" xfId="0" applyFont="1" applyFill="1" applyBorder="1" applyAlignment="1">
      <alignment horizontal="left" vertical="top"/>
    </xf>
    <xf numFmtId="1" fontId="6" fillId="0" borderId="2" xfId="0" applyNumberFormat="1" applyFont="1" applyBorder="1"/>
    <xf numFmtId="1" fontId="7" fillId="0" borderId="2" xfId="0" applyNumberFormat="1" applyFont="1" applyBorder="1" applyAlignment="1">
      <alignment horizontal="center"/>
    </xf>
    <xf numFmtId="0" fontId="24" fillId="0" borderId="0" xfId="1"/>
    <xf numFmtId="0" fontId="0" fillId="7" borderId="0" xfId="0" applyFill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6" fillId="7" borderId="0" xfId="0" applyFont="1" applyFill="1" applyAlignment="1">
      <alignment horizontal="center"/>
    </xf>
    <xf numFmtId="0" fontId="15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8" borderId="0" xfId="0" applyFill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15" fillId="8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7" fillId="8" borderId="0" xfId="0" applyFont="1" applyFill="1" applyAlignment="1">
      <alignment horizontal="center"/>
    </xf>
    <xf numFmtId="0" fontId="8" fillId="8" borderId="0" xfId="0" applyFont="1" applyFill="1" applyAlignment="1">
      <alignment horizontal="center" vertical="center"/>
    </xf>
    <xf numFmtId="1" fontId="1" fillId="0" borderId="0" xfId="0" applyNumberFormat="1" applyFont="1"/>
    <xf numFmtId="0" fontId="27" fillId="0" borderId="0" xfId="0" applyFont="1" applyAlignment="1">
      <alignment horizontal="left" wrapText="1"/>
    </xf>
    <xf numFmtId="164" fontId="15" fillId="0" borderId="0" xfId="0" applyNumberFormat="1" applyFont="1" applyAlignment="1">
      <alignment horizontal="center" vertical="center"/>
    </xf>
    <xf numFmtId="164" fontId="15" fillId="8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0" borderId="3" xfId="0" applyNumberFormat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8" borderId="0" xfId="0" applyNumberFormat="1" applyFont="1" applyFill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0" fillId="3" borderId="37" xfId="0" applyFill="1" applyBorder="1"/>
    <xf numFmtId="0" fontId="0" fillId="0" borderId="36" xfId="0" applyBorder="1"/>
    <xf numFmtId="0" fontId="13" fillId="3" borderId="38" xfId="0" applyFont="1" applyFill="1" applyBorder="1" applyAlignment="1">
      <alignment horizontal="center"/>
    </xf>
    <xf numFmtId="0" fontId="23" fillId="0" borderId="40" xfId="0" applyFont="1" applyBorder="1" applyAlignment="1">
      <alignment horizontal="center" vertical="center" wrapText="1"/>
    </xf>
    <xf numFmtId="0" fontId="23" fillId="0" borderId="4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8" fillId="0" borderId="0" xfId="0" applyFont="1" applyAlignment="1">
      <alignment horizontal="center"/>
    </xf>
    <xf numFmtId="0" fontId="28" fillId="8" borderId="0" xfId="0" applyFont="1" applyFill="1" applyAlignment="1">
      <alignment horizontal="center"/>
    </xf>
    <xf numFmtId="1" fontId="28" fillId="0" borderId="0" xfId="0" applyNumberFormat="1" applyFont="1" applyAlignment="1">
      <alignment horizontal="center"/>
    </xf>
    <xf numFmtId="1" fontId="28" fillId="0" borderId="3" xfId="0" applyNumberFormat="1" applyFont="1" applyBorder="1" applyAlignment="1">
      <alignment horizont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15" fillId="0" borderId="0" xfId="0" applyFont="1"/>
    <xf numFmtId="0" fontId="25" fillId="0" borderId="42" xfId="0" applyFont="1" applyBorder="1" applyAlignment="1">
      <alignment horizontal="center" vertical="center"/>
    </xf>
    <xf numFmtId="0" fontId="31" fillId="0" borderId="0" xfId="0" applyFont="1" applyAlignment="1">
      <alignment horizontal="center" wrapText="1"/>
    </xf>
    <xf numFmtId="0" fontId="25" fillId="0" borderId="0" xfId="0" applyFont="1" applyAlignment="1">
      <alignment horizontal="center"/>
    </xf>
    <xf numFmtId="0" fontId="0" fillId="3" borderId="43" xfId="0" applyFill="1" applyBorder="1"/>
    <xf numFmtId="0" fontId="0" fillId="3" borderId="44" xfId="0" applyFill="1" applyBorder="1"/>
    <xf numFmtId="0" fontId="13" fillId="3" borderId="17" xfId="0" applyFont="1" applyFill="1" applyBorder="1" applyAlignment="1">
      <alignment horizontal="center" wrapText="1"/>
    </xf>
    <xf numFmtId="0" fontId="23" fillId="0" borderId="47" xfId="0" applyFont="1" applyBorder="1" applyAlignment="1">
      <alignment horizontal="center" vertical="center" wrapText="1"/>
    </xf>
    <xf numFmtId="0" fontId="23" fillId="0" borderId="4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49" xfId="0" applyFont="1" applyBorder="1" applyAlignment="1">
      <alignment horizontal="center" vertical="center" wrapText="1"/>
    </xf>
    <xf numFmtId="0" fontId="0" fillId="3" borderId="50" xfId="0" applyFill="1" applyBorder="1"/>
    <xf numFmtId="0" fontId="35" fillId="7" borderId="0" xfId="0" applyFont="1" applyFill="1" applyAlignment="1">
      <alignment horizontal="center"/>
    </xf>
    <xf numFmtId="0" fontId="0" fillId="3" borderId="51" xfId="0" applyFill="1" applyBorder="1"/>
    <xf numFmtId="0" fontId="13" fillId="6" borderId="0" xfId="0" applyFont="1" applyFill="1" applyAlignment="1">
      <alignment horizontal="center"/>
    </xf>
    <xf numFmtId="0" fontId="20" fillId="3" borderId="14" xfId="0" applyFont="1" applyFill="1" applyBorder="1" applyAlignment="1">
      <alignment horizontal="center" wrapText="1"/>
    </xf>
    <xf numFmtId="0" fontId="36" fillId="0" borderId="0" xfId="0" applyFont="1" applyAlignment="1">
      <alignment horizontal="center" vertical="center" wrapText="1"/>
    </xf>
    <xf numFmtId="1" fontId="22" fillId="0" borderId="0" xfId="0" applyNumberFormat="1" applyFont="1" applyAlignment="1">
      <alignment wrapText="1"/>
    </xf>
    <xf numFmtId="0" fontId="13" fillId="0" borderId="0" xfId="0" applyFont="1" applyAlignment="1">
      <alignment horizontal="center"/>
    </xf>
    <xf numFmtId="1" fontId="1" fillId="6" borderId="52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32" fillId="3" borderId="46" xfId="0" applyFont="1" applyFill="1" applyBorder="1" applyAlignment="1">
      <alignment wrapText="1"/>
    </xf>
    <xf numFmtId="0" fontId="32" fillId="3" borderId="37" xfId="0" applyFont="1" applyFill="1" applyBorder="1" applyAlignment="1">
      <alignment wrapText="1"/>
    </xf>
    <xf numFmtId="0" fontId="23" fillId="0" borderId="54" xfId="0" applyFont="1" applyBorder="1" applyAlignment="1">
      <alignment horizontal="center" vertical="center" wrapText="1"/>
    </xf>
    <xf numFmtId="0" fontId="23" fillId="0" borderId="53" xfId="0" applyFont="1" applyBorder="1" applyAlignment="1">
      <alignment horizontal="center" vertical="center" wrapText="1"/>
    </xf>
    <xf numFmtId="0" fontId="23" fillId="0" borderId="55" xfId="0" applyFont="1" applyBorder="1" applyAlignment="1">
      <alignment horizontal="center" vertical="center" wrapText="1"/>
    </xf>
    <xf numFmtId="0" fontId="6" fillId="0" borderId="34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34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49" fontId="16" fillId="0" borderId="0" xfId="0" applyNumberFormat="1" applyFont="1" applyAlignment="1">
      <alignment horizontal="center" wrapText="1"/>
    </xf>
    <xf numFmtId="49" fontId="14" fillId="0" borderId="0" xfId="0" applyNumberFormat="1" applyFont="1" applyAlignment="1">
      <alignment horizontal="center" wrapText="1"/>
    </xf>
    <xf numFmtId="1" fontId="22" fillId="0" borderId="0" xfId="0" applyNumberFormat="1" applyFont="1" applyAlignment="1">
      <alignment horizontal="center" wrapText="1"/>
    </xf>
    <xf numFmtId="0" fontId="15" fillId="0" borderId="0" xfId="0" applyFont="1" applyAlignment="1">
      <alignment wrapText="1"/>
    </xf>
    <xf numFmtId="0" fontId="32" fillId="3" borderId="45" xfId="0" applyFont="1" applyFill="1" applyBorder="1" applyAlignment="1">
      <alignment horizontal="center" wrapText="1"/>
    </xf>
    <xf numFmtId="0" fontId="32" fillId="3" borderId="46" xfId="0" applyFont="1" applyFill="1" applyBorder="1" applyAlignment="1">
      <alignment horizontal="center" wrapText="1"/>
    </xf>
    <xf numFmtId="0" fontId="32" fillId="3" borderId="37" xfId="0" applyFont="1" applyFill="1" applyBorder="1" applyAlignment="1">
      <alignment horizontal="center" wrapText="1"/>
    </xf>
    <xf numFmtId="49" fontId="33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626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ill>
        <patternFill>
          <bgColor rgb="FFFF7C8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0000"/>
      <color rgb="FFBAFFFD"/>
      <color rgb="FFF7F7F7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0EDD-FF4D-A632-4C367A6CF327}"/>
              </c:ext>
            </c:extLst>
          </c:dPt>
          <c:val>
            <c:numRef>
              <c:f>'EEE Y1 sem1'!$I$28:$W$28</c:f>
              <c:numCache>
                <c:formatCode>General</c:formatCode>
                <c:ptCount val="15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D-FF4D-A632-4C367A6CF327}"/>
            </c:ext>
          </c:extLst>
        </c:ser>
        <c:ser>
          <c:idx val="0"/>
          <c:order val="1"/>
          <c:tx>
            <c:strRef>
              <c:f>'EEE Y1 sem1'!$E$3</c:f>
              <c:strCache>
                <c:ptCount val="1"/>
                <c:pt idx="0">
                  <c:v>ELEC104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'EEE Y1 sem1'!$I$3:$W$3</c:f>
              <c:numCache>
                <c:formatCode>0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D-FF4D-A632-4C367A6CF327}"/>
            </c:ext>
          </c:extLst>
        </c:ser>
        <c:ser>
          <c:idx val="1"/>
          <c:order val="2"/>
          <c:tx>
            <c:strRef>
              <c:f>'EEE Y1 sem1'!$E$4</c:f>
              <c:strCache>
                <c:ptCount val="1"/>
                <c:pt idx="0">
                  <c:v>ELEC142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'EEE Y1 sem1'!$I$4:$W$4</c:f>
              <c:numCache>
                <c:formatCode>0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15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  <c:pt idx="12">
                  <c:v>3.75</c:v>
                </c:pt>
                <c:pt idx="13">
                  <c:v>7.5</c:v>
                </c:pt>
                <c:pt idx="14">
                  <c:v>16.75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DD-FF4D-A632-4C367A6CF327}"/>
            </c:ext>
          </c:extLst>
        </c:ser>
        <c:ser>
          <c:idx val="2"/>
          <c:order val="3"/>
          <c:tx>
            <c:strRef>
              <c:f>'EEE Y1 sem1'!$E$5</c:f>
              <c:strCache>
                <c:ptCount val="1"/>
                <c:pt idx="0">
                  <c:v>ELEC191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'EEE Y1 sem1'!$I$5:$W$5</c:f>
              <c:numCache>
                <c:formatCode>0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16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14</c:v>
                </c:pt>
                <c:pt idx="7">
                  <c:v>4</c:v>
                </c:pt>
                <c:pt idx="8">
                  <c:v>16</c:v>
                </c:pt>
                <c:pt idx="9">
                  <c:v>4</c:v>
                </c:pt>
                <c:pt idx="10">
                  <c:v>5</c:v>
                </c:pt>
                <c:pt idx="11">
                  <c:v>16</c:v>
                </c:pt>
                <c:pt idx="12">
                  <c:v>7.8</c:v>
                </c:pt>
                <c:pt idx="13">
                  <c:v>15.6</c:v>
                </c:pt>
                <c:pt idx="14">
                  <c:v>31.6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DD-FF4D-A632-4C367A6CF327}"/>
            </c:ext>
          </c:extLst>
        </c:ser>
        <c:ser>
          <c:idx val="3"/>
          <c:order val="4"/>
          <c:tx>
            <c:strRef>
              <c:f>'EEE Y1 sem1'!$E$6</c:f>
              <c:strCache>
                <c:ptCount val="1"/>
                <c:pt idx="0">
                  <c:v>ELEC129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'EEE Y1 sem1'!$I$6:$W$6</c:f>
              <c:numCache>
                <c:formatCode>0</c:formatCode>
                <c:ptCount val="1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12</c:v>
                </c:pt>
                <c:pt idx="4">
                  <c:v>7.5</c:v>
                </c:pt>
                <c:pt idx="5">
                  <c:v>8</c:v>
                </c:pt>
                <c:pt idx="6">
                  <c:v>7</c:v>
                </c:pt>
                <c:pt idx="7">
                  <c:v>15</c:v>
                </c:pt>
                <c:pt idx="8">
                  <c:v>7.8000000000000007</c:v>
                </c:pt>
                <c:pt idx="9">
                  <c:v>15</c:v>
                </c:pt>
                <c:pt idx="10">
                  <c:v>21</c:v>
                </c:pt>
                <c:pt idx="11">
                  <c:v>-40.299999999999997</c:v>
                </c:pt>
                <c:pt idx="12">
                  <c:v>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DD-FF4D-A632-4C367A6CF327}"/>
            </c:ext>
          </c:extLst>
        </c:ser>
        <c:ser>
          <c:idx val="6"/>
          <c:order val="5"/>
          <c:tx>
            <c:strRef>
              <c:f>'EEE Y1 sem1'!$E$7</c:f>
              <c:strCache>
                <c:ptCount val="1"/>
                <c:pt idx="0">
                  <c:v>ELEC171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'EEE Y1 sem1'!$I$7:$W$7</c:f>
              <c:numCache>
                <c:formatCode>0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7.5</c:v>
                </c:pt>
                <c:pt idx="3">
                  <c:v>1</c:v>
                </c:pt>
                <c:pt idx="4">
                  <c:v>20</c:v>
                </c:pt>
                <c:pt idx="5">
                  <c:v>18.100000000000001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14</c:v>
                </c:pt>
                <c:pt idx="10">
                  <c:v>1</c:v>
                </c:pt>
                <c:pt idx="11">
                  <c:v>15.6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DD-FF4D-A632-4C367A6CF327}"/>
            </c:ext>
          </c:extLst>
        </c:ser>
        <c:ser>
          <c:idx val="5"/>
          <c:order val="6"/>
          <c:tx>
            <c:strRef>
              <c:f>'EEE Y1 sem1'!$E$8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000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'EEE Y1 sem1'!$I$8:$W$8</c:f>
              <c:numCache>
                <c:formatCode>0</c:formatCode>
                <c:ptCount val="15"/>
                <c:pt idx="0">
                  <c:v>16</c:v>
                </c:pt>
                <c:pt idx="1">
                  <c:v>19</c:v>
                </c:pt>
                <c:pt idx="2">
                  <c:v>36.5</c:v>
                </c:pt>
                <c:pt idx="3">
                  <c:v>23</c:v>
                </c:pt>
                <c:pt idx="4">
                  <c:v>39.5</c:v>
                </c:pt>
                <c:pt idx="5">
                  <c:v>53.1</c:v>
                </c:pt>
                <c:pt idx="6">
                  <c:v>25</c:v>
                </c:pt>
                <c:pt idx="7">
                  <c:v>38.5</c:v>
                </c:pt>
                <c:pt idx="8">
                  <c:v>33.299999999999997</c:v>
                </c:pt>
                <c:pt idx="9">
                  <c:v>38</c:v>
                </c:pt>
                <c:pt idx="10">
                  <c:v>34</c:v>
                </c:pt>
                <c:pt idx="11">
                  <c:v>-2.6999999999999975</c:v>
                </c:pt>
                <c:pt idx="12">
                  <c:v>89.25</c:v>
                </c:pt>
                <c:pt idx="13">
                  <c:v>28.5</c:v>
                </c:pt>
                <c:pt idx="14">
                  <c:v>61.25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EDD-FF4D-A632-4C367A6CF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B3CB-425C-9374-11FEFBBF22FD}"/>
              </c:ext>
            </c:extLst>
          </c:dPt>
          <c:val>
            <c:numRef>
              <c:f>'EEE Y2 sem1'!$I$28:$W$28</c:f>
              <c:numCache>
                <c:formatCode>General</c:formatCode>
                <c:ptCount val="15"/>
                <c:pt idx="0">
                  <c:v>40.666666666666664</c:v>
                </c:pt>
                <c:pt idx="1">
                  <c:v>40.666666666666664</c:v>
                </c:pt>
                <c:pt idx="2">
                  <c:v>40.666666666666664</c:v>
                </c:pt>
                <c:pt idx="3">
                  <c:v>40.666666666666664</c:v>
                </c:pt>
                <c:pt idx="4">
                  <c:v>40.666666666666664</c:v>
                </c:pt>
                <c:pt idx="5">
                  <c:v>40.666666666666664</c:v>
                </c:pt>
                <c:pt idx="6">
                  <c:v>40.666666666666664</c:v>
                </c:pt>
                <c:pt idx="7">
                  <c:v>40.666666666666664</c:v>
                </c:pt>
                <c:pt idx="8">
                  <c:v>40.666666666666664</c:v>
                </c:pt>
                <c:pt idx="9">
                  <c:v>40.666666666666664</c:v>
                </c:pt>
                <c:pt idx="10">
                  <c:v>40.666666666666664</c:v>
                </c:pt>
                <c:pt idx="11">
                  <c:v>40.666666666666664</c:v>
                </c:pt>
                <c:pt idx="12">
                  <c:v>40.666666666666664</c:v>
                </c:pt>
                <c:pt idx="13">
                  <c:v>40.666666666666664</c:v>
                </c:pt>
                <c:pt idx="14">
                  <c:v>40.666666666666664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B-425C-9374-11FEFBBF22FD}"/>
            </c:ext>
          </c:extLst>
        </c:ser>
        <c:ser>
          <c:idx val="0"/>
          <c:order val="1"/>
          <c:tx>
            <c:strRef>
              <c:f>'EEE Y2 sem1'!$E$3</c:f>
              <c:strCache>
                <c:ptCount val="1"/>
                <c:pt idx="0">
                  <c:v>ELEC207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'EEE Y2 sem1'!$I$3:$W$3</c:f>
              <c:numCache>
                <c:formatCode>0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5.55</c:v>
                </c:pt>
                <c:pt idx="13">
                  <c:v>11.1</c:v>
                </c:pt>
                <c:pt idx="14">
                  <c:v>23.35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3-A949-8F65-774FCEE2CF2E}"/>
            </c:ext>
          </c:extLst>
        </c:ser>
        <c:ser>
          <c:idx val="1"/>
          <c:order val="2"/>
          <c:tx>
            <c:strRef>
              <c:f>'EEE Y2 sem1'!$E$4</c:f>
              <c:strCache>
                <c:ptCount val="1"/>
                <c:pt idx="0">
                  <c:v>ELEC209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'EEE Y2 sem1'!$I$4:$W$4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14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14</c:v>
                </c:pt>
                <c:pt idx="8">
                  <c:v>5</c:v>
                </c:pt>
                <c:pt idx="9">
                  <c:v>4</c:v>
                </c:pt>
                <c:pt idx="10">
                  <c:v>15</c:v>
                </c:pt>
                <c:pt idx="11">
                  <c:v>4</c:v>
                </c:pt>
                <c:pt idx="12">
                  <c:v>10.199999999999999</c:v>
                </c:pt>
                <c:pt idx="13">
                  <c:v>20.399999999999999</c:v>
                </c:pt>
                <c:pt idx="14">
                  <c:v>40.400000000000006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3-A949-8F65-774FCEE2CF2E}"/>
            </c:ext>
          </c:extLst>
        </c:ser>
        <c:ser>
          <c:idx val="2"/>
          <c:order val="3"/>
          <c:tx>
            <c:strRef>
              <c:f>'EEE Y2 sem1'!$E$5</c:f>
              <c:strCache>
                <c:ptCount val="1"/>
                <c:pt idx="0">
                  <c:v>ELEC270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'EEE Y2 sem1'!$I$5:$W$5</c:f>
              <c:numCache>
                <c:formatCode>0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14</c:v>
                </c:pt>
                <c:pt idx="3">
                  <c:v>3</c:v>
                </c:pt>
                <c:pt idx="4">
                  <c:v>20</c:v>
                </c:pt>
                <c:pt idx="5">
                  <c:v>3</c:v>
                </c:pt>
                <c:pt idx="6">
                  <c:v>2</c:v>
                </c:pt>
                <c:pt idx="7">
                  <c:v>13</c:v>
                </c:pt>
                <c:pt idx="8">
                  <c:v>4</c:v>
                </c:pt>
                <c:pt idx="9">
                  <c:v>13</c:v>
                </c:pt>
                <c:pt idx="10">
                  <c:v>4</c:v>
                </c:pt>
                <c:pt idx="11">
                  <c:v>14</c:v>
                </c:pt>
                <c:pt idx="12">
                  <c:v>7.6499999999999995</c:v>
                </c:pt>
                <c:pt idx="13">
                  <c:v>15.299999999999999</c:v>
                </c:pt>
                <c:pt idx="14">
                  <c:v>31.05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3-A949-8F65-774FCEE2CF2E}"/>
            </c:ext>
          </c:extLst>
        </c:ser>
        <c:ser>
          <c:idx val="3"/>
          <c:order val="4"/>
          <c:tx>
            <c:strRef>
              <c:f>'EEE Y2 sem1'!$E$6</c:f>
              <c:strCache>
                <c:ptCount val="1"/>
                <c:pt idx="0">
                  <c:v>ELEC273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'EEE Y2 sem1'!$I$6:$W$6</c:f>
              <c:numCache>
                <c:formatCode>0</c:formatCode>
                <c:ptCount val="15"/>
                <c:pt idx="0">
                  <c:v>1</c:v>
                </c:pt>
                <c:pt idx="1">
                  <c:v>13</c:v>
                </c:pt>
                <c:pt idx="2">
                  <c:v>3</c:v>
                </c:pt>
                <c:pt idx="3">
                  <c:v>20.785714285714285</c:v>
                </c:pt>
                <c:pt idx="4">
                  <c:v>3</c:v>
                </c:pt>
                <c:pt idx="5">
                  <c:v>8.7857142857142847</c:v>
                </c:pt>
                <c:pt idx="6">
                  <c:v>7.7857142857142856</c:v>
                </c:pt>
                <c:pt idx="7">
                  <c:v>8.7857142857142847</c:v>
                </c:pt>
                <c:pt idx="8">
                  <c:v>3</c:v>
                </c:pt>
                <c:pt idx="9">
                  <c:v>12.285714285714285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33-A949-8F65-774FCEE2CF2E}"/>
            </c:ext>
          </c:extLst>
        </c:ser>
        <c:ser>
          <c:idx val="6"/>
          <c:order val="5"/>
          <c:tx>
            <c:strRef>
              <c:f>'EEE Y2 sem1'!$E$7</c:f>
              <c:strCache>
                <c:ptCount val="1"/>
                <c:pt idx="0">
                  <c:v>MATH28x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'EEE Y2 sem1'!$I$7:$W$7</c:f>
              <c:numCache>
                <c:formatCode>0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14</c:v>
                </c:pt>
                <c:pt idx="5">
                  <c:v>5</c:v>
                </c:pt>
                <c:pt idx="6">
                  <c:v>14</c:v>
                </c:pt>
                <c:pt idx="7">
                  <c:v>8</c:v>
                </c:pt>
                <c:pt idx="8">
                  <c:v>25</c:v>
                </c:pt>
                <c:pt idx="9">
                  <c:v>5</c:v>
                </c:pt>
                <c:pt idx="10">
                  <c:v>14</c:v>
                </c:pt>
                <c:pt idx="11">
                  <c:v>4</c:v>
                </c:pt>
                <c:pt idx="12">
                  <c:v>6.3</c:v>
                </c:pt>
                <c:pt idx="13">
                  <c:v>12.6</c:v>
                </c:pt>
                <c:pt idx="14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7-6E44-AF49-548DB9B9E26B}"/>
            </c:ext>
          </c:extLst>
        </c:ser>
        <c:ser>
          <c:idx val="5"/>
          <c:order val="6"/>
          <c:tx>
            <c:strRef>
              <c:f>'EEE Y2 sem1'!$E$8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'EEE Y2 sem1'!$I$8:$W$8</c:f>
              <c:numCache>
                <c:formatCode>0</c:formatCode>
                <c:ptCount val="15"/>
                <c:pt idx="0">
                  <c:v>12</c:v>
                </c:pt>
                <c:pt idx="1">
                  <c:v>26</c:v>
                </c:pt>
                <c:pt idx="2">
                  <c:v>29</c:v>
                </c:pt>
                <c:pt idx="3">
                  <c:v>46.785714285714285</c:v>
                </c:pt>
                <c:pt idx="4">
                  <c:v>45</c:v>
                </c:pt>
                <c:pt idx="5">
                  <c:v>23.785714285714285</c:v>
                </c:pt>
                <c:pt idx="6">
                  <c:v>27.785714285714285</c:v>
                </c:pt>
                <c:pt idx="7">
                  <c:v>46.785714285714285</c:v>
                </c:pt>
                <c:pt idx="8">
                  <c:v>40</c:v>
                </c:pt>
                <c:pt idx="9">
                  <c:v>37.285714285714285</c:v>
                </c:pt>
                <c:pt idx="10">
                  <c:v>38</c:v>
                </c:pt>
                <c:pt idx="11">
                  <c:v>26</c:v>
                </c:pt>
                <c:pt idx="12">
                  <c:v>29.7</c:v>
                </c:pt>
                <c:pt idx="13">
                  <c:v>59.4</c:v>
                </c:pt>
                <c:pt idx="14">
                  <c:v>120.9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733-A949-8F65-774FCEE2C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188-5443-99AC-1DCA1CB6BA2D}"/>
              </c:ext>
            </c:extLst>
          </c:dPt>
          <c:val>
            <c:numRef>
              <c:f>'Y3 sem1'!$I$35:$W$35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8-5443-99AC-1DCA1CB6BA2D}"/>
            </c:ext>
          </c:extLst>
        </c:ser>
        <c:ser>
          <c:idx val="0"/>
          <c:order val="1"/>
          <c:tx>
            <c:strRef>
              <c:f>'Y3 sem1'!$E$3</c:f>
              <c:strCache>
                <c:ptCount val="1"/>
                <c:pt idx="0">
                  <c:v>ELEC330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'Y3 sem1'!$I$3:$W$3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9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17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8-5443-99AC-1DCA1CB6BA2D}"/>
            </c:ext>
          </c:extLst>
        </c:ser>
        <c:ser>
          <c:idx val="1"/>
          <c:order val="2"/>
          <c:tx>
            <c:strRef>
              <c:f>'Y3 sem1'!$E$4</c:f>
              <c:strCache>
                <c:ptCount val="1"/>
                <c:pt idx="0">
                  <c:v>ELEC340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'Y3 sem1'!$I$4:$W$4</c:f>
              <c:numCache>
                <c:formatCode>0</c:formatCode>
                <c:ptCount val="15"/>
                <c:pt idx="0">
                  <c:v>9</c:v>
                </c:pt>
                <c:pt idx="1">
                  <c:v>13</c:v>
                </c:pt>
                <c:pt idx="2">
                  <c:v>37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88-5443-99AC-1DCA1CB6BA2D}"/>
            </c:ext>
          </c:extLst>
        </c:ser>
        <c:ser>
          <c:idx val="2"/>
          <c:order val="3"/>
          <c:tx>
            <c:strRef>
              <c:f>'Y3 sem1'!$E$5</c:f>
              <c:strCache>
                <c:ptCount val="1"/>
                <c:pt idx="0">
                  <c:v>ELEC352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'Y3 sem1'!$I$5:$W$5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9.25</c:v>
                </c:pt>
                <c:pt idx="6">
                  <c:v>2</c:v>
                </c:pt>
                <c:pt idx="7">
                  <c:v>9.25</c:v>
                </c:pt>
                <c:pt idx="8">
                  <c:v>5.5</c:v>
                </c:pt>
                <c:pt idx="9">
                  <c:v>9.25</c:v>
                </c:pt>
                <c:pt idx="10">
                  <c:v>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8-5443-99AC-1DCA1CB6BA2D}"/>
            </c:ext>
          </c:extLst>
        </c:ser>
        <c:ser>
          <c:idx val="3"/>
          <c:order val="4"/>
          <c:tx>
            <c:strRef>
              <c:f>'Y3 sem1'!$E$6</c:f>
              <c:strCache>
                <c:ptCount val="1"/>
                <c:pt idx="0">
                  <c:v>ELEC362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'Y3 sem1'!$I$6:$W$6</c:f>
              <c:numCache>
                <c:formatCode>0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62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8-5443-99AC-1DCA1CB6BA2D}"/>
            </c:ext>
          </c:extLst>
        </c:ser>
        <c:ser>
          <c:idx val="6"/>
          <c:order val="5"/>
          <c:tx>
            <c:strRef>
              <c:f>'Y3 sem1'!$E$7</c:f>
              <c:strCache>
                <c:ptCount val="1"/>
                <c:pt idx="0">
                  <c:v>ELEC370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'Y3 sem1'!$I$7:$W$7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9</c:v>
                </c:pt>
                <c:pt idx="12">
                  <c:v>11.025</c:v>
                </c:pt>
                <c:pt idx="13">
                  <c:v>22.05</c:v>
                </c:pt>
                <c:pt idx="14">
                  <c:v>43.425000000000004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88-5443-99AC-1DCA1CB6BA2D}"/>
            </c:ext>
          </c:extLst>
        </c:ser>
        <c:ser>
          <c:idx val="5"/>
          <c:order val="6"/>
          <c:tx>
            <c:strRef>
              <c:f>'Y3 sem1'!$E$15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'Y3 sem1'!$I$15:$W$15</c:f>
              <c:numCache>
                <c:formatCode>0</c:formatCode>
                <c:ptCount val="15"/>
                <c:pt idx="0">
                  <c:v>41</c:v>
                </c:pt>
                <c:pt idx="1">
                  <c:v>52</c:v>
                </c:pt>
                <c:pt idx="2">
                  <c:v>83</c:v>
                </c:pt>
                <c:pt idx="3">
                  <c:v>44</c:v>
                </c:pt>
                <c:pt idx="4">
                  <c:v>45</c:v>
                </c:pt>
                <c:pt idx="5">
                  <c:v>76.75</c:v>
                </c:pt>
                <c:pt idx="6">
                  <c:v>30</c:v>
                </c:pt>
                <c:pt idx="7">
                  <c:v>53.25</c:v>
                </c:pt>
                <c:pt idx="8">
                  <c:v>76</c:v>
                </c:pt>
                <c:pt idx="9">
                  <c:v>97.75</c:v>
                </c:pt>
                <c:pt idx="10">
                  <c:v>73</c:v>
                </c:pt>
                <c:pt idx="11">
                  <c:v>123</c:v>
                </c:pt>
                <c:pt idx="12">
                  <c:v>18.599999999999998</c:v>
                </c:pt>
                <c:pt idx="13">
                  <c:v>37.199999999999996</c:v>
                </c:pt>
                <c:pt idx="14">
                  <c:v>100.22500000000002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88-5443-99AC-1DCA1CB6B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0E4-4550-B7F6-EB60C861F1C1}"/>
              </c:ext>
            </c:extLst>
          </c:dPt>
          <c:val>
            <c:numRef>
              <c:f>'Y4 sem1'!$I$38:$W$38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4-4550-B7F6-EB60C861F1C1}"/>
            </c:ext>
          </c:extLst>
        </c:ser>
        <c:ser>
          <c:idx val="0"/>
          <c:order val="1"/>
          <c:tx>
            <c:strRef>
              <c:f>'Y4 sem1'!$E$3</c:f>
              <c:strCache>
                <c:ptCount val="1"/>
                <c:pt idx="0">
                  <c:v>ELEC402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'Y4 sem1'!$I$3:$W$3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9</c:v>
                </c:pt>
                <c:pt idx="12">
                  <c:v>11.025</c:v>
                </c:pt>
                <c:pt idx="13">
                  <c:v>22.05</c:v>
                </c:pt>
                <c:pt idx="14">
                  <c:v>43.425000000000004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E4-4550-B7F6-EB60C861F1C1}"/>
            </c:ext>
          </c:extLst>
        </c:ser>
        <c:ser>
          <c:idx val="1"/>
          <c:order val="2"/>
          <c:tx>
            <c:strRef>
              <c:f>'Y4 sem1'!$E$4</c:f>
              <c:strCache>
                <c:ptCount val="1"/>
                <c:pt idx="0">
                  <c:v>ELEC450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'Y4 sem1'!$I$4:$W$4</c:f>
              <c:numCache>
                <c:formatCode>0</c:formatCode>
                <c:ptCount val="15"/>
                <c:pt idx="0">
                  <c:v>16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11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39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E4-4550-B7F6-EB60C861F1C1}"/>
            </c:ext>
          </c:extLst>
        </c:ser>
        <c:ser>
          <c:idx val="2"/>
          <c:order val="3"/>
          <c:tx>
            <c:strRef>
              <c:f>'Y4 sem1'!$E$5</c:f>
              <c:strCache>
                <c:ptCount val="1"/>
                <c:pt idx="0">
                  <c:v>ELEC421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'Y4 sem1'!$I$5:$W$5</c:f>
              <c:numCache>
                <c:formatCode>0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16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2.85</c:v>
                </c:pt>
                <c:pt idx="13">
                  <c:v>5.7</c:v>
                </c:pt>
                <c:pt idx="14">
                  <c:v>13.450000000000001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E4-4550-B7F6-EB60C861F1C1}"/>
            </c:ext>
          </c:extLst>
        </c:ser>
        <c:ser>
          <c:idx val="3"/>
          <c:order val="4"/>
          <c:tx>
            <c:strRef>
              <c:f>'Y4 sem1'!$E$6</c:f>
              <c:strCache>
                <c:ptCount val="1"/>
                <c:pt idx="0">
                  <c:v>ELEC362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'Y4 sem1'!$I$6:$W$6</c:f>
              <c:numCache>
                <c:formatCode>0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62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E4-4550-B7F6-EB60C861F1C1}"/>
            </c:ext>
          </c:extLst>
        </c:ser>
        <c:ser>
          <c:idx val="6"/>
          <c:order val="5"/>
          <c:tx>
            <c:strRef>
              <c:f>'Y4 sem1'!$E$7</c:f>
              <c:strCache>
                <c:ptCount val="1"/>
                <c:pt idx="0">
                  <c:v>ELEC470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'Y4 sem1'!$I$7:$W$7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4</c:v>
                </c:pt>
                <c:pt idx="12">
                  <c:v>11.775</c:v>
                </c:pt>
                <c:pt idx="13">
                  <c:v>23.55</c:v>
                </c:pt>
                <c:pt idx="14">
                  <c:v>46.175000000000004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E4-4550-B7F6-EB60C861F1C1}"/>
            </c:ext>
          </c:extLst>
        </c:ser>
        <c:ser>
          <c:idx val="5"/>
          <c:order val="6"/>
          <c:tx>
            <c:strRef>
              <c:f>'Y4 sem1'!$E$18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'Y4 sem1'!$I$18:$W$18</c:f>
              <c:numCache>
                <c:formatCode>0</c:formatCode>
                <c:ptCount val="15"/>
                <c:pt idx="0">
                  <c:v>69</c:v>
                </c:pt>
                <c:pt idx="1">
                  <c:v>61</c:v>
                </c:pt>
                <c:pt idx="2">
                  <c:v>73</c:v>
                </c:pt>
                <c:pt idx="3">
                  <c:v>61</c:v>
                </c:pt>
                <c:pt idx="4">
                  <c:v>65</c:v>
                </c:pt>
                <c:pt idx="5">
                  <c:v>86.5</c:v>
                </c:pt>
                <c:pt idx="6">
                  <c:v>51.5</c:v>
                </c:pt>
                <c:pt idx="7">
                  <c:v>99.5</c:v>
                </c:pt>
                <c:pt idx="8">
                  <c:v>108.5</c:v>
                </c:pt>
                <c:pt idx="9">
                  <c:v>132.5</c:v>
                </c:pt>
                <c:pt idx="10">
                  <c:v>105.5</c:v>
                </c:pt>
                <c:pt idx="11">
                  <c:v>211.5</c:v>
                </c:pt>
                <c:pt idx="12">
                  <c:v>81.45</c:v>
                </c:pt>
                <c:pt idx="13">
                  <c:v>162.9</c:v>
                </c:pt>
                <c:pt idx="14">
                  <c:v>339.65000000000003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50E4-4550-B7F6-EB60C861F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C14D-CF48-BB9C-17A57A520B6E}"/>
              </c:ext>
            </c:extLst>
          </c:dPt>
          <c:val>
            <c:numRef>
              <c:f>'MSC EP sem1'!$I$28:$W$28</c:f>
              <c:numCache>
                <c:formatCode>General</c:formatCode>
                <c:ptCount val="1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D-CF48-BB9C-17A57A520B6E}"/>
            </c:ext>
          </c:extLst>
        </c:ser>
        <c:ser>
          <c:idx val="0"/>
          <c:order val="1"/>
          <c:tx>
            <c:strRef>
              <c:f>'MSC EP sem1'!$E$3</c:f>
              <c:strCache>
                <c:ptCount val="1"/>
                <c:pt idx="0">
                  <c:v>ELEC483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'MSC EP sem1'!$I$3:$W$3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8.1</c:v>
                </c:pt>
                <c:pt idx="5">
                  <c:v>30.6</c:v>
                </c:pt>
                <c:pt idx="6">
                  <c:v>2</c:v>
                </c:pt>
                <c:pt idx="7">
                  <c:v>30.6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D-CF48-BB9C-17A57A520B6E}"/>
            </c:ext>
          </c:extLst>
        </c:ser>
        <c:ser>
          <c:idx val="1"/>
          <c:order val="2"/>
          <c:tx>
            <c:strRef>
              <c:f>'MSC EP sem1'!$E$4</c:f>
              <c:strCache>
                <c:ptCount val="1"/>
                <c:pt idx="0">
                  <c:v>ELEC431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'MSC EP sem1'!$I$4:$W$4</c:f>
              <c:numCache>
                <c:formatCode>0</c:formatCode>
                <c:ptCount val="15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16</c:v>
                </c:pt>
                <c:pt idx="7">
                  <c:v>32.5</c:v>
                </c:pt>
                <c:pt idx="8">
                  <c:v>15</c:v>
                </c:pt>
                <c:pt idx="9">
                  <c:v>7</c:v>
                </c:pt>
                <c:pt idx="10">
                  <c:v>44.5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4D-CF48-BB9C-17A57A520B6E}"/>
            </c:ext>
          </c:extLst>
        </c:ser>
        <c:ser>
          <c:idx val="2"/>
          <c:order val="3"/>
          <c:tx>
            <c:strRef>
              <c:f>'MSC EP sem1'!$E$5</c:f>
              <c:strCache>
                <c:ptCount val="1"/>
                <c:pt idx="0">
                  <c:v>ELEC421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'MSC EP sem1'!$I$5:$W$5</c:f>
              <c:numCache>
                <c:formatCode>0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16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2.85</c:v>
                </c:pt>
                <c:pt idx="13">
                  <c:v>5.7</c:v>
                </c:pt>
                <c:pt idx="14">
                  <c:v>13.450000000000001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D-CF48-BB9C-17A57A520B6E}"/>
            </c:ext>
          </c:extLst>
        </c:ser>
        <c:ser>
          <c:idx val="3"/>
          <c:order val="4"/>
          <c:tx>
            <c:strRef>
              <c:f>'MSC EP sem1'!$E$6</c:f>
              <c:strCache>
                <c:ptCount val="1"/>
                <c:pt idx="0">
                  <c:v>ELEC432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'MSC EP sem1'!$I$6:$W$6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64</c:v>
                </c:pt>
                <c:pt idx="12">
                  <c:v>4.95</c:v>
                </c:pt>
                <c:pt idx="13">
                  <c:v>9.9</c:v>
                </c:pt>
                <c:pt idx="14">
                  <c:v>21.150000000000002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D-CF48-BB9C-17A57A520B6E}"/>
            </c:ext>
          </c:extLst>
        </c:ser>
        <c:ser>
          <c:idx val="6"/>
          <c:order val="5"/>
          <c:tx>
            <c:strRef>
              <c:f>'MSC EP sem1'!$E$7</c:f>
              <c:strCache>
                <c:ptCount val="1"/>
                <c:pt idx="0">
                  <c:v>ELEC402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'MSC EP sem1'!$I$7:$W$7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9</c:v>
                </c:pt>
                <c:pt idx="12">
                  <c:v>11.025</c:v>
                </c:pt>
                <c:pt idx="13">
                  <c:v>22.05</c:v>
                </c:pt>
                <c:pt idx="14">
                  <c:v>43.425000000000004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4D-CF48-BB9C-17A57A520B6E}"/>
            </c:ext>
          </c:extLst>
        </c:ser>
        <c:ser>
          <c:idx val="5"/>
          <c:order val="6"/>
          <c:tx>
            <c:strRef>
              <c:f>'MSC EP sem1'!$E$8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'MSC EP sem1'!$I$8:$W$8</c:f>
              <c:numCache>
                <c:formatCode>0</c:formatCode>
                <c:ptCount val="15"/>
                <c:pt idx="0">
                  <c:v>16</c:v>
                </c:pt>
                <c:pt idx="1">
                  <c:v>19</c:v>
                </c:pt>
                <c:pt idx="2">
                  <c:v>23</c:v>
                </c:pt>
                <c:pt idx="3">
                  <c:v>23</c:v>
                </c:pt>
                <c:pt idx="4">
                  <c:v>38.1</c:v>
                </c:pt>
                <c:pt idx="5">
                  <c:v>54.6</c:v>
                </c:pt>
                <c:pt idx="6">
                  <c:v>24</c:v>
                </c:pt>
                <c:pt idx="7">
                  <c:v>74.099999999999994</c:v>
                </c:pt>
                <c:pt idx="8">
                  <c:v>43</c:v>
                </c:pt>
                <c:pt idx="9">
                  <c:v>37.5</c:v>
                </c:pt>
                <c:pt idx="10">
                  <c:v>59.5</c:v>
                </c:pt>
                <c:pt idx="11">
                  <c:v>82</c:v>
                </c:pt>
                <c:pt idx="12">
                  <c:v>18.825000000000003</c:v>
                </c:pt>
                <c:pt idx="13">
                  <c:v>37.650000000000006</c:v>
                </c:pt>
                <c:pt idx="14">
                  <c:v>78.025000000000006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C14D-CF48-BB9C-17A57A520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F1F-034B-81F5-6391350A4B85}"/>
              </c:ext>
            </c:extLst>
          </c:dPt>
          <c:val>
            <c:numRef>
              <c:f>'MSC ME sem1'!$I$29:$W$29</c:f>
              <c:numCache>
                <c:formatCode>General</c:formatCode>
                <c:ptCount val="1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F-034B-81F5-6391350A4B85}"/>
            </c:ext>
          </c:extLst>
        </c:ser>
        <c:ser>
          <c:idx val="0"/>
          <c:order val="1"/>
          <c:tx>
            <c:strRef>
              <c:f>'MSC ME sem1'!$E$3</c:f>
              <c:strCache>
                <c:ptCount val="1"/>
                <c:pt idx="0">
                  <c:v>ELEC483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'MSC ME sem1'!$I$3:$W$3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8.1</c:v>
                </c:pt>
                <c:pt idx="5">
                  <c:v>30.6</c:v>
                </c:pt>
                <c:pt idx="6">
                  <c:v>2</c:v>
                </c:pt>
                <c:pt idx="7">
                  <c:v>30.6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F-034B-81F5-6391350A4B85}"/>
            </c:ext>
          </c:extLst>
        </c:ser>
        <c:ser>
          <c:idx val="1"/>
          <c:order val="2"/>
          <c:tx>
            <c:strRef>
              <c:f>'MSC ME sem1'!$E$4</c:f>
              <c:strCache>
                <c:ptCount val="1"/>
                <c:pt idx="0">
                  <c:v>ELEC431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'MSC ME sem1'!$I$4:$W$4</c:f>
              <c:numCache>
                <c:formatCode>0</c:formatCode>
                <c:ptCount val="15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16</c:v>
                </c:pt>
                <c:pt idx="7">
                  <c:v>32.5</c:v>
                </c:pt>
                <c:pt idx="8">
                  <c:v>15</c:v>
                </c:pt>
                <c:pt idx="9">
                  <c:v>7</c:v>
                </c:pt>
                <c:pt idx="10">
                  <c:v>44.5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F-034B-81F5-6391350A4B85}"/>
            </c:ext>
          </c:extLst>
        </c:ser>
        <c:ser>
          <c:idx val="2"/>
          <c:order val="3"/>
          <c:tx>
            <c:strRef>
              <c:f>'MSC ME sem1'!$E$5</c:f>
              <c:strCache>
                <c:ptCount val="1"/>
                <c:pt idx="0">
                  <c:v>ELEC470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'MSC ME sem1'!$I$5:$W$5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4</c:v>
                </c:pt>
                <c:pt idx="12">
                  <c:v>11.775</c:v>
                </c:pt>
                <c:pt idx="13">
                  <c:v>23.55</c:v>
                </c:pt>
                <c:pt idx="14">
                  <c:v>46.175000000000004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F-034B-81F5-6391350A4B85}"/>
            </c:ext>
          </c:extLst>
        </c:ser>
        <c:ser>
          <c:idx val="3"/>
          <c:order val="4"/>
          <c:tx>
            <c:strRef>
              <c:f>'MSC ME sem1'!$E$6</c:f>
              <c:strCache>
                <c:ptCount val="1"/>
                <c:pt idx="0">
                  <c:v>ELEC423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'MSC ME sem1'!$I$6:$W$6</c:f>
              <c:numCache>
                <c:formatCode>0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10.5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26.5</c:v>
                </c:pt>
                <c:pt idx="12">
                  <c:v>10.049999999999999</c:v>
                </c:pt>
                <c:pt idx="13">
                  <c:v>20.099999999999998</c:v>
                </c:pt>
                <c:pt idx="14">
                  <c:v>39.85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1F-034B-81F5-6391350A4B85}"/>
            </c:ext>
          </c:extLst>
        </c:ser>
        <c:ser>
          <c:idx val="6"/>
          <c:order val="5"/>
          <c:tx>
            <c:strRef>
              <c:f>'MSC ME sem1'!$E$7</c:f>
              <c:strCache>
                <c:ptCount val="1"/>
                <c:pt idx="0">
                  <c:v>ELEC473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'MSC ME sem1'!$I$7:$W$7</c:f>
              <c:numCache>
                <c:formatCode>0</c:formatCod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4</c:v>
                </c:pt>
                <c:pt idx="7">
                  <c:v>9</c:v>
                </c:pt>
                <c:pt idx="8">
                  <c:v>15.5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1F-034B-81F5-6391350A4B85}"/>
            </c:ext>
          </c:extLst>
        </c:ser>
        <c:ser>
          <c:idx val="5"/>
          <c:order val="6"/>
          <c:tx>
            <c:strRef>
              <c:f>'MSC ME sem1'!$E$9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'MSC ME sem1'!$I$9:$W$9</c:f>
              <c:numCache>
                <c:formatCode>0</c:formatCode>
                <c:ptCount val="15"/>
                <c:pt idx="0">
                  <c:v>19</c:v>
                </c:pt>
                <c:pt idx="1">
                  <c:v>22</c:v>
                </c:pt>
                <c:pt idx="2">
                  <c:v>26</c:v>
                </c:pt>
                <c:pt idx="3">
                  <c:v>27</c:v>
                </c:pt>
                <c:pt idx="4">
                  <c:v>36.1</c:v>
                </c:pt>
                <c:pt idx="5">
                  <c:v>57.6</c:v>
                </c:pt>
                <c:pt idx="6">
                  <c:v>34.5</c:v>
                </c:pt>
                <c:pt idx="7">
                  <c:v>80.099999999999994</c:v>
                </c:pt>
                <c:pt idx="8">
                  <c:v>42.5</c:v>
                </c:pt>
                <c:pt idx="9">
                  <c:v>41.5</c:v>
                </c:pt>
                <c:pt idx="10">
                  <c:v>63.5</c:v>
                </c:pt>
                <c:pt idx="11">
                  <c:v>38.5</c:v>
                </c:pt>
                <c:pt idx="12">
                  <c:v>21.824999999999999</c:v>
                </c:pt>
                <c:pt idx="13">
                  <c:v>43.65</c:v>
                </c:pt>
                <c:pt idx="14">
                  <c:v>97.025000000000006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F1F-034B-81F5-6391350A4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modelled effort (timetabled + private study)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Expected average</c:v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0FB0-724A-9DC5-38B768B8CD8D}"/>
              </c:ext>
            </c:extLst>
          </c:dPt>
          <c:val>
            <c:numRef>
              <c:f>'MSC TW sem1'!$I$28:$W$28</c:f>
              <c:numCache>
                <c:formatCode>General</c:formatCode>
                <c:ptCount val="1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0-724A-9DC5-38B768B8CD8D}"/>
            </c:ext>
          </c:extLst>
        </c:ser>
        <c:ser>
          <c:idx val="0"/>
          <c:order val="1"/>
          <c:tx>
            <c:strRef>
              <c:f>'MSC TW sem1'!$E$3</c:f>
              <c:strCache>
                <c:ptCount val="1"/>
                <c:pt idx="0">
                  <c:v>ELEC483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'MSC TW sem1'!$I$3:$W$3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8.1</c:v>
                </c:pt>
                <c:pt idx="5">
                  <c:v>30.6</c:v>
                </c:pt>
                <c:pt idx="6">
                  <c:v>2</c:v>
                </c:pt>
                <c:pt idx="7">
                  <c:v>30.6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0-724A-9DC5-38B768B8CD8D}"/>
            </c:ext>
          </c:extLst>
        </c:ser>
        <c:ser>
          <c:idx val="1"/>
          <c:order val="2"/>
          <c:tx>
            <c:strRef>
              <c:f>'MSC TW sem1'!$E$4</c:f>
              <c:strCache>
                <c:ptCount val="1"/>
                <c:pt idx="0">
                  <c:v>ELEC431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'MSC TW sem1'!$I$4:$W$4</c:f>
              <c:numCache>
                <c:formatCode>0</c:formatCode>
                <c:ptCount val="15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16</c:v>
                </c:pt>
                <c:pt idx="7">
                  <c:v>32.5</c:v>
                </c:pt>
                <c:pt idx="8">
                  <c:v>15</c:v>
                </c:pt>
                <c:pt idx="9">
                  <c:v>7</c:v>
                </c:pt>
                <c:pt idx="10">
                  <c:v>44.5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B0-724A-9DC5-38B768B8CD8D}"/>
            </c:ext>
          </c:extLst>
        </c:ser>
        <c:ser>
          <c:idx val="2"/>
          <c:order val="3"/>
          <c:tx>
            <c:strRef>
              <c:f>'MSC TW sem1'!$E$5</c:f>
              <c:strCache>
                <c:ptCount val="1"/>
                <c:pt idx="0">
                  <c:v>ELEC477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'MSC TW sem1'!$I$5:$W$5</c:f>
              <c:numCache>
                <c:formatCode>0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11.7</c:v>
                </c:pt>
                <c:pt idx="13">
                  <c:v>23.4</c:v>
                </c:pt>
                <c:pt idx="14">
                  <c:v>45.900000000000006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B0-724A-9DC5-38B768B8CD8D}"/>
            </c:ext>
          </c:extLst>
        </c:ser>
        <c:ser>
          <c:idx val="3"/>
          <c:order val="4"/>
          <c:tx>
            <c:strRef>
              <c:f>'MSC TW sem1'!$E$6</c:f>
              <c:strCache>
                <c:ptCount val="1"/>
                <c:pt idx="0">
                  <c:v>ELEC462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'MSC TW sem1'!$I$6:$W$6</c:f>
              <c:numCache>
                <c:formatCode>0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12.5</c:v>
                </c:pt>
                <c:pt idx="12">
                  <c:v>-0.375</c:v>
                </c:pt>
                <c:pt idx="13">
                  <c:v>-0.75</c:v>
                </c:pt>
                <c:pt idx="14">
                  <c:v>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B0-724A-9DC5-38B768B8CD8D}"/>
            </c:ext>
          </c:extLst>
        </c:ser>
        <c:ser>
          <c:idx val="6"/>
          <c:order val="5"/>
          <c:tx>
            <c:strRef>
              <c:f>'MSC TW sem1'!$E$7</c:f>
              <c:strCache>
                <c:ptCount val="1"/>
                <c:pt idx="0">
                  <c:v>ELEC474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'MSC TW sem1'!$I$7:$W$7</c:f>
              <c:numCache>
                <c:formatCode>0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25.5</c:v>
                </c:pt>
                <c:pt idx="10">
                  <c:v>7</c:v>
                </c:pt>
                <c:pt idx="11">
                  <c:v>7</c:v>
                </c:pt>
                <c:pt idx="12">
                  <c:v>8.7750000000000004</c:v>
                </c:pt>
                <c:pt idx="13">
                  <c:v>17.55</c:v>
                </c:pt>
                <c:pt idx="14">
                  <c:v>35.175000000000004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B0-724A-9DC5-38B768B8CD8D}"/>
            </c:ext>
          </c:extLst>
        </c:ser>
        <c:ser>
          <c:idx val="5"/>
          <c:order val="6"/>
          <c:tx>
            <c:strRef>
              <c:f>'MSC TW sem1'!$E$8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'MSC TW sem1'!$I$8:$W$8</c:f>
              <c:numCache>
                <c:formatCode>0</c:formatCode>
                <c:ptCount val="15"/>
                <c:pt idx="0">
                  <c:v>26</c:v>
                </c:pt>
                <c:pt idx="1">
                  <c:v>26</c:v>
                </c:pt>
                <c:pt idx="2">
                  <c:v>30</c:v>
                </c:pt>
                <c:pt idx="3">
                  <c:v>31</c:v>
                </c:pt>
                <c:pt idx="4">
                  <c:v>28.1</c:v>
                </c:pt>
                <c:pt idx="5">
                  <c:v>61.6</c:v>
                </c:pt>
                <c:pt idx="6">
                  <c:v>24</c:v>
                </c:pt>
                <c:pt idx="7">
                  <c:v>81.099999999999994</c:v>
                </c:pt>
                <c:pt idx="8">
                  <c:v>38</c:v>
                </c:pt>
                <c:pt idx="9">
                  <c:v>45.5</c:v>
                </c:pt>
                <c:pt idx="10">
                  <c:v>66.5</c:v>
                </c:pt>
                <c:pt idx="11">
                  <c:v>27.5</c:v>
                </c:pt>
                <c:pt idx="12">
                  <c:v>20.100000000000001</c:v>
                </c:pt>
                <c:pt idx="13">
                  <c:v>40.200000000000003</c:v>
                </c:pt>
                <c:pt idx="14">
                  <c:v>82.700000000000017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B0-724A-9DC5-38B768B8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74720"/>
        <c:axId val="1015186816"/>
      </c:lineChart>
      <c:catAx>
        <c:axId val="9105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6816"/>
        <c:crosses val="autoZero"/>
        <c:auto val="1"/>
        <c:lblAlgn val="ctr"/>
        <c:lblOffset val="100"/>
        <c:noMultiLvlLbl val="0"/>
      </c:catAx>
      <c:valAx>
        <c:axId val="1015186816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Effort (hours) [axis capped at 60 hrs]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ELEC104!$I$21:$W$21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C-4642-A4F6-B77E29E155A5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ELEC104!$I$27:$W$27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2C-4642-A4F6-B77E29E155A5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ELEC104!$I$30:$W$30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2C-4642-A4F6-B77E29E155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ELEC142!$I$21:$W$21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3.75</c:v>
                </c:pt>
                <c:pt idx="13">
                  <c:v>7.5</c:v>
                </c:pt>
                <c:pt idx="14">
                  <c:v>13.750000000000002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F-3B46-B454-3A29B36122D3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ELEC142!$I$27:$W$27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F-3B46-B454-3A29B36122D3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ELEC142!$I$30:$W$30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15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  <c:pt idx="12">
                  <c:v>3.75</c:v>
                </c:pt>
                <c:pt idx="13">
                  <c:v>7.5</c:v>
                </c:pt>
                <c:pt idx="14">
                  <c:v>16.75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F-3B46-B454-3A29B36122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ELEC191!$I$21:$W$21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7.8</c:v>
                </c:pt>
                <c:pt idx="13">
                  <c:v>15.6</c:v>
                </c:pt>
                <c:pt idx="14">
                  <c:v>28.6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C-0743-A1E9-6E981BDE5E79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ELEC191!$I$27:$W$27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0</c:v>
                </c:pt>
                <c:pt idx="8">
                  <c:v>11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C-0743-A1E9-6E981BDE5E79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ELEC191!$I$30:$W$30</c:f>
              <c:numCache>
                <c:formatCode>General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16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14</c:v>
                </c:pt>
                <c:pt idx="7">
                  <c:v>4</c:v>
                </c:pt>
                <c:pt idx="8">
                  <c:v>16</c:v>
                </c:pt>
                <c:pt idx="9">
                  <c:v>4</c:v>
                </c:pt>
                <c:pt idx="10">
                  <c:v>5</c:v>
                </c:pt>
                <c:pt idx="11">
                  <c:v>16</c:v>
                </c:pt>
                <c:pt idx="12">
                  <c:v>7.8</c:v>
                </c:pt>
                <c:pt idx="13">
                  <c:v>15.6</c:v>
                </c:pt>
                <c:pt idx="14">
                  <c:v>31.6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C-0743-A1E9-6E981BDE5E7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ELEC129!$I$21:$W$21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7-674C-A58F-93C9C021B8F6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ELEC129!$I$27:$W$27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7-674C-A58F-93C9C021B8F6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ELEC129!$I$30:$W$30</c:f>
              <c:numCache>
                <c:formatCode>General</c:formatCode>
                <c:ptCount val="1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12</c:v>
                </c:pt>
                <c:pt idx="4">
                  <c:v>7.5</c:v>
                </c:pt>
                <c:pt idx="5">
                  <c:v>8</c:v>
                </c:pt>
                <c:pt idx="6">
                  <c:v>7</c:v>
                </c:pt>
                <c:pt idx="7">
                  <c:v>15</c:v>
                </c:pt>
                <c:pt idx="8">
                  <c:v>7.8000000000000007</c:v>
                </c:pt>
                <c:pt idx="9">
                  <c:v>15</c:v>
                </c:pt>
                <c:pt idx="10">
                  <c:v>21</c:v>
                </c:pt>
                <c:pt idx="11">
                  <c:v>-40.299999999999997</c:v>
                </c:pt>
                <c:pt idx="12">
                  <c:v>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7-674C-A58F-93C9C021B8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ELEC171!$I$21:$W$21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7-3A45-8A80-96B0B18781A5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ELEC171!$I$27:$W$27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0</c:v>
                </c:pt>
                <c:pt idx="4">
                  <c:v>0</c:v>
                </c:pt>
                <c:pt idx="5">
                  <c:v>13.1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7-3A45-8A80-96B0B18781A5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ELEC171!$I$30:$W$30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7.5</c:v>
                </c:pt>
                <c:pt idx="3">
                  <c:v>1</c:v>
                </c:pt>
                <c:pt idx="4">
                  <c:v>20</c:v>
                </c:pt>
                <c:pt idx="5">
                  <c:v>18.100000000000001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14</c:v>
                </c:pt>
                <c:pt idx="10">
                  <c:v>1</c:v>
                </c:pt>
                <c:pt idx="11">
                  <c:v>15.6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7-3A45-8A80-96B0B18781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AERO110!$I$21:$W$21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2.9249999999999998</c:v>
                </c:pt>
                <c:pt idx="13">
                  <c:v>5.85</c:v>
                </c:pt>
                <c:pt idx="14">
                  <c:v>10.725000000000001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4-428A-A16A-5D9C115598FC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AERO110!$I$27:$W$27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0</c:v>
                </c:pt>
                <c:pt idx="8">
                  <c:v>0</c:v>
                </c:pt>
                <c:pt idx="9">
                  <c:v>4.5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4-428A-A16A-5D9C115598FC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AERO110!$I$30:$W$30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15</c:v>
                </c:pt>
                <c:pt idx="7">
                  <c:v>2</c:v>
                </c:pt>
                <c:pt idx="8">
                  <c:v>4</c:v>
                </c:pt>
                <c:pt idx="9">
                  <c:v>7.5</c:v>
                </c:pt>
                <c:pt idx="10">
                  <c:v>4</c:v>
                </c:pt>
                <c:pt idx="11">
                  <c:v>3</c:v>
                </c:pt>
                <c:pt idx="12">
                  <c:v>2.9249999999999998</c:v>
                </c:pt>
                <c:pt idx="13">
                  <c:v>5.85</c:v>
                </c:pt>
                <c:pt idx="14">
                  <c:v>13.725000000000001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4-428A-A16A-5D9C115598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ELEC207!$I$21:$W$21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5.55</c:v>
                </c:pt>
                <c:pt idx="13">
                  <c:v>11.1</c:v>
                </c:pt>
                <c:pt idx="14">
                  <c:v>20.350000000000001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6-CC45-9052-B179E7B63D4A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ELEC207!$I$27:$W$27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6-CC45-9052-B179E7B63D4A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ELEC207!$I$30:$W$30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5.55</c:v>
                </c:pt>
                <c:pt idx="13">
                  <c:v>11.1</c:v>
                </c:pt>
                <c:pt idx="14">
                  <c:v>23.35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6-CC45-9052-B179E7B63D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ELEC209!$I$21:$W$21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10.199999999999999</c:v>
                </c:pt>
                <c:pt idx="13">
                  <c:v>20.399999999999999</c:v>
                </c:pt>
                <c:pt idx="14">
                  <c:v>37.400000000000006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B-3D49-AF36-30592E0FA244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ELEC209!$I$27:$W$27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0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B-3D49-AF36-30592E0FA244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ELEC209!$I$30:$W$30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14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14</c:v>
                </c:pt>
                <c:pt idx="8">
                  <c:v>5</c:v>
                </c:pt>
                <c:pt idx="9">
                  <c:v>4</c:v>
                </c:pt>
                <c:pt idx="10">
                  <c:v>15</c:v>
                </c:pt>
                <c:pt idx="11">
                  <c:v>4</c:v>
                </c:pt>
                <c:pt idx="12">
                  <c:v>10.199999999999999</c:v>
                </c:pt>
                <c:pt idx="13">
                  <c:v>20.399999999999999</c:v>
                </c:pt>
                <c:pt idx="14">
                  <c:v>40.400000000000006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0B-3D49-AF36-30592E0FA2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7.6499999999999995</c:v>
                </c:pt>
                <c:pt idx="13">
                  <c:v>15.299999999999999</c:v>
                </c:pt>
                <c:pt idx="14">
                  <c:v>28.05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9-3546-AA14-E165B449CA67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ELEC270!$I$27:$W$27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0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9-3546-AA14-E165B449CA67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ELEC270!$I$30:$W$30</c:f>
              <c:numCache>
                <c:formatCode>0.#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14</c:v>
                </c:pt>
                <c:pt idx="3">
                  <c:v>3</c:v>
                </c:pt>
                <c:pt idx="4">
                  <c:v>20</c:v>
                </c:pt>
                <c:pt idx="5">
                  <c:v>3</c:v>
                </c:pt>
                <c:pt idx="6">
                  <c:v>2</c:v>
                </c:pt>
                <c:pt idx="7">
                  <c:v>13</c:v>
                </c:pt>
                <c:pt idx="8">
                  <c:v>4</c:v>
                </c:pt>
                <c:pt idx="9">
                  <c:v>13</c:v>
                </c:pt>
                <c:pt idx="10">
                  <c:v>4</c:v>
                </c:pt>
                <c:pt idx="11">
                  <c:v>14</c:v>
                </c:pt>
                <c:pt idx="12">
                  <c:v>7.6499999999999995</c:v>
                </c:pt>
                <c:pt idx="13">
                  <c:v>15.299999999999999</c:v>
                </c:pt>
                <c:pt idx="14">
                  <c:v>31.05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9-3546-AA14-E165B449CA6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ELEC273!$I$21:$W$21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9-E447-90F4-5C26A957869D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ELEC273!$I$27:$W$27</c:f>
              <c:numCache>
                <c:formatCode>General</c:formatCode>
                <c:ptCount val="15"/>
                <c:pt idx="0">
                  <c:v>0</c:v>
                </c:pt>
                <c:pt idx="1">
                  <c:v>7</c:v>
                </c:pt>
                <c:pt idx="2">
                  <c:v>0</c:v>
                </c:pt>
                <c:pt idx="3">
                  <c:v>4.7857142857142847</c:v>
                </c:pt>
                <c:pt idx="4">
                  <c:v>0</c:v>
                </c:pt>
                <c:pt idx="5">
                  <c:v>3.7857142857142856</c:v>
                </c:pt>
                <c:pt idx="6">
                  <c:v>3.7857142857142856</c:v>
                </c:pt>
                <c:pt idx="7">
                  <c:v>3.7857142857142856</c:v>
                </c:pt>
                <c:pt idx="8">
                  <c:v>0</c:v>
                </c:pt>
                <c:pt idx="9">
                  <c:v>3.2857142857142847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9-E447-90F4-5C26A957869D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ELEC273!$I$30:$W$30</c:f>
              <c:numCache>
                <c:formatCode>General</c:formatCode>
                <c:ptCount val="15"/>
                <c:pt idx="0">
                  <c:v>1</c:v>
                </c:pt>
                <c:pt idx="1">
                  <c:v>13</c:v>
                </c:pt>
                <c:pt idx="2">
                  <c:v>3</c:v>
                </c:pt>
                <c:pt idx="3">
                  <c:v>20.785714285714285</c:v>
                </c:pt>
                <c:pt idx="4">
                  <c:v>3</c:v>
                </c:pt>
                <c:pt idx="5">
                  <c:v>8.7857142857142847</c:v>
                </c:pt>
                <c:pt idx="6">
                  <c:v>7.7857142857142856</c:v>
                </c:pt>
                <c:pt idx="7">
                  <c:v>8.7857142857142847</c:v>
                </c:pt>
                <c:pt idx="8">
                  <c:v>3</c:v>
                </c:pt>
                <c:pt idx="9">
                  <c:v>12.285714285714285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9-E447-90F4-5C26A95786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ELEC230!$I$21:$W$21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C-B149-B38C-97677CCFB189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ELEC230!$I$27:$W$27</c:f>
              <c:numCache>
                <c:formatCode>General</c:formatCode>
                <c:ptCount val="15"/>
                <c:pt idx="0">
                  <c:v>0</c:v>
                </c:pt>
                <c:pt idx="1">
                  <c:v>17.5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C-B149-B38C-97677CCFB189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ELEC230!$I$30:$W$30</c:f>
              <c:numCache>
                <c:formatCode>General</c:formatCode>
                <c:ptCount val="15"/>
                <c:pt idx="0">
                  <c:v>1</c:v>
                </c:pt>
                <c:pt idx="1">
                  <c:v>23.5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19.5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33.5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C-B149-B38C-97677CCFB1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MATH28x!$I$21:$W$21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6.3</c:v>
                </c:pt>
                <c:pt idx="13">
                  <c:v>12.6</c:v>
                </c:pt>
                <c:pt idx="14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C-B842-A30D-5AA170739868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MATH28x!$I$27:$W$27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0</c:v>
                </c:pt>
                <c:pt idx="6">
                  <c:v>9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C-B842-A30D-5AA170739868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MATH28x!$I$30:$W$30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14</c:v>
                </c:pt>
                <c:pt idx="5">
                  <c:v>5</c:v>
                </c:pt>
                <c:pt idx="6">
                  <c:v>14</c:v>
                </c:pt>
                <c:pt idx="7">
                  <c:v>8</c:v>
                </c:pt>
                <c:pt idx="8">
                  <c:v>25</c:v>
                </c:pt>
                <c:pt idx="9">
                  <c:v>5</c:v>
                </c:pt>
                <c:pt idx="10">
                  <c:v>14</c:v>
                </c:pt>
                <c:pt idx="11">
                  <c:v>4</c:v>
                </c:pt>
                <c:pt idx="12">
                  <c:v>6.3</c:v>
                </c:pt>
                <c:pt idx="13">
                  <c:v>12.6</c:v>
                </c:pt>
                <c:pt idx="14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3C-B842-A30D-5AA1707398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ELEC330!$I$21:$W$21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A-1849-A1B8-D22F2D1C7549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ELEC330!$I$27:$W$27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A-1849-A1B8-D22F2D1C7549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ELEC330!$I$30:$W$30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9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17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A-1849-A1B8-D22F2D1C75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COMP305!$I$21:$W$21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0.44999999999999996</c:v>
                </c:pt>
                <c:pt idx="13">
                  <c:v>0.89999999999999991</c:v>
                </c:pt>
                <c:pt idx="14">
                  <c:v>1.6500000000000001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6-9549-A7D8-7A3FC0B76C44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COMP305!$I$27:$W$27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6-9549-A7D8-7A3FC0B76C44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COMP305!$I$30:$W$30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4</c:v>
                </c:pt>
                <c:pt idx="11">
                  <c:v>3</c:v>
                </c:pt>
                <c:pt idx="12">
                  <c:v>0.44999999999999996</c:v>
                </c:pt>
                <c:pt idx="13">
                  <c:v>0.89999999999999991</c:v>
                </c:pt>
                <c:pt idx="14">
                  <c:v>4.6500000000000004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F6-9549-A7D8-7A3FC0B76C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COMP323!$I$21:$W$21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0.44999999999999996</c:v>
                </c:pt>
                <c:pt idx="13">
                  <c:v>0.89999999999999991</c:v>
                </c:pt>
                <c:pt idx="14">
                  <c:v>1.6500000000000001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B-F449-B91C-667C5D04CB9B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COMP323!$I$27:$W$27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B-F449-B91C-667C5D04CB9B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COMP323!$I$30:$W$30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2</c:v>
                </c:pt>
                <c:pt idx="11">
                  <c:v>5</c:v>
                </c:pt>
                <c:pt idx="12">
                  <c:v>0.44999999999999996</c:v>
                </c:pt>
                <c:pt idx="13">
                  <c:v>0.89999999999999991</c:v>
                </c:pt>
                <c:pt idx="14">
                  <c:v>4.6500000000000004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B-F449-B91C-667C5D04CB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COMP327!$I$21:$W$21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13.95</c:v>
                </c:pt>
                <c:pt idx="13">
                  <c:v>27.9</c:v>
                </c:pt>
                <c:pt idx="14">
                  <c:v>51.150000000000006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1-074A-B0CD-897CF122E86C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COMP327!$I$27:$W$27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F1-074A-B0CD-897CF122E86C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COMP327!$I$30:$W$30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4</c:v>
                </c:pt>
                <c:pt idx="11">
                  <c:v>3</c:v>
                </c:pt>
                <c:pt idx="12">
                  <c:v>13.95</c:v>
                </c:pt>
                <c:pt idx="13">
                  <c:v>27.9</c:v>
                </c:pt>
                <c:pt idx="14">
                  <c:v>54.150000000000006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F1-074A-B0CD-897CF122E8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COMP523!$I$21:$W$21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12.674999999999999</c:v>
                </c:pt>
                <c:pt idx="13">
                  <c:v>25.349999999999998</c:v>
                </c:pt>
                <c:pt idx="14">
                  <c:v>46.475000000000001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2-3D40-85DA-1E7A31142CFB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COMP523!$I$27:$W$27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2-3D40-85DA-1E7A31142CFB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COMP523!$I$30:$W$30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14.5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4</c:v>
                </c:pt>
                <c:pt idx="11">
                  <c:v>3</c:v>
                </c:pt>
                <c:pt idx="12">
                  <c:v>12.674999999999999</c:v>
                </c:pt>
                <c:pt idx="13">
                  <c:v>25.349999999999998</c:v>
                </c:pt>
                <c:pt idx="14">
                  <c:v>49.475000000000001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2-3D40-85DA-1E7A31142C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COMP390!$I$21:$W$21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1-FC41-9AF6-BB1985F690C9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COMP390!$I$27:$W$27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1-FC41-9AF6-BB1985F690C9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COMP390!$I$30:$W$30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29.5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51-FC41-9AF6-BB1985F690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COMP521!$I$21:$W$21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13.049999999999999</c:v>
                </c:pt>
                <c:pt idx="13">
                  <c:v>26.099999999999998</c:v>
                </c:pt>
                <c:pt idx="14">
                  <c:v>47.85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C-1F48-94EE-062A352F4EC2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COMP521!$I$27:$W$27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C-1F48-94EE-062A352F4EC2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COMP521!$I$30:$W$30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10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10</c:v>
                </c:pt>
                <c:pt idx="10">
                  <c:v>2</c:v>
                </c:pt>
                <c:pt idx="11">
                  <c:v>7</c:v>
                </c:pt>
                <c:pt idx="12">
                  <c:v>13.049999999999999</c:v>
                </c:pt>
                <c:pt idx="13">
                  <c:v>26.099999999999998</c:v>
                </c:pt>
                <c:pt idx="14">
                  <c:v>50.85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C-1F48-94EE-062A352F4E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ELEC340!$I$21:$W$21</c:f>
              <c:numCache>
                <c:formatCode>General</c:formatCode>
                <c:ptCount val="15"/>
                <c:pt idx="0">
                  <c:v>5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F-D340-89D3-AE8D1FBD83DD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ELEC340!$I$27:$W$27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F-D340-89D3-AE8D1FBD83DD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ELEC340!$I$30:$W$30</c:f>
              <c:numCache>
                <c:formatCode>General</c:formatCode>
                <c:ptCount val="15"/>
                <c:pt idx="0">
                  <c:v>9</c:v>
                </c:pt>
                <c:pt idx="1">
                  <c:v>13</c:v>
                </c:pt>
                <c:pt idx="2">
                  <c:v>37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23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F-D340-89D3-AE8D1FBD83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ELEC352!$I$21:$W$21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F-2245-997E-C76D2E666C86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ELEC352!$I$27:$W$27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2.25</c:v>
                </c:pt>
                <c:pt idx="6">
                  <c:v>0</c:v>
                </c:pt>
                <c:pt idx="7">
                  <c:v>5.25</c:v>
                </c:pt>
                <c:pt idx="8">
                  <c:v>0.5</c:v>
                </c:pt>
                <c:pt idx="9">
                  <c:v>2.25</c:v>
                </c:pt>
                <c:pt idx="10">
                  <c:v>8.5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F-2245-997E-C76D2E666C86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ELEC352!$I$30:$W$30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9.25</c:v>
                </c:pt>
                <c:pt idx="6">
                  <c:v>2</c:v>
                </c:pt>
                <c:pt idx="7">
                  <c:v>9.25</c:v>
                </c:pt>
                <c:pt idx="8">
                  <c:v>5.5</c:v>
                </c:pt>
                <c:pt idx="9">
                  <c:v>9.25</c:v>
                </c:pt>
                <c:pt idx="10">
                  <c:v>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F-2245-997E-C76D2E666C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ELEC362!$I$21:$W$21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C-934D-A609-0967518D9C38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ELEC362!$I$27:$W$27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55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C-934D-A609-0967518D9C38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ELEC362!$I$30:$W$30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62</c:v>
                </c:pt>
                <c:pt idx="12">
                  <c:v>2.6999999999999997</c:v>
                </c:pt>
                <c:pt idx="13">
                  <c:v>5.3999999999999995</c:v>
                </c:pt>
                <c:pt idx="14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C-934D-A609-0967518D9C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11.025</c:v>
                </c:pt>
                <c:pt idx="13">
                  <c:v>22.05</c:v>
                </c:pt>
                <c:pt idx="14">
                  <c:v>40.425000000000004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6A9-9B1B-0E892CF3DFFF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ELEC370!$I$27:$W$27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17.5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6A9-9B1B-0E892CF3DFFF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ELEC370!$I$30:$W$30</c:f>
              <c:numCache>
                <c:formatCode>0.#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9</c:v>
                </c:pt>
                <c:pt idx="12">
                  <c:v>11.025</c:v>
                </c:pt>
                <c:pt idx="13">
                  <c:v>22.05</c:v>
                </c:pt>
                <c:pt idx="14">
                  <c:v>43.425000000000004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6-46A9-9B1B-0E892CF3DF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4.8</c:v>
                </c:pt>
                <c:pt idx="13">
                  <c:v>9.6</c:v>
                </c:pt>
                <c:pt idx="14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B-4E84-884A-098D15128C47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-5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B-4E84-884A-098D15128C47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ELEC372!$I$30:$W$30</c:f>
              <c:numCache>
                <c:formatCode>0.#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8</c:v>
                </c:pt>
                <c:pt idx="12">
                  <c:v>4.8</c:v>
                </c:pt>
                <c:pt idx="13">
                  <c:v>9.6</c:v>
                </c:pt>
                <c:pt idx="14">
                  <c:v>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B-4E84-884A-098D15128C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ELEC373!$I$21:$W$21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-0.82499999999999996</c:v>
                </c:pt>
                <c:pt idx="13">
                  <c:v>-1.65</c:v>
                </c:pt>
                <c:pt idx="14">
                  <c:v>-3.0250000000000004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E-4E08-9AEF-1C83FAA19BB7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ELEC373!$I$27:$W$27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12.025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E-4E08-9AEF-1C83FAA19BB7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ELEC373!$I$30:$W$30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15.5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-0.82499999999999996</c:v>
                </c:pt>
                <c:pt idx="13">
                  <c:v>-1.65</c:v>
                </c:pt>
                <c:pt idx="1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9E-4E08-9AEF-1C83FAA19BB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ELEC483!$I$21:$W$21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4-4E92-83C2-7C2B8FD49F68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ELEC483!$I$27:$W$27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2.0999999999999996</c:v>
                </c:pt>
                <c:pt idx="5">
                  <c:v>22.6</c:v>
                </c:pt>
                <c:pt idx="6">
                  <c:v>0</c:v>
                </c:pt>
                <c:pt idx="7">
                  <c:v>22.6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4-4E92-83C2-7C2B8FD49F68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ELEC483!$I$30:$W$30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8.1</c:v>
                </c:pt>
                <c:pt idx="5">
                  <c:v>30.6</c:v>
                </c:pt>
                <c:pt idx="6">
                  <c:v>2</c:v>
                </c:pt>
                <c:pt idx="7">
                  <c:v>30.6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44-4E92-83C2-7C2B8FD49F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ELEC431!$I$21:$W$21</c:f>
              <c:numCache>
                <c:formatCode>General</c:formatCode>
                <c:ptCount val="15"/>
                <c:pt idx="0">
                  <c:v>5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8-6E42-8F38-EEFB581B0717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ELEC431!$I$27:$W$27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15.5</c:v>
                </c:pt>
                <c:pt idx="8">
                  <c:v>0</c:v>
                </c:pt>
                <c:pt idx="9">
                  <c:v>0</c:v>
                </c:pt>
                <c:pt idx="10">
                  <c:v>43.5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8-6E42-8F38-EEFB581B0717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ELEC431!$I$30:$W$30</c:f>
              <c:numCache>
                <c:formatCode>General</c:formatCode>
                <c:ptCount val="15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16</c:v>
                </c:pt>
                <c:pt idx="7">
                  <c:v>32.5</c:v>
                </c:pt>
                <c:pt idx="8">
                  <c:v>15</c:v>
                </c:pt>
                <c:pt idx="9">
                  <c:v>7</c:v>
                </c:pt>
                <c:pt idx="10">
                  <c:v>44.5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8-6E42-8F38-EEFB581B07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ELEC421!$I$21:$W$21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2.85</c:v>
                </c:pt>
                <c:pt idx="13">
                  <c:v>5.7</c:v>
                </c:pt>
                <c:pt idx="14">
                  <c:v>10.450000000000001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D-48BD-9238-6BA12B66AFBA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ELEC421!$I$27:$W$27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D-48BD-9238-6BA12B66AFBA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ELEC421!$I$30:$W$30</c:f>
              <c:numCache>
                <c:formatCode>0.#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16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2.85</c:v>
                </c:pt>
                <c:pt idx="13">
                  <c:v>5.7</c:v>
                </c:pt>
                <c:pt idx="14">
                  <c:v>13.450000000000001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0D-48BD-9238-6BA12B66AFB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4.95</c:v>
                </c:pt>
                <c:pt idx="13">
                  <c:v>9.9</c:v>
                </c:pt>
                <c:pt idx="14">
                  <c:v>18.150000000000002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9-4FB3-87DC-6B5F97DFE71C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55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9-4FB3-87DC-6B5F97DFE71C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ELEC432!$I$30:$W$30</c:f>
              <c:numCache>
                <c:formatCode>0.#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64</c:v>
                </c:pt>
                <c:pt idx="12">
                  <c:v>4.95</c:v>
                </c:pt>
                <c:pt idx="13">
                  <c:v>9.9</c:v>
                </c:pt>
                <c:pt idx="14">
                  <c:v>21.150000000000002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9-4FB3-87DC-6B5F97DFE7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ELEC402!$I$21:$W$21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11.025</c:v>
                </c:pt>
                <c:pt idx="13">
                  <c:v>22.05</c:v>
                </c:pt>
                <c:pt idx="14">
                  <c:v>40.425000000000004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0-4B04-A7E2-C2ACE8D36136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ELEC402!$I$27:$W$27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17.5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0-4B04-A7E2-C2ACE8D36136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ELEC402!$I$30:$W$30</c:f>
              <c:numCache>
                <c:formatCode>0.#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9</c:v>
                </c:pt>
                <c:pt idx="12">
                  <c:v>11.025</c:v>
                </c:pt>
                <c:pt idx="13">
                  <c:v>22.05</c:v>
                </c:pt>
                <c:pt idx="14">
                  <c:v>43.425000000000004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0-4B04-A7E2-C2ACE8D361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ELEC470!$I$21:$W$21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11.775</c:v>
                </c:pt>
                <c:pt idx="13">
                  <c:v>23.55</c:v>
                </c:pt>
                <c:pt idx="14">
                  <c:v>43.175000000000004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4-44F8-A7FE-1B924224E98B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ELEC470!$I$27:$W$27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17.5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4-44F8-A7FE-1B924224E98B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ELEC470!$I$30:$W$30</c:f>
              <c:numCache>
                <c:formatCode>0.#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23.5</c:v>
                </c:pt>
                <c:pt idx="10">
                  <c:v>5</c:v>
                </c:pt>
                <c:pt idx="11">
                  <c:v>4</c:v>
                </c:pt>
                <c:pt idx="12">
                  <c:v>11.775</c:v>
                </c:pt>
                <c:pt idx="13">
                  <c:v>23.55</c:v>
                </c:pt>
                <c:pt idx="14">
                  <c:v>46.175000000000004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4-44F8-A7FE-1B924224E9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ELEC423!$I$21:$W$21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10.049999999999999</c:v>
                </c:pt>
                <c:pt idx="13">
                  <c:v>20.099999999999998</c:v>
                </c:pt>
                <c:pt idx="14">
                  <c:v>36.85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E-40F6-8F33-DCC641B2EB8B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ELEC423!$I$27:$W$27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17.5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E-40F6-8F33-DCC641B2EB8B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ELEC423!$I$30:$W$30</c:f>
              <c:numCache>
                <c:formatCode>0.#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10.5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26.5</c:v>
                </c:pt>
                <c:pt idx="12">
                  <c:v>10.049999999999999</c:v>
                </c:pt>
                <c:pt idx="13">
                  <c:v>20.099999999999998</c:v>
                </c:pt>
                <c:pt idx="14">
                  <c:v>39.85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2E-40F6-8F33-DCC641B2EB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ELEC473!$I$21:$W$21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9-464E-8B75-96A571138802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ELEC473!$I$27:$W$27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9-464E-8B75-96A571138802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ELEC473!$I$30:$W$30</c:f>
              <c:numCache>
                <c:formatCode>0.#</c:formatCod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4</c:v>
                </c:pt>
                <c:pt idx="7">
                  <c:v>9</c:v>
                </c:pt>
                <c:pt idx="8">
                  <c:v>15.5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9-464E-8B75-96A5711388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0.6</c:v>
                </c:pt>
                <c:pt idx="13">
                  <c:v>1.2</c:v>
                </c:pt>
                <c:pt idx="14">
                  <c:v>2.2000000000000002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9-4CCE-8E1F-BAE557566F42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-5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9-4CCE-8E1F-BAE557566F42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ELEC472!$I$30:$W$30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0.6</c:v>
                </c:pt>
                <c:pt idx="13">
                  <c:v>1.2</c:v>
                </c:pt>
                <c:pt idx="14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9-4CCE-8E1F-BAE557566F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ELEC477!$I$21:$W$21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11.7</c:v>
                </c:pt>
                <c:pt idx="13">
                  <c:v>23.4</c:v>
                </c:pt>
                <c:pt idx="14">
                  <c:v>42.900000000000006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7-421B-A3BE-0B627956D36A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ELEC477!$I$27:$W$27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7-421B-A3BE-0B627956D36A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ELEC477!$I$30:$W$30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11.7</c:v>
                </c:pt>
                <c:pt idx="13">
                  <c:v>23.4</c:v>
                </c:pt>
                <c:pt idx="14">
                  <c:v>45.900000000000006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7-421B-A3BE-0B627956D3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ELEC462!$I$21:$W$21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-0.375</c:v>
                </c:pt>
                <c:pt idx="13">
                  <c:v>-0.75</c:v>
                </c:pt>
                <c:pt idx="14">
                  <c:v>-1.375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2-4CF8-A7BA-074FFD837FA2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ELEC462!$I$27:$W$27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5.5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2-4CF8-A7BA-074FFD837FA2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ELEC462!$I$30:$W$30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12.5</c:v>
                </c:pt>
                <c:pt idx="12">
                  <c:v>-0.375</c:v>
                </c:pt>
                <c:pt idx="13">
                  <c:v>-0.75</c:v>
                </c:pt>
                <c:pt idx="14">
                  <c:v>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2-4CF8-A7BA-074FFD837F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ELEC474!$I$21:$W$21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8.7750000000000004</c:v>
                </c:pt>
                <c:pt idx="13">
                  <c:v>17.55</c:v>
                </c:pt>
                <c:pt idx="14">
                  <c:v>32.175000000000004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3-404E-A186-B7E46B6FFF13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ELEC474!$I$27:$W$27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17.5</c:v>
                </c:pt>
                <c:pt idx="10">
                  <c:v>0</c:v>
                </c:pt>
                <c:pt idx="11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3-404E-A186-B7E46B6FFF13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ELEC474!$I$30:$W$30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25.5</c:v>
                </c:pt>
                <c:pt idx="10">
                  <c:v>7</c:v>
                </c:pt>
                <c:pt idx="11">
                  <c:v>7</c:v>
                </c:pt>
                <c:pt idx="12">
                  <c:v>8.7750000000000004</c:v>
                </c:pt>
                <c:pt idx="13">
                  <c:v>17.55</c:v>
                </c:pt>
                <c:pt idx="14">
                  <c:v>35.175000000000004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3-404E-A186-B7E46B6FFF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ELEC450!$I$21:$W$21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C-40D4-9984-8ABEF1669A0A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ELEC450!$I$27:$W$27</c:f>
              <c:numCache>
                <c:formatCode>General</c:formatCode>
                <c:ptCount val="15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C-40D4-9984-8ABEF1669A0A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ELEC450!$I$30:$W$30</c:f>
              <c:numCache>
                <c:formatCode>General</c:formatCode>
                <c:ptCount val="15"/>
                <c:pt idx="0">
                  <c:v>16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11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39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C-40D4-9984-8ABEF1669A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Private study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ELEC476!$I$21:$W$21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7.9499999999999993</c:v>
                </c:pt>
                <c:pt idx="13">
                  <c:v>15.899999999999999</c:v>
                </c:pt>
                <c:pt idx="14">
                  <c:v>29.150000000000002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E-4515-94E4-00AA00259EEA}"/>
            </c:ext>
          </c:extLst>
        </c:ser>
        <c:ser>
          <c:idx val="1"/>
          <c:order val="1"/>
          <c:tx>
            <c:v>CA-specific effort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ELEC476!$I$27:$W$27</c:f>
              <c:numCache>
                <c:formatCode>0.#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E-4515-94E4-00AA00259EEA}"/>
            </c:ext>
          </c:extLst>
        </c:ser>
        <c:ser>
          <c:idx val="2"/>
          <c:order val="2"/>
          <c:tx>
            <c:v>Total hours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ELEC476!$I$30:$W$30</c:f>
              <c:numCache>
                <c:formatCode>0.#</c:formatCode>
                <c:ptCount val="15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32</c:v>
                </c:pt>
                <c:pt idx="12">
                  <c:v>7.9499999999999993</c:v>
                </c:pt>
                <c:pt idx="13">
                  <c:v>15.899999999999999</c:v>
                </c:pt>
                <c:pt idx="14">
                  <c:v>32.150000000000006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E-4515-94E4-00AA00259E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9104768"/>
        <c:axId val="1269108096"/>
      </c:lineChart>
      <c:catAx>
        <c:axId val="126910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08096"/>
        <c:crosses val="autoZero"/>
        <c:auto val="1"/>
        <c:lblAlgn val="ctr"/>
        <c:lblOffset val="100"/>
        <c:noMultiLvlLbl val="0"/>
      </c:catAx>
      <c:valAx>
        <c:axId val="1269108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69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"/>
              <a:t> weekly effort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Type 1 (100% exam)</c:v>
          </c:tx>
          <c:spPr>
            <a:ln w="412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'Module types'!$F$8:$U$8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B-4BF6-A728-01DDD4CD2B01}"/>
            </c:ext>
          </c:extLst>
        </c:ser>
        <c:ser>
          <c:idx val="1"/>
          <c:order val="1"/>
          <c:tx>
            <c:v>Type 2 (75% exam)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'Module types'!$F$16:$U$16</c:f>
              <c:numCache>
                <c:formatCode>General</c:formatCode>
                <c:ptCount val="16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B-4BF6-A728-01DDD4CD2B01}"/>
            </c:ext>
          </c:extLst>
        </c:ser>
        <c:ser>
          <c:idx val="2"/>
          <c:order val="2"/>
          <c:tx>
            <c:v>Type 3 (100% CA)</c:v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'Module types'!$F$24:$U$24</c:f>
              <c:numCache>
                <c:formatCode>General</c:formatCode>
                <c:ptCount val="16"/>
                <c:pt idx="0">
                  <c:v>4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4</c:v>
                </c:pt>
                <c:pt idx="5">
                  <c:v>10</c:v>
                </c:pt>
                <c:pt idx="6">
                  <c:v>4</c:v>
                </c:pt>
                <c:pt idx="7">
                  <c:v>9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B-4BF6-A728-01DDD4CD2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6975695"/>
        <c:axId val="1016973615"/>
      </c:lineChart>
      <c:catAx>
        <c:axId val="1016975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973615"/>
        <c:crosses val="autoZero"/>
        <c:auto val="1"/>
        <c:lblAlgn val="ctr"/>
        <c:lblOffset val="100"/>
        <c:noMultiLvlLbl val="0"/>
      </c:catAx>
      <c:valAx>
        <c:axId val="10169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Effort (hrs)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97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9</xdr:row>
      <xdr:rowOff>193333</xdr:rowOff>
    </xdr:from>
    <xdr:to>
      <xdr:col>23</xdr:col>
      <xdr:colOff>220413</xdr:colOff>
      <xdr:row>26</xdr:row>
      <xdr:rowOff>166781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7EC30-5D5C-B240-A1D9-9BB478274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9</xdr:row>
      <xdr:rowOff>66332</xdr:rowOff>
    </xdr:from>
    <xdr:to>
      <xdr:col>23</xdr:col>
      <xdr:colOff>220413</xdr:colOff>
      <xdr:row>26</xdr:row>
      <xdr:rowOff>52480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40296-513F-AFDA-7334-0349D7EDB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16</xdr:row>
      <xdr:rowOff>66332</xdr:rowOff>
    </xdr:from>
    <xdr:to>
      <xdr:col>23</xdr:col>
      <xdr:colOff>220413</xdr:colOff>
      <xdr:row>33</xdr:row>
      <xdr:rowOff>52480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F13BE-DAA4-2E46-8B6F-ADA518A90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19</xdr:row>
      <xdr:rowOff>66332</xdr:rowOff>
    </xdr:from>
    <xdr:to>
      <xdr:col>23</xdr:col>
      <xdr:colOff>220413</xdr:colOff>
      <xdr:row>36</xdr:row>
      <xdr:rowOff>52480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7E79C-7433-4235-8095-BBDAEE203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9</xdr:row>
      <xdr:rowOff>66332</xdr:rowOff>
    </xdr:from>
    <xdr:to>
      <xdr:col>23</xdr:col>
      <xdr:colOff>220413</xdr:colOff>
      <xdr:row>26</xdr:row>
      <xdr:rowOff>52480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FC3B0-B667-2444-9121-A2A9AE067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10</xdr:row>
      <xdr:rowOff>66332</xdr:rowOff>
    </xdr:from>
    <xdr:to>
      <xdr:col>23</xdr:col>
      <xdr:colOff>220413</xdr:colOff>
      <xdr:row>27</xdr:row>
      <xdr:rowOff>52480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B5D83-816F-C84E-B878-A0F8E5351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31488</xdr:colOff>
      <xdr:row>9</xdr:row>
      <xdr:rowOff>66332</xdr:rowOff>
    </xdr:from>
    <xdr:to>
      <xdr:col>23</xdr:col>
      <xdr:colOff>220413</xdr:colOff>
      <xdr:row>26</xdr:row>
      <xdr:rowOff>52480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DF43F-8F46-5C4F-8A20-476E77CE3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2</xdr:row>
      <xdr:rowOff>82550</xdr:rowOff>
    </xdr:from>
    <xdr:to>
      <xdr:col>12</xdr:col>
      <xdr:colOff>253938</xdr:colOff>
      <xdr:row>23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1D6049-195E-3F9E-1FD0-90CEB53B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" y="463550"/>
          <a:ext cx="9201088" cy="4013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63500</xdr:rowOff>
    </xdr:from>
    <xdr:to>
      <xdr:col>12</xdr:col>
      <xdr:colOff>39398</xdr:colOff>
      <xdr:row>61</xdr:row>
      <xdr:rowOff>149742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A204D9-64ED-C96D-33B8-E32CE151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8636000"/>
          <a:ext cx="9088148" cy="3896242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67</xdr:row>
      <xdr:rowOff>0</xdr:rowOff>
    </xdr:from>
    <xdr:to>
      <xdr:col>12</xdr:col>
      <xdr:colOff>236269</xdr:colOff>
      <xdr:row>88</xdr:row>
      <xdr:rowOff>124373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CFCB4E-26A1-6162-6FE0-C3646BE3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750" y="13525500"/>
          <a:ext cx="9221519" cy="4124873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107</xdr:row>
      <xdr:rowOff>0</xdr:rowOff>
    </xdr:from>
    <xdr:to>
      <xdr:col>10</xdr:col>
      <xdr:colOff>254000</xdr:colOff>
      <xdr:row>139</xdr:row>
      <xdr:rowOff>16283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C32E8D-CF74-B209-A0E6-00F05238A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50" y="20383500"/>
          <a:ext cx="7651750" cy="611228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140</xdr:row>
      <xdr:rowOff>95250</xdr:rowOff>
    </xdr:from>
    <xdr:to>
      <xdr:col>11</xdr:col>
      <xdr:colOff>736052</xdr:colOff>
      <xdr:row>172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82D3E3-5D26-FBDA-408E-307C3F9F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6242309"/>
          <a:ext cx="10228057" cy="58812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C425E-2342-6041-A84F-690FB8860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E8DE0-CA27-EA42-8370-10D3EAEA6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CAC03-C8A0-C341-B39A-EDBF1D217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8E5EA-27B8-4646-ABD3-178213B8C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46221-A7AB-5749-80FD-E91C43C52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B1183-C63C-4520-974A-1E59CF72E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EA2C6-3335-7A46-825F-1DC39F97B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117E34-D26F-2C40-8970-D7BA26435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68D3F-C032-6A4E-81FE-F9EC1FCCD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376E2-1000-154D-818C-54B69A7FD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3FBE6-D307-8946-AF19-99999134D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96726-B712-E54C-82FD-9C3D15CC7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1F22-DFFA-0848-80E0-522712EAD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BA5AF-59BF-8146-9142-957BCB562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80055-2AF2-D347-AE5F-B7E185BFC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15270-638C-F541-9194-9CA4EF7D2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59FBA-EE8A-4B46-A7F2-CEA96D3CC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3D48A-B76D-E847-A09B-90EADB4E6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8CFA1-C623-104D-9A07-C6C1EDC05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0E891-282E-FE4F-9383-6F70B90F4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AB9D7-5C6C-1743-B733-5D6A987AE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04DB6-E29B-5442-A0ED-ABFDD2083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41BAA-E4D3-4C19-8B97-286C09B96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8D54A-5D71-4C75-B918-66F481917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28D70-639F-4DFF-85E8-5B2F67D19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5EBB3-3C9A-4890-8303-4C7CC9FEB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D1B85-6386-EE47-8D4D-1DFE2379C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89794-1F99-4484-B5A1-6C8E0E8FF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6F932-A6A0-490B-8944-8885ACCCD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36EC6-00B1-4E0A-BE45-158AED693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AC9B3-D51E-4E82-B5B5-D0D8F77BF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9582-0DF0-4FB0-A6BD-54455E690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890B3-3732-4AEE-A215-22100F6E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1173C-4DFE-4AA8-9321-DA29668C8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CE15C-C62D-455F-ACB1-DEC36AFEA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33F42-35E6-4C66-86CA-F29612177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02C0D-3988-461B-B3AB-2DC7099D9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53B61-8CE6-4DD8-8BBD-C301DC219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645391</xdr:colOff>
      <xdr:row>36</xdr:row>
      <xdr:rowOff>42718</xdr:rowOff>
    </xdr:from>
    <xdr:to>
      <xdr:col>23</xdr:col>
      <xdr:colOff>265545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B73D1-25AF-4765-89EB-A623A4DDB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25</xdr:row>
      <xdr:rowOff>18097</xdr:rowOff>
    </xdr:from>
    <xdr:to>
      <xdr:col>21</xdr:col>
      <xdr:colOff>219074</xdr:colOff>
      <xdr:row>39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77BD8-C4CD-40C0-8DDC-983E05FF4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30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52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305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523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anvas.liverpool.ac.uk/courses/54606/files/6322631?module_item_id=1297402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FF709-498E-A945-B48C-80D4513ED0F9}">
  <dimension ref="A1:Y47"/>
  <sheetViews>
    <sheetView topLeftCell="G28" zoomScale="120" zoomScaleNormal="120" workbookViewId="0">
      <selection activeCell="I30" sqref="I30"/>
    </sheetView>
  </sheetViews>
  <sheetFormatPr baseColWidth="10" defaultColWidth="11.5" defaultRowHeight="15" x14ac:dyDescent="0.2"/>
  <cols>
    <col min="1" max="1" width="23.33203125" customWidth="1"/>
    <col min="2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8.6640625" customWidth="1"/>
    <col min="9" max="23" width="8.6640625" style="10" customWidth="1"/>
  </cols>
  <sheetData>
    <row r="1" spans="1:25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47" x14ac:dyDescent="0.3">
      <c r="A2" s="75" t="s">
        <v>117</v>
      </c>
      <c r="B2" s="76" t="s">
        <v>115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5" x14ac:dyDescent="0.2">
      <c r="A3" s="7" t="s">
        <v>118</v>
      </c>
      <c r="B3" s="68">
        <v>1</v>
      </c>
      <c r="E3" s="11" t="s">
        <v>172</v>
      </c>
      <c r="F3" s="50">
        <f ca="1">ELEC104!$B20</f>
        <v>360.54</v>
      </c>
      <c r="G3" s="50">
        <f ca="1">ELEC104!$B20*ELEC104!$B6/$B7</f>
        <v>51.505714285714291</v>
      </c>
      <c r="H3" s="69">
        <f ca="1">ELEC104!H30</f>
        <v>75</v>
      </c>
      <c r="I3" s="93">
        <f ca="1">ELEC104!I30</f>
        <v>2</v>
      </c>
      <c r="J3" s="93">
        <f ca="1">ELEC104!J30</f>
        <v>3</v>
      </c>
      <c r="K3" s="93">
        <f ca="1">ELEC104!K30</f>
        <v>3</v>
      </c>
      <c r="L3" s="93">
        <f ca="1">ELEC104!L30</f>
        <v>3</v>
      </c>
      <c r="M3" s="93">
        <f ca="1">ELEC104!M30</f>
        <v>4</v>
      </c>
      <c r="N3" s="93">
        <f ca="1">ELEC104!N30</f>
        <v>21</v>
      </c>
      <c r="O3" s="93">
        <f ca="1">ELEC104!O30</f>
        <v>2</v>
      </c>
      <c r="P3" s="93">
        <f ca="1">ELEC104!P30</f>
        <v>3</v>
      </c>
      <c r="Q3" s="93">
        <f ca="1">ELEC104!Q30</f>
        <v>4</v>
      </c>
      <c r="R3" s="93">
        <f ca="1">ELEC104!R30</f>
        <v>3</v>
      </c>
      <c r="S3" s="93">
        <f ca="1">ELEC104!S30</f>
        <v>3</v>
      </c>
      <c r="T3" s="93">
        <f ca="1">ELEC104!T30</f>
        <v>3</v>
      </c>
      <c r="U3" s="93">
        <f ca="1">ELEC104!U30</f>
        <v>2.6999999999999997</v>
      </c>
      <c r="V3" s="93">
        <f ca="1">ELEC104!V30</f>
        <v>5.3999999999999995</v>
      </c>
      <c r="W3" s="93">
        <f ca="1">ELEC104!W30</f>
        <v>12.9</v>
      </c>
    </row>
    <row r="4" spans="1:25" x14ac:dyDescent="0.2">
      <c r="A4" s="7" t="s">
        <v>53</v>
      </c>
      <c r="B4" s="92" t="s">
        <v>167</v>
      </c>
      <c r="E4" s="11" t="s">
        <v>173</v>
      </c>
      <c r="F4" s="50">
        <f ca="1">ELEC142!$B20</f>
        <v>278.1875</v>
      </c>
      <c r="G4" s="50">
        <f ca="1">ELEC142!$B20*ELEC142!$B6/$B7</f>
        <v>39.741071428571431</v>
      </c>
      <c r="H4" s="69">
        <f ca="1">ELEC142!H30</f>
        <v>75</v>
      </c>
      <c r="I4" s="93">
        <f ca="1">ELEC142!I30</f>
        <v>2</v>
      </c>
      <c r="J4" s="93">
        <f ca="1">ELEC142!J30</f>
        <v>3</v>
      </c>
      <c r="K4" s="93">
        <f ca="1">ELEC142!K30</f>
        <v>3</v>
      </c>
      <c r="L4" s="93">
        <f ca="1">ELEC142!L30</f>
        <v>3</v>
      </c>
      <c r="M4" s="93">
        <f ca="1">ELEC142!M30</f>
        <v>3</v>
      </c>
      <c r="N4" s="93">
        <f ca="1">ELEC142!N30</f>
        <v>3</v>
      </c>
      <c r="O4" s="93">
        <f ca="1">ELEC142!O30</f>
        <v>2</v>
      </c>
      <c r="P4" s="93">
        <f ca="1">ELEC142!P30</f>
        <v>15</v>
      </c>
      <c r="Q4" s="93">
        <f ca="1">ELEC142!Q30</f>
        <v>4</v>
      </c>
      <c r="R4" s="93">
        <f ca="1">ELEC142!R30</f>
        <v>2</v>
      </c>
      <c r="S4" s="93">
        <f ca="1">ELEC142!S30</f>
        <v>4</v>
      </c>
      <c r="T4" s="93">
        <f ca="1">ELEC142!T30</f>
        <v>3</v>
      </c>
      <c r="U4" s="93">
        <f ca="1">ELEC142!U30</f>
        <v>3.75</v>
      </c>
      <c r="V4" s="93">
        <f ca="1">ELEC142!V30</f>
        <v>7.5</v>
      </c>
      <c r="W4" s="93">
        <f ca="1">ELEC142!W30</f>
        <v>16.75</v>
      </c>
    </row>
    <row r="5" spans="1:25" ht="16" thickBot="1" x14ac:dyDescent="0.25">
      <c r="A5" t="s">
        <v>50</v>
      </c>
      <c r="B5" s="36">
        <v>1</v>
      </c>
      <c r="E5" s="11" t="s">
        <v>174</v>
      </c>
      <c r="F5" s="50">
        <f ca="1">ELEC191!$B20</f>
        <v>864.84</v>
      </c>
      <c r="G5" s="50">
        <f ca="1">ELEC191!$B20*ELEC191!$B6/$B7</f>
        <v>247.09714285714287</v>
      </c>
      <c r="H5" s="69">
        <f ca="1">ELEC191!H30</f>
        <v>150</v>
      </c>
      <c r="I5" s="93">
        <f ca="1">ELEC191!I30</f>
        <v>4</v>
      </c>
      <c r="J5" s="93">
        <f ca="1">ELEC191!J30</f>
        <v>4</v>
      </c>
      <c r="K5" s="93">
        <f ca="1">ELEC191!K30</f>
        <v>16</v>
      </c>
      <c r="L5" s="93">
        <f ca="1">ELEC191!L30</f>
        <v>4</v>
      </c>
      <c r="M5" s="93">
        <f ca="1">ELEC191!M30</f>
        <v>5</v>
      </c>
      <c r="N5" s="93">
        <f ca="1">ELEC191!N30</f>
        <v>3</v>
      </c>
      <c r="O5" s="93">
        <f ca="1">ELEC191!O30</f>
        <v>14</v>
      </c>
      <c r="P5" s="93">
        <f ca="1">ELEC191!P30</f>
        <v>4</v>
      </c>
      <c r="Q5" s="93">
        <f ca="1">ELEC191!Q30</f>
        <v>16</v>
      </c>
      <c r="R5" s="93">
        <f ca="1">ELEC191!R30</f>
        <v>4</v>
      </c>
      <c r="S5" s="93">
        <f ca="1">ELEC191!S30</f>
        <v>5</v>
      </c>
      <c r="T5" s="93">
        <f ca="1">ELEC191!T30</f>
        <v>16</v>
      </c>
      <c r="U5" s="93">
        <f ca="1">ELEC191!U30</f>
        <v>7.8</v>
      </c>
      <c r="V5" s="93">
        <f ca="1">ELEC191!V30</f>
        <v>15.6</v>
      </c>
      <c r="W5" s="93">
        <f ca="1">ELEC191!W30</f>
        <v>31.6</v>
      </c>
    </row>
    <row r="6" spans="1:25" x14ac:dyDescent="0.2">
      <c r="A6" t="s">
        <v>119</v>
      </c>
      <c r="B6" s="72">
        <f>(ELEC104!B6*ELEC104!B7 + ELEC142!B6*ELEC142!B7 + ELEC191!B6*ELEC191!B7 + ELEC129!B6*ELEC129!B7  + ELEC171!B6*ELEC171!B7)/100</f>
        <v>31.5</v>
      </c>
      <c r="C6">
        <f>B6*10</f>
        <v>315</v>
      </c>
      <c r="E6" s="11" t="s">
        <v>175</v>
      </c>
      <c r="F6" s="50">
        <f ca="1">ELEC129!$B20</f>
        <v>13521.18</v>
      </c>
      <c r="G6" s="50">
        <f ca="1">ELEC129!$B20*ELEC129!$B6/$B7</f>
        <v>3863.1942857142858</v>
      </c>
      <c r="H6" s="69">
        <f ca="1">ELEC129!H30</f>
        <v>150</v>
      </c>
      <c r="I6" s="93">
        <f ca="1">ELEC129!I30</f>
        <v>7</v>
      </c>
      <c r="J6" s="93">
        <f ca="1">ELEC129!J30</f>
        <v>8</v>
      </c>
      <c r="K6" s="93">
        <f ca="1">ELEC129!K30</f>
        <v>7</v>
      </c>
      <c r="L6" s="93">
        <f ca="1">ELEC129!L30</f>
        <v>12</v>
      </c>
      <c r="M6" s="93">
        <f ca="1">ELEC129!M30</f>
        <v>7.5</v>
      </c>
      <c r="N6" s="93">
        <f ca="1">ELEC129!N30</f>
        <v>8</v>
      </c>
      <c r="O6" s="93">
        <f ca="1">ELEC129!O30</f>
        <v>7</v>
      </c>
      <c r="P6" s="93">
        <f ca="1">ELEC129!P30</f>
        <v>15</v>
      </c>
      <c r="Q6" s="93">
        <f ca="1">ELEC129!Q30</f>
        <v>7.8000000000000007</v>
      </c>
      <c r="R6" s="93">
        <f ca="1">ELEC129!R30</f>
        <v>15</v>
      </c>
      <c r="S6" s="93">
        <f ca="1">ELEC129!S30</f>
        <v>21</v>
      </c>
      <c r="T6" s="93">
        <f ca="1">ELEC129!T30</f>
        <v>-40.299999999999997</v>
      </c>
      <c r="U6" s="93">
        <f ca="1">ELEC129!U30</f>
        <v>75</v>
      </c>
      <c r="V6" s="93">
        <f ca="1">ELEC129!V30</f>
        <v>0</v>
      </c>
      <c r="W6" s="93">
        <f ca="1">ELEC129!W30</f>
        <v>0</v>
      </c>
    </row>
    <row r="7" spans="1:25" x14ac:dyDescent="0.2">
      <c r="A7" t="s">
        <v>183</v>
      </c>
      <c r="B7" s="70">
        <f>ELEC104!B6+ ELEC142!B6  + ELEC191!B6  + ELEC171!B6*ELEC171!B7/100+ELEC129!B6</f>
        <v>52.5</v>
      </c>
      <c r="C7">
        <f>B7*10</f>
        <v>525</v>
      </c>
      <c r="E7" s="11" t="s">
        <v>176</v>
      </c>
      <c r="F7" s="50">
        <f ca="1">ELEC171!$B20</f>
        <v>775.91</v>
      </c>
      <c r="G7" s="50">
        <f ca="1">ELEC171!$B20*ELEC171!$B6/$B7</f>
        <v>221.68857142857144</v>
      </c>
      <c r="H7" s="69">
        <f ca="1">ELEC171!H30</f>
        <v>82.199999999999989</v>
      </c>
      <c r="I7" s="93">
        <f ca="1">ELEC171!I30</f>
        <v>1</v>
      </c>
      <c r="J7" s="93">
        <f ca="1">ELEC171!J30</f>
        <v>1</v>
      </c>
      <c r="K7" s="93">
        <f ca="1">ELEC171!K30</f>
        <v>7.5</v>
      </c>
      <c r="L7" s="93">
        <f ca="1">ELEC171!L30</f>
        <v>1</v>
      </c>
      <c r="M7" s="93">
        <f ca="1">ELEC171!M30</f>
        <v>20</v>
      </c>
      <c r="N7" s="93">
        <f ca="1">ELEC171!N30</f>
        <v>18.100000000000001</v>
      </c>
      <c r="O7" s="93">
        <f ca="1">ELEC171!O30</f>
        <v>0</v>
      </c>
      <c r="P7" s="93">
        <f ca="1">ELEC171!P30</f>
        <v>1.5</v>
      </c>
      <c r="Q7" s="93">
        <f ca="1">ELEC171!Q30</f>
        <v>1.5</v>
      </c>
      <c r="R7" s="93">
        <f ca="1">ELEC171!R30</f>
        <v>14</v>
      </c>
      <c r="S7" s="93">
        <f ca="1">ELEC171!S30</f>
        <v>1</v>
      </c>
      <c r="T7" s="93">
        <f ca="1">ELEC171!T30</f>
        <v>15.6</v>
      </c>
      <c r="U7" s="93">
        <f ca="1">ELEC171!U30</f>
        <v>0</v>
      </c>
      <c r="V7" s="93">
        <f ca="1">ELEC171!V30</f>
        <v>0</v>
      </c>
      <c r="W7" s="93">
        <f ca="1">ELEC171!W30</f>
        <v>0</v>
      </c>
    </row>
    <row r="8" spans="1:25" ht="16" thickBot="1" x14ac:dyDescent="0.25">
      <c r="A8" t="s">
        <v>55</v>
      </c>
      <c r="B8" s="71">
        <f>ELEC207!B8+ ELEC209!B8  + ELEC270!B8  + ELEC273!B8</f>
        <v>16</v>
      </c>
      <c r="E8" s="12" t="s">
        <v>28</v>
      </c>
      <c r="F8" s="112">
        <f ca="1">SUM(F3:F6)</f>
        <v>15024.747500000001</v>
      </c>
      <c r="G8" s="112">
        <f ca="1">SUM(G3:G6)</f>
        <v>4201.5382142857143</v>
      </c>
      <c r="H8" s="21">
        <f ca="1">SUM(I8:W8)</f>
        <v>532.20000000000005</v>
      </c>
      <c r="I8" s="94">
        <f ca="1">SUM(I3:I7)</f>
        <v>16</v>
      </c>
      <c r="J8" s="94">
        <f t="shared" ref="J8:W8" ca="1" si="0">SUM(J3:J7)</f>
        <v>19</v>
      </c>
      <c r="K8" s="94">
        <f t="shared" ca="1" si="0"/>
        <v>36.5</v>
      </c>
      <c r="L8" s="94">
        <f t="shared" ca="1" si="0"/>
        <v>23</v>
      </c>
      <c r="M8" s="94">
        <f t="shared" ca="1" si="0"/>
        <v>39.5</v>
      </c>
      <c r="N8" s="94">
        <f t="shared" ca="1" si="0"/>
        <v>53.1</v>
      </c>
      <c r="O8" s="94">
        <f t="shared" ca="1" si="0"/>
        <v>25</v>
      </c>
      <c r="P8" s="94">
        <f t="shared" ca="1" si="0"/>
        <v>38.5</v>
      </c>
      <c r="Q8" s="94">
        <f t="shared" ca="1" si="0"/>
        <v>33.299999999999997</v>
      </c>
      <c r="R8" s="94">
        <f t="shared" ca="1" si="0"/>
        <v>38</v>
      </c>
      <c r="S8" s="94">
        <f t="shared" ca="1" si="0"/>
        <v>34</v>
      </c>
      <c r="T8" s="94">
        <f t="shared" ca="1" si="0"/>
        <v>-2.6999999999999975</v>
      </c>
      <c r="U8" s="94">
        <f t="shared" ca="1" si="0"/>
        <v>89.25</v>
      </c>
      <c r="V8" s="94">
        <f t="shared" ca="1" si="0"/>
        <v>28.5</v>
      </c>
      <c r="W8" s="94">
        <f t="shared" ca="1" si="0"/>
        <v>61.25</v>
      </c>
    </row>
    <row r="9" spans="1:25" ht="16" thickBot="1" x14ac:dyDescent="0.25">
      <c r="A9" t="s">
        <v>177</v>
      </c>
      <c r="C9">
        <f>C7/15</f>
        <v>35</v>
      </c>
      <c r="H9" s="165" t="str">
        <f ca="1">IF(ABS(ROUND(H8,0)-ROUND(C7,0))&lt;2,"Total hours OK","Total hours don't add up correctly!")</f>
        <v>Total hours don't add up correctly!</v>
      </c>
      <c r="I9" s="165"/>
      <c r="J9" s="165"/>
      <c r="K9" s="165"/>
      <c r="L9" s="165"/>
      <c r="U9" s="10" t="s">
        <v>22</v>
      </c>
    </row>
    <row r="10" spans="1:25" ht="34" thickTop="1" thickBot="1" x14ac:dyDescent="0.25">
      <c r="A10" s="63" t="s">
        <v>100</v>
      </c>
      <c r="B10" s="73">
        <f ca="1">SUM(I47:W47)</f>
        <v>10760.164999999999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5" ht="16" thickTop="1" x14ac:dyDescent="0.2"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5" x14ac:dyDescent="0.2">
      <c r="Y12" s="17"/>
    </row>
    <row r="13" spans="1:25" x14ac:dyDescent="0.2">
      <c r="Y13" s="17"/>
    </row>
    <row r="14" spans="1:25" x14ac:dyDescent="0.2">
      <c r="Y14" s="17"/>
    </row>
    <row r="15" spans="1:25" x14ac:dyDescent="0.2">
      <c r="Y15" s="17"/>
    </row>
    <row r="16" spans="1:25" x14ac:dyDescent="0.2">
      <c r="Y16" s="17"/>
    </row>
    <row r="18" spans="2:24" ht="21" customHeight="1" x14ac:dyDescent="0.2">
      <c r="G18" s="17"/>
      <c r="H18" s="50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51"/>
      <c r="V18" s="51"/>
      <c r="W18" s="51"/>
      <c r="X18" s="17"/>
    </row>
    <row r="19" spans="2:24" ht="21" customHeight="1" x14ac:dyDescent="0.2">
      <c r="G19" s="17"/>
      <c r="H19" s="50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51"/>
      <c r="V19" s="51"/>
      <c r="W19" s="51"/>
      <c r="X19" s="17"/>
    </row>
    <row r="20" spans="2:24" ht="21" customHeight="1" x14ac:dyDescent="0.2">
      <c r="G20" s="17"/>
      <c r="H20" s="50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51"/>
      <c r="V20" s="51"/>
      <c r="W20" s="51"/>
      <c r="X20" s="17"/>
    </row>
    <row r="21" spans="2:24" x14ac:dyDescent="0.2">
      <c r="N21" s="25"/>
      <c r="U21" s="18"/>
      <c r="V21" s="18"/>
    </row>
    <row r="22" spans="2:24" x14ac:dyDescent="0.2">
      <c r="G22" s="17"/>
      <c r="H22" s="17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</row>
    <row r="23" spans="2:24" x14ac:dyDescent="0.2">
      <c r="B23" t="str">
        <f>T(1)</f>
        <v/>
      </c>
      <c r="G23" s="20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</row>
    <row r="28" spans="2:24" x14ac:dyDescent="0.2">
      <c r="I28" s="85">
        <f>C9</f>
        <v>35</v>
      </c>
      <c r="J28" s="85">
        <f>I28</f>
        <v>35</v>
      </c>
      <c r="K28" s="85">
        <f t="shared" ref="K28:W28" si="1">J28</f>
        <v>35</v>
      </c>
      <c r="L28" s="85">
        <f t="shared" si="1"/>
        <v>35</v>
      </c>
      <c r="M28" s="85">
        <f t="shared" si="1"/>
        <v>35</v>
      </c>
      <c r="N28" s="85">
        <f t="shared" si="1"/>
        <v>35</v>
      </c>
      <c r="O28" s="85">
        <f t="shared" si="1"/>
        <v>35</v>
      </c>
      <c r="P28" s="85">
        <f t="shared" si="1"/>
        <v>35</v>
      </c>
      <c r="Q28" s="85">
        <f t="shared" si="1"/>
        <v>35</v>
      </c>
      <c r="R28" s="85">
        <f t="shared" si="1"/>
        <v>35</v>
      </c>
      <c r="S28" s="85">
        <f t="shared" si="1"/>
        <v>35</v>
      </c>
      <c r="T28" s="85">
        <f t="shared" si="1"/>
        <v>35</v>
      </c>
      <c r="U28" s="85">
        <f t="shared" si="1"/>
        <v>35</v>
      </c>
      <c r="V28" s="85">
        <f t="shared" si="1"/>
        <v>35</v>
      </c>
      <c r="W28" s="85">
        <f t="shared" si="1"/>
        <v>35</v>
      </c>
    </row>
    <row r="29" spans="2:24" x14ac:dyDescent="0.2">
      <c r="G29" s="90"/>
      <c r="H29" s="91">
        <f>C7-432</f>
        <v>93</v>
      </c>
    </row>
    <row r="30" spans="2:24" ht="26" x14ac:dyDescent="0.2">
      <c r="I30" s="133" t="s">
        <v>182</v>
      </c>
    </row>
    <row r="31" spans="2:24" ht="15" customHeight="1" thickBot="1" x14ac:dyDescent="0.25">
      <c r="I31" s="164" t="s">
        <v>134</v>
      </c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80"/>
      <c r="V31" s="80"/>
      <c r="W31" s="80"/>
    </row>
    <row r="32" spans="2:24" x14ac:dyDescent="0.2">
      <c r="H32" s="77"/>
      <c r="I32" s="78">
        <v>1</v>
      </c>
      <c r="J32" s="78">
        <v>2</v>
      </c>
      <c r="K32" s="78">
        <v>3</v>
      </c>
      <c r="L32" s="78">
        <v>4</v>
      </c>
      <c r="M32" s="78">
        <v>5</v>
      </c>
      <c r="N32" s="78">
        <v>6</v>
      </c>
      <c r="O32" s="78">
        <v>7</v>
      </c>
      <c r="P32" s="78">
        <v>8</v>
      </c>
      <c r="Q32" s="78">
        <v>9</v>
      </c>
      <c r="R32" s="78">
        <v>10</v>
      </c>
      <c r="S32" s="78">
        <v>11</v>
      </c>
      <c r="T32" s="79">
        <v>12</v>
      </c>
      <c r="U32" s="74">
        <v>13</v>
      </c>
      <c r="V32" s="74">
        <v>14</v>
      </c>
      <c r="W32" s="74">
        <v>15</v>
      </c>
    </row>
    <row r="33" spans="7:23" ht="24" customHeight="1" x14ac:dyDescent="0.2">
      <c r="G33" s="82">
        <v>1</v>
      </c>
      <c r="H33" s="166" t="s">
        <v>172</v>
      </c>
      <c r="I33" s="83" t="str" cm="1">
        <f t="array" ref="I33">IFERROR(INDEX(ELEC104!$C$9:'ELEC104'!$C$17, _xlfn.AGGREGATE(15, 6, ROW($1:$10)/SIGN(LEN(ELEC104!I$9:'ELEC104'!I$17)), 1)),"")</f>
        <v/>
      </c>
      <c r="J33" s="83" t="str" cm="1">
        <f t="array" ref="J33">IFERROR(INDEX(ELEC104!$C$9:'ELEC104'!$C$17, _xlfn.AGGREGATE(15, 6, ROW($1:$10)/SIGN(LEN(ELEC104!J$9:'ELEC104'!J$17)), 1)),"")</f>
        <v/>
      </c>
      <c r="K33" s="83" t="str" cm="1">
        <f t="array" ref="K33">IFERROR(INDEX(ELEC104!$C$9:'ELEC104'!$C$17, _xlfn.AGGREGATE(15, 6, ROW($1:$10)/SIGN(LEN(ELEC104!K$9:'ELEC104'!K$17)), 1)),"")</f>
        <v/>
      </c>
      <c r="L33" s="83" t="str" cm="1">
        <f t="array" ref="L33">IFERROR(INDEX(ELEC104!$C$9:'ELEC104'!$C$17, _xlfn.AGGREGATE(15, 6, ROW($1:$10)/SIGN(LEN(ELEC104!L$9:'ELEC104'!L$17)), 1)),"")</f>
        <v/>
      </c>
      <c r="M33" s="83" t="str" cm="1">
        <f t="array" ref="M33">IFERROR(INDEX(ELEC104!$C$9:'ELEC104'!$C$17, _xlfn.AGGREGATE(15, 6, ROW($1:$10)/SIGN(LEN(ELEC104!M$9:'ELEC104'!M$17)), 1)),"")</f>
        <v/>
      </c>
      <c r="N33" s="83" t="str" cm="1">
        <f t="array" ref="N33">IFERROR(INDEX(ELEC104!$C$9:'ELEC104'!$C$17, _xlfn.AGGREGATE(15, 6, ROW($1:$10)/SIGN(LEN(ELEC104!N$9:'ELEC104'!N$17)), 1)),"")</f>
        <v>Exp I</v>
      </c>
      <c r="O33" s="83" t="str" cm="1">
        <f t="array" ref="O33">IFERROR(INDEX(ELEC104!$C$9:'ELEC104'!$C$17, _xlfn.AGGREGATE(15, 6, ROW($1:$10)/SIGN(LEN(ELEC104!O$9:'ELEC104'!O$17)), 1)),"")</f>
        <v/>
      </c>
      <c r="P33" s="83" t="str" cm="1">
        <f t="array" ref="P33">IFERROR(INDEX(ELEC104!$C$9:'ELEC104'!$C$17, _xlfn.AGGREGATE(15, 6, ROW($1:$10)/SIGN(LEN(ELEC104!P$9:'ELEC104'!P$17)), 1)),"")</f>
        <v/>
      </c>
      <c r="Q33" s="83" t="str" cm="1">
        <f t="array" ref="Q33">IFERROR(INDEX(ELEC104!$C$9:'ELEC104'!$C$17, _xlfn.AGGREGATE(15, 6, ROW($1:$10)/SIGN(LEN(ELEC104!Q$9:'ELEC104'!Q$17)), 1)),"")</f>
        <v/>
      </c>
      <c r="R33" s="83" t="str" cm="1">
        <f t="array" ref="R33">IFERROR(INDEX(ELEC104!$C$9:'ELEC104'!$C$17, _xlfn.AGGREGATE(15, 6, ROW($1:$10)/SIGN(LEN(ELEC104!R$9:'ELEC104'!R$17)), 1)),"")</f>
        <v/>
      </c>
      <c r="S33" s="83" t="str" cm="1">
        <f t="array" ref="S33">IFERROR(INDEX(ELEC104!$C$9:'ELEC104'!$C$17, _xlfn.AGGREGATE(15, 6, ROW($1:$10)/SIGN(LEN(ELEC104!S$9:'ELEC104'!S$17)), 1)),"")</f>
        <v/>
      </c>
      <c r="T33" s="83" t="str" cm="1">
        <f t="array" ref="T33">IFERROR(INDEX(ELEC104!$C$9:'ELEC104'!$C$17, _xlfn.AGGREGATE(15, 6, ROW($1:$10)/SIGN(LEN(ELEC104!T$9:'ELEC104'!T$17)), 1)),"")</f>
        <v/>
      </c>
    </row>
    <row r="34" spans="7:23" ht="24" customHeight="1" x14ac:dyDescent="0.2">
      <c r="G34" s="82">
        <v>2</v>
      </c>
      <c r="H34" s="167"/>
      <c r="I34" s="84" t="str" cm="1">
        <f t="array" ref="I34">IF(COUNTIFS(ELEC104!I$9:I$17,"Yes")&gt;=$G34, IFERROR(INDEX(ELEC104!$C$9:'ELEC104'!$C$17, _xlfn.AGGREGATE(15, 6, ROW($1:$10)/SIGN(LEN(ELEC104!I$9:'ELEC104'!I$17)), COUNTIFS(ELEC104!I$9:I$17,"Yes"))),""),"")</f>
        <v/>
      </c>
      <c r="J34" s="84" t="str" cm="1">
        <f t="array" ref="J34">IF(COUNTIFS(ELEC104!J$9:J$17,"Yes")&gt;=$G34, IFERROR(INDEX(ELEC104!$C$9:'ELEC104'!$C$17, _xlfn.AGGREGATE(15, 6, ROW($1:$10)/SIGN(LEN(ELEC104!J$9:'ELEC104'!J$17)), COUNTIFS(ELEC104!J$9:J$17,"Yes"))),""),"")</f>
        <v/>
      </c>
      <c r="K34" s="84" t="str" cm="1">
        <f t="array" ref="K34">IF(COUNTIFS(ELEC104!K$9:K$17,"Yes")&gt;=$G34, IFERROR(INDEX(ELEC104!$C$9:'ELEC104'!$C$17, _xlfn.AGGREGATE(15, 6, ROW($1:$10)/SIGN(LEN(ELEC104!K$9:'ELEC104'!K$17)), COUNTIFS(ELEC104!K$9:K$17,"Yes"))),""),"")</f>
        <v/>
      </c>
      <c r="L34" s="84" t="str" cm="1">
        <f t="array" ref="L34">IF(COUNTIFS(ELEC104!L$9:L$17,"Yes")&gt;=$G34, IFERROR(INDEX(ELEC104!$C$9:'ELEC104'!$C$17, _xlfn.AGGREGATE(15, 6, ROW($1:$10)/SIGN(LEN(ELEC104!L$9:'ELEC104'!L$17)), COUNTIFS(ELEC104!L$9:L$17,"Yes"))),""),"")</f>
        <v/>
      </c>
      <c r="M34" s="84" t="str" cm="1">
        <f t="array" ref="M34">IF(COUNTIFS(ELEC104!M$9:M$17,"Yes")&gt;=$G34, IFERROR(INDEX(ELEC104!$C$9:'ELEC104'!$C$17, _xlfn.AGGREGATE(15, 6, ROW($1:$10)/SIGN(LEN(ELEC104!M$9:'ELEC104'!M$17)), COUNTIFS(ELEC104!M$9:M$17,"Yes"))),""),"")</f>
        <v/>
      </c>
      <c r="N34" s="84" t="str" cm="1">
        <f t="array" ref="N34">IF(COUNTIFS(ELEC104!N$9:N$17,"Yes")&gt;=$G34, IFERROR(INDEX(ELEC104!$C$9:'ELEC104'!$C$17, _xlfn.AGGREGATE(15, 6, ROW($1:$10)/SIGN(LEN(ELEC104!N$9:'ELEC104'!N$17)), COUNTIFS(ELEC104!N$9:N$17,"Yes"))),""),"")</f>
        <v/>
      </c>
      <c r="O34" s="84" t="str" cm="1">
        <f t="array" ref="O34">IF(COUNTIFS(ELEC104!O$9:O$17,"Yes")&gt;=$G34, IFERROR(INDEX(ELEC104!$C$9:'ELEC104'!$C$17, _xlfn.AGGREGATE(15, 6, ROW($1:$10)/SIGN(LEN(ELEC104!O$9:'ELEC104'!O$17)), COUNTIFS(ELEC104!O$9:O$17,"Yes"))),""),"")</f>
        <v/>
      </c>
      <c r="P34" s="84" t="str" cm="1">
        <f t="array" ref="P34">IF(COUNTIFS(ELEC104!P$9:P$17,"Yes")&gt;=$G34, IFERROR(INDEX(ELEC104!$C$9:'ELEC104'!$C$17, _xlfn.AGGREGATE(15, 6, ROW($1:$10)/SIGN(LEN(ELEC104!P$9:'ELEC104'!P$17)), COUNTIFS(ELEC104!P$9:P$17,"Yes"))),""),"")</f>
        <v/>
      </c>
      <c r="Q34" s="84" t="str" cm="1">
        <f t="array" ref="Q34">IF(COUNTIFS(ELEC104!Q$9:Q$17,"Yes")&gt;=$G34, IFERROR(INDEX(ELEC104!$C$9:'ELEC104'!$C$17, _xlfn.AGGREGATE(15, 6, ROW($1:$10)/SIGN(LEN(ELEC104!Q$9:'ELEC104'!Q$17)), COUNTIFS(ELEC104!Q$9:Q$17,"Yes"))),""),"")</f>
        <v/>
      </c>
      <c r="R34" s="84" t="str" cm="1">
        <f t="array" ref="R34">IF(COUNTIFS(ELEC104!R$9:R$17,"Yes")&gt;=$G34, IFERROR(INDEX(ELEC104!$C$9:'ELEC104'!$C$17, _xlfn.AGGREGATE(15, 6, ROW($1:$10)/SIGN(LEN(ELEC104!R$9:'ELEC104'!R$17)), COUNTIFS(ELEC104!R$9:R$17,"Yes"))),""),"")</f>
        <v/>
      </c>
      <c r="S34" s="84" t="str" cm="1">
        <f t="array" ref="S34">IF(COUNTIFS(ELEC104!S$9:S$17,"Yes")&gt;=$G34, IFERROR(INDEX(ELEC104!$C$9:'ELEC104'!$C$17, _xlfn.AGGREGATE(15, 6, ROW($1:$10)/SIGN(LEN(ELEC104!S$9:'ELEC104'!S$17)), COUNTIFS(ELEC104!S$9:S$17,"Yes"))),""),"")</f>
        <v/>
      </c>
      <c r="T34" s="84" t="str" cm="1">
        <f t="array" ref="T34">IF(COUNTIFS(ELEC104!T$9:T$17,"Yes")&gt;=$G34, IFERROR(INDEX(ELEC104!$C$9:'ELEC104'!$C$17, _xlfn.AGGREGATE(15, 6, ROW($1:$10)/SIGN(LEN(ELEC104!T$9:'ELEC104'!T$17)), COUNTIFS(ELEC104!T$9:T$17,"Yes"))),""),"")</f>
        <v/>
      </c>
    </row>
    <row r="35" spans="7:23" ht="24" customHeight="1" x14ac:dyDescent="0.2">
      <c r="G35" s="82">
        <v>1</v>
      </c>
      <c r="H35" s="160" t="s">
        <v>173</v>
      </c>
      <c r="I35" s="83" t="str" cm="1">
        <f t="array" ref="I35">IFERROR(INDEX(ELEC142!$C$9:'ELEC142'!$C$17, _xlfn.AGGREGATE(15, 6, ROW(1:10)/SIGN(LEN(ELEC142!I$9:'ELEC142'!I$17)), 1)),"")</f>
        <v/>
      </c>
      <c r="J35" s="83" t="str" cm="1">
        <f t="array" ref="J35">IFERROR(INDEX(ELEC142!$C$9:'ELEC142'!$C$17, _xlfn.AGGREGATE(15, 6, ROW(1:10)/SIGN(LEN(ELEC142!J$9:'ELEC142'!J$17)), 1)),"")</f>
        <v/>
      </c>
      <c r="K35" s="83" t="str" cm="1">
        <f t="array" ref="K35">IFERROR(INDEX(ELEC142!$C$9:'ELEC142'!$C$17, _xlfn.AGGREGATE(15, 6, ROW(1:10)/SIGN(LEN(ELEC142!K$9:'ELEC142'!K$17)), 1)),"")</f>
        <v/>
      </c>
      <c r="L35" s="83" t="str" cm="1">
        <f t="array" ref="L35">IFERROR(INDEX(ELEC142!$C$9:'ELEC142'!$C$17, _xlfn.AGGREGATE(15, 6, ROW(1:10)/SIGN(LEN(ELEC142!L$9:'ELEC142'!L$17)), 1)),"")</f>
        <v/>
      </c>
      <c r="M35" s="83" t="str" cm="1">
        <f t="array" ref="M35">IFERROR(INDEX(ELEC142!$C$9:'ELEC142'!$C$17, _xlfn.AGGREGATE(15, 6, ROW(1:10)/SIGN(LEN(ELEC142!M$9:'ELEC142'!M$17)), 1)),"")</f>
        <v/>
      </c>
      <c r="N35" s="83" t="str" cm="1">
        <f t="array" ref="N35">IFERROR(INDEX(ELEC142!$C$9:'ELEC142'!$C$17, _xlfn.AGGREGATE(15, 6, ROW(1:10)/SIGN(LEN(ELEC142!N$9:'ELEC142'!N$17)), 1)),"")</f>
        <v/>
      </c>
      <c r="O35" s="83" t="str" cm="1">
        <f t="array" ref="O35">IFERROR(INDEX(ELEC142!$C$9:'ELEC142'!$C$17, _xlfn.AGGREGATE(15, 6, ROW(1:10)/SIGN(LEN(ELEC142!O$9:'ELEC142'!O$17)), 1)),"")</f>
        <v/>
      </c>
      <c r="P35" s="83" t="str" cm="1">
        <f t="array" ref="P35">IFERROR(INDEX(ELEC142!$C$9:'ELEC142'!$C$17, _xlfn.AGGREGATE(15, 6, ROW(1:10)/SIGN(LEN(ELEC142!P$9:'ELEC142'!P$17)), 1)),"")</f>
        <v>Class Test 1</v>
      </c>
      <c r="Q35" s="83" t="str" cm="1">
        <f t="array" ref="Q35">IFERROR(INDEX(ELEC142!$C$9:'ELEC142'!$C$17, _xlfn.AGGREGATE(15, 6, ROW(1:10)/SIGN(LEN(ELEC142!Q$9:'ELEC142'!Q$17)), 1)),"")</f>
        <v/>
      </c>
      <c r="R35" s="83" t="str" cm="1">
        <f t="array" ref="R35">IFERROR(INDEX(ELEC142!$C$9:'ELEC142'!$C$17, _xlfn.AGGREGATE(15, 6, ROW(1:10)/SIGN(LEN(ELEC142!R$9:'ELEC142'!R$17)), 1)),"")</f>
        <v/>
      </c>
      <c r="S35" s="83" t="str" cm="1">
        <f t="array" ref="S35">IFERROR(INDEX(ELEC142!$C$9:'ELEC142'!$C$17, _xlfn.AGGREGATE(15, 6, ROW(1:10)/SIGN(LEN(ELEC142!S$9:'ELEC142'!S$17)), 1)),"")</f>
        <v/>
      </c>
      <c r="T35" s="83" t="str" cm="1">
        <f t="array" ref="T35">IFERROR(INDEX(ELEC142!$C$9:'ELEC142'!$C$17, _xlfn.AGGREGATE(15, 6, ROW(1:10)/SIGN(LEN(ELEC142!T$9:'ELEC142'!T$17)), 1)),"")</f>
        <v/>
      </c>
    </row>
    <row r="36" spans="7:23" ht="24" customHeight="1" x14ac:dyDescent="0.2">
      <c r="G36" s="82">
        <v>2</v>
      </c>
      <c r="H36" s="161"/>
      <c r="I36" s="84" t="str" cm="1">
        <f t="array" ref="I36">IF(COUNTIFS(ELEC142!I$9:I$17,"Yes")&gt;=$G36, IFERROR(INDEX(ELEC142!$C$9:'ELEC142'!$C$17, _xlfn.AGGREGATE(15, 6, ROW($1:$10)/SIGN(LEN(ELEC142!I$9:'ELEC142'!I$17)), COUNTIFS(ELEC142!I$9:I$17,"Yes"))),""),"")</f>
        <v/>
      </c>
      <c r="J36" s="84" t="str" cm="1">
        <f t="array" ref="J36">IF(COUNTIFS(ELEC142!J$9:J$17,"Yes")&gt;=$G36, IFERROR(INDEX(ELEC142!$C$9:'ELEC142'!$C$17, _xlfn.AGGREGATE(15, 6, ROW($1:$10)/SIGN(LEN(ELEC142!J$9:'ELEC142'!J$17)), COUNTIFS(ELEC142!J$9:J$17,"Yes"))),""),"")</f>
        <v/>
      </c>
      <c r="K36" s="84" t="str" cm="1">
        <f t="array" ref="K36">IF(COUNTIFS(ELEC142!K$9:K$17,"Yes")&gt;=$G36, IFERROR(INDEX(ELEC142!$C$9:'ELEC142'!$C$17, _xlfn.AGGREGATE(15, 6, ROW($1:$10)/SIGN(LEN(ELEC142!K$9:'ELEC142'!K$17)), COUNTIFS(ELEC142!K$9:K$17,"Yes"))),""),"")</f>
        <v/>
      </c>
      <c r="L36" s="84" t="str" cm="1">
        <f t="array" ref="L36">IF(COUNTIFS(ELEC142!L$9:L$17,"Yes")&gt;=$G36, IFERROR(INDEX(ELEC142!$C$9:'ELEC142'!$C$17, _xlfn.AGGREGATE(15, 6, ROW($1:$10)/SIGN(LEN(ELEC142!L$9:'ELEC142'!L$17)), COUNTIFS(ELEC142!L$9:L$17,"Yes"))),""),"")</f>
        <v/>
      </c>
      <c r="M36" s="84" t="str" cm="1">
        <f t="array" ref="M36">IF(COUNTIFS(ELEC142!M$9:M$17,"Yes")&gt;=$G36, IFERROR(INDEX(ELEC142!$C$9:'ELEC142'!$C$17, _xlfn.AGGREGATE(15, 6, ROW($1:$10)/SIGN(LEN(ELEC142!M$9:'ELEC142'!M$17)), COUNTIFS(ELEC142!M$9:M$17,"Yes"))),""),"")</f>
        <v/>
      </c>
      <c r="N36" s="84" t="str" cm="1">
        <f t="array" ref="N36">IF(COUNTIFS(ELEC142!N$9:N$17,"Yes")&gt;=$G36, IFERROR(INDEX(ELEC142!$C$9:'ELEC142'!$C$17, _xlfn.AGGREGATE(15, 6, ROW($1:$10)/SIGN(LEN(ELEC142!N$9:'ELEC142'!N$17)), COUNTIFS(ELEC142!N$9:N$17,"Yes"))),""),"")</f>
        <v/>
      </c>
      <c r="O36" s="84" t="str" cm="1">
        <f t="array" ref="O36">IF(COUNTIFS(ELEC142!O$9:O$17,"Yes")&gt;=$G36, IFERROR(INDEX(ELEC142!$C$9:'ELEC142'!$C$17, _xlfn.AGGREGATE(15, 6, ROW($1:$10)/SIGN(LEN(ELEC142!O$9:'ELEC142'!O$17)), COUNTIFS(ELEC142!O$9:O$17,"Yes"))),""),"")</f>
        <v/>
      </c>
      <c r="P36" s="84" t="str" cm="1">
        <f t="array" ref="P36">IF(COUNTIFS(ELEC142!P$9:P$17,"Yes")&gt;=$G36, IFERROR(INDEX(ELEC142!$C$9:'ELEC142'!$C$17, _xlfn.AGGREGATE(15, 6, ROW($1:$10)/SIGN(LEN(ELEC142!P$9:'ELEC142'!P$17)), COUNTIFS(ELEC142!P$9:P$17,"Yes"))),""),"")</f>
        <v/>
      </c>
      <c r="Q36" s="84" t="str" cm="1">
        <f t="array" ref="Q36">IF(COUNTIFS(ELEC142!Q$9:Q$17,"Yes")&gt;=$G36, IFERROR(INDEX(ELEC142!$C$9:'ELEC142'!$C$17, _xlfn.AGGREGATE(15, 6, ROW($1:$10)/SIGN(LEN(ELEC142!Q$9:'ELEC142'!Q$17)), COUNTIFS(ELEC142!Q$9:Q$17,"Yes"))),""),"")</f>
        <v/>
      </c>
      <c r="R36" s="84" t="str" cm="1">
        <f t="array" ref="R36">IF(COUNTIFS(ELEC142!R$9:R$17,"Yes")&gt;=$G36, IFERROR(INDEX(ELEC142!$C$9:'ELEC142'!$C$17, _xlfn.AGGREGATE(15, 6, ROW($1:$10)/SIGN(LEN(ELEC142!R$9:'ELEC142'!R$17)), COUNTIFS(ELEC142!R$9:R$17,"Yes"))),""),"")</f>
        <v/>
      </c>
      <c r="S36" s="84" t="str" cm="1">
        <f t="array" ref="S36">IF(COUNTIFS(ELEC142!S$9:S$17,"Yes")&gt;=$G36, IFERROR(INDEX(ELEC142!$C$9:'ELEC142'!$C$17, _xlfn.AGGREGATE(15, 6, ROW($1:$10)/SIGN(LEN(ELEC142!S$9:'ELEC142'!S$17)), COUNTIFS(ELEC142!S$9:S$17,"Yes"))),""),"")</f>
        <v/>
      </c>
      <c r="T36" s="84" t="str" cm="1">
        <f t="array" ref="T36">IF(COUNTIFS(ELEC142!T$9:T$17,"Yes")&gt;=$G36, IFERROR(INDEX(ELEC142!$C$9:'ELEC142'!$C$17, _xlfn.AGGREGATE(15, 6, ROW($1:$10)/SIGN(LEN(ELEC142!T$9:'ELEC142'!T$17)), COUNTIFS(ELEC142!T$9:T$17,"Yes"))),""),"")</f>
        <v/>
      </c>
    </row>
    <row r="37" spans="7:23" ht="24" customHeight="1" x14ac:dyDescent="0.2">
      <c r="G37" s="82">
        <v>1</v>
      </c>
      <c r="H37" s="160" t="s">
        <v>174</v>
      </c>
      <c r="I37" s="83" t="str" cm="1">
        <f t="array" ref="I37">IFERROR(INDEX(ELEC191!$C$9:'ELEC191'!$C$17, _xlfn.AGGREGATE(15, 6, ROW($1:$10)/SIGN(LEN(ELEC191!I$9:'ELEC191'!I$17)), 1)),"")</f>
        <v/>
      </c>
      <c r="J37" s="83" t="str" cm="1">
        <f t="array" ref="J37">IFERROR(INDEX(ELEC191!$C$9:'ELEC191'!$C$17, _xlfn.AGGREGATE(15, 6, ROW($1:$10)/SIGN(LEN(ELEC191!J$9:'ELEC191'!J$17)), 1)),"")</f>
        <v/>
      </c>
      <c r="K37" s="83" t="str" cm="1">
        <f t="array" ref="K37">IFERROR(INDEX(ELEC191!$C$9:'ELEC191'!$C$17, _xlfn.AGGREGATE(15, 6, ROW($1:$10)/SIGN(LEN(ELEC191!K$9:'ELEC191'!K$17)), 1)),"")</f>
        <v>Online Class Test 1</v>
      </c>
      <c r="L37" s="83" t="str" cm="1">
        <f t="array" ref="L37">IFERROR(INDEX(ELEC191!$C$9:'ELEC191'!$C$17, _xlfn.AGGREGATE(15, 6, ROW($1:$10)/SIGN(LEN(ELEC191!L$9:'ELEC191'!L$17)), 1)),"")</f>
        <v/>
      </c>
      <c r="M37" s="83" t="str" cm="1">
        <f t="array" ref="M37">IFERROR(INDEX(ELEC191!$C$9:'ELEC191'!$C$17, _xlfn.AGGREGATE(15, 6, ROW($1:$10)/SIGN(LEN(ELEC191!M$9:'ELEC191'!M$17)), 1)),"")</f>
        <v/>
      </c>
      <c r="N37" s="83" t="str" cm="1">
        <f t="array" ref="N37">IFERROR(INDEX(ELEC191!$C$9:'ELEC191'!$C$17, _xlfn.AGGREGATE(15, 6, ROW($1:$10)/SIGN(LEN(ELEC191!N$9:'ELEC191'!N$17)), 1)),"")</f>
        <v/>
      </c>
      <c r="O37" s="83" t="str" cm="1">
        <f t="array" ref="O37">IFERROR(INDEX(ELEC191!$C$9:'ELEC191'!$C$17, _xlfn.AGGREGATE(15, 6, ROW($1:$10)/SIGN(LEN(ELEC191!O$9:'ELEC191'!O$17)), 1)),"")</f>
        <v>Online Class Test 2</v>
      </c>
      <c r="P37" s="83" t="str" cm="1">
        <f t="array" ref="P37">IFERROR(INDEX(ELEC191!$C$9:'ELEC191'!$C$17, _xlfn.AGGREGATE(15, 6, ROW($1:$10)/SIGN(LEN(ELEC191!P$9:'ELEC191'!P$17)), 1)),"")</f>
        <v/>
      </c>
      <c r="Q37" s="83" t="str" cm="1">
        <f t="array" ref="Q37">IFERROR(INDEX(ELEC191!$C$9:'ELEC191'!$C$17, _xlfn.AGGREGATE(15, 6, ROW($1:$10)/SIGN(LEN(ELEC191!Q$9:'ELEC191'!Q$17)), 1)),"")</f>
        <v>Online Class Test 3</v>
      </c>
      <c r="R37" s="83" t="str" cm="1">
        <f t="array" ref="R37">IFERROR(INDEX(ELEC191!$C$9:'ELEC191'!$C$17, _xlfn.AGGREGATE(15, 6, ROW($1:$10)/SIGN(LEN(ELEC191!R$9:'ELEC191'!R$17)), 1)),"")</f>
        <v/>
      </c>
      <c r="S37" s="83" t="str" cm="1">
        <f t="array" ref="S37">IFERROR(INDEX(ELEC191!$C$9:'ELEC191'!$C$17, _xlfn.AGGREGATE(15, 6, ROW($1:$10)/SIGN(LEN(ELEC191!S$9:'ELEC191'!S$17)), 1)),"")</f>
        <v/>
      </c>
      <c r="T37" s="83" t="str" cm="1">
        <f t="array" ref="T37">IFERROR(INDEX(ELEC191!$C$9:'ELEC191'!$C$17, _xlfn.AGGREGATE(15, 6, ROW($1:$10)/SIGN(LEN(ELEC191!T$9:'ELEC191'!T$17)), 1)),"")</f>
        <v>Online Class Test 4</v>
      </c>
    </row>
    <row r="38" spans="7:23" ht="24" customHeight="1" x14ac:dyDescent="0.2">
      <c r="G38" s="82">
        <v>2</v>
      </c>
      <c r="H38" s="161"/>
      <c r="I38" s="84" t="str" cm="1">
        <f t="array" ref="I38">IF(COUNTIFS(ELEC191!I$9:I$17,"Yes")&gt;=$G38, IFERROR(INDEX(ELEC191!$C$9:'ELEC191'!$C$17, _xlfn.AGGREGATE(15, 6, ROW($1:$10)/SIGN(LEN(ELEC191!I$9:'ELEC191'!I$17)), COUNTIFS(ELEC191!I$9:I$17,"Yes"))),""),"")</f>
        <v/>
      </c>
      <c r="J38" s="84" t="str" cm="1">
        <f t="array" ref="J38">IF(COUNTIFS(ELEC191!J$9:J$17,"Yes")&gt;=$G38, IFERROR(INDEX(ELEC191!$C$9:'ELEC191'!$C$17, _xlfn.AGGREGATE(15, 6, ROW($1:$10)/SIGN(LEN(ELEC191!J$9:'ELEC191'!J$17)), COUNTIFS(ELEC191!J$9:J$17,"Yes"))),""),"")</f>
        <v/>
      </c>
      <c r="K38" s="84" t="str" cm="1">
        <f t="array" ref="K38">IF(COUNTIFS(ELEC191!K$9:K$17,"Yes")&gt;=$G38, IFERROR(INDEX(ELEC191!$C$9:'ELEC191'!$C$17, _xlfn.AGGREGATE(15, 6, ROW($1:$10)/SIGN(LEN(ELEC191!K$9:'ELEC191'!K$17)), COUNTIFS(ELEC191!K$9:K$17,"Yes"))),""),"")</f>
        <v/>
      </c>
      <c r="L38" s="84" t="str" cm="1">
        <f t="array" ref="L38">IF(COUNTIFS(ELEC191!L$9:L$17,"Yes")&gt;=$G38, IFERROR(INDEX(ELEC191!$C$9:'ELEC191'!$C$17, _xlfn.AGGREGATE(15, 6, ROW($1:$10)/SIGN(LEN(ELEC191!L$9:'ELEC191'!L$17)), COUNTIFS(ELEC191!L$9:L$17,"Yes"))),""),"")</f>
        <v/>
      </c>
      <c r="M38" s="84" t="str" cm="1">
        <f t="array" ref="M38">IF(COUNTIFS(ELEC191!M$9:M$17,"Yes")&gt;=$G38, IFERROR(INDEX(ELEC191!$C$9:'ELEC191'!$C$17, _xlfn.AGGREGATE(15, 6, ROW($1:$10)/SIGN(LEN(ELEC191!M$9:'ELEC191'!M$17)), COUNTIFS(ELEC191!M$9:M$17,"Yes"))),""),"")</f>
        <v/>
      </c>
      <c r="N38" s="84" t="str" cm="1">
        <f t="array" ref="N38">IF(COUNTIFS(ELEC191!N$9:N$17,"Yes")&gt;=$G38, IFERROR(INDEX(ELEC191!$C$9:'ELEC191'!$C$17, _xlfn.AGGREGATE(15, 6, ROW($1:$10)/SIGN(LEN(ELEC191!N$9:'ELEC191'!N$17)), COUNTIFS(ELEC191!N$9:N$17,"Yes"))),""),"")</f>
        <v/>
      </c>
      <c r="O38" s="84" t="str" cm="1">
        <f t="array" ref="O38">IF(COUNTIFS(ELEC191!O$9:O$17,"Yes")&gt;=$G38, IFERROR(INDEX(ELEC191!$C$9:'ELEC191'!$C$17, _xlfn.AGGREGATE(15, 6, ROW($1:$10)/SIGN(LEN(ELEC191!O$9:'ELEC191'!O$17)), COUNTIFS(ELEC191!O$9:O$17,"Yes"))),""),"")</f>
        <v/>
      </c>
      <c r="P38" s="84" t="str" cm="1">
        <f t="array" ref="P38">IF(COUNTIFS(ELEC191!P$9:P$17,"Yes")&gt;=$G38, IFERROR(INDEX(ELEC191!$C$9:'ELEC191'!$C$17, _xlfn.AGGREGATE(15, 6, ROW($1:$10)/SIGN(LEN(ELEC191!P$9:'ELEC191'!P$17)), COUNTIFS(ELEC191!P$9:P$17,"Yes"))),""),"")</f>
        <v/>
      </c>
      <c r="Q38" s="84" t="str" cm="1">
        <f t="array" ref="Q38">IF(COUNTIFS(ELEC191!Q$9:Q$17,"Yes")&gt;=$G38, IFERROR(INDEX(ELEC191!$C$9:'ELEC191'!$C$17, _xlfn.AGGREGATE(15, 6, ROW($1:$10)/SIGN(LEN(ELEC191!Q$9:'ELEC191'!Q$17)), COUNTIFS(ELEC191!Q$9:Q$17,"Yes"))),""),"")</f>
        <v/>
      </c>
      <c r="R38" s="84" t="str" cm="1">
        <f t="array" ref="R38">IF(COUNTIFS(ELEC191!R$9:R$17,"Yes")&gt;=$G38, IFERROR(INDEX(ELEC191!$C$9:'ELEC191'!$C$17, _xlfn.AGGREGATE(15, 6, ROW($1:$10)/SIGN(LEN(ELEC191!R$9:'ELEC191'!R$17)), COUNTIFS(ELEC191!R$9:R$17,"Yes"))),""),"")</f>
        <v/>
      </c>
      <c r="S38" s="84" t="str" cm="1">
        <f t="array" ref="S38">IF(COUNTIFS(ELEC191!S$9:S$17,"Yes")&gt;=$G38, IFERROR(INDEX(ELEC191!$C$9:'ELEC191'!$C$17, _xlfn.AGGREGATE(15, 6, ROW($1:$10)/SIGN(LEN(ELEC191!S$9:'ELEC191'!S$17)), COUNTIFS(ELEC191!S$9:S$17,"Yes"))),""),"")</f>
        <v/>
      </c>
      <c r="T38" s="84" t="str" cm="1">
        <f t="array" ref="T38">IF(COUNTIFS(ELEC191!T$9:T$17,"Yes")&gt;=$G38, IFERROR(INDEX(ELEC191!$C$9:'ELEC191'!$C$17, _xlfn.AGGREGATE(15, 6, ROW($1:$10)/SIGN(LEN(ELEC191!T$9:'ELEC191'!T$17)), COUNTIFS(ELEC191!T$9:T$17,"Yes"))),""),"")</f>
        <v/>
      </c>
    </row>
    <row r="39" spans="7:23" ht="24" customHeight="1" x14ac:dyDescent="0.2">
      <c r="G39" s="82">
        <v>1</v>
      </c>
      <c r="H39" s="160" t="s">
        <v>175</v>
      </c>
      <c r="I39" s="125" t="str" cm="1">
        <f t="array" ref="I39">IFERROR(INDEX(ELEC129!$C$9:'ELEC129'!$C$17, _xlfn.AGGREGATE(15, 6, ROW($1:$10)/SIGN(LEN(ELEC129!I$9:'ELEC129'!I$17)), 1)),"")</f>
        <v/>
      </c>
      <c r="J39" s="125" t="str" cm="1">
        <f t="array" ref="J39">IFERROR(INDEX(ELEC129!$C$9:'ELEC129'!$C$17, _xlfn.AGGREGATE(15, 6, ROW($1:$10)/SIGN(LEN(ELEC129!J$9:'ELEC129'!J$17)), 1)),"")</f>
        <v/>
      </c>
      <c r="K39" s="125" t="str" cm="1">
        <f t="array" ref="K39">IFERROR(INDEX(ELEC129!$C$9:'ELEC129'!$C$17, _xlfn.AGGREGATE(15, 6, ROW($1:$10)/SIGN(LEN(ELEC129!K$9:'ELEC129'!K$17)), 1)),"")</f>
        <v/>
      </c>
      <c r="L39" s="125" t="str" cm="1">
        <f t="array" ref="L39">IFERROR(INDEX(ELEC129!$C$9:'ELEC129'!$C$17, _xlfn.AGGREGATE(15, 6, ROW($1:$10)/SIGN(LEN(ELEC129!L$9:'ELEC129'!L$17)), 1)),"")</f>
        <v/>
      </c>
      <c r="M39" s="125" t="str" cm="1">
        <f t="array" ref="M39">IFERROR(INDEX(ELEC129!$C$9:'ELEC129'!$C$17, _xlfn.AGGREGATE(15, 6, ROW($1:$10)/SIGN(LEN(ELEC129!M$9:'ELEC129'!M$17)), 1)),"")</f>
        <v>Assignment 1</v>
      </c>
      <c r="N39" s="125" t="str" cm="1">
        <f t="array" ref="N39">IFERROR(INDEX(ELEC129!$C$9:'ELEC129'!$C$17, _xlfn.AGGREGATE(15, 6, ROW($1:$10)/SIGN(LEN(ELEC129!N$9:'ELEC129'!N$17)), 1)),"")</f>
        <v/>
      </c>
      <c r="O39" s="125" t="str" cm="1">
        <f t="array" ref="O39">IFERROR(INDEX(ELEC129!$C$9:'ELEC129'!$C$17, _xlfn.AGGREGATE(15, 6, ROW($1:$10)/SIGN(LEN(ELEC129!O$9:'ELEC129'!O$17)), 1)),"")</f>
        <v/>
      </c>
      <c r="P39" s="125" t="str" cm="1">
        <f t="array" ref="P39">IFERROR(INDEX(ELEC129!$C$9:'ELEC129'!$C$17, _xlfn.AGGREGATE(15, 6, ROW($1:$10)/SIGN(LEN(ELEC129!P$9:'ELEC129'!P$17)), 1)),"")</f>
        <v/>
      </c>
      <c r="Q39" s="125" t="str" cm="1">
        <f t="array" ref="Q39">IFERROR(INDEX(ELEC129!$C$9:'ELEC129'!$C$17, _xlfn.AGGREGATE(15, 6, ROW($1:$10)/SIGN(LEN(ELEC129!Q$9:'ELEC129'!Q$17)), 1)),"")</f>
        <v>Assignment 2</v>
      </c>
      <c r="R39" s="125" t="str" cm="1">
        <f t="array" ref="R39">IFERROR(INDEX(ELEC129!$C$9:'ELEC129'!$C$17, _xlfn.AGGREGATE(15, 6, ROW($1:$10)/SIGN(LEN(ELEC129!R$9:'ELEC129'!R$17)), 1)),"")</f>
        <v/>
      </c>
      <c r="S39" s="125" t="str" cm="1">
        <f t="array" ref="S39">IFERROR(INDEX(ELEC129!$C$9:'ELEC129'!$C$17, _xlfn.AGGREGATE(15, 6, ROW($1:$10)/SIGN(LEN(ELEC129!S$9:'ELEC129'!S$17)), 1)),"")</f>
        <v/>
      </c>
      <c r="T39" s="125" t="str" cm="1">
        <f t="array" ref="T39">IFERROR(INDEX(ELEC129!$C$9:'ELEC129'!$C$17, _xlfn.AGGREGATE(15, 6, ROW($1:$10)/SIGN(LEN(ELEC129!T$9:'ELEC129'!T$17)), 1)),"")</f>
        <v/>
      </c>
      <c r="U39" s="141" t="str" cm="1">
        <f t="array" ref="U39">IFERROR(INDEX(ELEC129!$C$9:'ELEC129'!$C$17, _xlfn.AGGREGATE(15, 6, ROW($1:$10)/SIGN(LEN(ELEC129!U$9:'ELEC129'!U$17)), 1)),"")</f>
        <v>Assignment 3</v>
      </c>
      <c r="V39" s="144" t="str" cm="1">
        <f t="array" ref="V39">IFERROR(INDEX(ELEC129!$C$9:'ELEC129'!$C$17, _xlfn.AGGREGATE(15, 6, ROW($1:$10)/SIGN(LEN(ELEC129!V$9:'ELEC129'!V$17)), 1)),"")</f>
        <v/>
      </c>
      <c r="W39" s="143" t="str" cm="1">
        <f t="array" ref="W39">IFERROR(INDEX(ELEC129!$C$9:'ELEC129'!$C$17, _xlfn.AGGREGATE(15, 6, ROW($1:$10)/SIGN(LEN(ELEC129!W$9:'ELEC129'!W$17)), 1)),"")</f>
        <v/>
      </c>
    </row>
    <row r="40" spans="7:23" ht="25.25" customHeight="1" x14ac:dyDescent="0.2">
      <c r="G40" s="82">
        <v>2</v>
      </c>
      <c r="H40" s="161"/>
      <c r="I40" s="84" t="str" cm="1">
        <f t="array" ref="I40">IF(COUNTIFS(ELEC129!I$9:I$17,"Yes")&gt;=$G40, IFERROR(INDEX(ELEC129!$C$9:'ELEC129'!$C$17, _xlfn.AGGREGATE(15, 6, ROW($1:$10)/SIGN(LEN(ELEC129!I$9:'ELEC129'!I$17)), COUNTIFS(ELEC129!I$9:I$17,"Yes"))),""),"")</f>
        <v/>
      </c>
      <c r="J40" s="84" t="str" cm="1">
        <f t="array" ref="J40">IF(COUNTIFS(ELEC129!J$9:J$17,"Yes")&gt;=$G40, IFERROR(INDEX(ELEC129!$C$9:'ELEC129'!$C$17, _xlfn.AGGREGATE(15, 6, ROW($1:$10)/SIGN(LEN(ELEC129!J$9:'ELEC129'!J$17)), COUNTIFS(ELEC129!J$9:J$17,"Yes"))),""),"")</f>
        <v/>
      </c>
      <c r="K40" s="84" t="str" cm="1">
        <f t="array" ref="K40">IF(COUNTIFS(ELEC129!K$9:K$17,"Yes")&gt;=$G40, IFERROR(INDEX(ELEC129!$C$9:'ELEC129'!$C$17, _xlfn.AGGREGATE(15, 6, ROW($1:$10)/SIGN(LEN(ELEC129!K$9:'ELEC129'!K$17)), COUNTIFS(ELEC129!K$9:K$17,"Yes"))),""),"")</f>
        <v/>
      </c>
      <c r="L40" s="84" t="str" cm="1">
        <f t="array" ref="L40">IF(COUNTIFS(ELEC129!L$9:L$17,"Yes")&gt;=$G40, IFERROR(INDEX(ELEC129!$C$9:'ELEC129'!$C$17, _xlfn.AGGREGATE(15, 6, ROW($1:$10)/SIGN(LEN(ELEC129!L$9:'ELEC129'!L$17)), COUNTIFS(ELEC129!L$9:L$17,"Yes"))),""),"")</f>
        <v/>
      </c>
      <c r="M40" s="84" t="str" cm="1">
        <f t="array" ref="M40">IF(COUNTIFS(ELEC129!M$9:M$17,"Yes")&gt;=$G40, IFERROR(INDEX(ELEC129!$C$9:'ELEC129'!$C$17, _xlfn.AGGREGATE(15, 6, ROW($1:$10)/SIGN(LEN(ELEC129!M$9:'ELEC129'!M$17)), COUNTIFS(ELEC129!M$9:M$17,"Yes"))),""),"")</f>
        <v/>
      </c>
      <c r="N40" s="84" t="str" cm="1">
        <f t="array" ref="N40">IF(COUNTIFS(ELEC129!N$9:N$17,"Yes")&gt;=$G40, IFERROR(INDEX(ELEC129!$C$9:'ELEC129'!$C$17, _xlfn.AGGREGATE(15, 6, ROW($1:$10)/SIGN(LEN(ELEC129!N$9:'ELEC129'!N$17)), COUNTIFS(ELEC129!N$9:N$17,"Yes"))),""),"")</f>
        <v/>
      </c>
      <c r="O40" s="84" t="str" cm="1">
        <f t="array" ref="O40">IF(COUNTIFS(ELEC129!O$9:O$17,"Yes")&gt;=$G40, IFERROR(INDEX(ELEC129!$C$9:'ELEC129'!$C$17, _xlfn.AGGREGATE(15, 6, ROW($1:$10)/SIGN(LEN(ELEC129!O$9:'ELEC129'!O$17)), COUNTIFS(ELEC129!O$9:O$17,"Yes"))),""),"")</f>
        <v/>
      </c>
      <c r="P40" s="84" t="str" cm="1">
        <f t="array" ref="P40">IF(COUNTIFS(ELEC129!P$9:P$17,"Yes")&gt;=$G40, IFERROR(INDEX(ELEC129!$C$9:'ELEC129'!$C$17, _xlfn.AGGREGATE(15, 6, ROW($1:$10)/SIGN(LEN(ELEC129!P$9:'ELEC129'!P$17)), COUNTIFS(ELEC129!P$9:P$17,"Yes"))),""),"")</f>
        <v/>
      </c>
      <c r="Q40" s="84" t="str" cm="1">
        <f t="array" ref="Q40">IF(COUNTIFS(ELEC129!Q$9:Q$17,"Yes")&gt;=$G40, IFERROR(INDEX(ELEC129!$C$9:'ELEC129'!$C$17, _xlfn.AGGREGATE(15, 6, ROW($1:$10)/SIGN(LEN(ELEC129!Q$9:'ELEC129'!Q$17)), COUNTIFS(ELEC129!Q$9:Q$17,"Yes"))),""),"")</f>
        <v/>
      </c>
      <c r="R40" s="84" t="str" cm="1">
        <f t="array" ref="R40">IF(COUNTIFS(ELEC129!R$9:R$17,"Yes")&gt;=$G40, IFERROR(INDEX(ELEC129!$C$9:'ELEC129'!$C$17, _xlfn.AGGREGATE(15, 6, ROW($1:$10)/SIGN(LEN(ELEC129!R$9:'ELEC129'!R$17)), COUNTIFS(ELEC129!R$9:R$17,"Yes"))),""),"")</f>
        <v/>
      </c>
      <c r="S40" s="84" t="str" cm="1">
        <f t="array" ref="S40">IF(COUNTIFS(ELEC129!S$9:S$17,"Yes")&gt;=$G40, IFERROR(INDEX(ELEC129!$C$9:'ELEC129'!$C$17, _xlfn.AGGREGATE(15, 6, ROW($1:$10)/SIGN(LEN(ELEC129!S$9:'ELEC129'!S$17)), COUNTIFS(ELEC129!S$9:S$17,"Yes"))),""),"")</f>
        <v/>
      </c>
      <c r="T40" s="84" t="str" cm="1">
        <f t="array" ref="T40">IF(COUNTIFS(ELEC129!T$9:T$17,"Yes")&gt;=$G40, IFERROR(INDEX(ELEC129!$C$9:'ELEC129'!$C$17, _xlfn.AGGREGATE(15, 6, ROW($1:$10)/SIGN(LEN(ELEC129!T$9:'ELEC129'!T$17)), COUNTIFS(ELEC129!T$9:T$17,"Yes"))),""),"")</f>
        <v/>
      </c>
      <c r="U40" s="142" t="str" cm="1">
        <f t="array" ref="U40">IF(COUNTIFS(ELEC129!U$9:U$17,"Yes")&gt;=$G40, IFERROR(INDEX(ELEC129!$C$9:'ELEC129'!$C$17, _xlfn.AGGREGATE(15, 6, ROW($1:$10)/SIGN(LEN(ELEC129!U$9:'ELEC129'!U$17)), COUNTIFS(ELEC129!U$9:U$17,"Yes"))),""),"")</f>
        <v/>
      </c>
      <c r="V40" s="144" t="str" cm="1">
        <f t="array" ref="V40">IF(COUNTIFS(ELEC129!V$9:V$17,"Yes")&gt;=$G40, IFERROR(INDEX(ELEC129!$C$9:'ELEC129'!$C$17, _xlfn.AGGREGATE(15, 6, ROW($1:$10)/SIGN(LEN(ELEC129!V$9:'ELEC129'!V$17)), COUNTIFS(ELEC129!V$9:V$17,"Yes"))),""),"")</f>
        <v/>
      </c>
      <c r="W40" s="143" t="str" cm="1">
        <f t="array" ref="W40">IF(COUNTIFS(ELEC129!W$9:W$17,"Yes")&gt;=$G40, IFERROR(INDEX(ELEC129!$C$9:'ELEC129'!$C$17, _xlfn.AGGREGATE(15, 6, ROW($1:$10)/SIGN(LEN(ELEC129!W$9:'ELEC129'!W$17)), COUNTIFS(ELEC129!W$9:W$17,"Yes"))),""),"")</f>
        <v/>
      </c>
    </row>
    <row r="41" spans="7:23" ht="24" customHeight="1" x14ac:dyDescent="0.2">
      <c r="G41" s="82">
        <v>1</v>
      </c>
      <c r="H41" s="162" t="s">
        <v>176</v>
      </c>
      <c r="I41" s="83" t="str" cm="1">
        <f t="array" ref="I41">IFERROR(INDEX(ELEC171!$C$9:'ELEC171'!$C$17, _xlfn.AGGREGATE(15, 6, ROW($1:$10)/SIGN(LEN(ELEC171!I$9:'ELEC171'!I$17)), 1)),"")</f>
        <v/>
      </c>
      <c r="J41" s="83" t="str" cm="1">
        <f t="array" ref="J41">IFERROR(INDEX(ELEC171!$C$9:'ELEC171'!$C$17, _xlfn.AGGREGATE(15, 6, ROW($1:$10)/SIGN(LEN(ELEC171!J$9:'ELEC171'!J$17)), 1)),"")</f>
        <v/>
      </c>
      <c r="K41" s="83" t="str" cm="1">
        <f t="array" ref="K41">IFERROR(INDEX(ELEC171!$C$9:'ELEC171'!$C$17, _xlfn.AGGREGATE(15, 6, ROW($1:$10)/SIGN(LEN(ELEC171!K$9:'ELEC171'!K$17)), 1)),"")</f>
        <v>Skills Test</v>
      </c>
      <c r="L41" s="83" t="str" cm="1">
        <f t="array" ref="L41">IFERROR(INDEX(ELEC171!$C$9:'ELEC171'!$C$17, _xlfn.AGGREGATE(15, 6, ROW($1:$10)/SIGN(LEN(ELEC171!L$9:'ELEC171'!L$17)), 1)),"")</f>
        <v/>
      </c>
      <c r="M41" s="83" t="str" cm="1">
        <f t="array" ref="M41">IFERROR(INDEX(ELEC171!$C$9:'ELEC171'!$C$17, _xlfn.AGGREGATE(15, 6, ROW($1:$10)/SIGN(LEN(ELEC171!M$9:'ELEC171'!M$17)), 1)),"")</f>
        <v>Exp Q</v>
      </c>
      <c r="N41" s="83" t="str" cm="1">
        <f t="array" ref="N41">IFERROR(INDEX(ELEC171!$C$9:'ELEC171'!$C$17, _xlfn.AGGREGATE(15, 6, ROW($1:$10)/SIGN(LEN(ELEC171!N$9:'ELEC171'!N$17)), 1)),"")</f>
        <v>Empyblty &amp;Sustnblty</v>
      </c>
      <c r="O41" s="83" t="str" cm="1">
        <f t="array" ref="O41">IFERROR(INDEX(ELEC171!$C$9:'ELEC171'!$C$17, _xlfn.AGGREGATE(15, 6, ROW($1:$10)/SIGN(LEN(ELEC171!O$9:'ELEC171'!O$17)), 1)),"")</f>
        <v/>
      </c>
      <c r="P41" s="83" t="str" cm="1">
        <f t="array" ref="P41">IFERROR(INDEX(ELEC171!$C$9:'ELEC171'!$C$17, _xlfn.AGGREGATE(15, 6, ROW($1:$10)/SIGN(LEN(ELEC171!P$9:'ELEC171'!P$17)), 1)),"")</f>
        <v/>
      </c>
      <c r="Q41" s="83" t="str" cm="1">
        <f t="array" ref="Q41">IFERROR(INDEX(ELEC171!$C$9:'ELEC171'!$C$17, _xlfn.AGGREGATE(15, 6, ROW($1:$10)/SIGN(LEN(ELEC171!Q$9:'ELEC171'!Q$17)), 1)),"")</f>
        <v/>
      </c>
      <c r="R41" s="83" t="str" cm="1">
        <f t="array" ref="R41">IFERROR(INDEX(ELEC171!$C$9:'ELEC171'!$C$17, _xlfn.AGGREGATE(15, 6, ROW($1:$10)/SIGN(LEN(ELEC171!R$9:'ELEC171'!R$17)), 1)),"")</f>
        <v>Exp S</v>
      </c>
      <c r="S41" s="83" t="str" cm="1">
        <f t="array" ref="S41">IFERROR(INDEX(ELEC171!$C$9:'ELEC171'!$C$17, _xlfn.AGGREGATE(15, 6, ROW($1:$10)/SIGN(LEN(ELEC171!S$9:'ELEC171'!S$17)), 1)),"")</f>
        <v/>
      </c>
      <c r="T41" s="83" t="str" cm="1">
        <f t="array" ref="T41">IFERROR(INDEX(ELEC171!$C$9:'ELEC171'!$C$17, _xlfn.AGGREGATE(15, 6, ROW($1:$10)/SIGN(LEN(ELEC171!T$9:'ELEC171'!T$17)), 1)),"")</f>
        <v>MATLAB</v>
      </c>
    </row>
    <row r="42" spans="7:23" ht="24" customHeight="1" thickBot="1" x14ac:dyDescent="0.25">
      <c r="G42" s="82">
        <v>2</v>
      </c>
      <c r="H42" s="163"/>
      <c r="I42" s="88" t="str" cm="1">
        <f t="array" ref="I42">IF(COUNTIFS(ELEC171!I$9:I$17,"Yes")&gt;=$G42, IFERROR(INDEX(ELEC171!$C$9:'ELEC171'!$C$17, _xlfn.AGGREGATE(15, 6, ROW($1:$10)/SIGN(LEN(ELEC171!I$9:'ELEC171'!I$17)), COUNTIFS(ELEC171!I$9:I$17,"Yes"))),""),"")</f>
        <v/>
      </c>
      <c r="J42" s="88" t="str" cm="1">
        <f t="array" ref="J42">IF(COUNTIFS(ELEC171!J$9:J$17,"Yes")&gt;=$G42, IFERROR(INDEX(ELEC171!$C$9:'ELEC171'!$C$17, _xlfn.AGGREGATE(15, 6, ROW($1:$10)/SIGN(LEN(ELEC171!J$9:'ELEC171'!J$17)), COUNTIFS(ELEC171!J$9:J$17,"Yes"))),""),"")</f>
        <v/>
      </c>
      <c r="K42" s="88" t="str" cm="1">
        <f t="array" ref="K42">IF(COUNTIFS(ELEC171!K$9:K$17,"Yes")&gt;=$G42, IFERROR(INDEX(ELEC171!$C$9:'ELEC171'!$C$17, _xlfn.AGGREGATE(15, 6, ROW($1:$10)/SIGN(LEN(ELEC171!K$9:'ELEC171'!K$17)), COUNTIFS(ELEC171!K$9:K$17,"Yes"))),""),"")</f>
        <v/>
      </c>
      <c r="L42" s="88" t="str" cm="1">
        <f t="array" ref="L42">IF(COUNTIFS(ELEC171!L$9:L$17,"Yes")&gt;=$G42, IFERROR(INDEX(ELEC171!$C$9:'ELEC171'!$C$17, _xlfn.AGGREGATE(15, 6, ROW($1:$10)/SIGN(LEN(ELEC171!L$9:'ELEC171'!L$17)), COUNTIFS(ELEC171!L$9:L$17,"Yes"))),""),"")</f>
        <v/>
      </c>
      <c r="M42" s="88" t="str" cm="1">
        <f t="array" ref="M42">IF(COUNTIFS(ELEC171!M$9:M$17,"Yes")&gt;=$G42, IFERROR(INDEX(ELEC171!$C$9:'ELEC171'!$C$17, _xlfn.AGGREGATE(15, 6, ROW($1:$10)/SIGN(LEN(ELEC171!M$9:'ELEC171'!M$17)), COUNTIFS(ELEC171!M$9:M$17,"Yes"))),""),"")</f>
        <v/>
      </c>
      <c r="N42" s="88" t="str" cm="1">
        <f t="array" ref="N42">IF(COUNTIFS(ELEC171!N$9:N$17,"Yes")&gt;=$G42, IFERROR(INDEX(ELEC171!$C$9:'ELEC171'!$C$17, _xlfn.AGGREGATE(15, 6, ROW($1:$10)/SIGN(LEN(ELEC171!N$9:'ELEC171'!N$17)), COUNTIFS(ELEC171!N$9:N$17,"Yes"))),""),"")</f>
        <v/>
      </c>
      <c r="O42" s="88" t="str" cm="1">
        <f t="array" ref="O42">IF(COUNTIFS(ELEC171!O$9:O$17,"Yes")&gt;=$G42, IFERROR(INDEX(ELEC171!$C$9:'ELEC171'!$C$17, _xlfn.AGGREGATE(15, 6, ROW($1:$10)/SIGN(LEN(ELEC171!O$9:'ELEC171'!O$17)), COUNTIFS(ELEC171!O$9:O$17,"Yes"))),""),"")</f>
        <v/>
      </c>
      <c r="P42" s="88" t="str" cm="1">
        <f t="array" ref="P42">IF(COUNTIFS(ELEC171!P$9:P$17,"Yes")&gt;=$G42, IFERROR(INDEX(ELEC171!$C$9:'ELEC171'!$C$17, _xlfn.AGGREGATE(15, 6, ROW($1:$10)/SIGN(LEN(ELEC171!P$9:'ELEC171'!P$17)), COUNTIFS(ELEC171!P$9:P$17,"Yes"))),""),"")</f>
        <v/>
      </c>
      <c r="Q42" s="88" t="str" cm="1">
        <f t="array" ref="Q42">IF(COUNTIFS(ELEC171!Q$9:Q$17,"Yes")&gt;=$G42, IFERROR(INDEX(ELEC171!$C$9:'ELEC171'!$C$17, _xlfn.AGGREGATE(15, 6, ROW($1:$10)/SIGN(LEN(ELEC171!Q$9:'ELEC171'!Q$17)), COUNTIFS(ELEC171!Q$9:Q$17,"Yes"))),""),"")</f>
        <v/>
      </c>
      <c r="R42" s="88" t="str" cm="1">
        <f t="array" ref="R42">IF(COUNTIFS(ELEC171!R$9:R$17,"Yes")&gt;=$G42, IFERROR(INDEX(ELEC171!$C$9:'ELEC171'!$C$17, _xlfn.AGGREGATE(15, 6, ROW($1:$10)/SIGN(LEN(ELEC171!R$9:'ELEC171'!R$17)), COUNTIFS(ELEC171!R$9:R$17,"Yes"))),""),"")</f>
        <v/>
      </c>
      <c r="S42" s="88" t="str" cm="1">
        <f t="array" ref="S42">IF(COUNTIFS(ELEC171!S$9:S$17,"Yes")&gt;=$G42, IFERROR(INDEX(ELEC171!$C$9:'ELEC171'!$C$17, _xlfn.AGGREGATE(15, 6, ROW($1:$10)/SIGN(LEN(ELEC171!S$9:'ELEC171'!S$17)), COUNTIFS(ELEC171!S$9:S$17,"Yes"))),""),"")</f>
        <v/>
      </c>
      <c r="T42" s="88" t="str" cm="1">
        <f t="array" ref="T42">IF(COUNTIFS(ELEC171!T$9:T$17,"Yes")&gt;=$G42, IFERROR(INDEX(ELEC171!$C$9:'ELEC171'!$C$17, _xlfn.AGGREGATE(15, 6, ROW($1:$10)/SIGN(LEN(ELEC171!T$9:'ELEC171'!T$17)), COUNTIFS(ELEC171!T$9:T$17,"Yes"))),""),"")</f>
        <v/>
      </c>
    </row>
    <row r="46" spans="7:23" x14ac:dyDescent="0.2">
      <c r="G46" t="s">
        <v>99</v>
      </c>
      <c r="I46" s="18">
        <f ca="1">I8</f>
        <v>16</v>
      </c>
      <c r="J46" s="18">
        <f t="shared" ref="J46:W46" ca="1" si="2">(J8-I8)*(J8&gt;I8)</f>
        <v>3</v>
      </c>
      <c r="K46" s="18">
        <f t="shared" ca="1" si="2"/>
        <v>17.5</v>
      </c>
      <c r="L46" s="18">
        <f t="shared" ca="1" si="2"/>
        <v>0</v>
      </c>
      <c r="M46" s="18">
        <f t="shared" ca="1" si="2"/>
        <v>16.5</v>
      </c>
      <c r="N46" s="18">
        <f t="shared" ca="1" si="2"/>
        <v>13.600000000000001</v>
      </c>
      <c r="O46" s="18">
        <f t="shared" ca="1" si="2"/>
        <v>0</v>
      </c>
      <c r="P46" s="18">
        <f t="shared" ca="1" si="2"/>
        <v>13.5</v>
      </c>
      <c r="Q46" s="18">
        <f t="shared" ca="1" si="2"/>
        <v>0</v>
      </c>
      <c r="R46" s="18">
        <f t="shared" ca="1" si="2"/>
        <v>4.7000000000000028</v>
      </c>
      <c r="S46" s="18">
        <f t="shared" ca="1" si="2"/>
        <v>0</v>
      </c>
      <c r="T46" s="18">
        <f t="shared" ca="1" si="2"/>
        <v>0</v>
      </c>
      <c r="U46" s="18">
        <f t="shared" ca="1" si="2"/>
        <v>91.95</v>
      </c>
      <c r="V46" s="18">
        <f t="shared" ca="1" si="2"/>
        <v>0</v>
      </c>
      <c r="W46" s="18">
        <f t="shared" ca="1" si="2"/>
        <v>32.75</v>
      </c>
    </row>
    <row r="47" spans="7:23" x14ac:dyDescent="0.2">
      <c r="G47" t="s">
        <v>101</v>
      </c>
      <c r="I47" s="18">
        <f ca="1">I46^2</f>
        <v>256</v>
      </c>
      <c r="J47" s="18">
        <f t="shared" ref="J47:W47" ca="1" si="3">J46^2</f>
        <v>9</v>
      </c>
      <c r="K47" s="18">
        <f t="shared" ca="1" si="3"/>
        <v>306.25</v>
      </c>
      <c r="L47" s="18">
        <f t="shared" ca="1" si="3"/>
        <v>0</v>
      </c>
      <c r="M47" s="18">
        <f t="shared" ca="1" si="3"/>
        <v>272.25</v>
      </c>
      <c r="N47" s="18">
        <f t="shared" ca="1" si="3"/>
        <v>184.96000000000004</v>
      </c>
      <c r="O47" s="18">
        <f t="shared" ca="1" si="3"/>
        <v>0</v>
      </c>
      <c r="P47" s="18">
        <f t="shared" ca="1" si="3"/>
        <v>182.25</v>
      </c>
      <c r="Q47" s="18">
        <f t="shared" ca="1" si="3"/>
        <v>0</v>
      </c>
      <c r="R47" s="18">
        <f t="shared" ca="1" si="3"/>
        <v>22.090000000000028</v>
      </c>
      <c r="S47" s="18">
        <f t="shared" ca="1" si="3"/>
        <v>0</v>
      </c>
      <c r="T47" s="18">
        <f t="shared" ca="1" si="3"/>
        <v>0</v>
      </c>
      <c r="U47" s="18">
        <f t="shared" ca="1" si="3"/>
        <v>8454.8024999999998</v>
      </c>
      <c r="V47" s="18">
        <f t="shared" ca="1" si="3"/>
        <v>0</v>
      </c>
      <c r="W47" s="18">
        <f t="shared" ca="1" si="3"/>
        <v>1072.5625</v>
      </c>
    </row>
  </sheetData>
  <mergeCells count="8">
    <mergeCell ref="H39:H40"/>
    <mergeCell ref="H41:H42"/>
    <mergeCell ref="I1:W1"/>
    <mergeCell ref="H9:L9"/>
    <mergeCell ref="I31:T31"/>
    <mergeCell ref="H33:H34"/>
    <mergeCell ref="H35:H36"/>
    <mergeCell ref="H37:H38"/>
  </mergeCells>
  <conditionalFormatting sqref="I8:W8">
    <cfRule type="cellIs" dxfId="625" priority="9" operator="between">
      <formula>(2/3)*$C$9</formula>
      <formula>(1.2)*$C$9</formula>
    </cfRule>
    <cfRule type="cellIs" dxfId="624" priority="10" operator="lessThan">
      <formula>(2/3)*$C$9</formula>
    </cfRule>
    <cfRule type="cellIs" dxfId="623" priority="11" operator="greaterThanOrEqual">
      <formula>1.2*$C$9</formula>
    </cfRule>
  </conditionalFormatting>
  <conditionalFormatting sqref="H8">
    <cfRule type="cellIs" dxfId="622" priority="7" stopIfTrue="1" operator="equal">
      <formula>$B$7*10</formula>
    </cfRule>
    <cfRule type="cellIs" dxfId="621" priority="8" operator="notEqual">
      <formula>$B$7*10</formula>
    </cfRule>
  </conditionalFormatting>
  <conditionalFormatting sqref="I18:T20">
    <cfRule type="beginsWith" dxfId="620" priority="5" stopIfTrue="1" operator="beginsWith" text="0">
      <formula>LEFT(I18,LEN("0"))="0"</formula>
    </cfRule>
  </conditionalFormatting>
  <conditionalFormatting sqref="N21">
    <cfRule type="beginsWith" dxfId="619" priority="6" stopIfTrue="1" operator="beginsWith" text="0">
      <formula>LEFT(N21,LEN("0"))="0"</formula>
    </cfRule>
  </conditionalFormatting>
  <conditionalFormatting sqref="H18:H20">
    <cfRule type="expression" dxfId="618" priority="12">
      <formula>ABS($H$8-$C$7&gt;=1)</formula>
    </cfRule>
  </conditionalFormatting>
  <conditionalFormatting sqref="H9">
    <cfRule type="containsText" dxfId="617" priority="4" operator="containsText" text="OK">
      <formula>NOT(ISERROR(SEARCH("OK",H9)))</formula>
    </cfRule>
  </conditionalFormatting>
  <conditionalFormatting sqref="H9">
    <cfRule type="containsText" dxfId="616" priority="3" operator="containsText" text="don't">
      <formula>NOT(ISERROR(SEARCH("don't",H9)))</formula>
    </cfRule>
  </conditionalFormatting>
  <conditionalFormatting sqref="I33:T40 U39:W40">
    <cfRule type="cellIs" dxfId="615" priority="2" operator="notEqual">
      <formula>$I$33</formula>
    </cfRule>
  </conditionalFormatting>
  <conditionalFormatting sqref="I41:T42">
    <cfRule type="cellIs" dxfId="614" priority="1" operator="notEqual">
      <formula>$I$33</formula>
    </cfRule>
  </conditionalFormatting>
  <dataValidations disablePrompts="1"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AA10C7A5-53F1-1843-86B9-7AEC75834E8C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660C-7B83-E542-80FD-6C7A23853379}">
  <dimension ref="A1:Y47"/>
  <sheetViews>
    <sheetView topLeftCell="B21" zoomScale="90" zoomScaleNormal="90" workbookViewId="0">
      <selection activeCell="I30" sqref="I30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5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47" x14ac:dyDescent="0.3">
      <c r="A2" s="75" t="s">
        <v>117</v>
      </c>
      <c r="B2" s="76" t="s">
        <v>115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5" x14ac:dyDescent="0.2">
      <c r="A3" s="7" t="s">
        <v>118</v>
      </c>
      <c r="B3" s="68">
        <v>2</v>
      </c>
      <c r="E3" s="11" t="s">
        <v>120</v>
      </c>
      <c r="F3" s="50">
        <f ca="1">ELEC207!$B20</f>
        <v>194.36750000000006</v>
      </c>
      <c r="G3" s="50">
        <f ca="1">ELEC207!$B20*ELEC207!$B6/$B7</f>
        <v>23.897643442622957</v>
      </c>
      <c r="H3" s="69">
        <f ca="1">ELEC207!H30</f>
        <v>75</v>
      </c>
      <c r="I3" s="93">
        <f ca="1">ELEC207!I30</f>
        <v>2</v>
      </c>
      <c r="J3" s="93">
        <f ca="1">ELEC207!J30</f>
        <v>3</v>
      </c>
      <c r="K3" s="93">
        <f ca="1">ELEC207!K30</f>
        <v>3</v>
      </c>
      <c r="L3" s="93">
        <f ca="1">ELEC207!L30</f>
        <v>3</v>
      </c>
      <c r="M3" s="93">
        <f ca="1">ELEC207!M30</f>
        <v>3</v>
      </c>
      <c r="N3" s="93">
        <f ca="1">ELEC207!N30</f>
        <v>3</v>
      </c>
      <c r="O3" s="93">
        <f ca="1">ELEC207!O30</f>
        <v>2</v>
      </c>
      <c r="P3" s="93">
        <f ca="1">ELEC207!P30</f>
        <v>3</v>
      </c>
      <c r="Q3" s="93">
        <f ca="1">ELEC207!Q30</f>
        <v>3</v>
      </c>
      <c r="R3" s="93">
        <f ca="1">ELEC207!R30</f>
        <v>3</v>
      </c>
      <c r="S3" s="93">
        <f ca="1">ELEC207!S30</f>
        <v>4</v>
      </c>
      <c r="T3" s="93">
        <f ca="1">ELEC207!T30</f>
        <v>3</v>
      </c>
      <c r="U3" s="93">
        <f ca="1">ELEC207!U30</f>
        <v>5.55</v>
      </c>
      <c r="V3" s="93">
        <f ca="1">ELEC207!V30</f>
        <v>11.1</v>
      </c>
      <c r="W3" s="93">
        <f ca="1">ELEC207!W30</f>
        <v>23.35</v>
      </c>
    </row>
    <row r="4" spans="1:25" x14ac:dyDescent="0.2">
      <c r="A4" s="7" t="s">
        <v>53</v>
      </c>
      <c r="B4" s="92" t="s">
        <v>114</v>
      </c>
      <c r="E4" s="11" t="s">
        <v>121</v>
      </c>
      <c r="F4" s="50">
        <f ca="1">ELEC209!$B20</f>
        <v>899.48000000000025</v>
      </c>
      <c r="G4" s="50">
        <f ca="1">ELEC209!$B20*ELEC209!$B6/$B7</f>
        <v>221.18360655737712</v>
      </c>
      <c r="H4" s="69">
        <f ca="1">ELEC209!H30</f>
        <v>150</v>
      </c>
      <c r="I4" s="93">
        <f ca="1">ELEC209!I30</f>
        <v>3</v>
      </c>
      <c r="J4" s="93">
        <f ca="1">ELEC209!J30</f>
        <v>4</v>
      </c>
      <c r="K4" s="93">
        <f ca="1">ELEC209!K30</f>
        <v>5</v>
      </c>
      <c r="L4" s="93">
        <f ca="1">ELEC209!L30</f>
        <v>14</v>
      </c>
      <c r="M4" s="93">
        <f ca="1">ELEC209!M30</f>
        <v>5</v>
      </c>
      <c r="N4" s="93">
        <f ca="1">ELEC209!N30</f>
        <v>4</v>
      </c>
      <c r="O4" s="93">
        <f ca="1">ELEC209!O30</f>
        <v>2</v>
      </c>
      <c r="P4" s="93">
        <f ca="1">ELEC209!P30</f>
        <v>14</v>
      </c>
      <c r="Q4" s="93">
        <f ca="1">ELEC209!Q30</f>
        <v>5</v>
      </c>
      <c r="R4" s="93">
        <f ca="1">ELEC209!R30</f>
        <v>4</v>
      </c>
      <c r="S4" s="93">
        <f ca="1">ELEC209!S30</f>
        <v>15</v>
      </c>
      <c r="T4" s="93">
        <f ca="1">ELEC209!T30</f>
        <v>4</v>
      </c>
      <c r="U4" s="93">
        <f ca="1">ELEC209!U30</f>
        <v>10.199999999999999</v>
      </c>
      <c r="V4" s="93">
        <f ca="1">ELEC209!V30</f>
        <v>20.399999999999999</v>
      </c>
      <c r="W4" s="93">
        <f ca="1">ELEC209!W30</f>
        <v>40.400000000000006</v>
      </c>
    </row>
    <row r="5" spans="1:25" ht="16" thickBot="1" x14ac:dyDescent="0.25">
      <c r="A5" t="s">
        <v>50</v>
      </c>
      <c r="B5" s="36">
        <v>1</v>
      </c>
      <c r="E5" s="11" t="s">
        <v>122</v>
      </c>
      <c r="F5" s="50">
        <f ca="1">ELEC270!$B20</f>
        <v>1027.585</v>
      </c>
      <c r="G5" s="50">
        <f ca="1">ELEC270!$B20*ELEC270!$B6/$B7</f>
        <v>252.68483606557379</v>
      </c>
      <c r="H5" s="69">
        <f ca="1">ELEC270!H30</f>
        <v>150</v>
      </c>
      <c r="I5" s="93">
        <f ca="1">ELEC270!I30</f>
        <v>3</v>
      </c>
      <c r="J5" s="93">
        <f ca="1">ELEC270!J30</f>
        <v>3</v>
      </c>
      <c r="K5" s="93">
        <f ca="1">ELEC270!K30</f>
        <v>14</v>
      </c>
      <c r="L5" s="93">
        <f ca="1">ELEC270!L30</f>
        <v>3</v>
      </c>
      <c r="M5" s="93">
        <f ca="1">ELEC270!M30</f>
        <v>20</v>
      </c>
      <c r="N5" s="93">
        <f ca="1">ELEC270!N30</f>
        <v>3</v>
      </c>
      <c r="O5" s="93">
        <f ca="1">ELEC270!O30</f>
        <v>2</v>
      </c>
      <c r="P5" s="93">
        <f ca="1">ELEC270!P30</f>
        <v>13</v>
      </c>
      <c r="Q5" s="93">
        <f ca="1">ELEC270!Q30</f>
        <v>4</v>
      </c>
      <c r="R5" s="93">
        <f ca="1">ELEC270!R30</f>
        <v>13</v>
      </c>
      <c r="S5" s="93">
        <f ca="1">ELEC270!S30</f>
        <v>4</v>
      </c>
      <c r="T5" s="93">
        <f ca="1">ELEC270!T30</f>
        <v>14</v>
      </c>
      <c r="U5" s="93">
        <f ca="1">ELEC270!U30</f>
        <v>7.6499999999999995</v>
      </c>
      <c r="V5" s="93">
        <f ca="1">ELEC270!V30</f>
        <v>15.299999999999999</v>
      </c>
      <c r="W5" s="93">
        <f ca="1">ELEC270!W30</f>
        <v>31.05</v>
      </c>
    </row>
    <row r="6" spans="1:25" x14ac:dyDescent="0.2">
      <c r="A6" t="s">
        <v>119</v>
      </c>
      <c r="B6" s="72">
        <f>ROUND((ELEC207!B6*ELEC207!B7 + ELEC209!B6*ELEC209!B7 + ELEC270!B6*ELEC270!B7 + ELEC273!B6*ELEC273!B7  + MATH28x!B6*MATH28x!B7)/100,1)</f>
        <v>28.1</v>
      </c>
      <c r="C6">
        <f>B6*10</f>
        <v>281</v>
      </c>
      <c r="E6" s="11" t="s">
        <v>123</v>
      </c>
      <c r="F6" s="50">
        <f ca="1">ELEC273!$B20</f>
        <v>582.03061224489795</v>
      </c>
      <c r="G6" s="50">
        <f ca="1">ELEC273!$B20*ELEC273!$B6/$B7</f>
        <v>143.12228169956506</v>
      </c>
      <c r="H6" s="69">
        <f ca="1">ELEC273!H30</f>
        <v>83.428571428571416</v>
      </c>
      <c r="I6" s="93">
        <f ca="1">ELEC273!I30</f>
        <v>1</v>
      </c>
      <c r="J6" s="93">
        <f ca="1">ELEC273!J30</f>
        <v>13</v>
      </c>
      <c r="K6" s="93">
        <f ca="1">ELEC273!K30</f>
        <v>3</v>
      </c>
      <c r="L6" s="93">
        <f ca="1">ELEC273!L30</f>
        <v>20.785714285714285</v>
      </c>
      <c r="M6" s="93">
        <f ca="1">ELEC273!M30</f>
        <v>3</v>
      </c>
      <c r="N6" s="93">
        <f ca="1">ELEC273!N30</f>
        <v>8.7857142857142847</v>
      </c>
      <c r="O6" s="93">
        <f ca="1">ELEC273!O30</f>
        <v>7.7857142857142856</v>
      </c>
      <c r="P6" s="93">
        <f ca="1">ELEC273!P30</f>
        <v>8.7857142857142847</v>
      </c>
      <c r="Q6" s="93">
        <f ca="1">ELEC273!Q30</f>
        <v>3</v>
      </c>
      <c r="R6" s="93">
        <f ca="1">ELEC273!R30</f>
        <v>12.285714285714285</v>
      </c>
      <c r="S6" s="93">
        <f ca="1">ELEC273!S30</f>
        <v>1</v>
      </c>
      <c r="T6" s="93">
        <f ca="1">ELEC273!T30</f>
        <v>1</v>
      </c>
      <c r="U6" s="93">
        <f ca="1">ELEC273!U30</f>
        <v>0</v>
      </c>
      <c r="V6" s="93">
        <f ca="1">ELEC273!V30</f>
        <v>0</v>
      </c>
      <c r="W6" s="93">
        <f ca="1">ELEC273!W30</f>
        <v>0</v>
      </c>
    </row>
    <row r="7" spans="1:25" x14ac:dyDescent="0.2">
      <c r="A7" t="s">
        <v>183</v>
      </c>
      <c r="B7" s="70">
        <f>ROUND(ELEC207!B6+ ELEC209!B6  + ELEC270!B6  + ELEC273!B6*ELEC273!B7/100+MATH28x!B6,0)</f>
        <v>61</v>
      </c>
      <c r="C7">
        <f>B7*10</f>
        <v>610</v>
      </c>
      <c r="E7" s="11" t="s">
        <v>145</v>
      </c>
      <c r="F7" s="50">
        <f>MATH28x!$B20</f>
        <v>756.23</v>
      </c>
      <c r="G7" s="50">
        <f>MATH28x!$B20*MATH28x!$B6/$B7</f>
        <v>185.95819672131148</v>
      </c>
      <c r="H7" s="69">
        <f>MATH28x!H30</f>
        <v>150</v>
      </c>
      <c r="I7" s="93">
        <f>MATH28x!I30</f>
        <v>3</v>
      </c>
      <c r="J7" s="93">
        <f>MATH28x!J30</f>
        <v>3</v>
      </c>
      <c r="K7" s="93">
        <f>MATH28x!K30</f>
        <v>4</v>
      </c>
      <c r="L7" s="93">
        <f>MATH28x!L30</f>
        <v>6</v>
      </c>
      <c r="M7" s="93">
        <f>MATH28x!M30</f>
        <v>14</v>
      </c>
      <c r="N7" s="93">
        <f>MATH28x!N30</f>
        <v>5</v>
      </c>
      <c r="O7" s="93">
        <f>MATH28x!O30</f>
        <v>14</v>
      </c>
      <c r="P7" s="93">
        <f>MATH28x!P30</f>
        <v>8</v>
      </c>
      <c r="Q7" s="93">
        <f>MATH28x!Q30</f>
        <v>25</v>
      </c>
      <c r="R7" s="93">
        <f>MATH28x!R30</f>
        <v>5</v>
      </c>
      <c r="S7" s="93">
        <f>MATH28x!S30</f>
        <v>14</v>
      </c>
      <c r="T7" s="93">
        <f>MATH28x!T30</f>
        <v>4</v>
      </c>
      <c r="U7" s="93">
        <f>MATH28x!U30</f>
        <v>6.3</v>
      </c>
      <c r="V7" s="93">
        <f>MATH28x!V30</f>
        <v>12.6</v>
      </c>
      <c r="W7" s="93">
        <f>MATH28x!W30</f>
        <v>26.1</v>
      </c>
    </row>
    <row r="8" spans="1:25" ht="16" thickBot="1" x14ac:dyDescent="0.25">
      <c r="A8" t="s">
        <v>55</v>
      </c>
      <c r="B8" s="71">
        <f>ELEC207!B8+ ELEC209!B8  + ELEC270!B8  + ELEC273!B8</f>
        <v>16</v>
      </c>
      <c r="E8" s="12" t="s">
        <v>28</v>
      </c>
      <c r="F8" s="112">
        <f ca="1">SUM(F3:F6)</f>
        <v>2703.4631122448982</v>
      </c>
      <c r="G8" s="112">
        <f ca="1">SUM(G3:G6)</f>
        <v>640.88836776513892</v>
      </c>
      <c r="H8" s="21">
        <f ca="1">SUM(I8:W8)</f>
        <v>608.42857142857133</v>
      </c>
      <c r="I8" s="94">
        <f ca="1">SUM(I3:I7)</f>
        <v>12</v>
      </c>
      <c r="J8" s="94">
        <f t="shared" ref="J8:W8" ca="1" si="0">SUM(J3:J7)</f>
        <v>26</v>
      </c>
      <c r="K8" s="94">
        <f t="shared" ca="1" si="0"/>
        <v>29</v>
      </c>
      <c r="L8" s="94">
        <f t="shared" ca="1" si="0"/>
        <v>46.785714285714285</v>
      </c>
      <c r="M8" s="94">
        <f t="shared" ca="1" si="0"/>
        <v>45</v>
      </c>
      <c r="N8" s="94">
        <f t="shared" ca="1" si="0"/>
        <v>23.785714285714285</v>
      </c>
      <c r="O8" s="94">
        <f t="shared" ca="1" si="0"/>
        <v>27.785714285714285</v>
      </c>
      <c r="P8" s="94">
        <f t="shared" ca="1" si="0"/>
        <v>46.785714285714285</v>
      </c>
      <c r="Q8" s="94">
        <f t="shared" ca="1" si="0"/>
        <v>40</v>
      </c>
      <c r="R8" s="94">
        <f t="shared" ca="1" si="0"/>
        <v>37.285714285714285</v>
      </c>
      <c r="S8" s="94">
        <f t="shared" ca="1" si="0"/>
        <v>38</v>
      </c>
      <c r="T8" s="94">
        <f t="shared" ca="1" si="0"/>
        <v>26</v>
      </c>
      <c r="U8" s="94">
        <f t="shared" ca="1" si="0"/>
        <v>29.7</v>
      </c>
      <c r="V8" s="94">
        <f t="shared" ca="1" si="0"/>
        <v>59.4</v>
      </c>
      <c r="W8" s="94">
        <f t="shared" ca="1" si="0"/>
        <v>120.9</v>
      </c>
    </row>
    <row r="9" spans="1:25" ht="16" thickBot="1" x14ac:dyDescent="0.25">
      <c r="A9" t="s">
        <v>177</v>
      </c>
      <c r="C9">
        <f>C7/15</f>
        <v>40.666666666666664</v>
      </c>
      <c r="H9" s="165" t="str">
        <f ca="1">IF(ROUND(H8,0)=ROUND(C7,0),"Total hours OK","Total hours don't add up correctly!")</f>
        <v>Total hours don't add up correctly!</v>
      </c>
      <c r="I9" s="165"/>
      <c r="J9" s="165"/>
      <c r="K9" s="165"/>
      <c r="L9" s="165"/>
      <c r="U9" s="10" t="s">
        <v>22</v>
      </c>
    </row>
    <row r="10" spans="1:25" ht="34" thickTop="1" thickBot="1" x14ac:dyDescent="0.25">
      <c r="A10" s="63" t="s">
        <v>100</v>
      </c>
      <c r="B10" s="73">
        <f ca="1">SUM(I47:W47)</f>
        <v>5720.8718367346946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5" ht="16" thickTop="1" x14ac:dyDescent="0.2"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5" x14ac:dyDescent="0.2">
      <c r="Y12" s="17"/>
    </row>
    <row r="13" spans="1:25" x14ac:dyDescent="0.2">
      <c r="Y13" s="17"/>
    </row>
    <row r="14" spans="1:25" x14ac:dyDescent="0.2">
      <c r="Y14" s="17"/>
    </row>
    <row r="15" spans="1:25" x14ac:dyDescent="0.2">
      <c r="Y15" s="17"/>
    </row>
    <row r="16" spans="1:25" x14ac:dyDescent="0.2">
      <c r="Y16" s="17"/>
    </row>
    <row r="18" spans="2:24" ht="21" customHeight="1" x14ac:dyDescent="0.2">
      <c r="G18" s="17"/>
      <c r="H18" s="50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51"/>
      <c r="V18" s="51"/>
      <c r="W18" s="51"/>
      <c r="X18" s="17"/>
    </row>
    <row r="19" spans="2:24" ht="21" customHeight="1" x14ac:dyDescent="0.2">
      <c r="G19" s="17"/>
      <c r="H19" s="50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51"/>
      <c r="V19" s="51"/>
      <c r="W19" s="51"/>
      <c r="X19" s="17"/>
    </row>
    <row r="20" spans="2:24" ht="21" customHeight="1" x14ac:dyDescent="0.2">
      <c r="G20" s="17"/>
      <c r="H20" s="50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51"/>
      <c r="V20" s="51"/>
      <c r="W20" s="51"/>
      <c r="X20" s="17"/>
    </row>
    <row r="21" spans="2:24" x14ac:dyDescent="0.2">
      <c r="N21" s="25"/>
      <c r="U21" s="18"/>
      <c r="V21" s="18"/>
    </row>
    <row r="22" spans="2:24" x14ac:dyDescent="0.2">
      <c r="G22" s="17"/>
      <c r="H22" s="17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</row>
    <row r="23" spans="2:24" x14ac:dyDescent="0.2">
      <c r="B23" t="str">
        <f>T(1)</f>
        <v/>
      </c>
      <c r="G23" s="20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</row>
    <row r="28" spans="2:24" x14ac:dyDescent="0.2">
      <c r="I28" s="85">
        <f>C9</f>
        <v>40.666666666666664</v>
      </c>
      <c r="J28" s="85">
        <f>I28</f>
        <v>40.666666666666664</v>
      </c>
      <c r="K28" s="85">
        <f t="shared" ref="K28:W28" si="1">J28</f>
        <v>40.666666666666664</v>
      </c>
      <c r="L28" s="85">
        <f t="shared" si="1"/>
        <v>40.666666666666664</v>
      </c>
      <c r="M28" s="85">
        <f t="shared" si="1"/>
        <v>40.666666666666664</v>
      </c>
      <c r="N28" s="85">
        <f t="shared" si="1"/>
        <v>40.666666666666664</v>
      </c>
      <c r="O28" s="85">
        <f t="shared" si="1"/>
        <v>40.666666666666664</v>
      </c>
      <c r="P28" s="85">
        <f t="shared" si="1"/>
        <v>40.666666666666664</v>
      </c>
      <c r="Q28" s="85">
        <f t="shared" si="1"/>
        <v>40.666666666666664</v>
      </c>
      <c r="R28" s="85">
        <f t="shared" si="1"/>
        <v>40.666666666666664</v>
      </c>
      <c r="S28" s="85">
        <f t="shared" si="1"/>
        <v>40.666666666666664</v>
      </c>
      <c r="T28" s="85">
        <f t="shared" si="1"/>
        <v>40.666666666666664</v>
      </c>
      <c r="U28" s="85">
        <f t="shared" si="1"/>
        <v>40.666666666666664</v>
      </c>
      <c r="V28" s="85">
        <f t="shared" si="1"/>
        <v>40.666666666666664</v>
      </c>
      <c r="W28" s="85">
        <f t="shared" si="1"/>
        <v>40.666666666666664</v>
      </c>
    </row>
    <row r="29" spans="2:24" x14ac:dyDescent="0.2">
      <c r="G29" s="90"/>
      <c r="H29" s="91">
        <f>C7-432</f>
        <v>178</v>
      </c>
    </row>
    <row r="30" spans="2:24" ht="33" customHeight="1" x14ac:dyDescent="0.2">
      <c r="I30" s="133" t="s">
        <v>181</v>
      </c>
      <c r="J30" s="132"/>
      <c r="K30" s="132"/>
      <c r="L30" s="132"/>
      <c r="M30" s="132"/>
      <c r="N30" s="132"/>
      <c r="O30" s="132"/>
    </row>
    <row r="31" spans="2:24" ht="15" customHeight="1" thickBot="1" x14ac:dyDescent="0.25">
      <c r="I31" s="164" t="s">
        <v>134</v>
      </c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80"/>
      <c r="V31" s="80"/>
      <c r="W31" s="80"/>
    </row>
    <row r="32" spans="2:24" x14ac:dyDescent="0.2">
      <c r="H32" s="77"/>
      <c r="I32" s="78">
        <v>1</v>
      </c>
      <c r="J32" s="78">
        <v>2</v>
      </c>
      <c r="K32" s="78">
        <v>3</v>
      </c>
      <c r="L32" s="78">
        <v>4</v>
      </c>
      <c r="M32" s="78">
        <v>5</v>
      </c>
      <c r="N32" s="78">
        <v>6</v>
      </c>
      <c r="O32" s="78">
        <v>7</v>
      </c>
      <c r="P32" s="78">
        <v>8</v>
      </c>
      <c r="Q32" s="78">
        <v>9</v>
      </c>
      <c r="R32" s="78">
        <v>10</v>
      </c>
      <c r="S32" s="78">
        <v>11</v>
      </c>
      <c r="T32" s="79">
        <v>12</v>
      </c>
      <c r="U32" s="74">
        <v>13</v>
      </c>
      <c r="V32" s="74">
        <v>14</v>
      </c>
      <c r="W32" s="74">
        <v>15</v>
      </c>
    </row>
    <row r="33" spans="7:23" ht="24" customHeight="1" x14ac:dyDescent="0.2">
      <c r="G33" s="82">
        <v>1</v>
      </c>
      <c r="H33" s="166" t="s">
        <v>120</v>
      </c>
      <c r="I33" s="83" t="str" cm="1">
        <f t="array" ref="I33">IFERROR(INDEX(ELEC207!$C$9:'ELEC207'!$C$17, _xlfn.AGGREGATE(15, 6, ROW($1:$10)/SIGN(LEN(ELEC207!I$9:'ELEC207'!I$17)), 1)),"")</f>
        <v/>
      </c>
      <c r="J33" s="83" t="str" cm="1">
        <f t="array" ref="J33">IFERROR(INDEX(ELEC207!$C$9:'ELEC207'!$C$17, _xlfn.AGGREGATE(15, 6, ROW($1:$10)/SIGN(LEN(ELEC207!J$9:'ELEC207'!J$17)), 1)),"")</f>
        <v/>
      </c>
      <c r="K33" s="83" t="str" cm="1">
        <f t="array" ref="K33">IFERROR(INDEX(ELEC207!$C$9:'ELEC207'!$C$17, _xlfn.AGGREGATE(15, 6, ROW($1:$10)/SIGN(LEN(ELEC207!K$9:'ELEC207'!K$17)), 1)),"")</f>
        <v/>
      </c>
      <c r="L33" s="83" t="str" cm="1">
        <f t="array" ref="L33">IFERROR(INDEX(ELEC207!$C$9:'ELEC207'!$C$17, _xlfn.AGGREGATE(15, 6, ROW($1:$10)/SIGN(LEN(ELEC207!L$9:'ELEC207'!L$17)), 1)),"")</f>
        <v/>
      </c>
      <c r="M33" s="83" t="str" cm="1">
        <f t="array" ref="M33">IFERROR(INDEX(ELEC207!$C$9:'ELEC207'!$C$17, _xlfn.AGGREGATE(15, 6, ROW($1:$10)/SIGN(LEN(ELEC207!M$9:'ELEC207'!M$17)), 1)),"")</f>
        <v/>
      </c>
      <c r="N33" s="83" t="str" cm="1">
        <f t="array" ref="N33">IFERROR(INDEX(ELEC207!$C$9:'ELEC207'!$C$17, _xlfn.AGGREGATE(15, 6, ROW($1:$10)/SIGN(LEN(ELEC207!N$9:'ELEC207'!N$17)), 1)),"")</f>
        <v/>
      </c>
      <c r="O33" s="83" t="str" cm="1">
        <f t="array" ref="O33">IFERROR(INDEX(ELEC207!$C$9:'ELEC207'!$C$17, _xlfn.AGGREGATE(15, 6, ROW($1:$10)/SIGN(LEN(ELEC207!O$9:'ELEC207'!O$17)), 1)),"")</f>
        <v/>
      </c>
      <c r="P33" s="83" t="str" cm="1">
        <f t="array" ref="P33">IFERROR(INDEX(ELEC207!$C$9:'ELEC207'!$C$17, _xlfn.AGGREGATE(15, 6, ROW($1:$10)/SIGN(LEN(ELEC207!P$9:'ELEC207'!P$17)), 1)),"")</f>
        <v/>
      </c>
      <c r="Q33" s="83" t="str" cm="1">
        <f t="array" ref="Q33">IFERROR(INDEX(ELEC207!$C$9:'ELEC207'!$C$17, _xlfn.AGGREGATE(15, 6, ROW($1:$10)/SIGN(LEN(ELEC207!Q$9:'ELEC207'!Q$17)), 1)),"")</f>
        <v/>
      </c>
      <c r="R33" s="83" t="str" cm="1">
        <f t="array" ref="R33">IFERROR(INDEX(ELEC207!$C$9:'ELEC207'!$C$17, _xlfn.AGGREGATE(15, 6, ROW($1:$10)/SIGN(LEN(ELEC207!R$9:'ELEC207'!R$17)), 1)),"")</f>
        <v/>
      </c>
      <c r="S33" s="83" t="str" cm="1">
        <f t="array" ref="S33">IFERROR(INDEX(ELEC207!$C$9:'ELEC207'!$C$17, _xlfn.AGGREGATE(15, 6, ROW($1:$10)/SIGN(LEN(ELEC207!S$9:'ELEC207'!S$17)), 1)),"")</f>
        <v/>
      </c>
      <c r="T33" s="86" t="str" cm="1">
        <f t="array" ref="T33">IFERROR(INDEX(ELEC207!$C$9:'ELEC207'!$C$17, _xlfn.AGGREGATE(15, 6, ROW($1:$10)/SIGN(LEN(ELEC207!T$9:'ELEC207'!T$17)), 1)),"")</f>
        <v/>
      </c>
    </row>
    <row r="34" spans="7:23" ht="24" customHeight="1" x14ac:dyDescent="0.2">
      <c r="G34" s="82">
        <v>2</v>
      </c>
      <c r="H34" s="167"/>
      <c r="I34" s="84" t="str" cm="1">
        <f t="array" ref="I34">IF(COUNTIFS(ELEC207!I$9:I$17,"Yes")&gt;=$G34, IFERROR(INDEX(ELEC207!$C$9:'ELEC207'!$C$17, _xlfn.AGGREGATE(15, 6, ROW($1:$10)/SIGN(LEN(ELEC207!I$9:'ELEC207'!I$17)), COUNTIFS(ELEC207!I$9:I$17,"Yes"))),""),"")</f>
        <v/>
      </c>
      <c r="J34" s="84" t="str" cm="1">
        <f t="array" ref="J34">IF(COUNTIFS(ELEC207!J$9:J$17,"Yes")&gt;=$G34, IFERROR(INDEX(ELEC207!$C$9:'ELEC207'!$C$17, _xlfn.AGGREGATE(15, 6, ROW($1:$10)/SIGN(LEN(ELEC207!J$9:'ELEC207'!J$17)), COUNTIFS(ELEC207!J$9:J$17,"Yes"))),""),"")</f>
        <v/>
      </c>
      <c r="K34" s="84" t="str" cm="1">
        <f t="array" ref="K34">IF(COUNTIFS(ELEC207!K$9:K$17,"Yes")&gt;=$G34, IFERROR(INDEX(ELEC207!$C$9:'ELEC207'!$C$17, _xlfn.AGGREGATE(15, 6, ROW($1:$10)/SIGN(LEN(ELEC207!K$9:'ELEC207'!K$17)), COUNTIFS(ELEC207!K$9:K$17,"Yes"))),""),"")</f>
        <v/>
      </c>
      <c r="L34" s="84" t="str" cm="1">
        <f t="array" ref="L34">IF(COUNTIFS(ELEC207!L$9:L$17,"Yes")&gt;=$G34, IFERROR(INDEX(ELEC207!$C$9:'ELEC207'!$C$17, _xlfn.AGGREGATE(15, 6, ROW($1:$10)/SIGN(LEN(ELEC207!L$9:'ELEC207'!L$17)), COUNTIFS(ELEC207!L$9:L$17,"Yes"))),""),"")</f>
        <v/>
      </c>
      <c r="M34" s="84" t="str" cm="1">
        <f t="array" ref="M34">IF(COUNTIFS(ELEC207!M$9:M$17,"Yes")&gt;=$G34, IFERROR(INDEX(ELEC207!$C$9:'ELEC207'!$C$17, _xlfn.AGGREGATE(15, 6, ROW($1:$10)/SIGN(LEN(ELEC207!M$9:'ELEC207'!M$17)), COUNTIFS(ELEC207!M$9:M$17,"Yes"))),""),"")</f>
        <v/>
      </c>
      <c r="N34" s="84" t="str" cm="1">
        <f t="array" ref="N34">IF(COUNTIFS(ELEC207!N$9:N$17,"Yes")&gt;=$G34, IFERROR(INDEX(ELEC207!$C$9:'ELEC207'!$C$17, _xlfn.AGGREGATE(15, 6, ROW($1:$10)/SIGN(LEN(ELEC207!N$9:'ELEC207'!N$17)), COUNTIFS(ELEC207!N$9:N$17,"Yes"))),""),"")</f>
        <v/>
      </c>
      <c r="O34" s="84" t="str" cm="1">
        <f t="array" ref="O34">IF(COUNTIFS(ELEC207!O$9:O$17,"Yes")&gt;=$G34, IFERROR(INDEX(ELEC207!$C$9:'ELEC207'!$C$17, _xlfn.AGGREGATE(15, 6, ROW($1:$10)/SIGN(LEN(ELEC207!O$9:'ELEC207'!O$17)), COUNTIFS(ELEC207!O$9:O$17,"Yes"))),""),"")</f>
        <v/>
      </c>
      <c r="P34" s="84" t="str" cm="1">
        <f t="array" ref="P34">IF(COUNTIFS(ELEC207!P$9:P$17,"Yes")&gt;=$G34, IFERROR(INDEX(ELEC207!$C$9:'ELEC207'!$C$17, _xlfn.AGGREGATE(15, 6, ROW($1:$10)/SIGN(LEN(ELEC207!P$9:'ELEC207'!P$17)), COUNTIFS(ELEC207!P$9:P$17,"Yes"))),""),"")</f>
        <v/>
      </c>
      <c r="Q34" s="84" t="str" cm="1">
        <f t="array" ref="Q34">IF(COUNTIFS(ELEC207!Q$9:Q$17,"Yes")&gt;=$G34, IFERROR(INDEX(ELEC207!$C$9:'ELEC207'!$C$17, _xlfn.AGGREGATE(15, 6, ROW($1:$10)/SIGN(LEN(ELEC207!Q$9:'ELEC207'!Q$17)), COUNTIFS(ELEC207!Q$9:Q$17,"Yes"))),""),"")</f>
        <v/>
      </c>
      <c r="R34" s="84" t="str" cm="1">
        <f t="array" ref="R34">IF(COUNTIFS(ELEC207!R$9:R$17,"Yes")&gt;=$G34, IFERROR(INDEX(ELEC207!$C$9:'ELEC207'!$C$17, _xlfn.AGGREGATE(15, 6, ROW($1:$10)/SIGN(LEN(ELEC207!R$9:'ELEC207'!R$17)), COUNTIFS(ELEC207!R$9:R$17,"Yes"))),""),"")</f>
        <v/>
      </c>
      <c r="S34" s="84" t="str" cm="1">
        <f t="array" ref="S34">IF(COUNTIFS(ELEC207!S$9:S$17,"Yes")&gt;=$G34, IFERROR(INDEX(ELEC207!$C$9:'ELEC207'!$C$17, _xlfn.AGGREGATE(15, 6, ROW($1:$10)/SIGN(LEN(ELEC207!S$9:'ELEC207'!S$17)), COUNTIFS(ELEC207!S$9:S$17,"Yes"))),""),"")</f>
        <v/>
      </c>
      <c r="T34" s="87" t="str" cm="1">
        <f t="array" ref="T34">IF(COUNTIFS(ELEC207!T$9:T$17,"Yes")&gt;=$G34, IFERROR(INDEX(ELEC207!$C$9:'ELEC207'!$C$17, _xlfn.AGGREGATE(15, 6, ROW($1:$10)/SIGN(LEN(ELEC207!T$9:'ELEC207'!T$17)), COUNTIFS(ELEC207!T$9:T$17,"Yes"))),""),"")</f>
        <v/>
      </c>
    </row>
    <row r="35" spans="7:23" ht="24" customHeight="1" x14ac:dyDescent="0.2">
      <c r="G35" s="82">
        <v>1</v>
      </c>
      <c r="H35" s="160" t="s">
        <v>121</v>
      </c>
      <c r="I35" s="83" t="str" cm="1">
        <f t="array" ref="I35">IFERROR(INDEX(ELEC209!$C$9:'ELEC209'!$C$17, _xlfn.AGGREGATE(15, 6, ROW(1:10)/SIGN(LEN(ELEC209!I$9:'ELEC209'!I$17)), 1)),"")</f>
        <v/>
      </c>
      <c r="J35" s="83" t="str" cm="1">
        <f t="array" ref="J35">IFERROR(INDEX(ELEC209!$C$9:'ELEC209'!$C$17, _xlfn.AGGREGATE(15, 6, ROW(1:10)/SIGN(LEN(ELEC209!J$9:'ELEC209'!J$17)), 1)),"")</f>
        <v/>
      </c>
      <c r="K35" s="83" t="str" cm="1">
        <f t="array" ref="K35">IFERROR(INDEX(ELEC209!$C$9:'ELEC209'!$C$17, _xlfn.AGGREGATE(15, 6, ROW(1:10)/SIGN(LEN(ELEC209!K$9:'ELEC209'!K$17)), 1)),"")</f>
        <v/>
      </c>
      <c r="L35" s="83" t="str" cm="1">
        <f t="array" ref="L35">IFERROR(INDEX(ELEC209!$C$9:'ELEC209'!$C$17, _xlfn.AGGREGATE(15, 6, ROW(1:10)/SIGN(LEN(ELEC209!L$9:'ELEC209'!L$17)), 1)),"")</f>
        <v>Class Test 1</v>
      </c>
      <c r="M35" s="83" t="str" cm="1">
        <f t="array" ref="M35">IFERROR(INDEX(ELEC209!$C$9:'ELEC209'!$C$17, _xlfn.AGGREGATE(15, 6, ROW(1:10)/SIGN(LEN(ELEC209!M$9:'ELEC209'!M$17)), 1)),"")</f>
        <v/>
      </c>
      <c r="N35" s="83" t="str" cm="1">
        <f t="array" ref="N35">IFERROR(INDEX(ELEC209!$C$9:'ELEC209'!$C$17, _xlfn.AGGREGATE(15, 6, ROW(1:10)/SIGN(LEN(ELEC209!N$9:'ELEC209'!N$17)), 1)),"")</f>
        <v/>
      </c>
      <c r="O35" s="83" t="str" cm="1">
        <f t="array" ref="O35">IFERROR(INDEX(ELEC209!$C$9:'ELEC209'!$C$17, _xlfn.AGGREGATE(15, 6, ROW(1:10)/SIGN(LEN(ELEC209!O$9:'ELEC209'!O$17)), 1)),"")</f>
        <v/>
      </c>
      <c r="P35" s="83" t="str" cm="1">
        <f t="array" ref="P35">IFERROR(INDEX(ELEC209!$C$9:'ELEC209'!$C$17, _xlfn.AGGREGATE(15, 6, ROW(1:10)/SIGN(LEN(ELEC209!P$9:'ELEC209'!P$17)), 1)),"")</f>
        <v>Class Test 2</v>
      </c>
      <c r="Q35" s="83" t="str" cm="1">
        <f t="array" ref="Q35">IFERROR(INDEX(ELEC209!$C$9:'ELEC209'!$C$17, _xlfn.AGGREGATE(15, 6, ROW(1:10)/SIGN(LEN(ELEC209!Q$9:'ELEC209'!Q$17)), 1)),"")</f>
        <v/>
      </c>
      <c r="R35" s="83" t="str" cm="1">
        <f t="array" ref="R35">IFERROR(INDEX(ELEC209!$C$9:'ELEC209'!$C$17, _xlfn.AGGREGATE(15, 6, ROW(1:10)/SIGN(LEN(ELEC209!R$9:'ELEC209'!R$17)), 1)),"")</f>
        <v/>
      </c>
      <c r="S35" s="83" t="str" cm="1">
        <f t="array" ref="S35">IFERROR(INDEX(ELEC209!$C$9:'ELEC209'!$C$17, _xlfn.AGGREGATE(15, 6, ROW(1:10)/SIGN(LEN(ELEC209!S$9:'ELEC209'!S$17)), 1)),"")</f>
        <v>Mock Test</v>
      </c>
      <c r="T35" s="86" t="str" cm="1">
        <f t="array" ref="T35">IFERROR(INDEX(ELEC209!$C$9:'ELEC209'!$C$17, _xlfn.AGGREGATE(15, 6, ROW(1:10)/SIGN(LEN(ELEC209!T$9:'ELEC209'!T$17)), 1)),"")</f>
        <v/>
      </c>
    </row>
    <row r="36" spans="7:23" ht="24" customHeight="1" x14ac:dyDescent="0.2">
      <c r="G36" s="82">
        <v>2</v>
      </c>
      <c r="H36" s="161"/>
      <c r="I36" s="84" t="str" cm="1">
        <f t="array" ref="I36">IF(COUNTIFS(ELEC209!I$9:I$17,"Yes")&gt;=$G36, IFERROR(INDEX(ELEC209!$C$9:'ELEC209'!$C$17, _xlfn.AGGREGATE(15, 6, ROW($1:$10)/SIGN(LEN(ELEC209!I$9:'ELEC209'!I$17)), COUNTIFS(ELEC209!I$9:I$17,"Yes"))),""),"")</f>
        <v/>
      </c>
      <c r="J36" s="84" t="str" cm="1">
        <f t="array" ref="J36">IF(COUNTIFS(ELEC209!J$9:J$17,"Yes")&gt;=$G36, IFERROR(INDEX(ELEC209!$C$9:'ELEC209'!$C$17, _xlfn.AGGREGATE(15, 6, ROW($1:$10)/SIGN(LEN(ELEC209!J$9:'ELEC209'!J$17)), COUNTIFS(ELEC209!J$9:J$17,"Yes"))),""),"")</f>
        <v/>
      </c>
      <c r="K36" s="84" t="str" cm="1">
        <f t="array" ref="K36">IF(COUNTIFS(ELEC209!K$9:K$17,"Yes")&gt;=$G36, IFERROR(INDEX(ELEC209!$C$9:'ELEC209'!$C$17, _xlfn.AGGREGATE(15, 6, ROW($1:$10)/SIGN(LEN(ELEC209!K$9:'ELEC209'!K$17)), COUNTIFS(ELEC209!K$9:K$17,"Yes"))),""),"")</f>
        <v/>
      </c>
      <c r="L36" s="84" t="str" cm="1">
        <f t="array" ref="L36">IF(COUNTIFS(ELEC209!L$9:L$17,"Yes")&gt;=$G36, IFERROR(INDEX(ELEC209!$C$9:'ELEC209'!$C$17, _xlfn.AGGREGATE(15, 6, ROW($1:$10)/SIGN(LEN(ELEC209!L$9:'ELEC209'!L$17)), COUNTIFS(ELEC209!L$9:L$17,"Yes"))),""),"")</f>
        <v/>
      </c>
      <c r="M36" s="84" t="str" cm="1">
        <f t="array" ref="M36">IF(COUNTIFS(ELEC209!M$9:M$17,"Yes")&gt;=$G36, IFERROR(INDEX(ELEC209!$C$9:'ELEC209'!$C$17, _xlfn.AGGREGATE(15, 6, ROW($1:$10)/SIGN(LEN(ELEC209!M$9:'ELEC209'!M$17)), COUNTIFS(ELEC209!M$9:M$17,"Yes"))),""),"")</f>
        <v/>
      </c>
      <c r="N36" s="84" t="str" cm="1">
        <f t="array" ref="N36">IF(COUNTIFS(ELEC209!N$9:N$17,"Yes")&gt;=$G36, IFERROR(INDEX(ELEC209!$C$9:'ELEC209'!$C$17, _xlfn.AGGREGATE(15, 6, ROW($1:$10)/SIGN(LEN(ELEC209!N$9:'ELEC209'!N$17)), COUNTIFS(ELEC209!N$9:N$17,"Yes"))),""),"")</f>
        <v/>
      </c>
      <c r="O36" s="84" t="str" cm="1">
        <f t="array" ref="O36">IF(COUNTIFS(ELEC209!O$9:O$17,"Yes")&gt;=$G36, IFERROR(INDEX(ELEC209!$C$9:'ELEC209'!$C$17, _xlfn.AGGREGATE(15, 6, ROW($1:$10)/SIGN(LEN(ELEC209!O$9:'ELEC209'!O$17)), COUNTIFS(ELEC209!O$9:O$17,"Yes"))),""),"")</f>
        <v/>
      </c>
      <c r="P36" s="84" t="str" cm="1">
        <f t="array" ref="P36">IF(COUNTIFS(ELEC209!P$9:P$17,"Yes")&gt;=$G36, IFERROR(INDEX(ELEC209!$C$9:'ELEC209'!$C$17, _xlfn.AGGREGATE(15, 6, ROW($1:$10)/SIGN(LEN(ELEC209!P$9:'ELEC209'!P$17)), COUNTIFS(ELEC209!P$9:P$17,"Yes"))),""),"")</f>
        <v/>
      </c>
      <c r="Q36" s="84" t="str" cm="1">
        <f t="array" ref="Q36">IF(COUNTIFS(ELEC209!Q$9:Q$17,"Yes")&gt;=$G36, IFERROR(INDEX(ELEC209!$C$9:'ELEC209'!$C$17, _xlfn.AGGREGATE(15, 6, ROW($1:$10)/SIGN(LEN(ELEC209!Q$9:'ELEC209'!Q$17)), COUNTIFS(ELEC209!Q$9:Q$17,"Yes"))),""),"")</f>
        <v/>
      </c>
      <c r="R36" s="84" t="str" cm="1">
        <f t="array" ref="R36">IF(COUNTIFS(ELEC209!R$9:R$17,"Yes")&gt;=$G36, IFERROR(INDEX(ELEC209!$C$9:'ELEC209'!$C$17, _xlfn.AGGREGATE(15, 6, ROW($1:$10)/SIGN(LEN(ELEC209!R$9:'ELEC209'!R$17)), COUNTIFS(ELEC209!R$9:R$17,"Yes"))),""),"")</f>
        <v/>
      </c>
      <c r="S36" s="84" t="str" cm="1">
        <f t="array" ref="S36">IF(COUNTIFS(ELEC209!S$9:S$17,"Yes")&gt;=$G36, IFERROR(INDEX(ELEC209!$C$9:'ELEC209'!$C$17, _xlfn.AGGREGATE(15, 6, ROW($1:$10)/SIGN(LEN(ELEC209!S$9:'ELEC209'!S$17)), COUNTIFS(ELEC209!S$9:S$17,"Yes"))),""),"")</f>
        <v/>
      </c>
      <c r="T36" s="87" t="str" cm="1">
        <f t="array" ref="T36">IF(COUNTIFS(ELEC209!T$9:T$17,"Yes")&gt;=$G36, IFERROR(INDEX(ELEC209!$C$9:'ELEC209'!$C$17, _xlfn.AGGREGATE(15, 6, ROW($1:$10)/SIGN(LEN(ELEC209!T$9:'ELEC209'!T$17)), COUNTIFS(ELEC209!T$9:T$17,"Yes"))),""),"")</f>
        <v/>
      </c>
    </row>
    <row r="37" spans="7:23" ht="24" customHeight="1" x14ac:dyDescent="0.2">
      <c r="G37" s="82">
        <v>1</v>
      </c>
      <c r="H37" s="160" t="s">
        <v>122</v>
      </c>
      <c r="I37" s="83" t="str" cm="1">
        <f t="array" ref="I37">IFERROR(INDEX(ELEC270!$C$9:'ELEC270'!$C$17, _xlfn.AGGREGATE(15, 6, ROW($1:$10)/SIGN(LEN(ELEC270!I$9:'ELEC270'!I$17)), 1)),"")</f>
        <v/>
      </c>
      <c r="J37" s="83" t="str" cm="1">
        <f t="array" ref="J37">IFERROR(INDEX(ELEC270!$C$9:'ELEC270'!$C$17, _xlfn.AGGREGATE(15, 6, ROW($1:$10)/SIGN(LEN(ELEC270!J$9:'ELEC270'!J$17)), 1)),"")</f>
        <v/>
      </c>
      <c r="K37" s="83" t="str" cm="1">
        <f t="array" ref="K37">IFERROR(INDEX(ELEC270!$C$9:'ELEC270'!$C$17, _xlfn.AGGREGATE(15, 6, ROW($1:$10)/SIGN(LEN(ELEC270!K$9:'ELEC270'!K$17)), 1)),"")</f>
        <v>Class Test 1</v>
      </c>
      <c r="L37" s="83" t="str" cm="1">
        <f t="array" ref="L37">IFERROR(INDEX(ELEC270!$C$9:'ELEC270'!$C$17, _xlfn.AGGREGATE(15, 6, ROW($1:$10)/SIGN(LEN(ELEC270!L$9:'ELEC270'!L$17)), 1)),"")</f>
        <v/>
      </c>
      <c r="M37" s="83" t="str" cm="1">
        <f t="array" ref="M37">IFERROR(INDEX(ELEC270!$C$9:'ELEC270'!$C$17, _xlfn.AGGREGATE(15, 6, ROW($1:$10)/SIGN(LEN(ELEC270!M$9:'ELEC270'!M$17)), 1)),"")</f>
        <v>Class Test 2</v>
      </c>
      <c r="N37" s="83" t="str" cm="1">
        <f t="array" ref="N37">IFERROR(INDEX(ELEC270!$C$9:'ELEC270'!$C$17, _xlfn.AGGREGATE(15, 6, ROW($1:$10)/SIGN(LEN(ELEC270!N$9:'ELEC270'!N$17)), 1)),"")</f>
        <v/>
      </c>
      <c r="O37" s="83" t="str" cm="1">
        <f t="array" ref="O37">IFERROR(INDEX(ELEC270!$C$9:'ELEC270'!$C$17, _xlfn.AGGREGATE(15, 6, ROW($1:$10)/SIGN(LEN(ELEC270!O$9:'ELEC270'!O$17)), 1)),"")</f>
        <v/>
      </c>
      <c r="P37" s="83" t="str" cm="1">
        <f t="array" ref="P37">IFERROR(INDEX(ELEC270!$C$9:'ELEC270'!$C$17, _xlfn.AGGREGATE(15, 6, ROW($1:$10)/SIGN(LEN(ELEC270!P$9:'ELEC270'!P$17)), 1)),"")</f>
        <v>Class Test 3</v>
      </c>
      <c r="Q37" s="83" t="str" cm="1">
        <f t="array" ref="Q37">IFERROR(INDEX(ELEC270!$C$9:'ELEC270'!$C$17, _xlfn.AGGREGATE(15, 6, ROW($1:$10)/SIGN(LEN(ELEC270!Q$9:'ELEC270'!Q$17)), 1)),"")</f>
        <v/>
      </c>
      <c r="R37" s="83" t="str" cm="1">
        <f t="array" ref="R37">IFERROR(INDEX(ELEC270!$C$9:'ELEC270'!$C$17, _xlfn.AGGREGATE(15, 6, ROW($1:$10)/SIGN(LEN(ELEC270!R$9:'ELEC270'!R$17)), 1)),"")</f>
        <v>Class Test 4</v>
      </c>
      <c r="S37" s="83" t="str" cm="1">
        <f t="array" ref="S37">IFERROR(INDEX(ELEC270!$C$9:'ELEC270'!$C$17, _xlfn.AGGREGATE(15, 6, ROW($1:$10)/SIGN(LEN(ELEC270!S$9:'ELEC270'!S$17)), 1)),"")</f>
        <v/>
      </c>
      <c r="T37" s="86" t="str" cm="1">
        <f t="array" ref="T37">IFERROR(INDEX(ELEC270!$C$9:'ELEC270'!$C$17, _xlfn.AGGREGATE(15, 6, ROW($1:$10)/SIGN(LEN(ELEC270!T$9:'ELEC270'!T$17)), 1)),"")</f>
        <v>Class Test 5</v>
      </c>
    </row>
    <row r="38" spans="7:23" ht="24" customHeight="1" x14ac:dyDescent="0.2">
      <c r="G38" s="82">
        <v>2</v>
      </c>
      <c r="H38" s="161"/>
      <c r="I38" s="84" t="str" cm="1">
        <f t="array" ref="I38">IF(COUNTIFS(ELEC270!I$9:I$17,"Yes")&gt;=$G38, IFERROR(INDEX(ELEC270!$C$9:'ELEC270'!$C$17, _xlfn.AGGREGATE(15, 6, ROW($1:$10)/SIGN(LEN(ELEC270!I$9:'ELEC270'!I$17)), COUNTIFS(ELEC270!I$9:I$17,"Yes"))),""),"")</f>
        <v/>
      </c>
      <c r="J38" s="84" t="str" cm="1">
        <f t="array" ref="J38">IF(COUNTIFS(ELEC270!J$9:J$17,"Yes")&gt;=$G38, IFERROR(INDEX(ELEC270!$C$9:'ELEC270'!$C$17, _xlfn.AGGREGATE(15, 6, ROW($1:$10)/SIGN(LEN(ELEC270!J$9:'ELEC270'!J$17)), COUNTIFS(ELEC270!J$9:J$17,"Yes"))),""),"")</f>
        <v/>
      </c>
      <c r="K38" s="84" t="str" cm="1">
        <f t="array" ref="K38">IF(COUNTIFS(ELEC270!K$9:K$17,"Yes")&gt;=$G38, IFERROR(INDEX(ELEC270!$C$9:'ELEC270'!$C$17, _xlfn.AGGREGATE(15, 6, ROW($1:$10)/SIGN(LEN(ELEC270!K$9:'ELEC270'!K$17)), COUNTIFS(ELEC270!K$9:K$17,"Yes"))),""),"")</f>
        <v/>
      </c>
      <c r="L38" s="84" t="str" cm="1">
        <f t="array" ref="L38">IF(COUNTIFS(ELEC270!L$9:L$17,"Yes")&gt;=$G38, IFERROR(INDEX(ELEC270!$C$9:'ELEC270'!$C$17, _xlfn.AGGREGATE(15, 6, ROW($1:$10)/SIGN(LEN(ELEC270!L$9:'ELEC270'!L$17)), COUNTIFS(ELEC270!L$9:L$17,"Yes"))),""),"")</f>
        <v/>
      </c>
      <c r="M38" s="84" t="str" cm="1">
        <f t="array" ref="M38">IF(COUNTIFS(ELEC270!M$9:M$17,"Yes")&gt;=$G38, IFERROR(INDEX(ELEC270!$C$9:'ELEC270'!$C$17, _xlfn.AGGREGATE(15, 6, ROW($1:$10)/SIGN(LEN(ELEC270!M$9:'ELEC270'!M$17)), COUNTIFS(ELEC270!M$9:M$17,"Yes"))),""),"")</f>
        <v>Exp 3 (or as timetabled)</v>
      </c>
      <c r="N38" s="84" t="str" cm="1">
        <f t="array" ref="N38">IF(COUNTIFS(ELEC270!N$9:N$17,"Yes")&gt;=$G38, IFERROR(INDEX(ELEC270!$C$9:'ELEC270'!$C$17, _xlfn.AGGREGATE(15, 6, ROW($1:$10)/SIGN(LEN(ELEC270!N$9:'ELEC270'!N$17)), COUNTIFS(ELEC270!N$9:N$17,"Yes"))),""),"")</f>
        <v/>
      </c>
      <c r="O38" s="84" t="str" cm="1">
        <f t="array" ref="O38">IF(COUNTIFS(ELEC270!O$9:O$17,"Yes")&gt;=$G38, IFERROR(INDEX(ELEC270!$C$9:'ELEC270'!$C$17, _xlfn.AGGREGATE(15, 6, ROW($1:$10)/SIGN(LEN(ELEC270!O$9:'ELEC270'!O$17)), COUNTIFS(ELEC270!O$9:O$17,"Yes"))),""),"")</f>
        <v/>
      </c>
      <c r="P38" s="84" t="str" cm="1">
        <f t="array" ref="P38">IF(COUNTIFS(ELEC270!P$9:P$17,"Yes")&gt;=$G38, IFERROR(INDEX(ELEC270!$C$9:'ELEC270'!$C$17, _xlfn.AGGREGATE(15, 6, ROW($1:$10)/SIGN(LEN(ELEC270!P$9:'ELEC270'!P$17)), COUNTIFS(ELEC270!P$9:P$17,"Yes"))),""),"")</f>
        <v/>
      </c>
      <c r="Q38" s="84" t="str" cm="1">
        <f t="array" ref="Q38">IF(COUNTIFS(ELEC270!Q$9:Q$17,"Yes")&gt;=$G38, IFERROR(INDEX(ELEC270!$C$9:'ELEC270'!$C$17, _xlfn.AGGREGATE(15, 6, ROW($1:$10)/SIGN(LEN(ELEC270!Q$9:'ELEC270'!Q$17)), COUNTIFS(ELEC270!Q$9:Q$17,"Yes"))),""),"")</f>
        <v/>
      </c>
      <c r="R38" s="84" t="str" cm="1">
        <f t="array" ref="R38">IF(COUNTIFS(ELEC270!R$9:R$17,"Yes")&gt;=$G38, IFERROR(INDEX(ELEC270!$C$9:'ELEC270'!$C$17, _xlfn.AGGREGATE(15, 6, ROW($1:$10)/SIGN(LEN(ELEC270!R$9:'ELEC270'!R$17)), COUNTIFS(ELEC270!R$9:R$17,"Yes"))),""),"")</f>
        <v/>
      </c>
      <c r="S38" s="84" t="str" cm="1">
        <f t="array" ref="S38">IF(COUNTIFS(ELEC270!S$9:S$17,"Yes")&gt;=$G38, IFERROR(INDEX(ELEC270!$C$9:'ELEC270'!$C$17, _xlfn.AGGREGATE(15, 6, ROW($1:$10)/SIGN(LEN(ELEC270!S$9:'ELEC270'!S$17)), COUNTIFS(ELEC270!S$9:S$17,"Yes"))),""),"")</f>
        <v/>
      </c>
      <c r="T38" s="87" t="str" cm="1">
        <f t="array" ref="T38">IF(COUNTIFS(ELEC270!T$9:T$17,"Yes")&gt;=$G38, IFERROR(INDEX(ELEC270!$C$9:'ELEC270'!$C$17, _xlfn.AGGREGATE(15, 6, ROW($1:$10)/SIGN(LEN(ELEC270!T$9:'ELEC270'!T$17)), COUNTIFS(ELEC270!T$9:T$17,"Yes"))),""),"")</f>
        <v/>
      </c>
    </row>
    <row r="39" spans="7:23" ht="24" customHeight="1" x14ac:dyDescent="0.2">
      <c r="G39" s="82">
        <v>1</v>
      </c>
      <c r="H39" s="160" t="s">
        <v>123</v>
      </c>
      <c r="I39" s="125" t="str" cm="1">
        <f t="array" ref="I39">IFERROR(INDEX(ELEC273!$C$9:'ELEC273'!$C$17, _xlfn.AGGREGATE(15, 6, ROW($1:$10)/SIGN(LEN(ELEC273!I$9:'ELEC273'!I$17)), 1)),"")</f>
        <v/>
      </c>
      <c r="J39" s="125" t="str" cm="1">
        <f t="array" ref="J39">IFERROR(INDEX(ELEC273!$C$9:'ELEC273'!$C$17, _xlfn.AGGREGATE(15, 6, ROW($1:$10)/SIGN(LEN(ELEC273!J$9:'ELEC273'!J$17)), 1)),"")</f>
        <v>Exp 17 (or as timetabled)</v>
      </c>
      <c r="K39" s="125" t="str" cm="1">
        <f t="array" ref="K39">IFERROR(INDEX(ELEC273!$C$9:'ELEC273'!$C$17, _xlfn.AGGREGATE(15, 6, ROW($1:$10)/SIGN(LEN(ELEC273!K$9:'ELEC273'!K$17)), 1)),"")</f>
        <v/>
      </c>
      <c r="L39" s="125" t="str" cm="1">
        <f t="array" ref="L39">IFERROR(INDEX(ELEC273!$C$9:'ELEC273'!$C$17, _xlfn.AGGREGATE(15, 6, ROW($1:$10)/SIGN(LEN(ELEC273!L$9:'ELEC273'!L$17)), 1)),"")</f>
        <v>Exp 22 (or as timetabled)</v>
      </c>
      <c r="M39" s="125" t="str" cm="1">
        <f t="array" ref="M39">IFERROR(INDEX(ELEC273!$C$9:'ELEC273'!$C$17, _xlfn.AGGREGATE(15, 6, ROW($1:$10)/SIGN(LEN(ELEC273!M$9:'ELEC273'!M$17)), 1)),"")</f>
        <v/>
      </c>
      <c r="N39" s="125" t="str" cm="1">
        <f t="array" ref="N39">IFERROR(INDEX(ELEC273!$C$9:'ELEC273'!$C$17, _xlfn.AGGREGATE(15, 6, ROW($1:$10)/SIGN(LEN(ELEC273!N$9:'ELEC273'!N$17)), 1)),"")</f>
        <v>Ethics</v>
      </c>
      <c r="O39" s="125" t="str" cm="1">
        <f t="array" ref="O39">IFERROR(INDEX(ELEC273!$C$9:'ELEC273'!$C$17, _xlfn.AGGREGATE(15, 6, ROW($1:$10)/SIGN(LEN(ELEC273!O$9:'ELEC273'!O$17)), 1)),"")</f>
        <v>Software Eng</v>
      </c>
      <c r="P39" s="125" t="str" cm="1">
        <f t="array" ref="P39">IFERROR(INDEX(ELEC273!$C$9:'ELEC273'!$C$17, _xlfn.AGGREGATE(15, 6, ROW($1:$10)/SIGN(LEN(ELEC273!P$9:'ELEC273'!P$17)), 1)),"")</f>
        <v>Requirements</v>
      </c>
      <c r="Q39" s="125" t="str" cm="1">
        <f t="array" ref="Q39">IFERROR(INDEX(ELEC273!$C$9:'ELEC273'!$C$17, _xlfn.AGGREGATE(15, 6, ROW($1:$10)/SIGN(LEN(ELEC273!Q$9:'ELEC273'!Q$17)), 1)),"")</f>
        <v/>
      </c>
      <c r="R39" s="125" t="str" cm="1">
        <f t="array" ref="R39">IFERROR(INDEX(ELEC273!$C$9:'ELEC273'!$C$17, _xlfn.AGGREGATE(15, 6, ROW($1:$10)/SIGN(LEN(ELEC273!R$9:'ELEC273'!R$17)), 1)),"")</f>
        <v>Exp 88 (or as timetabled)</v>
      </c>
      <c r="S39" s="125" t="str" cm="1">
        <f t="array" ref="S39">IFERROR(INDEX(ELEC273!$C$9:'ELEC273'!$C$17, _xlfn.AGGREGATE(15, 6, ROW($1:$10)/SIGN(LEN(ELEC273!S$9:'ELEC273'!S$17)), 1)),"")</f>
        <v/>
      </c>
      <c r="T39" s="126" t="str" cm="1">
        <f t="array" ref="T39">IFERROR(INDEX(ELEC273!$C$9:'ELEC273'!$C$17, _xlfn.AGGREGATE(15, 6, ROW($1:$10)/SIGN(LEN(ELEC273!T$9:'ELEC273'!T$17)), 1)),"")</f>
        <v/>
      </c>
    </row>
    <row r="40" spans="7:23" ht="25.25" customHeight="1" x14ac:dyDescent="0.2">
      <c r="G40" s="82">
        <v>2</v>
      </c>
      <c r="H40" s="161"/>
      <c r="I40" s="84" t="str" cm="1">
        <f t="array" ref="I40">IF(COUNTIFS(ELEC273!I$9:I$17,"Yes")&gt;=$G40, IFERROR(INDEX(ELEC273!$C$9:'ELEC273'!$C$17, _xlfn.AGGREGATE(15, 6, ROW($1:$10)/SIGN(LEN(ELEC273!I$9:'ELEC273'!I$17)), COUNTIFS(ELEC273!I$9:I$17,"Yes"))),""),"")</f>
        <v/>
      </c>
      <c r="J40" s="84" t="str" cm="1">
        <f t="array" ref="J40">IF(COUNTIFS(ELEC273!J$9:J$17,"Yes")&gt;=$G40, IFERROR(INDEX(ELEC273!$C$9:'ELEC273'!$C$17, _xlfn.AGGREGATE(15, 6, ROW($1:$10)/SIGN(LEN(ELEC273!J$9:'ELEC273'!J$17)), COUNTIFS(ELEC273!J$9:J$17,"Yes"))),""),"")</f>
        <v/>
      </c>
      <c r="K40" s="84" t="str" cm="1">
        <f t="array" ref="K40">IF(COUNTIFS(ELEC273!K$9:K$17,"Yes")&gt;=$G40, IFERROR(INDEX(ELEC273!$C$9:'ELEC273'!$C$17, _xlfn.AGGREGATE(15, 6, ROW($1:$10)/SIGN(LEN(ELEC273!K$9:'ELEC273'!K$17)), COUNTIFS(ELEC273!K$9:K$17,"Yes"))),""),"")</f>
        <v/>
      </c>
      <c r="L40" s="84" t="str" cm="1">
        <f t="array" ref="L40">IF(COUNTIFS(ELEC273!L$9:L$17,"Yes")&gt;=$G40, IFERROR(INDEX(ELEC273!$C$9:'ELEC273'!$C$17, _xlfn.AGGREGATE(15, 6, ROW($1:$10)/SIGN(LEN(ELEC273!L$9:'ELEC273'!L$17)), COUNTIFS(ELEC273!L$9:L$17,"Yes"))),""),"")</f>
        <v>Exp 4 (or as timetabled)</v>
      </c>
      <c r="M40" s="84" t="str" cm="1">
        <f t="array" ref="M40">IF(COUNTIFS(ELEC273!M$9:M$17,"Yes")&gt;=$G40, IFERROR(INDEX(ELEC273!$C$9:'ELEC273'!$C$17, _xlfn.AGGREGATE(15, 6, ROW($1:$10)/SIGN(LEN(ELEC273!M$9:'ELEC273'!M$17)), COUNTIFS(ELEC273!M$9:M$17,"Yes"))),""),"")</f>
        <v/>
      </c>
      <c r="N40" s="84" t="str" cm="1">
        <f t="array" ref="N40">IF(COUNTIFS(ELEC273!N$9:N$17,"Yes")&gt;=$G40, IFERROR(INDEX(ELEC273!$C$9:'ELEC273'!$C$17, _xlfn.AGGREGATE(15, 6, ROW($1:$10)/SIGN(LEN(ELEC273!N$9:'ELEC273'!N$17)), COUNTIFS(ELEC273!N$9:N$17,"Yes"))),""),"")</f>
        <v/>
      </c>
      <c r="O40" s="84" t="str" cm="1">
        <f t="array" ref="O40">IF(COUNTIFS(ELEC273!O$9:O$17,"Yes")&gt;=$G40, IFERROR(INDEX(ELEC273!$C$9:'ELEC273'!$C$17, _xlfn.AGGREGATE(15, 6, ROW($1:$10)/SIGN(LEN(ELEC273!O$9:'ELEC273'!O$17)), COUNTIFS(ELEC273!O$9:O$17,"Yes"))),""),"")</f>
        <v/>
      </c>
      <c r="P40" s="84" t="str" cm="1">
        <f t="array" ref="P40">IF(COUNTIFS(ELEC273!P$9:P$17,"Yes")&gt;=$G40, IFERROR(INDEX(ELEC273!$C$9:'ELEC273'!$C$17, _xlfn.AGGREGATE(15, 6, ROW($1:$10)/SIGN(LEN(ELEC273!P$9:'ELEC273'!P$17)), COUNTIFS(ELEC273!P$9:P$17,"Yes"))),""),"")</f>
        <v/>
      </c>
      <c r="Q40" s="84" t="str" cm="1">
        <f t="array" ref="Q40">IF(COUNTIFS(ELEC273!Q$9:Q$17,"Yes")&gt;=$G40, IFERROR(INDEX(ELEC273!$C$9:'ELEC273'!$C$17, _xlfn.AGGREGATE(15, 6, ROW($1:$10)/SIGN(LEN(ELEC273!Q$9:'ELEC273'!Q$17)), COUNTIFS(ELEC273!Q$9:Q$17,"Yes"))),""),"")</f>
        <v/>
      </c>
      <c r="R40" s="84" t="str" cm="1">
        <f t="array" ref="R40">IF(COUNTIFS(ELEC273!R$9:R$17,"Yes")&gt;=$G40, IFERROR(INDEX(ELEC273!$C$9:'ELEC273'!$C$17, _xlfn.AGGREGATE(15, 6, ROW($1:$10)/SIGN(LEN(ELEC273!R$9:'ELEC273'!R$17)), COUNTIFS(ELEC273!R$9:R$17,"Yes"))),""),"")</f>
        <v/>
      </c>
      <c r="S40" s="84" t="str" cm="1">
        <f t="array" ref="S40">IF(COUNTIFS(ELEC273!S$9:S$17,"Yes")&gt;=$G40, IFERROR(INDEX(ELEC273!$C$9:'ELEC273'!$C$17, _xlfn.AGGREGATE(15, 6, ROW($1:$10)/SIGN(LEN(ELEC273!S$9:'ELEC273'!S$17)), COUNTIFS(ELEC273!S$9:S$17,"Yes"))),""),"")</f>
        <v/>
      </c>
      <c r="T40" s="87" t="str" cm="1">
        <f t="array" ref="T40">IF(COUNTIFS(ELEC273!T$9:T$17,"Yes")&gt;=$G40, IFERROR(INDEX(ELEC273!$C$9:'ELEC273'!$C$17, _xlfn.AGGREGATE(15, 6, ROW($1:$10)/SIGN(LEN(ELEC273!T$9:'ELEC273'!T$17)), COUNTIFS(ELEC273!T$9:T$17,"Yes"))),""),"")</f>
        <v/>
      </c>
    </row>
    <row r="41" spans="7:23" ht="23" customHeight="1" x14ac:dyDescent="0.2">
      <c r="G41" s="82">
        <v>1</v>
      </c>
      <c r="H41" s="162" t="s">
        <v>145</v>
      </c>
      <c r="I41" s="83" t="str" cm="1">
        <f t="array" ref="I41">IFERROR(INDEX(MATH28x!$C$9:'MATH28x'!$C$17, _xlfn.AGGREGATE(15, 6, ROW($1:$10)/SIGN(LEN(MATH28x!I$9:'MATH28x'!I$17)), 1)),"")</f>
        <v/>
      </c>
      <c r="J41" s="83" t="str" cm="1">
        <f t="array" ref="J41">IFERROR(INDEX(MATH28x!$C$9:'MATH28x'!$C$17, _xlfn.AGGREGATE(15, 6, ROW($1:$10)/SIGN(LEN(MATH28x!J$9:'MATH28x'!J$17)), 1)),"")</f>
        <v/>
      </c>
      <c r="K41" s="83" t="str" cm="1">
        <f t="array" ref="K41">IFERROR(INDEX(MATH28x!$C$9:'MATH28x'!$C$17, _xlfn.AGGREGATE(15, 6, ROW($1:$10)/SIGN(LEN(MATH28x!K$9:'MATH28x'!K$17)), 1)),"")</f>
        <v/>
      </c>
      <c r="L41" s="83" t="str" cm="1">
        <f t="array" ref="L41">IFERROR(INDEX(MATH28x!$C$9:'MATH28x'!$C$17, _xlfn.AGGREGATE(15, 6, ROW($1:$10)/SIGN(LEN(MATH28x!L$9:'MATH28x'!L$17)), 1)),"")</f>
        <v/>
      </c>
      <c r="M41" s="83" t="str" cm="1">
        <f t="array" ref="M41">IFERROR(INDEX(MATH28x!$C$9:'MATH28x'!$C$17, _xlfn.AGGREGATE(15, 6, ROW($1:$10)/SIGN(LEN(MATH28x!M$9:'MATH28x'!M$17)), 1)),"")</f>
        <v>Homework 2</v>
      </c>
      <c r="N41" s="83" t="str" cm="1">
        <f t="array" ref="N41">IFERROR(INDEX(MATH28x!$C$9:'MATH28x'!$C$17, _xlfn.AGGREGATE(15, 6, ROW($1:$10)/SIGN(LEN(MATH28x!N$9:'MATH28x'!N$17)), 1)),"")</f>
        <v/>
      </c>
      <c r="O41" s="83" t="str" cm="1">
        <f t="array" ref="O41">IFERROR(INDEX(MATH28x!$C$9:'MATH28x'!$C$17, _xlfn.AGGREGATE(15, 6, ROW($1:$10)/SIGN(LEN(MATH28x!O$9:'MATH28x'!O$17)), 1)),"")</f>
        <v>Homework 3</v>
      </c>
      <c r="P41" s="83" t="str" cm="1">
        <f t="array" ref="P41">IFERROR(INDEX(MATH28x!$C$9:'MATH28x'!$C$17, _xlfn.AGGREGATE(15, 6, ROW($1:$10)/SIGN(LEN(MATH28x!P$9:'MATH28x'!P$17)), 1)),"")</f>
        <v/>
      </c>
      <c r="Q41" s="83" t="str" cm="1">
        <f t="array" ref="Q41">IFERROR(INDEX(MATH28x!$C$9:'MATH28x'!$C$17, _xlfn.AGGREGATE(15, 6, ROW($1:$10)/SIGN(LEN(MATH28x!Q$9:'MATH28x'!Q$17)), 1)),"")</f>
        <v>Class Test 1</v>
      </c>
      <c r="R41" s="83" t="str" cm="1">
        <f t="array" ref="R41">IFERROR(INDEX(MATH28x!$C$9:'MATH28x'!$C$17, _xlfn.AGGREGATE(15, 6, ROW($1:$10)/SIGN(LEN(MATH28x!R$9:'MATH28x'!R$17)), 1)),"")</f>
        <v/>
      </c>
      <c r="S41" s="83" t="str" cm="1">
        <f t="array" ref="S41">IFERROR(INDEX(MATH28x!$C$9:'MATH28x'!$C$17, _xlfn.AGGREGATE(15, 6, ROW($1:$10)/SIGN(LEN(MATH28x!S$9:'MATH28x'!S$17)), 1)),"")</f>
        <v>Homework 4</v>
      </c>
      <c r="T41" s="86" t="str" cm="1">
        <f t="array" ref="T41">IFERROR(INDEX(MATH28x!$C$9:'MATH28x'!$C$17, _xlfn.AGGREGATE(15, 6, ROW($1:$10)/SIGN(LEN(MATH28x!T$9:'MATH28x'!T$17)), 1)),"")</f>
        <v/>
      </c>
    </row>
    <row r="42" spans="7:23" ht="21" customHeight="1" thickBot="1" x14ac:dyDescent="0.25">
      <c r="G42" s="82">
        <v>2</v>
      </c>
      <c r="H42" s="163"/>
      <c r="I42" s="88" t="str" cm="1">
        <f t="array" ref="I42">IF(COUNTIFS(MATH28x!I$9:I$17,"Yes")&gt;=$G42, IFERROR(INDEX(MATH28x!$C$9:'MATH28x'!$C$17, _xlfn.AGGREGATE(15, 6, ROW($1:$10)/SIGN(LEN(MATH28x!I$9:'MATH28x'!I$17)), COUNTIFS(MATH28x!I$9:I$17,"Yes"))),""),"")</f>
        <v/>
      </c>
      <c r="J42" s="88" t="str" cm="1">
        <f t="array" ref="J42">IF(COUNTIFS(MATH28x!J$9:J$17,"Yes")&gt;=$G42, IFERROR(INDEX(MATH28x!$C$9:'MATH28x'!$C$17, _xlfn.AGGREGATE(15, 6, ROW($1:$10)/SIGN(LEN(MATH28x!J$9:'MATH28x'!J$17)), COUNTIFS(MATH28x!J$9:J$17,"Yes"))),""),"")</f>
        <v/>
      </c>
      <c r="K42" s="88" t="str" cm="1">
        <f t="array" ref="K42">IF(COUNTIFS(MATH28x!K$9:K$17,"Yes")&gt;=$G42, IFERROR(INDEX(MATH28x!$C$9:'MATH28x'!$C$17, _xlfn.AGGREGATE(15, 6, ROW($1:$10)/SIGN(LEN(MATH28x!K$9:'MATH28x'!K$17)), COUNTIFS(MATH28x!K$9:K$17,"Yes"))),""),"")</f>
        <v/>
      </c>
      <c r="L42" s="88" t="str" cm="1">
        <f t="array" ref="L42">IF(COUNTIFS(MATH28x!L$9:L$17,"Yes")&gt;=$G42, IFERROR(INDEX(MATH28x!$C$9:'MATH28x'!$C$17, _xlfn.AGGREGATE(15, 6, ROW($1:$10)/SIGN(LEN(MATH28x!L$9:'MATH28x'!L$17)), COUNTIFS(MATH28x!L$9:L$17,"Yes"))),""),"")</f>
        <v/>
      </c>
      <c r="M42" s="88" t="str" cm="1">
        <f t="array" ref="M42">IF(COUNTIFS(MATH28x!M$9:M$17,"Yes")&gt;=$G42, IFERROR(INDEX(MATH28x!$C$9:'MATH28x'!$C$17, _xlfn.AGGREGATE(15, 6, ROW($1:$10)/SIGN(LEN(MATH28x!M$9:'MATH28x'!M$17)), COUNTIFS(MATH28x!M$9:M$17,"Yes"))),""),"")</f>
        <v/>
      </c>
      <c r="N42" s="88" t="str" cm="1">
        <f t="array" ref="N42">IF(COUNTIFS(MATH28x!N$9:N$17,"Yes")&gt;=$G42, IFERROR(INDEX(MATH28x!$C$9:'MATH28x'!$C$17, _xlfn.AGGREGATE(15, 6, ROW($1:$10)/SIGN(LEN(MATH28x!N$9:'MATH28x'!N$17)), COUNTIFS(MATH28x!N$9:N$17,"Yes"))),""),"")</f>
        <v/>
      </c>
      <c r="O42" s="88" t="str" cm="1">
        <f t="array" ref="O42">IF(COUNTIFS(MATH28x!O$9:O$17,"Yes")&gt;=$G42, IFERROR(INDEX(MATH28x!$C$9:'MATH28x'!$C$17, _xlfn.AGGREGATE(15, 6, ROW($1:$10)/SIGN(LEN(MATH28x!O$9:'MATH28x'!O$17)), COUNTIFS(MATH28x!O$9:O$17,"Yes"))),""),"")</f>
        <v/>
      </c>
      <c r="P42" s="88" t="str" cm="1">
        <f t="array" ref="P42">IF(COUNTIFS(MATH28x!P$9:P$17,"Yes")&gt;=$G42, IFERROR(INDEX(MATH28x!$C$9:'MATH28x'!$C$17, _xlfn.AGGREGATE(15, 6, ROW($1:$10)/SIGN(LEN(MATH28x!P$9:'MATH28x'!P$17)), COUNTIFS(MATH28x!P$9:P$17,"Yes"))),""),"")</f>
        <v/>
      </c>
      <c r="Q42" s="88" t="str" cm="1">
        <f t="array" ref="Q42">IF(COUNTIFS(MATH28x!Q$9:Q$17,"Yes")&gt;=$G42, IFERROR(INDEX(MATH28x!$C$9:'MATH28x'!$C$17, _xlfn.AGGREGATE(15, 6, ROW($1:$10)/SIGN(LEN(MATH28x!Q$9:'MATH28x'!Q$17)), COUNTIFS(MATH28x!Q$9:Q$17,"Yes"))),""),"")</f>
        <v/>
      </c>
      <c r="R42" s="88" t="str" cm="1">
        <f t="array" ref="R42">IF(COUNTIFS(MATH28x!R$9:R$17,"Yes")&gt;=$G42, IFERROR(INDEX(MATH28x!$C$9:'MATH28x'!$C$17, _xlfn.AGGREGATE(15, 6, ROW($1:$10)/SIGN(LEN(MATH28x!R$9:'MATH28x'!R$17)), COUNTIFS(MATH28x!R$9:R$17,"Yes"))),""),"")</f>
        <v/>
      </c>
      <c r="S42" s="88" t="str" cm="1">
        <f t="array" ref="S42">IF(COUNTIFS(MATH28x!S$9:S$17,"Yes")&gt;=$G42, IFERROR(INDEX(MATH28x!$C$9:'MATH28x'!$C$17, _xlfn.AGGREGATE(15, 6, ROW($1:$10)/SIGN(LEN(MATH28x!S$9:'MATH28x'!S$17)), COUNTIFS(MATH28x!S$9:S$17,"Yes"))),""),"")</f>
        <v/>
      </c>
      <c r="T42" s="89" t="str" cm="1">
        <f t="array" ref="T42">IF(COUNTIFS(MATH28x!T$9:T$17,"Yes")&gt;=$G42, IFERROR(INDEX(MATH28x!$C$9:'MATH28x'!$C$17, _xlfn.AGGREGATE(15, 6, ROW($1:$10)/SIGN(LEN(MATH28x!T$9:'MATH28x'!T$17)), COUNTIFS(MATH28x!T$9:T$17,"Yes"))),""),"")</f>
        <v/>
      </c>
    </row>
    <row r="46" spans="7:23" x14ac:dyDescent="0.2">
      <c r="G46" t="s">
        <v>99</v>
      </c>
      <c r="I46" s="18">
        <f ca="1">I8</f>
        <v>12</v>
      </c>
      <c r="J46" s="18">
        <f t="shared" ref="J46:W46" ca="1" si="2">(J8-I8)*(J8&gt;I8)</f>
        <v>14</v>
      </c>
      <c r="K46" s="18">
        <f t="shared" ca="1" si="2"/>
        <v>3</v>
      </c>
      <c r="L46" s="18">
        <f t="shared" ca="1" si="2"/>
        <v>17.785714285714285</v>
      </c>
      <c r="M46" s="18">
        <f t="shared" ca="1" si="2"/>
        <v>0</v>
      </c>
      <c r="N46" s="18">
        <f t="shared" ca="1" si="2"/>
        <v>0</v>
      </c>
      <c r="O46" s="18">
        <f t="shared" ca="1" si="2"/>
        <v>4</v>
      </c>
      <c r="P46" s="18">
        <f t="shared" ca="1" si="2"/>
        <v>19</v>
      </c>
      <c r="Q46" s="18">
        <f t="shared" ca="1" si="2"/>
        <v>0</v>
      </c>
      <c r="R46" s="18">
        <f t="shared" ca="1" si="2"/>
        <v>0</v>
      </c>
      <c r="S46" s="18">
        <f t="shared" ca="1" si="2"/>
        <v>0.7142857142857153</v>
      </c>
      <c r="T46" s="18">
        <f t="shared" ca="1" si="2"/>
        <v>0</v>
      </c>
      <c r="U46" s="18">
        <f t="shared" ca="1" si="2"/>
        <v>3.6999999999999993</v>
      </c>
      <c r="V46" s="18">
        <f t="shared" ca="1" si="2"/>
        <v>29.7</v>
      </c>
      <c r="W46" s="18">
        <f t="shared" ca="1" si="2"/>
        <v>61.500000000000007</v>
      </c>
    </row>
    <row r="47" spans="7:23" x14ac:dyDescent="0.2">
      <c r="G47" t="s">
        <v>101</v>
      </c>
      <c r="I47" s="18">
        <f ca="1">I46^2</f>
        <v>144</v>
      </c>
      <c r="J47" s="18">
        <f t="shared" ref="J47:W47" ca="1" si="3">J46^2</f>
        <v>196</v>
      </c>
      <c r="K47" s="18">
        <f t="shared" ca="1" si="3"/>
        <v>9</v>
      </c>
      <c r="L47" s="18">
        <f t="shared" ca="1" si="3"/>
        <v>316.33163265306121</v>
      </c>
      <c r="M47" s="18">
        <f t="shared" ca="1" si="3"/>
        <v>0</v>
      </c>
      <c r="N47" s="18">
        <f t="shared" ca="1" si="3"/>
        <v>0</v>
      </c>
      <c r="O47" s="18">
        <f t="shared" ca="1" si="3"/>
        <v>16</v>
      </c>
      <c r="P47" s="18">
        <f t="shared" ca="1" si="3"/>
        <v>361</v>
      </c>
      <c r="Q47" s="18">
        <f t="shared" ca="1" si="3"/>
        <v>0</v>
      </c>
      <c r="R47" s="18">
        <f t="shared" ca="1" si="3"/>
        <v>0</v>
      </c>
      <c r="S47" s="18">
        <f t="shared" ca="1" si="3"/>
        <v>0.51020408163265452</v>
      </c>
      <c r="T47" s="18">
        <f t="shared" ca="1" si="3"/>
        <v>0</v>
      </c>
      <c r="U47" s="18">
        <f t="shared" ca="1" si="3"/>
        <v>13.689999999999994</v>
      </c>
      <c r="V47" s="18">
        <f t="shared" ca="1" si="3"/>
        <v>882.08999999999992</v>
      </c>
      <c r="W47" s="18">
        <f t="shared" ca="1" si="3"/>
        <v>3782.2500000000009</v>
      </c>
    </row>
  </sheetData>
  <mergeCells count="8">
    <mergeCell ref="H41:H42"/>
    <mergeCell ref="H37:H38"/>
    <mergeCell ref="H39:H40"/>
    <mergeCell ref="I1:W1"/>
    <mergeCell ref="H9:L9"/>
    <mergeCell ref="I31:T31"/>
    <mergeCell ref="H33:H34"/>
    <mergeCell ref="H35:H36"/>
  </mergeCells>
  <conditionalFormatting sqref="I8:W8">
    <cfRule type="cellIs" dxfId="613" priority="15" operator="between">
      <formula>(2/3)*$C$9</formula>
      <formula>(1.2)*$C$9</formula>
    </cfRule>
    <cfRule type="cellIs" dxfId="612" priority="16" operator="lessThan">
      <formula>(2/3)*$C$9</formula>
    </cfRule>
    <cfRule type="cellIs" dxfId="611" priority="17" operator="greaterThanOrEqual">
      <formula>1.2*$C$9</formula>
    </cfRule>
  </conditionalFormatting>
  <conditionalFormatting sqref="H8">
    <cfRule type="cellIs" dxfId="610" priority="13" stopIfTrue="1" operator="equal">
      <formula>$B$7*10</formula>
    </cfRule>
    <cfRule type="cellIs" dxfId="609" priority="14" operator="notEqual">
      <formula>$B$7*10</formula>
    </cfRule>
  </conditionalFormatting>
  <conditionalFormatting sqref="I18:T20">
    <cfRule type="beginsWith" dxfId="608" priority="6" stopIfTrue="1" operator="beginsWith" text="0">
      <formula>LEFT(I18,LEN("0"))="0"</formula>
    </cfRule>
  </conditionalFormatting>
  <conditionalFormatting sqref="N21">
    <cfRule type="beginsWith" dxfId="607" priority="7" stopIfTrue="1" operator="beginsWith" text="0">
      <formula>LEFT(N21,LEN("0"))="0"</formula>
    </cfRule>
  </conditionalFormatting>
  <conditionalFormatting sqref="H18:H20">
    <cfRule type="expression" dxfId="606" priority="23">
      <formula>ABS($H$8-$C$7&gt;=1)</formula>
    </cfRule>
  </conditionalFormatting>
  <conditionalFormatting sqref="H9">
    <cfRule type="containsText" dxfId="605" priority="4" operator="containsText" text="OK">
      <formula>NOT(ISERROR(SEARCH("OK",H9)))</formula>
    </cfRule>
  </conditionalFormatting>
  <conditionalFormatting sqref="H9">
    <cfRule type="containsText" dxfId="604" priority="3" operator="containsText" text="don't">
      <formula>NOT(ISERROR(SEARCH("don't",H9)))</formula>
    </cfRule>
  </conditionalFormatting>
  <conditionalFormatting sqref="I33:T40">
    <cfRule type="cellIs" dxfId="603" priority="2" operator="notEqual">
      <formula>$I$33</formula>
    </cfRule>
  </conditionalFormatting>
  <conditionalFormatting sqref="I41:T42">
    <cfRule type="cellIs" dxfId="602" priority="1" operator="notEqual">
      <formula>$I$33</formula>
    </cfRule>
  </conditionalFormatting>
  <dataValidations disablePrompts="1"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B629FC36-B5B3-594A-8146-99E052F3C5E1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EAC76-ECDD-6147-BBF9-B029FFB631B4}">
  <dimension ref="A1:Y68"/>
  <sheetViews>
    <sheetView topLeftCell="B36" zoomScaleNormal="100" workbookViewId="0">
      <selection activeCell="I37" sqref="I37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3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3" ht="47" x14ac:dyDescent="0.3">
      <c r="A2" s="75" t="s">
        <v>117</v>
      </c>
      <c r="B2" s="76" t="s">
        <v>115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3" x14ac:dyDescent="0.2">
      <c r="A3" s="7" t="s">
        <v>118</v>
      </c>
      <c r="B3" s="68">
        <v>3</v>
      </c>
      <c r="E3" s="11" t="s">
        <v>277</v>
      </c>
      <c r="F3" s="50">
        <f ca="1">ELEC330!$B20</f>
        <v>108</v>
      </c>
      <c r="G3" s="50" t="e">
        <f ca="1">ELEC330!$B20*ELEC330!$B6/$B7</f>
        <v>#VALUE!</v>
      </c>
      <c r="H3" s="69">
        <f ca="1">ELEC330!H30</f>
        <v>72</v>
      </c>
      <c r="I3" s="93">
        <f ca="1">ELEC330!I30</f>
        <v>3</v>
      </c>
      <c r="J3" s="93">
        <f ca="1">ELEC330!J30</f>
        <v>4</v>
      </c>
      <c r="K3" s="93">
        <f ca="1">ELEC330!K30</f>
        <v>4</v>
      </c>
      <c r="L3" s="93">
        <f ca="1">ELEC330!L30</f>
        <v>9</v>
      </c>
      <c r="M3" s="93">
        <f ca="1">ELEC330!M30</f>
        <v>4</v>
      </c>
      <c r="N3" s="93">
        <f ca="1">ELEC330!N30</f>
        <v>4</v>
      </c>
      <c r="O3" s="93">
        <f ca="1">ELEC330!O30</f>
        <v>2</v>
      </c>
      <c r="P3" s="93">
        <f ca="1">ELEC330!P30</f>
        <v>4</v>
      </c>
      <c r="Q3" s="93">
        <f ca="1">ELEC330!Q30</f>
        <v>8</v>
      </c>
      <c r="R3" s="93">
        <f ca="1">ELEC330!R30</f>
        <v>10</v>
      </c>
      <c r="S3" s="93">
        <f ca="1">ELEC330!S30</f>
        <v>17</v>
      </c>
      <c r="T3" s="93">
        <f ca="1">ELEC330!T30</f>
        <v>3</v>
      </c>
      <c r="U3" s="93">
        <f ca="1">ELEC330!U30</f>
        <v>0</v>
      </c>
      <c r="V3" s="93">
        <f ca="1">ELEC330!V30</f>
        <v>0</v>
      </c>
      <c r="W3" s="93">
        <f ca="1">ELEC330!W30</f>
        <v>0</v>
      </c>
    </row>
    <row r="4" spans="1:23" x14ac:dyDescent="0.2">
      <c r="A4" s="7" t="s">
        <v>53</v>
      </c>
      <c r="B4" s="92" t="s">
        <v>274</v>
      </c>
      <c r="E4" s="11" t="s">
        <v>278</v>
      </c>
      <c r="F4" s="50">
        <f ca="1">ELEC340!$B20</f>
        <v>800</v>
      </c>
      <c r="G4" s="50" t="e">
        <f ca="1">ELEC340!$B20*ELEC340!$B6/$B7</f>
        <v>#VALUE!</v>
      </c>
      <c r="H4" s="69">
        <f ca="1">ELEC340!H30</f>
        <v>150</v>
      </c>
      <c r="I4" s="93">
        <f ca="1">ELEC340!I30</f>
        <v>9</v>
      </c>
      <c r="J4" s="93">
        <f ca="1">ELEC340!J30</f>
        <v>13</v>
      </c>
      <c r="K4" s="93">
        <f ca="1">ELEC340!K30</f>
        <v>37</v>
      </c>
      <c r="L4" s="93">
        <f ca="1">ELEC340!L30</f>
        <v>7</v>
      </c>
      <c r="M4" s="93">
        <f ca="1">ELEC340!M30</f>
        <v>7</v>
      </c>
      <c r="N4" s="93">
        <f ca="1">ELEC340!N30</f>
        <v>7</v>
      </c>
      <c r="O4" s="93">
        <f ca="1">ELEC340!O30</f>
        <v>10</v>
      </c>
      <c r="P4" s="93">
        <f ca="1">ELEC340!P30</f>
        <v>7</v>
      </c>
      <c r="Q4" s="93">
        <f ca="1">ELEC340!Q30</f>
        <v>7</v>
      </c>
      <c r="R4" s="93">
        <f ca="1">ELEC340!R30</f>
        <v>10</v>
      </c>
      <c r="S4" s="93">
        <f ca="1">ELEC340!S30</f>
        <v>13</v>
      </c>
      <c r="T4" s="93">
        <f ca="1">ELEC340!T30</f>
        <v>23</v>
      </c>
      <c r="U4" s="93">
        <f ca="1">ELEC340!U30</f>
        <v>0</v>
      </c>
      <c r="V4" s="93">
        <f ca="1">ELEC340!V30</f>
        <v>0</v>
      </c>
      <c r="W4" s="93">
        <f ca="1">ELEC340!W30</f>
        <v>0</v>
      </c>
    </row>
    <row r="5" spans="1:23" ht="16" thickBot="1" x14ac:dyDescent="0.25">
      <c r="A5" t="s">
        <v>50</v>
      </c>
      <c r="B5" s="36">
        <v>1</v>
      </c>
      <c r="E5" s="11" t="s">
        <v>279</v>
      </c>
      <c r="F5" s="50">
        <f ca="1">ELEC352!$B20</f>
        <v>145.75</v>
      </c>
      <c r="G5" s="50" t="e">
        <f ca="1">ELEC352!$B20*ELEC352!$B6/$B7</f>
        <v>#VALUE!</v>
      </c>
      <c r="H5" s="69">
        <f ca="1">ELEC352!H30</f>
        <v>69.25</v>
      </c>
      <c r="I5" s="93">
        <f ca="1">ELEC352!I30</f>
        <v>3</v>
      </c>
      <c r="J5" s="93">
        <f ca="1">ELEC352!J30</f>
        <v>4</v>
      </c>
      <c r="K5" s="93">
        <f ca="1">ELEC352!K30</f>
        <v>8</v>
      </c>
      <c r="L5" s="93">
        <f ca="1">ELEC352!L30</f>
        <v>3</v>
      </c>
      <c r="M5" s="93">
        <f ca="1">ELEC352!M30</f>
        <v>3</v>
      </c>
      <c r="N5" s="93">
        <f ca="1">ELEC352!N30</f>
        <v>9.25</v>
      </c>
      <c r="O5" s="93">
        <f ca="1">ELEC352!O30</f>
        <v>2</v>
      </c>
      <c r="P5" s="93">
        <f ca="1">ELEC352!P30</f>
        <v>9.25</v>
      </c>
      <c r="Q5" s="93">
        <f ca="1">ELEC352!Q30</f>
        <v>5.5</v>
      </c>
      <c r="R5" s="93">
        <f ca="1">ELEC352!R30</f>
        <v>9.25</v>
      </c>
      <c r="S5" s="93">
        <f ca="1">ELEC352!S30</f>
        <v>13</v>
      </c>
      <c r="T5" s="93">
        <f ca="1">ELEC352!T30</f>
        <v>0</v>
      </c>
      <c r="U5" s="93">
        <f ca="1">ELEC352!U30</f>
        <v>0</v>
      </c>
      <c r="V5" s="93">
        <f ca="1">ELEC352!V30</f>
        <v>0</v>
      </c>
      <c r="W5" s="93">
        <f ca="1">ELEC352!W30</f>
        <v>0</v>
      </c>
    </row>
    <row r="6" spans="1:23" x14ac:dyDescent="0.2">
      <c r="A6" t="s">
        <v>119</v>
      </c>
      <c r="B6" s="72" t="s">
        <v>285</v>
      </c>
      <c r="C6" t="e">
        <f>B6*10</f>
        <v>#VALUE!</v>
      </c>
      <c r="E6" s="11" t="s">
        <v>280</v>
      </c>
      <c r="F6" s="50">
        <f ca="1">ELEC362!$B20</f>
        <v>3147.54</v>
      </c>
      <c r="G6" s="50" t="e">
        <f ca="1">ELEC362!$B20*ELEC362!$B6/$B7</f>
        <v>#VALUE!</v>
      </c>
      <c r="H6" s="69">
        <f ca="1">ELEC362!H30</f>
        <v>150</v>
      </c>
      <c r="I6" s="93">
        <f ca="1">ELEC362!I30</f>
        <v>6</v>
      </c>
      <c r="J6" s="93">
        <f ca="1">ELEC362!J30</f>
        <v>6</v>
      </c>
      <c r="K6" s="93">
        <f ca="1">ELEC362!K30</f>
        <v>7</v>
      </c>
      <c r="L6" s="93">
        <f ca="1">ELEC362!L30</f>
        <v>6</v>
      </c>
      <c r="M6" s="93">
        <f ca="1">ELEC362!M30</f>
        <v>8</v>
      </c>
      <c r="N6" s="93">
        <f ca="1">ELEC362!N30</f>
        <v>6</v>
      </c>
      <c r="O6" s="93">
        <f ca="1">ELEC362!O30</f>
        <v>2</v>
      </c>
      <c r="P6" s="93">
        <f ca="1">ELEC362!P30</f>
        <v>6</v>
      </c>
      <c r="Q6" s="93">
        <f ca="1">ELEC362!Q30</f>
        <v>7</v>
      </c>
      <c r="R6" s="93">
        <f ca="1">ELEC362!R30</f>
        <v>6</v>
      </c>
      <c r="S6" s="93">
        <f ca="1">ELEC362!S30</f>
        <v>7</v>
      </c>
      <c r="T6" s="93">
        <f ca="1">ELEC362!T30</f>
        <v>62</v>
      </c>
      <c r="U6" s="93">
        <f ca="1">ELEC362!U30</f>
        <v>2.6999999999999997</v>
      </c>
      <c r="V6" s="93">
        <f ca="1">ELEC362!V30</f>
        <v>5.3999999999999995</v>
      </c>
      <c r="W6" s="93">
        <f ca="1">ELEC362!W30</f>
        <v>12.9</v>
      </c>
    </row>
    <row r="7" spans="1:23" x14ac:dyDescent="0.2">
      <c r="A7" t="s">
        <v>183</v>
      </c>
      <c r="B7" s="70" t="s">
        <v>285</v>
      </c>
      <c r="E7" s="11" t="s">
        <v>281</v>
      </c>
      <c r="F7" s="50">
        <f ca="1">ELEC370!$B20</f>
        <v>957.79187500000012</v>
      </c>
      <c r="G7" s="50" t="e">
        <f ca="1">ELEC370!$B20*ELEC370!$B6/$B7</f>
        <v>#VALUE!</v>
      </c>
      <c r="H7" s="69">
        <f ca="1">ELEC370!H30</f>
        <v>150</v>
      </c>
      <c r="I7" s="93">
        <f ca="1">ELEC370!I30</f>
        <v>3</v>
      </c>
      <c r="J7" s="93">
        <f ca="1">ELEC370!J30</f>
        <v>4</v>
      </c>
      <c r="K7" s="93">
        <f ca="1">ELEC370!K30</f>
        <v>5</v>
      </c>
      <c r="L7" s="93">
        <f ca="1">ELEC370!L30</f>
        <v>4</v>
      </c>
      <c r="M7" s="93">
        <f ca="1">ELEC370!M30</f>
        <v>5</v>
      </c>
      <c r="N7" s="93">
        <f ca="1">ELEC370!N30</f>
        <v>4</v>
      </c>
      <c r="O7" s="93">
        <f ca="1">ELEC370!O30</f>
        <v>2</v>
      </c>
      <c r="P7" s="93">
        <f ca="1">ELEC370!P30</f>
        <v>4</v>
      </c>
      <c r="Q7" s="93">
        <f ca="1">ELEC370!Q30</f>
        <v>5</v>
      </c>
      <c r="R7" s="93">
        <f ca="1">ELEC370!R30</f>
        <v>23.5</v>
      </c>
      <c r="S7" s="93">
        <f ca="1">ELEC370!S30</f>
        <v>5</v>
      </c>
      <c r="T7" s="93">
        <f ca="1">ELEC370!T30</f>
        <v>9</v>
      </c>
      <c r="U7" s="93">
        <f ca="1">ELEC370!U30</f>
        <v>11.025</v>
      </c>
      <c r="V7" s="93">
        <f ca="1">ELEC370!V30</f>
        <v>22.05</v>
      </c>
      <c r="W7" s="93">
        <f ca="1">ELEC370!W30</f>
        <v>43.425000000000004</v>
      </c>
    </row>
    <row r="8" spans="1:23" ht="16" thickBot="1" x14ac:dyDescent="0.25">
      <c r="A8" t="s">
        <v>55</v>
      </c>
      <c r="B8" s="71" t="s">
        <v>285</v>
      </c>
      <c r="E8" s="11" t="s">
        <v>282</v>
      </c>
      <c r="F8" s="50">
        <f>ELEC372!$B22</f>
        <v>0</v>
      </c>
      <c r="G8" s="50" t="e">
        <f>ELEC372!$B22*ELEC372!$B8/$B9</f>
        <v>#DIV/0!</v>
      </c>
      <c r="H8" s="69">
        <f ca="1">ELEC372!H30</f>
        <v>75</v>
      </c>
      <c r="I8" s="93">
        <f ca="1">ELEC372!I30</f>
        <v>2</v>
      </c>
      <c r="J8" s="93">
        <f ca="1">ELEC372!J30</f>
        <v>3</v>
      </c>
      <c r="K8" s="93">
        <f ca="1">ELEC372!K30</f>
        <v>3</v>
      </c>
      <c r="L8" s="93">
        <f ca="1">ELEC372!L30</f>
        <v>3</v>
      </c>
      <c r="M8" s="93">
        <f ca="1">ELEC372!M30</f>
        <v>3</v>
      </c>
      <c r="N8" s="93">
        <f ca="1">ELEC372!N30</f>
        <v>3</v>
      </c>
      <c r="O8" s="93">
        <f ca="1">ELEC372!O30</f>
        <v>2</v>
      </c>
      <c r="P8" s="93">
        <f ca="1">ELEC372!P30</f>
        <v>3</v>
      </c>
      <c r="Q8" s="93">
        <f ca="1">ELEC372!Q30</f>
        <v>4</v>
      </c>
      <c r="R8" s="93">
        <f ca="1">ELEC372!R30</f>
        <v>3</v>
      </c>
      <c r="S8" s="93">
        <f ca="1">ELEC372!S30</f>
        <v>3</v>
      </c>
      <c r="T8" s="93">
        <f ca="1">ELEC372!T30</f>
        <v>8</v>
      </c>
      <c r="U8" s="93">
        <f ca="1">ELEC372!U30</f>
        <v>4.8</v>
      </c>
      <c r="V8" s="93">
        <f ca="1">ELEC372!V30</f>
        <v>9.6</v>
      </c>
      <c r="W8" s="93">
        <f ca="1">ELEC372!W30</f>
        <v>20.6</v>
      </c>
    </row>
    <row r="9" spans="1:23" x14ac:dyDescent="0.2">
      <c r="A9" t="s">
        <v>177</v>
      </c>
      <c r="E9" s="11" t="s">
        <v>283</v>
      </c>
      <c r="F9" s="50">
        <f>ELEC373!$B23</f>
        <v>0</v>
      </c>
      <c r="G9" s="50">
        <f ca="1">ELEC373!$B23*ELEC373!$B9/$B10</f>
        <v>0</v>
      </c>
      <c r="H9" s="69">
        <f>ELEC373!H33</f>
        <v>0</v>
      </c>
      <c r="I9" s="93">
        <f ca="1">ELEC373!I30</f>
        <v>6</v>
      </c>
      <c r="J9" s="93">
        <f ca="1">ELEC373!J30</f>
        <v>6</v>
      </c>
      <c r="K9" s="93">
        <f ca="1">ELEC373!K30</f>
        <v>7</v>
      </c>
      <c r="L9" s="93">
        <f ca="1">ELEC373!L30</f>
        <v>6</v>
      </c>
      <c r="M9" s="93">
        <f ca="1">ELEC373!M30</f>
        <v>3</v>
      </c>
      <c r="N9" s="93">
        <f ca="1">ELEC373!N30</f>
        <v>6</v>
      </c>
      <c r="O9" s="93">
        <f ca="1">ELEC373!O30</f>
        <v>2</v>
      </c>
      <c r="P9" s="93">
        <f ca="1">ELEC373!P30</f>
        <v>6</v>
      </c>
      <c r="Q9" s="93">
        <f ca="1">ELEC373!Q30</f>
        <v>15.5</v>
      </c>
      <c r="R9" s="93">
        <f ca="1">ELEC373!R30</f>
        <v>6</v>
      </c>
      <c r="S9" s="93">
        <f ca="1">ELEC373!S30</f>
        <v>7</v>
      </c>
      <c r="T9" s="93">
        <f ca="1">ELEC373!T30</f>
        <v>7</v>
      </c>
      <c r="U9" s="93">
        <f ca="1">ELEC373!U30</f>
        <v>-0.82499999999999996</v>
      </c>
      <c r="V9" s="93">
        <f ca="1">ELEC373!V30</f>
        <v>-1.65</v>
      </c>
      <c r="W9" s="93">
        <f ca="1">ELEC373!W30</f>
        <v>14</v>
      </c>
    </row>
    <row r="10" spans="1:23" ht="33" thickBot="1" x14ac:dyDescent="0.25">
      <c r="A10" s="63" t="s">
        <v>100</v>
      </c>
      <c r="B10" s="153">
        <f ca="1">SUM(I68:W68)</f>
        <v>12121.360625000003</v>
      </c>
      <c r="E10" s="11" t="s">
        <v>275</v>
      </c>
      <c r="F10" s="50" t="e">
        <f>[1]COMP305!$B24</f>
        <v>#REF!</v>
      </c>
      <c r="G10" s="50" t="e">
        <f>[1]COMP305!$B24*[1]COMP305!$B10/$B11</f>
        <v>#REF!</v>
      </c>
      <c r="H10" s="69">
        <f>COMP305!H34</f>
        <v>0</v>
      </c>
      <c r="I10" s="93">
        <f ca="1">COMP305!I30</f>
        <v>3</v>
      </c>
      <c r="J10" s="93">
        <f ca="1">COMP305!J30</f>
        <v>4</v>
      </c>
      <c r="K10" s="93">
        <f ca="1">COMP305!K30</f>
        <v>4</v>
      </c>
      <c r="L10" s="93">
        <f ca="1">COMP305!L30</f>
        <v>2</v>
      </c>
      <c r="M10" s="93">
        <f ca="1">COMP305!M30</f>
        <v>4</v>
      </c>
      <c r="N10" s="93">
        <f ca="1">COMP305!N30</f>
        <v>4</v>
      </c>
      <c r="O10" s="93">
        <f ca="1">COMP305!O30</f>
        <v>4</v>
      </c>
      <c r="P10" s="93">
        <f ca="1">COMP305!P30</f>
        <v>4</v>
      </c>
      <c r="Q10" s="93">
        <f ca="1">COMP305!Q30</f>
        <v>8</v>
      </c>
      <c r="R10" s="93">
        <f ca="1">COMP305!R30</f>
        <v>10</v>
      </c>
      <c r="S10" s="93">
        <f ca="1">COMP305!S30</f>
        <v>4</v>
      </c>
      <c r="T10" s="93">
        <f ca="1">COMP305!T30</f>
        <v>3</v>
      </c>
      <c r="U10" s="93">
        <f ca="1">COMP305!U30</f>
        <v>0.44999999999999996</v>
      </c>
      <c r="V10" s="93">
        <f ca="1">COMP305!V30</f>
        <v>0.89999999999999991</v>
      </c>
      <c r="W10" s="93">
        <f ca="1">COMP305!W30</f>
        <v>4.6500000000000004</v>
      </c>
    </row>
    <row r="11" spans="1:23" ht="16" thickTop="1" x14ac:dyDescent="0.2">
      <c r="B11" s="152"/>
      <c r="E11" s="11" t="s">
        <v>291</v>
      </c>
      <c r="F11" s="50">
        <f>COMP323!$B25</f>
        <v>0</v>
      </c>
      <c r="G11" s="50" t="e">
        <f>COMP323!$B25*COMP323!$B11/#REF!</f>
        <v>#REF!</v>
      </c>
      <c r="H11" s="69">
        <f>COMP323!H35</f>
        <v>0</v>
      </c>
      <c r="I11" s="93">
        <f ca="1">COMP323!I30</f>
        <v>3</v>
      </c>
      <c r="J11" s="93">
        <f ca="1">COMP323!J30</f>
        <v>4</v>
      </c>
      <c r="K11" s="93">
        <f ca="1">COMP323!K30</f>
        <v>4</v>
      </c>
      <c r="L11" s="93">
        <f ca="1">COMP323!L30</f>
        <v>2</v>
      </c>
      <c r="M11" s="93">
        <f ca="1">COMP323!M30</f>
        <v>4</v>
      </c>
      <c r="N11" s="93">
        <f ca="1">COMP323!N30</f>
        <v>4</v>
      </c>
      <c r="O11" s="93">
        <f ca="1">COMP323!O30</f>
        <v>2</v>
      </c>
      <c r="P11" s="93">
        <f ca="1">COMP323!P30</f>
        <v>6</v>
      </c>
      <c r="Q11" s="93">
        <f ca="1">COMP323!Q30</f>
        <v>8</v>
      </c>
      <c r="R11" s="93">
        <f ca="1">COMP323!R30</f>
        <v>10</v>
      </c>
      <c r="S11" s="93">
        <f ca="1">COMP323!S30</f>
        <v>2</v>
      </c>
      <c r="T11" s="93">
        <f ca="1">COMP323!T30</f>
        <v>5</v>
      </c>
      <c r="U11" s="93">
        <f ca="1">COMP323!U30</f>
        <v>0.44999999999999996</v>
      </c>
      <c r="V11" s="93">
        <f ca="1">COMP323!V30</f>
        <v>0.89999999999999991</v>
      </c>
      <c r="W11" s="93">
        <f ca="1">COMP323!W30</f>
        <v>4.6500000000000004</v>
      </c>
    </row>
    <row r="12" spans="1:23" x14ac:dyDescent="0.2">
      <c r="B12" s="152"/>
      <c r="E12" s="11" t="s">
        <v>276</v>
      </c>
      <c r="F12" s="50">
        <f>COMP390!$B26</f>
        <v>0</v>
      </c>
      <c r="G12" s="50" t="e">
        <f>COMP390!$B26*COMP390!$B12/$B12</f>
        <v>#DIV/0!</v>
      </c>
      <c r="H12" s="69">
        <f>COMP390!H36</f>
        <v>0</v>
      </c>
      <c r="I12" s="93">
        <f ca="1">COMP390!I30</f>
        <v>3</v>
      </c>
      <c r="J12" s="93">
        <f ca="1">COMP390!J30</f>
        <v>4</v>
      </c>
      <c r="K12" s="93">
        <f ca="1">COMP390!K30</f>
        <v>4</v>
      </c>
      <c r="L12" s="93">
        <f ca="1">COMP390!L30</f>
        <v>2</v>
      </c>
      <c r="M12" s="93">
        <f ca="1">COMP390!M30</f>
        <v>4</v>
      </c>
      <c r="N12" s="93">
        <f ca="1">COMP390!N30</f>
        <v>29.5</v>
      </c>
      <c r="O12" s="93">
        <f ca="1">COMP390!O30</f>
        <v>2</v>
      </c>
      <c r="P12" s="93">
        <f ca="1">COMP390!P30</f>
        <v>4</v>
      </c>
      <c r="Q12" s="93">
        <f ca="1">COMP390!Q30</f>
        <v>8</v>
      </c>
      <c r="R12" s="93">
        <f ca="1">COMP390!R30</f>
        <v>10</v>
      </c>
      <c r="S12" s="93">
        <f ca="1">COMP390!S30</f>
        <v>2</v>
      </c>
      <c r="T12" s="93">
        <f ca="1">COMP390!T30</f>
        <v>3</v>
      </c>
      <c r="U12" s="93">
        <f ca="1">COMP390!U30</f>
        <v>0</v>
      </c>
      <c r="V12" s="93">
        <f ca="1">COMP390!V30</f>
        <v>0</v>
      </c>
      <c r="W12" s="93">
        <f ca="1">COMP390!W30</f>
        <v>0</v>
      </c>
    </row>
    <row r="13" spans="1:23" x14ac:dyDescent="0.2">
      <c r="B13" s="152"/>
      <c r="E13" s="11"/>
      <c r="F13" s="50"/>
      <c r="G13" s="50"/>
      <c r="H13" s="69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</row>
    <row r="14" spans="1:23" x14ac:dyDescent="0.2">
      <c r="C14" t="e">
        <f>B7*10</f>
        <v>#VALUE!</v>
      </c>
    </row>
    <row r="15" spans="1:23" x14ac:dyDescent="0.2">
      <c r="E15" s="12" t="s">
        <v>28</v>
      </c>
      <c r="F15" s="112">
        <f ca="1">SUM(F3:F6)</f>
        <v>4201.29</v>
      </c>
      <c r="G15" s="112" t="e">
        <f ca="1">SUM(G3:G6)</f>
        <v>#VALUE!</v>
      </c>
      <c r="H15" s="21">
        <f ca="1">SUM(I15:W15)</f>
        <v>950.77500000000009</v>
      </c>
      <c r="I15" s="94">
        <f t="shared" ref="I15:W15" ca="1" si="0">SUM(I3:I13)</f>
        <v>41</v>
      </c>
      <c r="J15" s="94">
        <f t="shared" ca="1" si="0"/>
        <v>52</v>
      </c>
      <c r="K15" s="94">
        <f t="shared" ca="1" si="0"/>
        <v>83</v>
      </c>
      <c r="L15" s="94">
        <f t="shared" ca="1" si="0"/>
        <v>44</v>
      </c>
      <c r="M15" s="94">
        <f t="shared" ca="1" si="0"/>
        <v>45</v>
      </c>
      <c r="N15" s="94">
        <f t="shared" ca="1" si="0"/>
        <v>76.75</v>
      </c>
      <c r="O15" s="94">
        <f t="shared" ca="1" si="0"/>
        <v>30</v>
      </c>
      <c r="P15" s="94">
        <f t="shared" ca="1" si="0"/>
        <v>53.25</v>
      </c>
      <c r="Q15" s="94">
        <f t="shared" ca="1" si="0"/>
        <v>76</v>
      </c>
      <c r="R15" s="94">
        <f t="shared" ca="1" si="0"/>
        <v>97.75</v>
      </c>
      <c r="S15" s="94">
        <f t="shared" ca="1" si="0"/>
        <v>73</v>
      </c>
      <c r="T15" s="94">
        <f t="shared" ca="1" si="0"/>
        <v>123</v>
      </c>
      <c r="U15" s="94">
        <f t="shared" ca="1" si="0"/>
        <v>18.599999999999998</v>
      </c>
      <c r="V15" s="94">
        <f t="shared" ca="1" si="0"/>
        <v>37.199999999999996</v>
      </c>
      <c r="W15" s="94">
        <f t="shared" ca="1" si="0"/>
        <v>100.22500000000002</v>
      </c>
    </row>
    <row r="16" spans="1:23" x14ac:dyDescent="0.2">
      <c r="C16" t="e">
        <f>C14/15</f>
        <v>#VALUE!</v>
      </c>
      <c r="H16" s="165" t="e">
        <f ca="1">IF(ROUND(H15,0)=ROUND(C14,0),"Total hours OK","Total hours don't add up correctly!")</f>
        <v>#VALUE!</v>
      </c>
      <c r="I16" s="165"/>
      <c r="J16" s="165"/>
      <c r="K16" s="165"/>
      <c r="L16" s="165"/>
      <c r="U16" s="10" t="s">
        <v>22</v>
      </c>
    </row>
    <row r="17" spans="2:25" x14ac:dyDescent="0.2"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2:25" x14ac:dyDescent="0.2"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2:25" x14ac:dyDescent="0.2">
      <c r="Y19" s="17"/>
    </row>
    <row r="20" spans="2:25" x14ac:dyDescent="0.2">
      <c r="Y20" s="17"/>
    </row>
    <row r="21" spans="2:25" x14ac:dyDescent="0.2">
      <c r="Y21" s="17"/>
    </row>
    <row r="22" spans="2:25" x14ac:dyDescent="0.2">
      <c r="Y22" s="17"/>
    </row>
    <row r="23" spans="2:25" x14ac:dyDescent="0.2">
      <c r="Y23" s="17"/>
    </row>
    <row r="25" spans="2:25" ht="21" customHeight="1" x14ac:dyDescent="0.2">
      <c r="G25" s="17"/>
      <c r="H25" s="50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51"/>
      <c r="V25" s="51"/>
      <c r="W25" s="51"/>
      <c r="X25" s="17"/>
    </row>
    <row r="26" spans="2:25" ht="21" customHeight="1" x14ac:dyDescent="0.2">
      <c r="G26" s="17"/>
      <c r="H26" s="50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51"/>
      <c r="V26" s="51"/>
      <c r="W26" s="51"/>
      <c r="X26" s="17"/>
    </row>
    <row r="27" spans="2:25" ht="21" customHeight="1" x14ac:dyDescent="0.2">
      <c r="G27" s="17"/>
      <c r="H27" s="50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51"/>
      <c r="V27" s="51"/>
      <c r="W27" s="51"/>
      <c r="X27" s="17"/>
    </row>
    <row r="28" spans="2:25" x14ac:dyDescent="0.2">
      <c r="N28" s="25"/>
      <c r="U28" s="18"/>
      <c r="V28" s="18"/>
    </row>
    <row r="29" spans="2:25" x14ac:dyDescent="0.2">
      <c r="G29" s="17"/>
      <c r="H29" s="17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</row>
    <row r="30" spans="2:25" x14ac:dyDescent="0.2">
      <c r="B30" t="str">
        <f>T(1)</f>
        <v/>
      </c>
      <c r="G30" s="20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</row>
    <row r="35" spans="7:23" x14ac:dyDescent="0.2">
      <c r="I35" s="85" t="e">
        <f>C16</f>
        <v>#VALUE!</v>
      </c>
      <c r="J35" s="85" t="e">
        <f>I35</f>
        <v>#VALUE!</v>
      </c>
      <c r="K35" s="85" t="e">
        <f t="shared" ref="K35:W35" si="1">J35</f>
        <v>#VALUE!</v>
      </c>
      <c r="L35" s="85" t="e">
        <f t="shared" si="1"/>
        <v>#VALUE!</v>
      </c>
      <c r="M35" s="85" t="e">
        <f t="shared" si="1"/>
        <v>#VALUE!</v>
      </c>
      <c r="N35" s="85" t="e">
        <f t="shared" si="1"/>
        <v>#VALUE!</v>
      </c>
      <c r="O35" s="85" t="e">
        <f t="shared" si="1"/>
        <v>#VALUE!</v>
      </c>
      <c r="P35" s="85" t="e">
        <f t="shared" si="1"/>
        <v>#VALUE!</v>
      </c>
      <c r="Q35" s="85" t="e">
        <f t="shared" si="1"/>
        <v>#VALUE!</v>
      </c>
      <c r="R35" s="85" t="e">
        <f t="shared" si="1"/>
        <v>#VALUE!</v>
      </c>
      <c r="S35" s="85" t="e">
        <f t="shared" si="1"/>
        <v>#VALUE!</v>
      </c>
      <c r="T35" s="85" t="e">
        <f t="shared" si="1"/>
        <v>#VALUE!</v>
      </c>
      <c r="U35" s="85" t="e">
        <f t="shared" si="1"/>
        <v>#VALUE!</v>
      </c>
      <c r="V35" s="85" t="e">
        <f t="shared" si="1"/>
        <v>#VALUE!</v>
      </c>
      <c r="W35" s="85" t="e">
        <f t="shared" si="1"/>
        <v>#VALUE!</v>
      </c>
    </row>
    <row r="36" spans="7:23" x14ac:dyDescent="0.2">
      <c r="G36" s="90"/>
      <c r="H36" s="91" t="e">
        <f>C14-432</f>
        <v>#VALUE!</v>
      </c>
    </row>
    <row r="37" spans="7:23" ht="33" customHeight="1" x14ac:dyDescent="0.2">
      <c r="I37" s="133" t="s">
        <v>292</v>
      </c>
      <c r="J37" s="132"/>
      <c r="K37" s="132"/>
      <c r="L37" s="132"/>
      <c r="M37" s="132"/>
      <c r="N37" s="132"/>
      <c r="O37" s="132"/>
    </row>
    <row r="38" spans="7:23" ht="15" customHeight="1" thickBot="1" x14ac:dyDescent="0.25">
      <c r="I38" s="164" t="s">
        <v>134</v>
      </c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80"/>
      <c r="V38" s="80"/>
      <c r="W38" s="80"/>
    </row>
    <row r="39" spans="7:23" x14ac:dyDescent="0.2">
      <c r="H39" s="77"/>
      <c r="I39" s="78">
        <v>1</v>
      </c>
      <c r="J39" s="78">
        <v>2</v>
      </c>
      <c r="K39" s="78">
        <v>3</v>
      </c>
      <c r="L39" s="78">
        <v>4</v>
      </c>
      <c r="M39" s="78">
        <v>5</v>
      </c>
      <c r="N39" s="78">
        <v>6</v>
      </c>
      <c r="O39" s="78">
        <v>7</v>
      </c>
      <c r="P39" s="78">
        <v>8</v>
      </c>
      <c r="Q39" s="78">
        <v>9</v>
      </c>
      <c r="R39" s="78">
        <v>10</v>
      </c>
      <c r="S39" s="78">
        <v>11</v>
      </c>
      <c r="T39" s="79">
        <v>12</v>
      </c>
      <c r="U39" s="74">
        <v>13</v>
      </c>
      <c r="V39" s="74">
        <v>14</v>
      </c>
      <c r="W39" s="74">
        <v>15</v>
      </c>
    </row>
    <row r="40" spans="7:23" ht="24" customHeight="1" x14ac:dyDescent="0.2">
      <c r="G40" s="82">
        <v>1</v>
      </c>
      <c r="H40" s="166" t="s">
        <v>277</v>
      </c>
      <c r="I40" s="83" t="str" cm="1">
        <f t="array" ref="I40">IFERROR(INDEX(ELEC330!$C$9:'ELEC330'!$C$17, _xlfn.AGGREGATE(15, 6, ROW($1:$17)/SIGN(LEN(ELEC330!I$9:'ELEC330'!I$17)), 1)),"")</f>
        <v/>
      </c>
      <c r="J40" s="83" t="str" cm="1">
        <f t="array" ref="J40">IFERROR(INDEX(ELEC330!$C$9:'ELEC330'!$C$17, _xlfn.AGGREGATE(15, 6, ROW($1:$17)/SIGN(LEN(ELEC330!J$9:'ELEC330'!J$17)), 1)),"")</f>
        <v/>
      </c>
      <c r="K40" s="83" t="str" cm="1">
        <f t="array" ref="K40">IFERROR(INDEX(ELEC330!$C$9:'ELEC330'!$C$17, _xlfn.AGGREGATE(15, 6, ROW($1:$17)/SIGN(LEN(ELEC330!K$9:'ELEC330'!K$17)), 1)),"")</f>
        <v/>
      </c>
      <c r="L40" s="83" t="str" cm="1">
        <f t="array" ref="L40">IFERROR(INDEX(ELEC330!$C$9:'ELEC330'!$C$17, _xlfn.AGGREGATE(15, 6, ROW($1:$17)/SIGN(LEN(ELEC330!L$9:'ELEC330'!L$17)), 1)),"")</f>
        <v>CW1</v>
      </c>
      <c r="M40" s="83" t="str" cm="1">
        <f t="array" ref="M40">IFERROR(INDEX(ELEC330!$C$9:'ELEC330'!$C$17, _xlfn.AGGREGATE(15, 6, ROW($1:$17)/SIGN(LEN(ELEC330!M$9:'ELEC330'!M$17)), 1)),"")</f>
        <v/>
      </c>
      <c r="N40" s="83" t="str" cm="1">
        <f t="array" ref="N40">IFERROR(INDEX(ELEC330!$C$9:'ELEC330'!$C$17, _xlfn.AGGREGATE(15, 6, ROW($1:$17)/SIGN(LEN(ELEC330!N$9:'ELEC330'!N$17)), 1)),"")</f>
        <v/>
      </c>
      <c r="O40" s="83" t="str" cm="1">
        <f t="array" ref="O40">IFERROR(INDEX(ELEC330!$C$9:'ELEC330'!$C$17, _xlfn.AGGREGATE(15, 6, ROW($1:$17)/SIGN(LEN(ELEC330!O$9:'ELEC330'!O$17)), 1)),"")</f>
        <v/>
      </c>
      <c r="P40" s="83" t="str" cm="1">
        <f t="array" ref="P40">IFERROR(INDEX(ELEC330!$C$9:'ELEC330'!$C$17, _xlfn.AGGREGATE(15, 6, ROW($1:$17)/SIGN(LEN(ELEC330!P$9:'ELEC330'!P$17)), 1)),"")</f>
        <v/>
      </c>
      <c r="Q40" s="83" t="str" cm="1">
        <f t="array" ref="Q40">IFERROR(INDEX(ELEC330!$C$9:'ELEC330'!$C$17, _xlfn.AGGREGATE(15, 6, ROW($1:$17)/SIGN(LEN(ELEC330!Q$9:'ELEC330'!Q$17)), 1)),"")</f>
        <v/>
      </c>
      <c r="R40" s="83" t="str" cm="1">
        <f t="array" ref="R40">IFERROR(INDEX(ELEC330!$C$9:'ELEC330'!$C$17, _xlfn.AGGREGATE(15, 6, ROW($1:$17)/SIGN(LEN(ELEC330!R$9:'ELEC330'!R$17)), 1)),"")</f>
        <v/>
      </c>
      <c r="S40" s="83" t="str" cm="1">
        <f t="array" ref="S40">IFERROR(INDEX(ELEC330!$C$9:'ELEC330'!$C$17, _xlfn.AGGREGATE(15, 6, ROW($1:$17)/SIGN(LEN(ELEC330!S$9:'ELEC330'!S$17)), 1)),"")</f>
        <v>CW2</v>
      </c>
      <c r="T40" s="86" t="str" cm="1">
        <f t="array" ref="T40">IFERROR(INDEX(ELEC330!$C$9:'ELEC330'!$C$17, _xlfn.AGGREGATE(15, 6, ROW($1:$17)/SIGN(LEN(ELEC330!T$9:'ELEC330'!T$17)), 1)),"")</f>
        <v/>
      </c>
    </row>
    <row r="41" spans="7:23" ht="24" customHeight="1" x14ac:dyDescent="0.2">
      <c r="G41" s="82">
        <v>2</v>
      </c>
      <c r="H41" s="167"/>
      <c r="I41" s="84" t="str" cm="1">
        <f t="array" ref="I41">IF(COUNTIFS(ELEC330!I$9:I$17,"Yes")&gt;=$G41, IFERROR(INDEX(ELEC330!$C$9:'ELEC330'!$C$17, _xlfn.AGGREGATE(15, 6, ROW($1:$17)/SIGN(LEN(ELEC330!I$9:'ELEC330'!I$17)), COUNTIFS(ELEC330!I$9:I$17,"Yes"))),""),"")</f>
        <v/>
      </c>
      <c r="J41" s="84" t="str" cm="1">
        <f t="array" ref="J41">IF(COUNTIFS(ELEC330!J$9:J$17,"Yes")&gt;=$G41, IFERROR(INDEX(ELEC330!$C$9:'ELEC330'!$C$17, _xlfn.AGGREGATE(15, 6, ROW($1:$17)/SIGN(LEN(ELEC330!J$9:'ELEC330'!J$17)), COUNTIFS(ELEC330!J$9:J$17,"Yes"))),""),"")</f>
        <v/>
      </c>
      <c r="K41" s="84" t="str" cm="1">
        <f t="array" ref="K41">IF(COUNTIFS(ELEC330!K$9:K$17,"Yes")&gt;=$G41, IFERROR(INDEX(ELEC330!$C$9:'ELEC330'!$C$17, _xlfn.AGGREGATE(15, 6, ROW($1:$17)/SIGN(LEN(ELEC330!K$9:'ELEC330'!K$17)), COUNTIFS(ELEC330!K$9:K$17,"Yes"))),""),"")</f>
        <v/>
      </c>
      <c r="L41" s="84" t="str" cm="1">
        <f t="array" ref="L41">IF(COUNTIFS(ELEC330!L$9:L$17,"Yes")&gt;=$G41, IFERROR(INDEX(ELEC330!$C$9:'ELEC330'!$C$17, _xlfn.AGGREGATE(15, 6, ROW($1:$17)/SIGN(LEN(ELEC330!L$9:'ELEC330'!L$17)), COUNTIFS(ELEC330!L$9:L$17,"Yes"))),""),"")</f>
        <v/>
      </c>
      <c r="M41" s="84" t="str" cm="1">
        <f t="array" ref="M41">IF(COUNTIFS(ELEC330!M$9:M$17,"Yes")&gt;=$G41, IFERROR(INDEX(ELEC330!$C$9:'ELEC330'!$C$17, _xlfn.AGGREGATE(15, 6, ROW($1:$17)/SIGN(LEN(ELEC330!M$9:'ELEC330'!M$17)), COUNTIFS(ELEC330!M$9:M$17,"Yes"))),""),"")</f>
        <v/>
      </c>
      <c r="N41" s="84" t="str" cm="1">
        <f t="array" ref="N41">IF(COUNTIFS(ELEC330!N$9:N$17,"Yes")&gt;=$G41, IFERROR(INDEX(ELEC330!$C$9:'ELEC330'!$C$17, _xlfn.AGGREGATE(15, 6, ROW($1:$17)/SIGN(LEN(ELEC330!N$9:'ELEC330'!N$17)), COUNTIFS(ELEC330!N$9:N$17,"Yes"))),""),"")</f>
        <v/>
      </c>
      <c r="O41" s="84" t="str" cm="1">
        <f t="array" ref="O41">IF(COUNTIFS(ELEC330!O$9:O$17,"Yes")&gt;=$G41, IFERROR(INDEX(ELEC330!$C$9:'ELEC330'!$C$17, _xlfn.AGGREGATE(15, 6, ROW($1:$17)/SIGN(LEN(ELEC330!O$9:'ELEC330'!O$17)), COUNTIFS(ELEC330!O$9:O$17,"Yes"))),""),"")</f>
        <v/>
      </c>
      <c r="P41" s="84" t="str" cm="1">
        <f t="array" ref="P41">IF(COUNTIFS(ELEC330!P$9:P$17,"Yes")&gt;=$G41, IFERROR(INDEX(ELEC330!$C$9:'ELEC330'!$C$17, _xlfn.AGGREGATE(15, 6, ROW($1:$17)/SIGN(LEN(ELEC330!P$9:'ELEC330'!P$17)), COUNTIFS(ELEC330!P$9:P$17,"Yes"))),""),"")</f>
        <v/>
      </c>
      <c r="Q41" s="84" t="str" cm="1">
        <f t="array" ref="Q41">IF(COUNTIFS(ELEC330!Q$9:Q$17,"Yes")&gt;=$G41, IFERROR(INDEX(ELEC330!$C$9:'ELEC330'!$C$17, _xlfn.AGGREGATE(15, 6, ROW($1:$17)/SIGN(LEN(ELEC330!Q$9:'ELEC330'!Q$17)), COUNTIFS(ELEC330!Q$9:Q$17,"Yes"))),""),"")</f>
        <v/>
      </c>
      <c r="R41" s="84" t="str" cm="1">
        <f t="array" ref="R41">IF(COUNTIFS(ELEC330!R$9:R$17,"Yes")&gt;=$G41, IFERROR(INDEX(ELEC330!$C$9:'ELEC330'!$C$17, _xlfn.AGGREGATE(15, 6, ROW($1:$17)/SIGN(LEN(ELEC330!R$9:'ELEC330'!R$17)), COUNTIFS(ELEC330!R$9:R$17,"Yes"))),""),"")</f>
        <v/>
      </c>
      <c r="S41" s="84" t="str" cm="1">
        <f t="array" ref="S41">IF(COUNTIFS(ELEC330!S$9:S$17,"Yes")&gt;=$G41, IFERROR(INDEX(ELEC330!$C$9:'ELEC330'!$C$17, _xlfn.AGGREGATE(15, 6, ROW($1:$17)/SIGN(LEN(ELEC330!S$9:'ELEC330'!S$17)), COUNTIFS(ELEC330!S$9:S$17,"Yes"))),""),"")</f>
        <v/>
      </c>
      <c r="T41" s="87" t="str" cm="1">
        <f t="array" ref="T41">IF(COUNTIFS(ELEC330!T$9:T$17,"Yes")&gt;=$G41, IFERROR(INDEX(ELEC330!$C$9:'ELEC330'!$C$17, _xlfn.AGGREGATE(15, 6, ROW($1:$17)/SIGN(LEN(ELEC330!T$9:'ELEC330'!T$17)), COUNTIFS(ELEC330!T$9:T$17,"Yes"))),""),"")</f>
        <v/>
      </c>
    </row>
    <row r="42" spans="7:23" ht="24" customHeight="1" x14ac:dyDescent="0.2">
      <c r="G42" s="82">
        <v>1</v>
      </c>
      <c r="H42" s="160" t="s">
        <v>278</v>
      </c>
      <c r="I42" s="83" t="str" cm="1">
        <f t="array" ref="I42">IFERROR(INDEX(ELEC340!$C$9:'ELEC340'!$C$17, _xlfn.AGGREGATE(15, 6, ROW(1:17)/SIGN(LEN(ELEC340!I$9:'ELEC340'!I$17)), 1)),"")</f>
        <v/>
      </c>
      <c r="J42" s="83" t="str" cm="1">
        <f t="array" ref="J42">IFERROR(INDEX(ELEC340!$C$9:'ELEC340'!$C$17, _xlfn.AGGREGATE(15, 6, ROW(1:17)/SIGN(LEN(ELEC340!J$9:'ELEC340'!J$17)), 1)),"")</f>
        <v/>
      </c>
      <c r="K42" s="83" t="str" cm="1">
        <f t="array" ref="K42">IFERROR(INDEX(ELEC340!$C$9:'ELEC340'!$C$17, _xlfn.AGGREGATE(15, 6, ROW(1:17)/SIGN(LEN(ELEC340!K$9:'ELEC340'!K$17)), 1)),"")</f>
        <v>Specification Report</v>
      </c>
      <c r="L42" s="83" t="str" cm="1">
        <f t="array" ref="L42">IFERROR(INDEX(ELEC340!$C$9:'ELEC340'!$C$17, _xlfn.AGGREGATE(15, 6, ROW(1:17)/SIGN(LEN(ELEC340!L$9:'ELEC340'!L$17)), 1)),"")</f>
        <v/>
      </c>
      <c r="M42" s="83" t="str" cm="1">
        <f t="array" ref="M42">IFERROR(INDEX(ELEC340!$C$9:'ELEC340'!$C$17, _xlfn.AGGREGATE(15, 6, ROW(1:17)/SIGN(LEN(ELEC340!M$9:'ELEC340'!M$17)), 1)),"")</f>
        <v/>
      </c>
      <c r="N42" s="83" t="str" cm="1">
        <f t="array" ref="N42">IFERROR(INDEX(ELEC340!$C$9:'ELEC340'!$C$17, _xlfn.AGGREGATE(15, 6, ROW(1:17)/SIGN(LEN(ELEC340!N$9:'ELEC340'!N$17)), 1)),"")</f>
        <v/>
      </c>
      <c r="O42" s="83" t="str" cm="1">
        <f t="array" ref="O42">IFERROR(INDEX(ELEC340!$C$9:'ELEC340'!$C$17, _xlfn.AGGREGATE(15, 6, ROW(1:17)/SIGN(LEN(ELEC340!O$9:'ELEC340'!O$17)), 1)),"")</f>
        <v/>
      </c>
      <c r="P42" s="83" t="str" cm="1">
        <f t="array" ref="P42">IFERROR(INDEX(ELEC340!$C$9:'ELEC340'!$C$17, _xlfn.AGGREGATE(15, 6, ROW(1:17)/SIGN(LEN(ELEC340!P$9:'ELEC340'!P$17)), 1)),"")</f>
        <v/>
      </c>
      <c r="Q42" s="83" t="str" cm="1">
        <f t="array" ref="Q42">IFERROR(INDEX(ELEC340!$C$9:'ELEC340'!$C$17, _xlfn.AGGREGATE(15, 6, ROW(1:17)/SIGN(LEN(ELEC340!Q$9:'ELEC340'!Q$17)), 1)),"")</f>
        <v/>
      </c>
      <c r="R42" s="83" t="str" cm="1">
        <f t="array" ref="R42">IFERROR(INDEX(ELEC340!$C$9:'ELEC340'!$C$17, _xlfn.AGGREGATE(15, 6, ROW(1:17)/SIGN(LEN(ELEC340!R$9:'ELEC340'!R$17)), 1)),"")</f>
        <v/>
      </c>
      <c r="S42" s="83" t="str" cm="1">
        <f t="array" ref="S42">IFERROR(INDEX(ELEC340!$C$9:'ELEC340'!$C$17, _xlfn.AGGREGATE(15, 6, ROW(1:17)/SIGN(LEN(ELEC340!S$9:'ELEC340'!S$17)), 1)),"")</f>
        <v/>
      </c>
      <c r="T42" s="86" t="str" cm="1">
        <f t="array" ref="T42">IFERROR(INDEX(ELEC340!$C$9:'ELEC340'!$C$17, _xlfn.AGGREGATE(15, 6, ROW(1:17)/SIGN(LEN(ELEC340!T$9:'ELEC340'!T$17)), 1)),"")</f>
        <v>Interim Presentation</v>
      </c>
    </row>
    <row r="43" spans="7:23" ht="24" customHeight="1" x14ac:dyDescent="0.2">
      <c r="G43" s="82">
        <v>2</v>
      </c>
      <c r="H43" s="161"/>
      <c r="I43" s="84" t="str" cm="1">
        <f t="array" ref="I43">IF(COUNTIFS(ELEC340!I$9:I$17,"Yes")&gt;=$G43, IFERROR(INDEX(ELEC340!$C$9:'ELEC340'!$C$17, _xlfn.AGGREGATE(15, 6, ROW($1:$17)/SIGN(LEN(ELEC340!I$9:'ELEC340'!I$17)), COUNTIFS(ELEC340!I$9:I$17,"Yes"))),""),"")</f>
        <v/>
      </c>
      <c r="J43" s="84" t="str" cm="1">
        <f t="array" ref="J43">IF(COUNTIFS(ELEC340!J$9:J$17,"Yes")&gt;=$G43, IFERROR(INDEX(ELEC340!$C$9:'ELEC340'!$C$17, _xlfn.AGGREGATE(15, 6, ROW($1:$17)/SIGN(LEN(ELEC340!J$9:'ELEC340'!J$17)), COUNTIFS(ELEC340!J$9:J$17,"Yes"))),""),"")</f>
        <v/>
      </c>
      <c r="K43" s="84" t="str" cm="1">
        <f t="array" ref="K43">IF(COUNTIFS(ELEC340!K$9:K$17,"Yes")&gt;=$G43, IFERROR(INDEX(ELEC340!$C$9:'ELEC340'!$C$17, _xlfn.AGGREGATE(15, 6, ROW($1:$17)/SIGN(LEN(ELEC340!K$9:'ELEC340'!K$17)), COUNTIFS(ELEC340!K$9:K$17,"Yes"))),""),"")</f>
        <v/>
      </c>
      <c r="L43" s="84" t="str" cm="1">
        <f t="array" ref="L43">IF(COUNTIFS(ELEC340!L$9:L$17,"Yes")&gt;=$G43, IFERROR(INDEX(ELEC340!$C$9:'ELEC340'!$C$17, _xlfn.AGGREGATE(15, 6, ROW($1:$17)/SIGN(LEN(ELEC340!L$9:'ELEC340'!L$17)), COUNTIFS(ELEC340!L$9:L$17,"Yes"))),""),"")</f>
        <v/>
      </c>
      <c r="M43" s="84" t="str" cm="1">
        <f t="array" ref="M43">IF(COUNTIFS(ELEC340!M$9:M$17,"Yes")&gt;=$G43, IFERROR(INDEX(ELEC340!$C$9:'ELEC340'!$C$17, _xlfn.AGGREGATE(15, 6, ROW($1:$17)/SIGN(LEN(ELEC340!M$9:'ELEC340'!M$17)), COUNTIFS(ELEC340!M$9:M$17,"Yes"))),""),"")</f>
        <v/>
      </c>
      <c r="N43" s="84" t="str" cm="1">
        <f t="array" ref="N43">IF(COUNTIFS(ELEC340!N$9:N$17,"Yes")&gt;=$G43, IFERROR(INDEX(ELEC340!$C$9:'ELEC340'!$C$17, _xlfn.AGGREGATE(15, 6, ROW($1:$17)/SIGN(LEN(ELEC340!N$9:'ELEC340'!N$17)), COUNTIFS(ELEC340!N$9:N$17,"Yes"))),""),"")</f>
        <v/>
      </c>
      <c r="O43" s="84" t="str" cm="1">
        <f t="array" ref="O43">IF(COUNTIFS(ELEC340!O$9:O$17,"Yes")&gt;=$G43, IFERROR(INDEX(ELEC340!$C$9:'ELEC340'!$C$17, _xlfn.AGGREGATE(15, 6, ROW($1:$17)/SIGN(LEN(ELEC340!O$9:'ELEC340'!O$17)), COUNTIFS(ELEC340!O$9:O$17,"Yes"))),""),"")</f>
        <v/>
      </c>
      <c r="P43" s="84" t="str" cm="1">
        <f t="array" ref="P43">IF(COUNTIFS(ELEC340!P$9:P$17,"Yes")&gt;=$G43, IFERROR(INDEX(ELEC340!$C$9:'ELEC340'!$C$17, _xlfn.AGGREGATE(15, 6, ROW($1:$17)/SIGN(LEN(ELEC340!P$9:'ELEC340'!P$17)), COUNTIFS(ELEC340!P$9:P$17,"Yes"))),""),"")</f>
        <v/>
      </c>
      <c r="Q43" s="84" t="str" cm="1">
        <f t="array" ref="Q43">IF(COUNTIFS(ELEC340!Q$9:Q$17,"Yes")&gt;=$G43, IFERROR(INDEX(ELEC340!$C$9:'ELEC340'!$C$17, _xlfn.AGGREGATE(15, 6, ROW($1:$17)/SIGN(LEN(ELEC340!Q$9:'ELEC340'!Q$17)), COUNTIFS(ELEC340!Q$9:Q$17,"Yes"))),""),"")</f>
        <v/>
      </c>
      <c r="R43" s="84" t="str" cm="1">
        <f t="array" ref="R43">IF(COUNTIFS(ELEC340!R$9:R$17,"Yes")&gt;=$G43, IFERROR(INDEX(ELEC340!$C$9:'ELEC340'!$C$17, _xlfn.AGGREGATE(15, 6, ROW($1:$17)/SIGN(LEN(ELEC340!R$9:'ELEC340'!R$17)), COUNTIFS(ELEC340!R$9:R$17,"Yes"))),""),"")</f>
        <v/>
      </c>
      <c r="S43" s="84" t="str" cm="1">
        <f t="array" ref="S43">IF(COUNTIFS(ELEC340!S$9:S$17,"Yes")&gt;=$G43, IFERROR(INDEX(ELEC340!$C$9:'ELEC340'!$C$17, _xlfn.AGGREGATE(15, 6, ROW($1:$17)/SIGN(LEN(ELEC340!S$9:'ELEC340'!S$17)), COUNTIFS(ELEC340!S$9:S$17,"Yes"))),""),"")</f>
        <v/>
      </c>
      <c r="T43" s="87" t="str" cm="1">
        <f t="array" ref="T43">IF(COUNTIFS(ELEC340!T$9:T$17,"Yes")&gt;=$G43, IFERROR(INDEX(ELEC340!$C$9:'ELEC340'!$C$17, _xlfn.AGGREGATE(15, 6, ROW($1:$17)/SIGN(LEN(ELEC340!T$9:'ELEC340'!T$17)), COUNTIFS(ELEC340!T$9:T$17,"Yes"))),""),"")</f>
        <v/>
      </c>
    </row>
    <row r="44" spans="7:23" ht="24" customHeight="1" x14ac:dyDescent="0.2">
      <c r="G44" s="82">
        <v>1</v>
      </c>
      <c r="H44" s="160" t="s">
        <v>279</v>
      </c>
      <c r="I44" s="83" t="str" cm="1">
        <f t="array" ref="I44">IFERROR(INDEX(ELEC352!$C$9:'ELEC352'!$C$17, _xlfn.AGGREGATE(15, 6, ROW($1:$17)/SIGN(LEN(ELEC352!I$9:'ELEC352'!I$17)), 1)),"")</f>
        <v/>
      </c>
      <c r="J44" s="83" t="str" cm="1">
        <f t="array" ref="J44">IFERROR(INDEX(ELEC352!$C$9:'ELEC352'!$C$17, _xlfn.AGGREGATE(15, 6, ROW($1:$17)/SIGN(LEN(ELEC352!J$9:'ELEC352'!J$17)), 1)),"")</f>
        <v>Graduates First</v>
      </c>
      <c r="K44" s="83" t="str" cm="1">
        <f t="array" ref="K44">IFERROR(INDEX(ELEC352!$C$9:'ELEC352'!$C$17, _xlfn.AGGREGATE(15, 6, ROW($1:$17)/SIGN(LEN(ELEC352!K$9:'ELEC352'!K$17)), 1)),"")</f>
        <v>Task 0</v>
      </c>
      <c r="L44" s="83" t="str" cm="1">
        <f t="array" ref="L44">IFERROR(INDEX(ELEC352!$C$9:'ELEC352'!$C$17, _xlfn.AGGREGATE(15, 6, ROW($1:$17)/SIGN(LEN(ELEC352!L$9:'ELEC352'!L$17)), 1)),"")</f>
        <v/>
      </c>
      <c r="M44" s="83" t="str" cm="1">
        <f t="array" ref="M44">IFERROR(INDEX(ELEC352!$C$9:'ELEC352'!$C$17, _xlfn.AGGREGATE(15, 6, ROW($1:$17)/SIGN(LEN(ELEC352!M$9:'ELEC352'!M$17)), 1)),"")</f>
        <v/>
      </c>
      <c r="N44" s="83" t="str" cm="1">
        <f t="array" ref="N44">IFERROR(INDEX(ELEC352!$C$9:'ELEC352'!$C$17, _xlfn.AGGREGATE(15, 6, ROW($1:$17)/SIGN(LEN(ELEC352!N$9:'ELEC352'!N$17)), 1)),"")</f>
        <v>Task 2</v>
      </c>
      <c r="O44" s="83" t="str" cm="1">
        <f t="array" ref="O44">IFERROR(INDEX(ELEC352!$C$9:'ELEC352'!$C$17, _xlfn.AGGREGATE(15, 6, ROW($1:$17)/SIGN(LEN(ELEC352!O$9:'ELEC352'!O$17)), 1)),"")</f>
        <v>Video Interview</v>
      </c>
      <c r="P44" s="83" t="str" cm="1">
        <f t="array" ref="P44">IFERROR(INDEX(ELEC352!$C$9:'ELEC352'!$C$17, _xlfn.AGGREGATE(15, 6, ROW($1:$17)/SIGN(LEN(ELEC352!P$9:'ELEC352'!P$17)), 1)),"")</f>
        <v>Class Test 1</v>
      </c>
      <c r="Q44" s="83" t="str" cm="1">
        <f t="array" ref="Q44">IFERROR(INDEX(ELEC352!$C$9:'ELEC352'!$C$17, _xlfn.AGGREGATE(15, 6, ROW($1:$17)/SIGN(LEN(ELEC352!Q$9:'ELEC352'!Q$17)), 1)),"")</f>
        <v>Mock Assmnt Centre</v>
      </c>
      <c r="R44" s="83" t="str" cm="1">
        <f t="array" ref="R44">IFERROR(INDEX(ELEC352!$C$9:'ELEC352'!$C$17, _xlfn.AGGREGATE(15, 6, ROW($1:$17)/SIGN(LEN(ELEC352!R$9:'ELEC352'!R$17)), 1)),"")</f>
        <v>Task 3</v>
      </c>
      <c r="S44" s="83" t="str" cm="1">
        <f t="array" ref="S44">IFERROR(INDEX(ELEC352!$C$9:'ELEC352'!$C$17, _xlfn.AGGREGATE(15, 6, ROW($1:$17)/SIGN(LEN(ELEC352!S$9:'ELEC352'!S$17)), 1)),"")</f>
        <v>Class Test 2</v>
      </c>
      <c r="T44" s="86" t="str" cm="1">
        <f t="array" ref="T44">IFERROR(INDEX(ELEC352!$C$9:'ELEC352'!$C$17, _xlfn.AGGREGATE(15, 6, ROW($1:$17)/SIGN(LEN(ELEC352!T$9:'ELEC352'!T$17)), 1)),"")</f>
        <v/>
      </c>
    </row>
    <row r="45" spans="7:23" ht="24" customHeight="1" x14ac:dyDescent="0.2">
      <c r="G45" s="82">
        <v>2</v>
      </c>
      <c r="H45" s="161"/>
      <c r="I45" s="84" t="str" cm="1">
        <f t="array" ref="I45">IF(COUNTIFS(ELEC352!I$9:I$17,"Yes")&gt;=$G45, IFERROR(INDEX(ELEC352!$C$9:'ELEC352'!$C$17, _xlfn.AGGREGATE(15, 6, ROW($1:$17)/SIGN(LEN(ELEC352!I$9:'ELEC352'!I$17)), COUNTIFS(ELEC352!I$9:I$17,"Yes"))),""),"")</f>
        <v/>
      </c>
      <c r="J45" s="84" t="str" cm="1">
        <f t="array" ref="J45">IF(COUNTIFS(ELEC352!J$9:J$17,"Yes")&gt;=$G45, IFERROR(INDEX(ELEC352!$C$9:'ELEC352'!$C$17, _xlfn.AGGREGATE(15, 6, ROW($1:$17)/SIGN(LEN(ELEC352!J$9:'ELEC352'!J$17)), COUNTIFS(ELEC352!J$9:J$17,"Yes"))),""),"")</f>
        <v/>
      </c>
      <c r="K45" s="84" t="str" cm="1">
        <f t="array" ref="K45">IF(COUNTIFS(ELEC352!K$9:K$17,"Yes")&gt;=$G45, IFERROR(INDEX(ELEC352!$C$9:'ELEC352'!$C$17, _xlfn.AGGREGATE(15, 6, ROW($1:$17)/SIGN(LEN(ELEC352!K$9:'ELEC352'!K$17)), COUNTIFS(ELEC352!K$9:K$17,"Yes"))),""),"")</f>
        <v>Task 1</v>
      </c>
      <c r="L45" s="84" t="str" cm="1">
        <f t="array" ref="L45">IF(COUNTIFS(ELEC352!L$9:L$17,"Yes")&gt;=$G45, IFERROR(INDEX(ELEC352!$C$9:'ELEC352'!$C$17, _xlfn.AGGREGATE(15, 6, ROW($1:$17)/SIGN(LEN(ELEC352!L$9:'ELEC352'!L$17)), COUNTIFS(ELEC352!L$9:L$17,"Yes"))),""),"")</f>
        <v/>
      </c>
      <c r="M45" s="84" t="str" cm="1">
        <f t="array" ref="M45">IF(COUNTIFS(ELEC352!M$9:M$17,"Yes")&gt;=$G45, IFERROR(INDEX(ELEC352!$C$9:'ELEC352'!$C$17, _xlfn.AGGREGATE(15, 6, ROW($1:$17)/SIGN(LEN(ELEC352!M$9:'ELEC352'!M$17)), COUNTIFS(ELEC352!M$9:M$17,"Yes"))),""),"")</f>
        <v/>
      </c>
      <c r="N45" s="84" t="str" cm="1">
        <f t="array" ref="N45">IF(COUNTIFS(ELEC352!N$9:N$17,"Yes")&gt;=$G45, IFERROR(INDEX(ELEC352!$C$9:'ELEC352'!$C$17, _xlfn.AGGREGATE(15, 6, ROW($1:$17)/SIGN(LEN(ELEC352!N$9:'ELEC352'!N$17)), COUNTIFS(ELEC352!N$9:N$17,"Yes"))),""),"")</f>
        <v/>
      </c>
      <c r="O45" s="84" t="str" cm="1">
        <f t="array" ref="O45">IF(COUNTIFS(ELEC352!O$9:O$17,"Yes")&gt;=$G45, IFERROR(INDEX(ELEC352!$C$9:'ELEC352'!$C$17, _xlfn.AGGREGATE(15, 6, ROW($1:$17)/SIGN(LEN(ELEC352!O$9:'ELEC352'!O$17)), COUNTIFS(ELEC352!O$9:O$17,"Yes"))),""),"")</f>
        <v/>
      </c>
      <c r="P45" s="84" t="str" cm="1">
        <f t="array" ref="P45">IF(COUNTIFS(ELEC352!P$9:P$17,"Yes")&gt;=$G45, IFERROR(INDEX(ELEC352!$C$9:'ELEC352'!$C$17, _xlfn.AGGREGATE(15, 6, ROW($1:$17)/SIGN(LEN(ELEC352!P$9:'ELEC352'!P$17)), COUNTIFS(ELEC352!P$9:P$17,"Yes"))),""),"")</f>
        <v/>
      </c>
      <c r="Q45" s="84" t="str" cm="1">
        <f t="array" ref="Q45">IF(COUNTIFS(ELEC352!Q$9:Q$17,"Yes")&gt;=$G45, IFERROR(INDEX(ELEC352!$C$9:'ELEC352'!$C$17, _xlfn.AGGREGATE(15, 6, ROW($1:$17)/SIGN(LEN(ELEC352!Q$9:'ELEC352'!Q$17)), COUNTIFS(ELEC352!Q$9:Q$17,"Yes"))),""),"")</f>
        <v/>
      </c>
      <c r="R45" s="84" t="str" cm="1">
        <f t="array" ref="R45">IF(COUNTIFS(ELEC352!R$9:R$17,"Yes")&gt;=$G45, IFERROR(INDEX(ELEC352!$C$9:'ELEC352'!$C$17, _xlfn.AGGREGATE(15, 6, ROW($1:$17)/SIGN(LEN(ELEC352!R$9:'ELEC352'!R$17)), COUNTIFS(ELEC352!R$9:R$17,"Yes"))),""),"")</f>
        <v/>
      </c>
      <c r="S45" s="84" t="str" cm="1">
        <f t="array" ref="S45">IF(COUNTIFS(ELEC352!S$9:S$17,"Yes")&gt;=$G45, IFERROR(INDEX(ELEC352!$C$9:'ELEC352'!$C$17, _xlfn.AGGREGATE(15, 6, ROW($1:$17)/SIGN(LEN(ELEC352!S$9:'ELEC352'!S$17)), COUNTIFS(ELEC352!S$9:S$17,"Yes"))),""),"")</f>
        <v/>
      </c>
      <c r="T45" s="87" t="str" cm="1">
        <f t="array" ref="T45">IF(COUNTIFS(ELEC352!T$9:T$17,"Yes")&gt;=$G45, IFERROR(INDEX(ELEC352!$C$9:'ELEC352'!$C$17, _xlfn.AGGREGATE(15, 6, ROW($1:$17)/SIGN(LEN(ELEC352!T$9:'ELEC352'!T$17)), COUNTIFS(ELEC352!T$9:T$17,"Yes"))),""),"")</f>
        <v/>
      </c>
    </row>
    <row r="46" spans="7:23" ht="24" customHeight="1" x14ac:dyDescent="0.2">
      <c r="G46" s="82">
        <v>1</v>
      </c>
      <c r="H46" s="160" t="s">
        <v>280</v>
      </c>
      <c r="I46" s="125" t="str" cm="1">
        <f t="array" ref="I46">IFERROR(INDEX(ELEC362!$C$9:'ELEC362'!$C$17, _xlfn.AGGREGATE(15, 6, ROW($1:$17)/SIGN(LEN(ELEC362!I$9:'ELEC362'!I$17)), 1)),"")</f>
        <v/>
      </c>
      <c r="J46" s="125" t="str" cm="1">
        <f t="array" ref="J46">IFERROR(INDEX(ELEC362!$C$9:'ELEC362'!$C$17, _xlfn.AGGREGATE(15, 6, ROW($1:$17)/SIGN(LEN(ELEC362!J$9:'ELEC362'!J$17)), 1)),"")</f>
        <v/>
      </c>
      <c r="K46" s="125" t="str" cm="1">
        <f t="array" ref="K46">IFERROR(INDEX(ELEC362!$C$9:'ELEC362'!$C$17, _xlfn.AGGREGATE(15, 6, ROW($1:$17)/SIGN(LEN(ELEC362!K$9:'ELEC362'!K$17)), 1)),"")</f>
        <v/>
      </c>
      <c r="L46" s="125" t="str" cm="1">
        <f t="array" ref="L46">IFERROR(INDEX(ELEC362!$C$9:'ELEC362'!$C$17, _xlfn.AGGREGATE(15, 6, ROW($1:$17)/SIGN(LEN(ELEC362!L$9:'ELEC362'!L$17)), 1)),"")</f>
        <v/>
      </c>
      <c r="M46" s="125" t="str" cm="1">
        <f t="array" ref="M46">IFERROR(INDEX(ELEC362!$C$9:'ELEC362'!$C$17, _xlfn.AGGREGATE(15, 6, ROW($1:$17)/SIGN(LEN(ELEC362!M$9:'ELEC362'!M$17)), 1)),"")</f>
        <v>Coding Assignment</v>
      </c>
      <c r="N46" s="125" t="str" cm="1">
        <f t="array" ref="N46">IFERROR(INDEX(ELEC362!$C$9:'ELEC362'!$C$17, _xlfn.AGGREGATE(15, 6, ROW($1:$17)/SIGN(LEN(ELEC362!N$9:'ELEC362'!N$17)), 1)),"")</f>
        <v/>
      </c>
      <c r="O46" s="125" t="str" cm="1">
        <f t="array" ref="O46">IFERROR(INDEX(ELEC362!$C$9:'ELEC362'!$C$17, _xlfn.AGGREGATE(15, 6, ROW($1:$17)/SIGN(LEN(ELEC362!O$9:'ELEC362'!O$17)), 1)),"")</f>
        <v/>
      </c>
      <c r="P46" s="125" t="str" cm="1">
        <f t="array" ref="P46">IFERROR(INDEX(ELEC362!$C$9:'ELEC362'!$C$17, _xlfn.AGGREGATE(15, 6, ROW($1:$17)/SIGN(LEN(ELEC362!P$9:'ELEC362'!P$17)), 1)),"")</f>
        <v/>
      </c>
      <c r="Q46" s="125" t="str" cm="1">
        <f t="array" ref="Q46">IFERROR(INDEX(ELEC362!$C$9:'ELEC362'!$C$17, _xlfn.AGGREGATE(15, 6, ROW($1:$17)/SIGN(LEN(ELEC362!Q$9:'ELEC362'!Q$17)), 1)),"")</f>
        <v/>
      </c>
      <c r="R46" s="125" t="str" cm="1">
        <f t="array" ref="R46">IFERROR(INDEX(ELEC362!$C$9:'ELEC362'!$C$17, _xlfn.AGGREGATE(15, 6, ROW($1:$17)/SIGN(LEN(ELEC362!R$9:'ELEC362'!R$17)), 1)),"")</f>
        <v/>
      </c>
      <c r="S46" s="125" t="str" cm="1">
        <f t="array" ref="S46">IFERROR(INDEX(ELEC362!$C$9:'ELEC362'!$C$17, _xlfn.AGGREGATE(15, 6, ROW($1:$17)/SIGN(LEN(ELEC362!S$9:'ELEC362'!S$17)), 1)),"")</f>
        <v/>
      </c>
      <c r="T46" s="126" t="str" cm="1">
        <f t="array" ref="T46">IFERROR(INDEX(ELEC362!$C$9:'ELEC362'!$C$17, _xlfn.AGGREGATE(15, 6, ROW($1:$17)/SIGN(LEN(ELEC362!T$9:'ELEC362'!T$17)), 1)),"")</f>
        <v>Software Development Project</v>
      </c>
    </row>
    <row r="47" spans="7:23" ht="25.25" customHeight="1" x14ac:dyDescent="0.2">
      <c r="G47" s="82">
        <v>2</v>
      </c>
      <c r="H47" s="161"/>
      <c r="I47" s="84" t="str" cm="1">
        <f t="array" ref="I47">IF(COUNTIFS(ELEC362!I$9:I$17,"Yes")&gt;=$G47, IFERROR(INDEX(ELEC362!$C$9:'ELEC362'!$C$17, _xlfn.AGGREGATE(15, 6, ROW($1:$17)/SIGN(LEN(ELEC362!I$9:'ELEC362'!I$17)), COUNTIFS(ELEC362!I$9:I$17,"Yes"))),""),"")</f>
        <v/>
      </c>
      <c r="J47" s="84" t="str" cm="1">
        <f t="array" ref="J47">IF(COUNTIFS(ELEC362!J$9:J$17,"Yes")&gt;=$G47, IFERROR(INDEX(ELEC362!$C$9:'ELEC362'!$C$17, _xlfn.AGGREGATE(15, 6, ROW($1:$17)/SIGN(LEN(ELEC362!J$9:'ELEC362'!J$17)), COUNTIFS(ELEC362!J$9:J$17,"Yes"))),""),"")</f>
        <v/>
      </c>
      <c r="K47" s="84" t="str" cm="1">
        <f t="array" ref="K47">IF(COUNTIFS(ELEC362!K$9:K$17,"Yes")&gt;=$G47, IFERROR(INDEX(ELEC362!$C$9:'ELEC362'!$C$17, _xlfn.AGGREGATE(15, 6, ROW($1:$17)/SIGN(LEN(ELEC362!K$9:'ELEC362'!K$17)), COUNTIFS(ELEC362!K$9:K$17,"Yes"))),""),"")</f>
        <v/>
      </c>
      <c r="L47" s="84" t="str" cm="1">
        <f t="array" ref="L47">IF(COUNTIFS(ELEC362!L$9:L$17,"Yes")&gt;=$G47, IFERROR(INDEX(ELEC362!$C$9:'ELEC362'!$C$17, _xlfn.AGGREGATE(15, 6, ROW($1:$17)/SIGN(LEN(ELEC362!L$9:'ELEC362'!L$17)), COUNTIFS(ELEC362!L$9:L$17,"Yes"))),""),"")</f>
        <v/>
      </c>
      <c r="M47" s="84" t="str" cm="1">
        <f t="array" ref="M47">IF(COUNTIFS(ELEC362!M$9:M$17,"Yes")&gt;=$G47, IFERROR(INDEX(ELEC362!$C$9:'ELEC362'!$C$17, _xlfn.AGGREGATE(15, 6, ROW($1:$17)/SIGN(LEN(ELEC362!M$9:'ELEC362'!M$17)), COUNTIFS(ELEC362!M$9:M$17,"Yes"))),""),"")</f>
        <v/>
      </c>
      <c r="N47" s="84" t="str" cm="1">
        <f t="array" ref="N47">IF(COUNTIFS(ELEC362!N$9:N$17,"Yes")&gt;=$G47, IFERROR(INDEX(ELEC362!$C$9:'ELEC362'!$C$17, _xlfn.AGGREGATE(15, 6, ROW($1:$17)/SIGN(LEN(ELEC362!N$9:'ELEC362'!N$17)), COUNTIFS(ELEC362!N$9:N$17,"Yes"))),""),"")</f>
        <v/>
      </c>
      <c r="O47" s="84" t="str" cm="1">
        <f t="array" ref="O47">IF(COUNTIFS(ELEC362!O$9:O$17,"Yes")&gt;=$G47, IFERROR(INDEX(ELEC362!$C$9:'ELEC362'!$C$17, _xlfn.AGGREGATE(15, 6, ROW($1:$17)/SIGN(LEN(ELEC362!O$9:'ELEC362'!O$17)), COUNTIFS(ELEC362!O$9:O$17,"Yes"))),""),"")</f>
        <v/>
      </c>
      <c r="P47" s="84" t="str" cm="1">
        <f t="array" ref="P47">IF(COUNTIFS(ELEC362!P$9:P$17,"Yes")&gt;=$G47, IFERROR(INDEX(ELEC362!$C$9:'ELEC362'!$C$17, _xlfn.AGGREGATE(15, 6, ROW($1:$17)/SIGN(LEN(ELEC362!P$9:'ELEC362'!P$17)), COUNTIFS(ELEC362!P$9:P$17,"Yes"))),""),"")</f>
        <v/>
      </c>
      <c r="Q47" s="84" t="str" cm="1">
        <f t="array" ref="Q47">IF(COUNTIFS(ELEC362!Q$9:Q$17,"Yes")&gt;=$G47, IFERROR(INDEX(ELEC362!$C$9:'ELEC362'!$C$17, _xlfn.AGGREGATE(15, 6, ROW($1:$17)/SIGN(LEN(ELEC362!Q$9:'ELEC362'!Q$17)), COUNTIFS(ELEC362!Q$9:Q$17,"Yes"))),""),"")</f>
        <v/>
      </c>
      <c r="R47" s="84" t="str" cm="1">
        <f t="array" ref="R47">IF(COUNTIFS(ELEC362!R$9:R$17,"Yes")&gt;=$G47, IFERROR(INDEX(ELEC362!$C$9:'ELEC362'!$C$17, _xlfn.AGGREGATE(15, 6, ROW($1:$17)/SIGN(LEN(ELEC362!R$9:'ELEC362'!R$17)), COUNTIFS(ELEC362!R$9:R$17,"Yes"))),""),"")</f>
        <v/>
      </c>
      <c r="S47" s="84" t="str" cm="1">
        <f t="array" ref="S47">IF(COUNTIFS(ELEC362!S$9:S$17,"Yes")&gt;=$G47, IFERROR(INDEX(ELEC362!$C$9:'ELEC362'!$C$17, _xlfn.AGGREGATE(15, 6, ROW($1:$17)/SIGN(LEN(ELEC362!S$9:'ELEC362'!S$17)), COUNTIFS(ELEC362!S$9:S$17,"Yes"))),""),"")</f>
        <v/>
      </c>
      <c r="T47" s="87" t="str" cm="1">
        <f t="array" ref="T47">IF(COUNTIFS(ELEC362!T$9:T$17,"Yes")&gt;=$G47, IFERROR(INDEX(ELEC362!$C$9:'ELEC362'!$C$17, _xlfn.AGGREGATE(15, 6, ROW($1:$17)/SIGN(LEN(ELEC362!T$9:'ELEC362'!T$17)), COUNTIFS(ELEC362!T$9:T$17,"Yes"))),""),"")</f>
        <v/>
      </c>
    </row>
    <row r="48" spans="7:23" ht="23" customHeight="1" x14ac:dyDescent="0.2">
      <c r="G48" s="82">
        <v>1</v>
      </c>
      <c r="H48" s="162" t="s">
        <v>281</v>
      </c>
      <c r="I48" s="83" t="str" cm="1">
        <f t="array" ref="I48">IFERROR(INDEX(ELEC370!$C$9:'ELEC370'!$C$17, _xlfn.AGGREGATE(15, 6, ROW($1:$17)/SIGN(LEN(ELEC370!I$9:'ELEC370'!I$17)), 1)),"")</f>
        <v/>
      </c>
      <c r="J48" s="83" t="str" cm="1">
        <f t="array" ref="J48">IFERROR(INDEX(ELEC370!$C$9:'ELEC370'!$C$17, _xlfn.AGGREGATE(15, 6, ROW($1:$17)/SIGN(LEN(ELEC370!J$9:'ELEC370'!J$17)), 1)),"")</f>
        <v/>
      </c>
      <c r="K48" s="83" t="str" cm="1">
        <f t="array" ref="K48">IFERROR(INDEX(ELEC370!$C$9:'ELEC370'!$C$17, _xlfn.AGGREGATE(15, 6, ROW($1:$17)/SIGN(LEN(ELEC370!K$9:'ELEC370'!K$17)), 1)),"")</f>
        <v/>
      </c>
      <c r="L48" s="83" t="str" cm="1">
        <f t="array" ref="L48">IFERROR(INDEX(ELEC370!$C$9:'ELEC370'!$C$17, _xlfn.AGGREGATE(15, 6, ROW($1:$17)/SIGN(LEN(ELEC370!L$9:'ELEC370'!L$17)), 1)),"")</f>
        <v/>
      </c>
      <c r="M48" s="83" t="str" cm="1">
        <f t="array" ref="M48">IFERROR(INDEX(ELEC370!$C$9:'ELEC370'!$C$17, _xlfn.AGGREGATE(15, 6, ROW($1:$17)/SIGN(LEN(ELEC370!M$9:'ELEC370'!M$17)), 1)),"")</f>
        <v/>
      </c>
      <c r="N48" s="83" t="str" cm="1">
        <f t="array" ref="N48">IFERROR(INDEX(ELEC370!$C$9:'ELEC370'!$C$17, _xlfn.AGGREGATE(15, 6, ROW($1:$17)/SIGN(LEN(ELEC370!N$9:'ELEC370'!N$17)), 1)),"")</f>
        <v/>
      </c>
      <c r="O48" s="83" t="str" cm="1">
        <f t="array" ref="O48">IFERROR(INDEX(ELEC370!$C$9:'ELEC370'!$C$17, _xlfn.AGGREGATE(15, 6, ROW($1:$17)/SIGN(LEN(ELEC370!O$9:'ELEC370'!O$17)), 1)),"")</f>
        <v/>
      </c>
      <c r="P48" s="83" t="str" cm="1">
        <f t="array" ref="P48">IFERROR(INDEX(ELEC370!$C$9:'ELEC370'!$C$17, _xlfn.AGGREGATE(15, 6, ROW($1:$17)/SIGN(LEN(ELEC370!P$9:'ELEC370'!P$17)), 1)),"")</f>
        <v/>
      </c>
      <c r="Q48" s="83" t="str" cm="1">
        <f t="array" ref="Q48">IFERROR(INDEX(ELEC370!$C$9:'ELEC370'!$C$17, _xlfn.AGGREGATE(15, 6, ROW($1:$17)/SIGN(LEN(ELEC370!Q$9:'ELEC370'!Q$17)), 1)),"")</f>
        <v/>
      </c>
      <c r="R48" s="83" t="str" cm="1">
        <f t="array" ref="R48">IFERROR(INDEX(ELEC370!$C$9:'ELEC370'!$C$17, _xlfn.AGGREGATE(15, 6, ROW($1:$17)/SIGN(LEN(ELEC370!R$9:'ELEC370'!R$17)), 1)),"")</f>
        <v>CW</v>
      </c>
      <c r="S48" s="83" t="str" cm="1">
        <f t="array" ref="S48">IFERROR(INDEX(ELEC370!$C$9:'ELEC370'!$C$17, _xlfn.AGGREGATE(15, 6, ROW($1:$17)/SIGN(LEN(ELEC370!S$9:'ELEC370'!S$17)), 1)),"")</f>
        <v/>
      </c>
      <c r="T48" s="86" t="str" cm="1">
        <f t="array" ref="T48">IFERROR(INDEX(ELEC370!$C$9:'ELEC370'!$C$17, _xlfn.AGGREGATE(15, 6, ROW($1:$17)/SIGN(LEN(ELEC370!T$9:'ELEC370'!T$17)), 1)),"")</f>
        <v/>
      </c>
    </row>
    <row r="49" spans="7:23" ht="21" customHeight="1" thickBot="1" x14ac:dyDescent="0.25">
      <c r="G49" s="82">
        <v>2</v>
      </c>
      <c r="H49" s="163"/>
      <c r="I49" s="88" t="str" cm="1">
        <f t="array" ref="I49">IF(COUNTIFS(ELEC370!I$9:I$17,"Yes")&gt;=$G49, IFERROR(INDEX(ELEC370!$C$9:'ELEC370'!$C$17, _xlfn.AGGREGATE(15, 6, ROW($1:$17)/SIGN(LEN(ELEC370!I$9:'ELEC370'!I$17)), COUNTIFS(ELEC370!I$9:I$17,"Yes"))),""),"")</f>
        <v/>
      </c>
      <c r="J49" s="88" t="str" cm="1">
        <f t="array" ref="J49">IF(COUNTIFS(ELEC370!J$9:J$17,"Yes")&gt;=$G49, IFERROR(INDEX(ELEC370!$C$9:'ELEC370'!$C$17, _xlfn.AGGREGATE(15, 6, ROW($1:$17)/SIGN(LEN(ELEC370!J$9:'ELEC370'!J$17)), COUNTIFS(ELEC370!J$9:J$17,"Yes"))),""),"")</f>
        <v/>
      </c>
      <c r="K49" s="88" t="str" cm="1">
        <f t="array" ref="K49">IF(COUNTIFS(ELEC370!K$9:K$17,"Yes")&gt;=$G49, IFERROR(INDEX(ELEC370!$C$9:'ELEC370'!$C$17, _xlfn.AGGREGATE(15, 6, ROW($1:$17)/SIGN(LEN(ELEC370!K$9:'ELEC370'!K$17)), COUNTIFS(ELEC370!K$9:K$17,"Yes"))),""),"")</f>
        <v/>
      </c>
      <c r="L49" s="88" t="str" cm="1">
        <f t="array" ref="L49">IF(COUNTIFS(ELEC370!L$9:L$17,"Yes")&gt;=$G49, IFERROR(INDEX(ELEC370!$C$9:'ELEC370'!$C$17, _xlfn.AGGREGATE(15, 6, ROW($1:$17)/SIGN(LEN(ELEC370!L$9:'ELEC370'!L$17)), COUNTIFS(ELEC370!L$9:L$17,"Yes"))),""),"")</f>
        <v/>
      </c>
      <c r="M49" s="88" t="str" cm="1">
        <f t="array" ref="M49">IF(COUNTIFS(ELEC370!M$9:M$17,"Yes")&gt;=$G49, IFERROR(INDEX(ELEC370!$C$9:'ELEC370'!$C$17, _xlfn.AGGREGATE(15, 6, ROW($1:$17)/SIGN(LEN(ELEC370!M$9:'ELEC370'!M$17)), COUNTIFS(ELEC370!M$9:M$17,"Yes"))),""),"")</f>
        <v/>
      </c>
      <c r="N49" s="88" t="str" cm="1">
        <f t="array" ref="N49">IF(COUNTIFS(ELEC370!N$9:N$17,"Yes")&gt;=$G49, IFERROR(INDEX(ELEC370!$C$9:'ELEC370'!$C$17, _xlfn.AGGREGATE(15, 6, ROW($1:$17)/SIGN(LEN(ELEC370!N$9:'ELEC370'!N$17)), COUNTIFS(ELEC370!N$9:N$17,"Yes"))),""),"")</f>
        <v/>
      </c>
      <c r="O49" s="88" t="str" cm="1">
        <f t="array" ref="O49">IF(COUNTIFS(ELEC370!O$9:O$17,"Yes")&gt;=$G49, IFERROR(INDEX(ELEC370!$C$9:'ELEC370'!$C$17, _xlfn.AGGREGATE(15, 6, ROW($1:$17)/SIGN(LEN(ELEC370!O$9:'ELEC370'!O$17)), COUNTIFS(ELEC370!O$9:O$17,"Yes"))),""),"")</f>
        <v/>
      </c>
      <c r="P49" s="88" t="str" cm="1">
        <f t="array" ref="P49">IF(COUNTIFS(ELEC370!P$9:P$17,"Yes")&gt;=$G49, IFERROR(INDEX(ELEC370!$C$9:'ELEC370'!$C$17, _xlfn.AGGREGATE(15, 6, ROW($1:$17)/SIGN(LEN(ELEC370!P$9:'ELEC370'!P$17)), COUNTIFS(ELEC370!P$9:P$17,"Yes"))),""),"")</f>
        <v/>
      </c>
      <c r="Q49" s="88" t="str" cm="1">
        <f t="array" ref="Q49">IF(COUNTIFS(ELEC370!Q$9:Q$17,"Yes")&gt;=$G49, IFERROR(INDEX(ELEC370!$C$9:'ELEC370'!$C$17, _xlfn.AGGREGATE(15, 6, ROW($1:$17)/SIGN(LEN(ELEC370!Q$9:'ELEC370'!Q$17)), COUNTIFS(ELEC370!Q$9:Q$17,"Yes"))),""),"")</f>
        <v/>
      </c>
      <c r="R49" s="88" t="str" cm="1">
        <f t="array" ref="R49">IF(COUNTIFS(ELEC370!R$9:R$17,"Yes")&gt;=$G49, IFERROR(INDEX(ELEC370!$C$9:'ELEC370'!$C$17, _xlfn.AGGREGATE(15, 6, ROW($1:$17)/SIGN(LEN(ELEC370!R$9:'ELEC370'!R$17)), COUNTIFS(ELEC370!R$9:R$17,"Yes"))),""),"")</f>
        <v/>
      </c>
      <c r="S49" s="88" t="str" cm="1">
        <f t="array" ref="S49">IF(COUNTIFS(ELEC370!S$9:S$17,"Yes")&gt;=$G49, IFERROR(INDEX(ELEC370!$C$9:'ELEC370'!$C$17, _xlfn.AGGREGATE(15, 6, ROW($1:$17)/SIGN(LEN(ELEC370!S$9:'ELEC370'!S$17)), COUNTIFS(ELEC370!S$9:S$17,"Yes"))),""),"")</f>
        <v/>
      </c>
      <c r="T49" s="89" t="str" cm="1">
        <f t="array" ref="T49">IF(COUNTIFS(ELEC370!T$9:T$17,"Yes")&gt;=$G49, IFERROR(INDEX(ELEC370!$C$9:'ELEC370'!$C$17, _xlfn.AGGREGATE(15, 6, ROW($1:$17)/SIGN(LEN(ELEC370!T$9:'ELEC370'!T$17)), COUNTIFS(ELEC370!T$9:T$17,"Yes"))),""),"")</f>
        <v/>
      </c>
    </row>
    <row r="50" spans="7:23" ht="21" customHeight="1" x14ac:dyDescent="0.2">
      <c r="G50" s="82">
        <v>1</v>
      </c>
      <c r="H50" s="166" t="s">
        <v>282</v>
      </c>
      <c r="I50" s="83" t="str" cm="1">
        <f t="array" ref="I50">IFERROR(INDEX(ELEC372!$C$9:'ELEC372'!$C$17, _xlfn.AGGREGATE(15, 6, ROW($1:$17)/SIGN(LEN(ELEC372!I$9:'ELEC372'!I$17)), 1)),"")</f>
        <v/>
      </c>
      <c r="J50" s="83" t="str" cm="1">
        <f t="array" ref="J50">IFERROR(INDEX(ELEC372!$C$9:'ELEC372'!$C$17, _xlfn.AGGREGATE(15, 6, ROW($1:$17)/SIGN(LEN(ELEC372!J$9:'ELEC372'!J$17)), 1)),"")</f>
        <v/>
      </c>
      <c r="K50" s="83" t="str" cm="1">
        <f t="array" ref="K50">IFERROR(INDEX(ELEC372!$C$9:'ELEC372'!$C$17, _xlfn.AGGREGATE(15, 6, ROW($1:$17)/SIGN(LEN(ELEC372!K$9:'ELEC372'!K$17)), 1)),"")</f>
        <v/>
      </c>
      <c r="L50" s="83" t="str" cm="1">
        <f t="array" ref="L50">IFERROR(INDEX(ELEC372!$C$9:'ELEC372'!$C$17, _xlfn.AGGREGATE(15, 6, ROW($1:$17)/SIGN(LEN(ELEC372!L$9:'ELEC372'!L$17)), 1)),"")</f>
        <v/>
      </c>
      <c r="M50" s="83" t="str" cm="1">
        <f t="array" ref="M50">IFERROR(INDEX(ELEC372!$C$9:'ELEC372'!$C$17, _xlfn.AGGREGATE(15, 6, ROW($1:$17)/SIGN(LEN(ELEC372!M$9:'ELEC372'!M$17)), 1)),"")</f>
        <v/>
      </c>
      <c r="N50" s="83" t="str" cm="1">
        <f t="array" ref="N50">IFERROR(INDEX(ELEC372!$C$9:'ELEC372'!$C$17, _xlfn.AGGREGATE(15, 6, ROW($1:$17)/SIGN(LEN(ELEC372!N$9:'ELEC372'!N$17)), 1)),"")</f>
        <v/>
      </c>
      <c r="O50" s="83" t="str" cm="1">
        <f t="array" ref="O50">IFERROR(INDEX(ELEC372!$C$9:'ELEC372'!$C$17, _xlfn.AGGREGATE(15, 6, ROW($1:$17)/SIGN(LEN(ELEC372!O$9:'ELEC372'!O$17)), 1)),"")</f>
        <v/>
      </c>
      <c r="P50" s="83" t="str" cm="1">
        <f t="array" ref="P50">IFERROR(INDEX(ELEC372!$C$9:'ELEC372'!$C$17, _xlfn.AGGREGATE(15, 6, ROW($1:$17)/SIGN(LEN(ELEC372!P$9:'ELEC372'!P$17)), 1)),"")</f>
        <v/>
      </c>
      <c r="Q50" s="83" t="str" cm="1">
        <f t="array" ref="Q50">IFERROR(INDEX(ELEC372!$C$9:'ELEC372'!$C$17, _xlfn.AGGREGATE(15, 6, ROW($1:$17)/SIGN(LEN(ELEC372!Q$9:'ELEC372'!Q$17)), 1)),"")</f>
        <v/>
      </c>
      <c r="R50" s="83" t="str" cm="1">
        <f t="array" ref="R50">IFERROR(INDEX(ELEC372!$C$9:'ELEC372'!$C$17, _xlfn.AGGREGATE(15, 6, ROW($1:$17)/SIGN(LEN(ELEC372!R$9:'ELEC372'!R$17)), 1)),"")</f>
        <v/>
      </c>
      <c r="S50" s="83" t="str" cm="1">
        <f t="array" ref="S50">IFERROR(INDEX(ELEC372!$C$9:'ELEC372'!$C$17, _xlfn.AGGREGATE(15, 6, ROW($1:$17)/SIGN(LEN(ELEC372!S$9:'ELEC372'!S$17)), 1)),"")</f>
        <v>CW1</v>
      </c>
      <c r="T50" s="86" t="str" cm="1">
        <f t="array" ref="T50">IFERROR(INDEX(ELEC372!$C$9:'ELEC372'!$C$17, _xlfn.AGGREGATE(15, 6, ROW($1:$17)/SIGN(LEN(ELEC372!T$9:'ELEC372'!T$17)), 1)),"")</f>
        <v/>
      </c>
    </row>
    <row r="51" spans="7:23" ht="21" customHeight="1" x14ac:dyDescent="0.2">
      <c r="G51" s="82">
        <v>2</v>
      </c>
      <c r="H51" s="167"/>
      <c r="I51" s="84" t="str" cm="1">
        <f t="array" ref="I51">IF(COUNTIFS(ELEC372!I$9:I$17,"Yes")&gt;=$G51, IFERROR(INDEX(ELEC372!$C$9:'ELEC372'!$C$17, _xlfn.AGGREGATE(15, 6, ROW($1:$17)/SIGN(LEN(ELEC372!I$9:'ELEC372'!I$17)), COUNTIFS(ELEC372!I$9:I$17,"Yes"))),""),"")</f>
        <v/>
      </c>
      <c r="J51" s="84" t="str" cm="1">
        <f t="array" ref="J51">IF(COUNTIFS(ELEC372!J$9:J$17,"Yes")&gt;=$G51, IFERROR(INDEX(ELEC372!$C$9:'ELEC372'!$C$17, _xlfn.AGGREGATE(15, 6, ROW($1:$17)/SIGN(LEN(ELEC372!J$9:'ELEC372'!J$17)), COUNTIFS(ELEC372!J$9:J$17,"Yes"))),""),"")</f>
        <v/>
      </c>
      <c r="K51" s="84" t="str" cm="1">
        <f t="array" ref="K51">IF(COUNTIFS(ELEC372!K$9:K$17,"Yes")&gt;=$G51, IFERROR(INDEX(ELEC372!$C$9:'ELEC372'!$C$17, _xlfn.AGGREGATE(15, 6, ROW($1:$17)/SIGN(LEN(ELEC372!K$9:'ELEC372'!K$17)), COUNTIFS(ELEC372!K$9:K$17,"Yes"))),""),"")</f>
        <v/>
      </c>
      <c r="L51" s="84" t="str" cm="1">
        <f t="array" ref="L51">IF(COUNTIFS(ELEC372!L$9:L$17,"Yes")&gt;=$G51, IFERROR(INDEX(ELEC372!$C$9:'ELEC372'!$C$17, _xlfn.AGGREGATE(15, 6, ROW($1:$17)/SIGN(LEN(ELEC372!L$9:'ELEC372'!L$17)), COUNTIFS(ELEC372!L$9:L$17,"Yes"))),""),"")</f>
        <v/>
      </c>
      <c r="M51" s="84" t="str" cm="1">
        <f t="array" ref="M51">IF(COUNTIFS(ELEC372!M$9:M$17,"Yes")&gt;=$G51, IFERROR(INDEX(ELEC372!$C$9:'ELEC372'!$C$17, _xlfn.AGGREGATE(15, 6, ROW($1:$17)/SIGN(LEN(ELEC372!M$9:'ELEC372'!M$17)), COUNTIFS(ELEC372!M$9:M$17,"Yes"))),""),"")</f>
        <v/>
      </c>
      <c r="N51" s="84" t="str" cm="1">
        <f t="array" ref="N51">IF(COUNTIFS(ELEC372!N$9:N$17,"Yes")&gt;=$G51, IFERROR(INDEX(ELEC372!$C$9:'ELEC372'!$C$17, _xlfn.AGGREGATE(15, 6, ROW($1:$17)/SIGN(LEN(ELEC372!N$9:'ELEC372'!N$17)), COUNTIFS(ELEC372!N$9:N$17,"Yes"))),""),"")</f>
        <v/>
      </c>
      <c r="O51" s="84" t="str" cm="1">
        <f t="array" ref="O51">IF(COUNTIFS(ELEC372!O$9:O$17,"Yes")&gt;=$G51, IFERROR(INDEX(ELEC372!$C$9:'ELEC372'!$C$17, _xlfn.AGGREGATE(15, 6, ROW($1:$17)/SIGN(LEN(ELEC372!O$9:'ELEC372'!O$17)), COUNTIFS(ELEC372!O$9:O$17,"Yes"))),""),"")</f>
        <v/>
      </c>
      <c r="P51" s="84" t="str" cm="1">
        <f t="array" ref="P51">IF(COUNTIFS(ELEC372!P$9:P$17,"Yes")&gt;=$G51, IFERROR(INDEX(ELEC372!$C$9:'ELEC372'!$C$17, _xlfn.AGGREGATE(15, 6, ROW($1:$17)/SIGN(LEN(ELEC372!P$9:'ELEC372'!P$17)), COUNTIFS(ELEC372!P$9:P$17,"Yes"))),""),"")</f>
        <v/>
      </c>
      <c r="Q51" s="84" t="str" cm="1">
        <f t="array" ref="Q51">IF(COUNTIFS(ELEC372!Q$9:Q$17,"Yes")&gt;=$G51, IFERROR(INDEX(ELEC372!$C$9:'ELEC372'!$C$17, _xlfn.AGGREGATE(15, 6, ROW($1:$17)/SIGN(LEN(ELEC372!Q$9:'ELEC372'!Q$17)), COUNTIFS(ELEC372!Q$9:Q$17,"Yes"))),""),"")</f>
        <v/>
      </c>
      <c r="R51" s="84" t="str" cm="1">
        <f t="array" ref="R51">IF(COUNTIFS(ELEC372!R$9:R$17,"Yes")&gt;=$G51, IFERROR(INDEX(ELEC372!$C$9:'ELEC372'!$C$17, _xlfn.AGGREGATE(15, 6, ROW($1:$17)/SIGN(LEN(ELEC372!R$9:'ELEC372'!R$17)), COUNTIFS(ELEC372!R$9:R$17,"Yes"))),""),"")</f>
        <v/>
      </c>
      <c r="S51" s="84" t="str" cm="1">
        <f t="array" ref="S51">IF(COUNTIFS(ELEC372!S$9:S$17,"Yes")&gt;=$G51, IFERROR(INDEX(ELEC372!$C$9:'ELEC372'!$C$17, _xlfn.AGGREGATE(15, 6, ROW($1:$17)/SIGN(LEN(ELEC372!S$9:'ELEC372'!S$17)), COUNTIFS(ELEC372!S$9:S$17,"Yes"))),""),"")</f>
        <v/>
      </c>
      <c r="T51" s="87" t="str" cm="1">
        <f t="array" ref="T51">IF(COUNTIFS(ELEC372!T$9:T$17,"Yes")&gt;=$G51, IFERROR(INDEX(ELEC372!$C$9:'ELEC372'!$C$17, _xlfn.AGGREGATE(15, 6, ROW($1:$17)/SIGN(LEN(ELEC372!T$9:'ELEC372'!T$17)), COUNTIFS(ELEC372!T$9:T$17,"Yes"))),""),"")</f>
        <v/>
      </c>
    </row>
    <row r="52" spans="7:23" ht="21" customHeight="1" x14ac:dyDescent="0.2">
      <c r="G52" s="82">
        <v>1</v>
      </c>
      <c r="H52" s="160" t="s">
        <v>283</v>
      </c>
      <c r="I52" s="83" t="str" cm="1">
        <f t="array" ref="I52">IFERROR(INDEX(ELEC373!$C$9:'ELEC373'!$C$17, _xlfn.AGGREGATE(15, 6, ROW(1:17)/SIGN(LEN(ELEC373!I$9:'ELEC373'!I$17)), 1)),"")</f>
        <v/>
      </c>
      <c r="J52" s="83" t="str" cm="1">
        <f t="array" ref="J52">IFERROR(INDEX(ELEC373!$C$9:'ELEC373'!$C$17, _xlfn.AGGREGATE(15, 6, ROW(1:17)/SIGN(LEN(ELEC373!J$9:'ELEC373'!J$17)), 1)),"")</f>
        <v/>
      </c>
      <c r="K52" s="83" t="str" cm="1">
        <f t="array" ref="K52">IFERROR(INDEX(ELEC373!$C$9:'ELEC373'!$C$17, _xlfn.AGGREGATE(15, 6, ROW(1:17)/SIGN(LEN(ELEC373!K$9:'ELEC373'!K$17)), 1)),"")</f>
        <v/>
      </c>
      <c r="L52" s="83" t="str" cm="1">
        <f t="array" ref="L52">IFERROR(INDEX(ELEC373!$C$9:'ELEC373'!$C$17, _xlfn.AGGREGATE(15, 6, ROW(1:17)/SIGN(LEN(ELEC373!L$9:'ELEC373'!L$17)), 1)),"")</f>
        <v/>
      </c>
      <c r="M52" s="83" t="str" cm="1">
        <f t="array" ref="M52">IFERROR(INDEX(ELEC373!$C$9:'ELEC373'!$C$17, _xlfn.AGGREGATE(15, 6, ROW(1:17)/SIGN(LEN(ELEC373!M$9:'ELEC373'!M$17)), 1)),"")</f>
        <v/>
      </c>
      <c r="N52" s="83" t="str" cm="1">
        <f t="array" ref="N52">IFERROR(INDEX(ELEC373!$C$9:'ELEC373'!$C$17, _xlfn.AGGREGATE(15, 6, ROW(1:17)/SIGN(LEN(ELEC373!N$9:'ELEC373'!N$17)), 1)),"")</f>
        <v/>
      </c>
      <c r="O52" s="83" t="str" cm="1">
        <f t="array" ref="O52">IFERROR(INDEX(ELEC373!$C$9:'ELEC373'!$C$17, _xlfn.AGGREGATE(15, 6, ROW(1:17)/SIGN(LEN(ELEC373!O$9:'ELEC373'!O$17)), 1)),"")</f>
        <v/>
      </c>
      <c r="P52" s="83" t="str" cm="1">
        <f t="array" ref="P52">IFERROR(INDEX(ELEC373!$C$9:'ELEC373'!$C$17, _xlfn.AGGREGATE(15, 6, ROW(1:17)/SIGN(LEN(ELEC373!P$9:'ELEC373'!P$17)), 1)),"")</f>
        <v/>
      </c>
      <c r="Q52" s="83" t="str" cm="1">
        <f t="array" ref="Q52">IFERROR(INDEX(ELEC373!$C$9:'ELEC373'!$C$17, _xlfn.AGGREGATE(15, 6, ROW(1:17)/SIGN(LEN(ELEC373!Q$9:'ELEC373'!Q$17)), 1)),"")</f>
        <v>Design Assignment</v>
      </c>
      <c r="R52" s="83" t="str" cm="1">
        <f t="array" ref="R52">IFERROR(INDEX(ELEC373!$C$9:'ELEC373'!$C$17, _xlfn.AGGREGATE(15, 6, ROW(1:17)/SIGN(LEN(ELEC373!R$9:'ELEC373'!R$17)), 1)),"")</f>
        <v/>
      </c>
      <c r="S52" s="83" t="str" cm="1">
        <f t="array" ref="S52">IFERROR(INDEX(ELEC373!$C$9:'ELEC373'!$C$17, _xlfn.AGGREGATE(15, 6, ROW(1:17)/SIGN(LEN(ELEC373!S$9:'ELEC373'!S$17)), 1)),"")</f>
        <v/>
      </c>
      <c r="T52" s="83" t="str" cm="1">
        <f t="array" ref="T52">IFERROR(INDEX(ELEC373!$C$9:'ELEC373'!$C$17, _xlfn.AGGREGATE(15, 6, ROW(1:17)/SIGN(LEN(ELEC373!T$9:'ELEC373'!T$17)), 1)),"")</f>
        <v/>
      </c>
      <c r="U52" s="125" t="str" cm="1">
        <f t="array" ref="U52">IFERROR(INDEX(ELEC373!$C$9:'ELEC373'!$C$17, _xlfn.AGGREGATE(15, 6, ROW(1:17)/SIGN(LEN(ELEC373!U$9:'ELEC373'!U$17)), 1)),"")</f>
        <v/>
      </c>
      <c r="V52" s="125" t="str" cm="1">
        <f t="array" ref="V52">IFERROR(INDEX(ELEC373!$C$9:'ELEC373'!$C$17, _xlfn.AGGREGATE(15, 6, ROW(1:17)/SIGN(LEN(ELEC373!V$9:'ELEC373'!V$17)), 1)),"")</f>
        <v/>
      </c>
      <c r="W52" s="158" t="str" cm="1">
        <f t="array" ref="W52">IFERROR(INDEX(ELEC373!$C$9:'ELEC373'!$C$17, _xlfn.AGGREGATE(15, 6, ROW(1:17)/SIGN(LEN(ELEC373!W$9:'ELEC373'!W$17)), 1)),"")</f>
        <v>Class Test (sem 2 wk 1)</v>
      </c>
    </row>
    <row r="53" spans="7:23" ht="21" customHeight="1" x14ac:dyDescent="0.2">
      <c r="G53" s="82">
        <v>2</v>
      </c>
      <c r="H53" s="161"/>
      <c r="I53" s="84" t="str" cm="1">
        <f t="array" ref="I53">IF(COUNTIFS(ELEC373!I$9:I$17,"Yes")&gt;=$G53, IFERROR(INDEX(ELEC373!$C$9:'ELEC373'!$C$17, _xlfn.AGGREGATE(15, 6, ROW($1:$17)/SIGN(LEN(ELEC373!I$9:'ELEC373'!I$17)), COUNTIFS(ELEC373!I$9:I$17,"Yes"))),""),"")</f>
        <v/>
      </c>
      <c r="J53" s="84" t="str" cm="1">
        <f t="array" ref="J53">IF(COUNTIFS(ELEC373!J$9:J$17,"Yes")&gt;=$G53, IFERROR(INDEX(ELEC373!$C$9:'ELEC373'!$C$17, _xlfn.AGGREGATE(15, 6, ROW($1:$17)/SIGN(LEN(ELEC373!J$9:'ELEC373'!J$17)), COUNTIFS(ELEC373!J$9:J$17,"Yes"))),""),"")</f>
        <v/>
      </c>
      <c r="K53" s="84" t="str" cm="1">
        <f t="array" ref="K53">IF(COUNTIFS(ELEC373!K$9:K$17,"Yes")&gt;=$G53, IFERROR(INDEX(ELEC373!$C$9:'ELEC373'!$C$17, _xlfn.AGGREGATE(15, 6, ROW($1:$17)/SIGN(LEN(ELEC373!K$9:'ELEC373'!K$17)), COUNTIFS(ELEC373!K$9:K$17,"Yes"))),""),"")</f>
        <v/>
      </c>
      <c r="L53" s="84" t="str" cm="1">
        <f t="array" ref="L53">IF(COUNTIFS(ELEC373!L$9:L$17,"Yes")&gt;=$G53, IFERROR(INDEX(ELEC373!$C$9:'ELEC373'!$C$17, _xlfn.AGGREGATE(15, 6, ROW($1:$17)/SIGN(LEN(ELEC373!L$9:'ELEC373'!L$17)), COUNTIFS(ELEC373!L$9:L$17,"Yes"))),""),"")</f>
        <v/>
      </c>
      <c r="M53" s="84" t="str" cm="1">
        <f t="array" ref="M53">IF(COUNTIFS(ELEC373!M$9:M$17,"Yes")&gt;=$G53, IFERROR(INDEX(ELEC373!$C$9:'ELEC373'!$C$17, _xlfn.AGGREGATE(15, 6, ROW($1:$17)/SIGN(LEN(ELEC373!M$9:'ELEC373'!M$17)), COUNTIFS(ELEC373!M$9:M$17,"Yes"))),""),"")</f>
        <v/>
      </c>
      <c r="N53" s="84" t="str" cm="1">
        <f t="array" ref="N53">IF(COUNTIFS(ELEC373!N$9:N$17,"Yes")&gt;=$G53, IFERROR(INDEX(ELEC373!$C$9:'ELEC373'!$C$17, _xlfn.AGGREGATE(15, 6, ROW($1:$17)/SIGN(LEN(ELEC373!N$9:'ELEC373'!N$17)), COUNTIFS(ELEC373!N$9:N$17,"Yes"))),""),"")</f>
        <v/>
      </c>
      <c r="O53" s="84" t="str" cm="1">
        <f t="array" ref="O53">IF(COUNTIFS(ELEC373!O$9:O$17,"Yes")&gt;=$G53, IFERROR(INDEX(ELEC373!$C$9:'ELEC373'!$C$17, _xlfn.AGGREGATE(15, 6, ROW($1:$17)/SIGN(LEN(ELEC373!O$9:'ELEC373'!O$17)), COUNTIFS(ELEC373!O$9:O$17,"Yes"))),""),"")</f>
        <v/>
      </c>
      <c r="P53" s="84" t="str" cm="1">
        <f t="array" ref="P53">IF(COUNTIFS(ELEC373!P$9:P$17,"Yes")&gt;=$G53, IFERROR(INDEX(ELEC373!$C$9:'ELEC373'!$C$17, _xlfn.AGGREGATE(15, 6, ROW($1:$17)/SIGN(LEN(ELEC373!P$9:'ELEC373'!P$17)), COUNTIFS(ELEC373!P$9:P$17,"Yes"))),""),"")</f>
        <v/>
      </c>
      <c r="Q53" s="84" t="str" cm="1">
        <f t="array" ref="Q53">IF(COUNTIFS(ELEC373!Q$9:Q$17,"Yes")&gt;=$G53, IFERROR(INDEX(ELEC373!$C$9:'ELEC373'!$C$17, _xlfn.AGGREGATE(15, 6, ROW($1:$17)/SIGN(LEN(ELEC373!Q$9:'ELEC373'!Q$17)), COUNTIFS(ELEC373!Q$9:Q$17,"Yes"))),""),"")</f>
        <v/>
      </c>
      <c r="R53" s="84" t="str" cm="1">
        <f t="array" ref="R53">IF(COUNTIFS(ELEC373!R$9:R$17,"Yes")&gt;=$G53, IFERROR(INDEX(ELEC373!$C$9:'ELEC373'!$C$17, _xlfn.AGGREGATE(15, 6, ROW($1:$17)/SIGN(LEN(ELEC373!R$9:'ELEC373'!R$17)), COUNTIFS(ELEC373!R$9:R$17,"Yes"))),""),"")</f>
        <v/>
      </c>
      <c r="S53" s="84" t="str" cm="1">
        <f t="array" ref="S53">IF(COUNTIFS(ELEC373!S$9:S$17,"Yes")&gt;=$G53, IFERROR(INDEX(ELEC373!$C$9:'ELEC373'!$C$17, _xlfn.AGGREGATE(15, 6, ROW($1:$17)/SIGN(LEN(ELEC373!S$9:'ELEC373'!S$17)), COUNTIFS(ELEC373!S$9:S$17,"Yes"))),""),"")</f>
        <v/>
      </c>
      <c r="T53" s="84" t="str" cm="1">
        <f t="array" ref="T53">IF(COUNTIFS(ELEC373!T$9:T$17,"Yes")&gt;=$G53, IFERROR(INDEX(ELEC373!$C$9:'ELEC373'!$C$17, _xlfn.AGGREGATE(15, 6, ROW($1:$17)/SIGN(LEN(ELEC373!T$9:'ELEC373'!T$17)), COUNTIFS(ELEC373!T$9:T$17,"Yes"))),""),"")</f>
        <v/>
      </c>
      <c r="U53" s="84" t="str" cm="1">
        <f t="array" ref="U53">IF(COUNTIFS(ELEC373!U$9:U$17,"Yes")&gt;=$G53, IFERROR(INDEX(ELEC373!$C$9:'ELEC373'!$C$17, _xlfn.AGGREGATE(15, 6, ROW($1:$17)/SIGN(LEN(ELEC373!U$9:'ELEC373'!U$17)), COUNTIFS(ELEC373!U$9:U$17,"Yes"))),""),"")</f>
        <v/>
      </c>
      <c r="V53" s="84" t="str" cm="1">
        <f t="array" ref="V53">IF(COUNTIFS(ELEC373!V$9:V$17,"Yes")&gt;=$G53, IFERROR(INDEX(ELEC373!$C$9:'ELEC373'!$C$17, _xlfn.AGGREGATE(15, 6, ROW($1:$17)/SIGN(LEN(ELEC373!V$9:'ELEC373'!V$17)), COUNTIFS(ELEC373!V$9:V$17,"Yes"))),""),"")</f>
        <v/>
      </c>
      <c r="W53" s="157" t="str" cm="1">
        <f t="array" ref="W53">IF(COUNTIFS(ELEC373!W$9:W$17,"Yes")&gt;=$G53, IFERROR(INDEX(ELEC373!$C$9:'ELEC373'!$C$17, _xlfn.AGGREGATE(15, 6, ROW($1:$17)/SIGN(LEN(ELEC373!W$9:'ELEC373'!W$17)), COUNTIFS(ELEC373!W$9:W$17,"Yes"))),""),"")</f>
        <v/>
      </c>
    </row>
    <row r="54" spans="7:23" ht="21" customHeight="1" x14ac:dyDescent="0.2">
      <c r="G54" s="82">
        <v>1</v>
      </c>
      <c r="H54" s="160" t="s">
        <v>275</v>
      </c>
      <c r="I54" s="83" t="str" cm="1">
        <f t="array" ref="I54">IFERROR(INDEX(COMP305!$C$9:'COMP305'!$C$17, _xlfn.AGGREGATE(15, 6, ROW($1:$17)/SIGN(LEN(COMP305!I$9:'COMP305'!I$17)), 1)),"")</f>
        <v/>
      </c>
      <c r="J54" s="83" t="str" cm="1">
        <f t="array" ref="J54">IFERROR(INDEX(COMP305!$C$9:'COMP305'!$C$17, _xlfn.AGGREGATE(15, 6, ROW($1:$17)/SIGN(LEN(COMP305!J$9:'COMP305'!J$17)), 1)),"")</f>
        <v/>
      </c>
      <c r="K54" s="83" t="str" cm="1">
        <f t="array" ref="K54">IFERROR(INDEX(COMP305!$C$9:'COMP305'!$C$17, _xlfn.AGGREGATE(15, 6, ROW($1:$17)/SIGN(LEN(COMP305!K$9:'COMP305'!K$17)), 1)),"")</f>
        <v/>
      </c>
      <c r="L54" s="83" t="str" cm="1">
        <f t="array" ref="L54">IFERROR(INDEX(COMP305!$C$9:'COMP305'!$C$17, _xlfn.AGGREGATE(15, 6, ROW($1:$17)/SIGN(LEN(COMP305!L$9:'COMP305'!L$17)), 1)),"")</f>
        <v/>
      </c>
      <c r="M54" s="83" t="str" cm="1">
        <f t="array" ref="M54">IFERROR(INDEX(COMP305!$C$9:'COMP305'!$C$17, _xlfn.AGGREGATE(15, 6, ROW($1:$17)/SIGN(LEN(COMP305!M$9:'COMP305'!M$17)), 1)),"")</f>
        <v/>
      </c>
      <c r="N54" s="83" t="str" cm="1">
        <f t="array" ref="N54">IFERROR(INDEX(COMP305!$C$9:'COMP305'!$C$17, _xlfn.AGGREGATE(15, 6, ROW($1:$17)/SIGN(LEN(COMP305!N$9:'COMP305'!N$17)), 1)),"")</f>
        <v/>
      </c>
      <c r="O54" s="83" t="str" cm="1">
        <f t="array" ref="O54">IFERROR(INDEX(COMP305!$C$9:'COMP305'!$C$17, _xlfn.AGGREGATE(15, 6, ROW($1:$17)/SIGN(LEN(COMP305!O$9:'COMP305'!O$17)), 1)),"")</f>
        <v>Class Test 1</v>
      </c>
      <c r="P54" s="83" t="str" cm="1">
        <f t="array" ref="P54">IFERROR(INDEX(COMP305!$C$9:'COMP305'!$C$17, _xlfn.AGGREGATE(15, 6, ROW($1:$17)/SIGN(LEN(COMP305!P$9:'COMP305'!P$17)), 1)),"")</f>
        <v/>
      </c>
      <c r="Q54" s="83" t="str" cm="1">
        <f t="array" ref="Q54">IFERROR(INDEX(COMP305!$C$9:'COMP305'!$C$17, _xlfn.AGGREGATE(15, 6, ROW($1:$17)/SIGN(LEN(COMP305!Q$9:'COMP305'!Q$17)), 1)),"")</f>
        <v/>
      </c>
      <c r="R54" s="83" t="str" cm="1">
        <f t="array" ref="R54">IFERROR(INDEX(COMP305!$C$9:'COMP305'!$C$17, _xlfn.AGGREGATE(15, 6, ROW($1:$17)/SIGN(LEN(COMP305!R$9:'COMP305'!R$17)), 1)),"")</f>
        <v/>
      </c>
      <c r="S54" s="83" t="str" cm="1">
        <f t="array" ref="S54">IFERROR(INDEX(COMP305!$C$9:'COMP305'!$C$17, _xlfn.AGGREGATE(15, 6, ROW($1:$17)/SIGN(LEN(COMP305!S$9:'COMP305'!S$17)), 1)),"")</f>
        <v>Class Test 2</v>
      </c>
      <c r="T54" s="86" t="str" cm="1">
        <f t="array" ref="T54">IFERROR(INDEX(COMP305!$C$9:'COMP305'!$C$17, _xlfn.AGGREGATE(15, 6, ROW($1:$17)/SIGN(LEN(COMP305!T$9:'COMP305'!T$17)), 1)),"")</f>
        <v/>
      </c>
    </row>
    <row r="55" spans="7:23" ht="21" customHeight="1" x14ac:dyDescent="0.2">
      <c r="G55" s="82">
        <v>2</v>
      </c>
      <c r="H55" s="161"/>
      <c r="I55" s="84" t="str" cm="1">
        <f t="array" ref="I55">IF(COUNTIFS(COMP305!I$9:I$17,"Yes")&gt;=$G55, IFERROR(INDEX(COMP305!$C$9:'COMP305'!$C$17, _xlfn.AGGREGATE(15, 6, ROW($1:$17)/SIGN(LEN(COMP305!I$9:'COMP305'!I$17)), COUNTIFS(COMP305!I$9:I$17,"Yes"))),""),"")</f>
        <v/>
      </c>
      <c r="J55" s="84" t="str" cm="1">
        <f t="array" ref="J55">IF(COUNTIFS(COMP305!J$9:J$17,"Yes")&gt;=$G55, IFERROR(INDEX(COMP305!$C$9:'COMP305'!$C$17, _xlfn.AGGREGATE(15, 6, ROW($1:$17)/SIGN(LEN(COMP305!J$9:'COMP305'!J$17)), COUNTIFS(COMP305!J$9:J$17,"Yes"))),""),"")</f>
        <v/>
      </c>
      <c r="K55" s="84" t="str" cm="1">
        <f t="array" ref="K55">IF(COUNTIFS(COMP305!K$9:K$17,"Yes")&gt;=$G55, IFERROR(INDEX(COMP305!$C$9:'COMP305'!$C$17, _xlfn.AGGREGATE(15, 6, ROW($1:$17)/SIGN(LEN(COMP305!K$9:'COMP305'!K$17)), COUNTIFS(COMP305!K$9:K$17,"Yes"))),""),"")</f>
        <v/>
      </c>
      <c r="L55" s="84" t="str" cm="1">
        <f t="array" ref="L55">IF(COUNTIFS(COMP305!L$9:L$17,"Yes")&gt;=$G55, IFERROR(INDEX(COMP305!$C$9:'COMP305'!$C$17, _xlfn.AGGREGATE(15, 6, ROW($1:$17)/SIGN(LEN(COMP305!L$9:'COMP305'!L$17)), COUNTIFS(COMP305!L$9:L$17,"Yes"))),""),"")</f>
        <v/>
      </c>
      <c r="M55" s="84" t="str" cm="1">
        <f t="array" ref="M55">IF(COUNTIFS(COMP305!M$9:M$17,"Yes")&gt;=$G55, IFERROR(INDEX(COMP305!$C$9:'COMP305'!$C$17, _xlfn.AGGREGATE(15, 6, ROW($1:$17)/SIGN(LEN(COMP305!M$9:'COMP305'!M$17)), COUNTIFS(COMP305!M$9:M$17,"Yes"))),""),"")</f>
        <v/>
      </c>
      <c r="N55" s="84" t="str" cm="1">
        <f t="array" ref="N55">IF(COUNTIFS(COMP305!N$9:N$17,"Yes")&gt;=$G55, IFERROR(INDEX(COMP305!$C$9:'COMP305'!$C$17, _xlfn.AGGREGATE(15, 6, ROW($1:$17)/SIGN(LEN(COMP305!N$9:'COMP305'!N$17)), COUNTIFS(COMP305!N$9:N$17,"Yes"))),""),"")</f>
        <v/>
      </c>
      <c r="O55" s="84" t="str" cm="1">
        <f t="array" ref="O55">IF(COUNTIFS(COMP305!O$9:O$17,"Yes")&gt;=$G55, IFERROR(INDEX(COMP305!$C$9:'COMP305'!$C$17, _xlfn.AGGREGATE(15, 6, ROW($1:$17)/SIGN(LEN(COMP305!O$9:'COMP305'!O$17)), COUNTIFS(COMP305!O$9:O$17,"Yes"))),""),"")</f>
        <v/>
      </c>
      <c r="P55" s="84" t="str" cm="1">
        <f t="array" ref="P55">IF(COUNTIFS(COMP305!P$9:P$17,"Yes")&gt;=$G55, IFERROR(INDEX(COMP305!$C$9:'COMP305'!$C$17, _xlfn.AGGREGATE(15, 6, ROW($1:$17)/SIGN(LEN(COMP305!P$9:'COMP305'!P$17)), COUNTIFS(COMP305!P$9:P$17,"Yes"))),""),"")</f>
        <v/>
      </c>
      <c r="Q55" s="84" t="str" cm="1">
        <f t="array" ref="Q55">IF(COUNTIFS(COMP305!Q$9:Q$17,"Yes")&gt;=$G55, IFERROR(INDEX(COMP305!$C$9:'COMP305'!$C$17, _xlfn.AGGREGATE(15, 6, ROW($1:$17)/SIGN(LEN(COMP305!Q$9:'COMP305'!Q$17)), COUNTIFS(COMP305!Q$9:Q$17,"Yes"))),""),"")</f>
        <v/>
      </c>
      <c r="R55" s="84" t="str" cm="1">
        <f t="array" ref="R55">IF(COUNTIFS(COMP305!R$9:R$17,"Yes")&gt;=$G55, IFERROR(INDEX(COMP305!$C$9:'COMP305'!$C$17, _xlfn.AGGREGATE(15, 6, ROW($1:$17)/SIGN(LEN(COMP305!R$9:'COMP305'!R$17)), COUNTIFS(COMP305!R$9:R$17,"Yes"))),""),"")</f>
        <v/>
      </c>
      <c r="S55" s="84" t="str" cm="1">
        <f t="array" ref="S55">IF(COUNTIFS(COMP305!S$9:S$17,"Yes")&gt;=$G55, IFERROR(INDEX(COMP305!$C$9:'COMP305'!$C$17, _xlfn.AGGREGATE(15, 6, ROW($1:$17)/SIGN(LEN(COMP305!S$9:'COMP305'!S$17)), COUNTIFS(COMP305!S$9:S$17,"Yes"))),""),"")</f>
        <v/>
      </c>
      <c r="T55" s="87" t="str" cm="1">
        <f t="array" ref="T55">IF(COUNTIFS(COMP305!T$9:T$17,"Yes")&gt;=$G55, IFERROR(INDEX(COMP305!$C$9:'COMP305'!$C$17, _xlfn.AGGREGATE(15, 6, ROW($1:$17)/SIGN(LEN(COMP305!T$9:'COMP305'!T$17)), COUNTIFS(COMP305!T$9:T$17,"Yes"))),""),"")</f>
        <v/>
      </c>
    </row>
    <row r="56" spans="7:23" ht="21" customHeight="1" x14ac:dyDescent="0.2">
      <c r="G56" s="82">
        <v>1</v>
      </c>
      <c r="H56" s="160" t="s">
        <v>291</v>
      </c>
      <c r="I56" s="125" t="str" cm="1">
        <f t="array" ref="I56">IFERROR(INDEX(COMP323!$C$9:'COMP323'!$C$17, _xlfn.AGGREGATE(15, 6, ROW($1:$17)/SIGN(LEN(COMP323!I$9:'COMP323'!I$17)), 1)),"")</f>
        <v/>
      </c>
      <c r="J56" s="125" t="str" cm="1">
        <f t="array" ref="J56">IFERROR(INDEX(COMP323!$C$9:'COMP323'!$C$17, _xlfn.AGGREGATE(15, 6, ROW($1:$17)/SIGN(LEN(COMP323!J$9:'COMP323'!J$17)), 1)),"")</f>
        <v/>
      </c>
      <c r="K56" s="125" t="str" cm="1">
        <f t="array" ref="K56">IFERROR(INDEX(COMP323!$C$9:'COMP323'!$C$17, _xlfn.AGGREGATE(15, 6, ROW($1:$17)/SIGN(LEN(COMP323!K$9:'COMP323'!K$17)), 1)),"")</f>
        <v/>
      </c>
      <c r="L56" s="125" t="str" cm="1">
        <f t="array" ref="L56">IFERROR(INDEX(COMP323!$C$9:'COMP323'!$C$17, _xlfn.AGGREGATE(15, 6, ROW($1:$17)/SIGN(LEN(COMP323!L$9:'COMP323'!L$17)), 1)),"")</f>
        <v/>
      </c>
      <c r="M56" s="125" t="str" cm="1">
        <f t="array" ref="M56">IFERROR(INDEX(COMP323!$C$9:'COMP323'!$C$17, _xlfn.AGGREGATE(15, 6, ROW($1:$17)/SIGN(LEN(COMP323!M$9:'COMP323'!M$17)), 1)),"")</f>
        <v/>
      </c>
      <c r="N56" s="125" t="str" cm="1">
        <f t="array" ref="N56">IFERROR(INDEX(COMP323!$C$9:'COMP323'!$C$17, _xlfn.AGGREGATE(15, 6, ROW($1:$17)/SIGN(LEN(COMP323!N$9:'COMP323'!N$17)), 1)),"")</f>
        <v/>
      </c>
      <c r="O56" s="125" t="str" cm="1">
        <f t="array" ref="O56">IFERROR(INDEX(COMP323!$C$9:'COMP323'!$C$17, _xlfn.AGGREGATE(15, 6, ROW($1:$17)/SIGN(LEN(COMP323!O$9:'COMP323'!O$17)), 1)),"")</f>
        <v/>
      </c>
      <c r="P56" s="125" t="str" cm="1">
        <f t="array" ref="P56">IFERROR(INDEX(COMP323!$C$9:'COMP323'!$C$17, _xlfn.AGGREGATE(15, 6, ROW($1:$17)/SIGN(LEN(COMP323!P$9:'COMP323'!P$17)), 1)),"")</f>
        <v>Class Test 1</v>
      </c>
      <c r="Q56" s="125" t="str" cm="1">
        <f t="array" ref="Q56">IFERROR(INDEX(COMP323!$C$9:'COMP323'!$C$17, _xlfn.AGGREGATE(15, 6, ROW($1:$17)/SIGN(LEN(COMP323!Q$9:'COMP323'!Q$17)), 1)),"")</f>
        <v/>
      </c>
      <c r="R56" s="125" t="str" cm="1">
        <f t="array" ref="R56">IFERROR(INDEX(COMP323!$C$9:'COMP323'!$C$17, _xlfn.AGGREGATE(15, 6, ROW($1:$17)/SIGN(LEN(COMP323!R$9:'COMP323'!R$17)), 1)),"")</f>
        <v/>
      </c>
      <c r="S56" s="125" t="str" cm="1">
        <f t="array" ref="S56">IFERROR(INDEX(COMP323!$C$9:'COMP323'!$C$17, _xlfn.AGGREGATE(15, 6, ROW($1:$17)/SIGN(LEN(COMP323!S$9:'COMP323'!S$17)), 1)),"")</f>
        <v/>
      </c>
      <c r="T56" s="126" t="str" cm="1">
        <f t="array" ref="T56">IFERROR(INDEX(COMP323!$C$9:'COMP323'!$C$17, _xlfn.AGGREGATE(15, 6, ROW($1:$17)/SIGN(LEN(COMP323!T$9:'COMP323'!T$17)), 1)),"")</f>
        <v>Class Test 2</v>
      </c>
    </row>
    <row r="57" spans="7:23" ht="21" customHeight="1" x14ac:dyDescent="0.2">
      <c r="G57" s="82">
        <v>2</v>
      </c>
      <c r="H57" s="161"/>
      <c r="I57" s="84" t="str" cm="1">
        <f t="array" ref="I57">IF(COUNTIFS(COMP323!I$9:I$17,"Yes")&gt;=$G57, IFERROR(INDEX(COMP323!$C$9:'COMP323'!$C$17, _xlfn.AGGREGATE(15, 6, ROW($1:$17)/SIGN(LEN(COMP323!I$9:'COMP323'!I$17)), COUNTIFS(COMP323!I$9:I$17,"Yes"))),""),"")</f>
        <v/>
      </c>
      <c r="J57" s="84" t="str" cm="1">
        <f t="array" ref="J57">IF(COUNTIFS(COMP323!J$9:J$17,"Yes")&gt;=$G57, IFERROR(INDEX(COMP323!$C$9:'COMP323'!$C$17, _xlfn.AGGREGATE(15, 6, ROW($1:$17)/SIGN(LEN(COMP323!J$9:'COMP323'!J$17)), COUNTIFS(COMP323!J$9:J$17,"Yes"))),""),"")</f>
        <v/>
      </c>
      <c r="K57" s="84" t="str" cm="1">
        <f t="array" ref="K57">IF(COUNTIFS(COMP323!K$9:K$17,"Yes")&gt;=$G57, IFERROR(INDEX(COMP323!$C$9:'COMP323'!$C$17, _xlfn.AGGREGATE(15, 6, ROW($1:$17)/SIGN(LEN(COMP323!K$9:'COMP323'!K$17)), COUNTIFS(COMP323!K$9:K$17,"Yes"))),""),"")</f>
        <v/>
      </c>
      <c r="L57" s="84" t="str" cm="1">
        <f t="array" ref="L57">IF(COUNTIFS(COMP323!L$9:L$17,"Yes")&gt;=$G57, IFERROR(INDEX(COMP323!$C$9:'COMP323'!$C$17, _xlfn.AGGREGATE(15, 6, ROW($1:$17)/SIGN(LEN(COMP323!L$9:'COMP323'!L$17)), COUNTIFS(COMP323!L$9:L$17,"Yes"))),""),"")</f>
        <v/>
      </c>
      <c r="M57" s="84" t="str" cm="1">
        <f t="array" ref="M57">IF(COUNTIFS(COMP323!M$9:M$17,"Yes")&gt;=$G57, IFERROR(INDEX(COMP323!$C$9:'COMP323'!$C$17, _xlfn.AGGREGATE(15, 6, ROW($1:$17)/SIGN(LEN(COMP323!M$9:'COMP323'!M$17)), COUNTIFS(COMP323!M$9:M$17,"Yes"))),""),"")</f>
        <v/>
      </c>
      <c r="N57" s="84" t="str" cm="1">
        <f t="array" ref="N57">IF(COUNTIFS(COMP323!N$9:N$17,"Yes")&gt;=$G57, IFERROR(INDEX(COMP323!$C$9:'COMP323'!$C$17, _xlfn.AGGREGATE(15, 6, ROW($1:$17)/SIGN(LEN(COMP323!N$9:'COMP323'!N$17)), COUNTIFS(COMP323!N$9:N$17,"Yes"))),""),"")</f>
        <v/>
      </c>
      <c r="O57" s="84" t="str" cm="1">
        <f t="array" ref="O57">IF(COUNTIFS(COMP323!O$9:O$17,"Yes")&gt;=$G57, IFERROR(INDEX(COMP323!$C$9:'COMP323'!$C$17, _xlfn.AGGREGATE(15, 6, ROW($1:$17)/SIGN(LEN(COMP323!O$9:'COMP323'!O$17)), COUNTIFS(COMP323!O$9:O$17,"Yes"))),""),"")</f>
        <v/>
      </c>
      <c r="P57" s="84" t="str" cm="1">
        <f t="array" ref="P57">IF(COUNTIFS(COMP323!P$9:P$17,"Yes")&gt;=$G57, IFERROR(INDEX(COMP323!$C$9:'COMP323'!$C$17, _xlfn.AGGREGATE(15, 6, ROW($1:$17)/SIGN(LEN(COMP323!P$9:'COMP323'!P$17)), COUNTIFS(COMP323!P$9:P$17,"Yes"))),""),"")</f>
        <v/>
      </c>
      <c r="Q57" s="84" t="str" cm="1">
        <f t="array" ref="Q57">IF(COUNTIFS(COMP323!Q$9:Q$17,"Yes")&gt;=$G57, IFERROR(INDEX(COMP323!$C$9:'COMP323'!$C$17, _xlfn.AGGREGATE(15, 6, ROW($1:$17)/SIGN(LEN(COMP323!Q$9:'COMP323'!Q$17)), COUNTIFS(COMP323!Q$9:Q$17,"Yes"))),""),"")</f>
        <v/>
      </c>
      <c r="R57" s="84" t="str" cm="1">
        <f t="array" ref="R57">IF(COUNTIFS(COMP323!R$9:R$17,"Yes")&gt;=$G57, IFERROR(INDEX(COMP323!$C$9:'COMP323'!$C$17, _xlfn.AGGREGATE(15, 6, ROW($1:$17)/SIGN(LEN(COMP323!R$9:'COMP323'!R$17)), COUNTIFS(COMP323!R$9:R$17,"Yes"))),""),"")</f>
        <v/>
      </c>
      <c r="S57" s="84" t="str" cm="1">
        <f t="array" ref="S57">IF(COUNTIFS(COMP323!S$9:S$17,"Yes")&gt;=$G57, IFERROR(INDEX(COMP323!$C$9:'COMP323'!$C$17, _xlfn.AGGREGATE(15, 6, ROW($1:$17)/SIGN(LEN(COMP323!S$9:'COMP323'!S$17)), COUNTIFS(COMP323!S$9:S$17,"Yes"))),""),"")</f>
        <v/>
      </c>
      <c r="T57" s="87" t="str" cm="1">
        <f t="array" ref="T57">IF(COUNTIFS(COMP323!T$9:T$17,"Yes")&gt;=$G57, IFERROR(INDEX(COMP323!$C$9:'COMP323'!$C$17, _xlfn.AGGREGATE(15, 6, ROW($1:$17)/SIGN(LEN(COMP323!T$9:'COMP323'!T$17)), COUNTIFS(COMP323!T$9:T$17,"Yes"))),""),"")</f>
        <v/>
      </c>
    </row>
    <row r="58" spans="7:23" ht="21" customHeight="1" x14ac:dyDescent="0.2">
      <c r="G58" s="82">
        <v>1</v>
      </c>
      <c r="H58" s="162" t="s">
        <v>276</v>
      </c>
      <c r="I58" s="83" t="str" cm="1">
        <f t="array" ref="I58">IFERROR(INDEX(COMP390!$C$9:'COMP390'!$C$17, _xlfn.AGGREGATE(15, 6, ROW($1:$17)/SIGN(LEN(COMP390!I$9:'COMP390'!I$17)), 1)),"")</f>
        <v/>
      </c>
      <c r="J58" s="83" t="str" cm="1">
        <f t="array" ref="J58">IFERROR(INDEX(COMP390!$C$9:'COMP390'!$C$17, _xlfn.AGGREGATE(15, 6, ROW($1:$17)/SIGN(LEN(COMP390!J$9:'COMP390'!J$17)), 1)),"")</f>
        <v/>
      </c>
      <c r="K58" s="83" t="str" cm="1">
        <f t="array" ref="K58">IFERROR(INDEX(COMP390!$C$9:'COMP390'!$C$17, _xlfn.AGGREGATE(15, 6, ROW($1:$17)/SIGN(LEN(COMP390!K$9:'COMP390'!K$17)), 1)),"")</f>
        <v/>
      </c>
      <c r="L58" s="83" t="str" cm="1">
        <f t="array" ref="L58">IFERROR(INDEX(COMP390!$C$9:'COMP390'!$C$17, _xlfn.AGGREGATE(15, 6, ROW($1:$17)/SIGN(LEN(COMP390!L$9:'COMP390'!L$17)), 1)),"")</f>
        <v/>
      </c>
      <c r="M58" s="83" t="str" cm="1">
        <f t="array" ref="M58">IFERROR(INDEX(COMP390!$C$9:'COMP390'!$C$17, _xlfn.AGGREGATE(15, 6, ROW($1:$17)/SIGN(LEN(COMP390!M$9:'COMP390'!M$17)), 1)),"")</f>
        <v/>
      </c>
      <c r="N58" s="83" t="str" cm="1">
        <f t="array" ref="N58">IFERROR(INDEX(COMP390!$C$9:'COMP390'!$C$17, _xlfn.AGGREGATE(15, 6, ROW($1:$17)/SIGN(LEN(COMP390!N$9:'COMP390'!N$17)), 1)),"")</f>
        <v>Detailed Proposal</v>
      </c>
      <c r="O58" s="83" t="str" cm="1">
        <f t="array" ref="O58">IFERROR(INDEX(COMP390!$C$9:'COMP390'!$C$17, _xlfn.AGGREGATE(15, 6, ROW($1:$17)/SIGN(LEN(COMP390!O$9:'COMP390'!O$17)), 1)),"")</f>
        <v/>
      </c>
      <c r="P58" s="83" t="str" cm="1">
        <f t="array" ref="P58">IFERROR(INDEX(COMP390!$C$9:'COMP390'!$C$17, _xlfn.AGGREGATE(15, 6, ROW($1:$17)/SIGN(LEN(COMP390!P$9:'COMP390'!P$17)), 1)),"")</f>
        <v/>
      </c>
      <c r="Q58" s="83" t="str" cm="1">
        <f t="array" ref="Q58">IFERROR(INDEX(COMP390!$C$9:'COMP390'!$C$17, _xlfn.AGGREGATE(15, 6, ROW($1:$17)/SIGN(LEN(COMP390!Q$9:'COMP390'!Q$17)), 1)),"")</f>
        <v/>
      </c>
      <c r="R58" s="83" t="str" cm="1">
        <f t="array" ref="R58">IFERROR(INDEX(COMP390!$C$9:'COMP390'!$C$17, _xlfn.AGGREGATE(15, 6, ROW($1:$17)/SIGN(LEN(COMP390!R$9:'COMP390'!R$17)), 1)),"")</f>
        <v/>
      </c>
      <c r="S58" s="83" t="str" cm="1">
        <f t="array" ref="S58">IFERROR(INDEX(COMP390!$C$9:'COMP390'!$C$17, _xlfn.AGGREGATE(15, 6, ROW($1:$17)/SIGN(LEN(COMP390!S$9:'COMP390'!S$17)), 1)),"")</f>
        <v/>
      </c>
      <c r="T58" s="86" t="str" cm="1">
        <f t="array" ref="T58">IFERROR(INDEX(COMP390!$C$9:'COMP390'!$C$17, _xlfn.AGGREGATE(15, 6, ROW($1:$17)/SIGN(LEN(COMP390!T$9:'COMP390'!T$17)), 1)),"")</f>
        <v/>
      </c>
    </row>
    <row r="59" spans="7:23" ht="21" customHeight="1" thickBot="1" x14ac:dyDescent="0.25">
      <c r="G59" s="82">
        <v>2</v>
      </c>
      <c r="H59" s="163"/>
      <c r="I59" s="88" t="str" cm="1">
        <f t="array" ref="I59">IF(COUNTIFS(COMP390!I$9:I$17,"Yes")&gt;=$G59, IFERROR(INDEX(COMP390!$C$9:'COMP390'!$C$17, _xlfn.AGGREGATE(15, 6, ROW($1:$17)/SIGN(LEN(COMP390!I$9:'COMP390'!I$17)), COUNTIFS(COMP390!I$9:I$17,"Yes"))),""),"")</f>
        <v/>
      </c>
      <c r="J59" s="88" t="str" cm="1">
        <f t="array" ref="J59">IF(COUNTIFS(COMP390!J$9:J$17,"Yes")&gt;=$G59, IFERROR(INDEX(COMP390!$C$9:'COMP390'!$C$17, _xlfn.AGGREGATE(15, 6, ROW($1:$17)/SIGN(LEN(COMP390!J$9:'COMP390'!J$17)), COUNTIFS(COMP390!J$9:J$17,"Yes"))),""),"")</f>
        <v/>
      </c>
      <c r="K59" s="88" t="str" cm="1">
        <f t="array" ref="K59">IF(COUNTIFS(COMP390!K$9:K$17,"Yes")&gt;=$G59, IFERROR(INDEX(COMP390!$C$9:'COMP390'!$C$17, _xlfn.AGGREGATE(15, 6, ROW($1:$17)/SIGN(LEN(COMP390!K$9:'COMP390'!K$17)), COUNTIFS(COMP390!K$9:K$17,"Yes"))),""),"")</f>
        <v/>
      </c>
      <c r="L59" s="88" t="str" cm="1">
        <f t="array" ref="L59">IF(COUNTIFS(COMP390!L$9:L$17,"Yes")&gt;=$G59, IFERROR(INDEX(COMP390!$C$9:'COMP390'!$C$17, _xlfn.AGGREGATE(15, 6, ROW($1:$17)/SIGN(LEN(COMP390!L$9:'COMP390'!L$17)), COUNTIFS(COMP390!L$9:L$17,"Yes"))),""),"")</f>
        <v/>
      </c>
      <c r="M59" s="88" t="str" cm="1">
        <f t="array" ref="M59">IF(COUNTIFS(COMP390!M$9:M$17,"Yes")&gt;=$G59, IFERROR(INDEX(COMP390!$C$9:'COMP390'!$C$17, _xlfn.AGGREGATE(15, 6, ROW($1:$17)/SIGN(LEN(COMP390!M$9:'COMP390'!M$17)), COUNTIFS(COMP390!M$9:M$17,"Yes"))),""),"")</f>
        <v/>
      </c>
      <c r="N59" s="88" t="str" cm="1">
        <f t="array" ref="N59">IF(COUNTIFS(COMP390!N$9:N$17,"Yes")&gt;=$G59, IFERROR(INDEX(COMP390!$C$9:'COMP390'!$C$17, _xlfn.AGGREGATE(15, 6, ROW($1:$17)/SIGN(LEN(COMP390!N$9:'COMP390'!N$17)), COUNTIFS(COMP390!N$9:N$17,"Yes"))),""),"")</f>
        <v/>
      </c>
      <c r="O59" s="88" t="str" cm="1">
        <f t="array" ref="O59">IF(COUNTIFS(COMP390!O$9:O$17,"Yes")&gt;=$G59, IFERROR(INDEX(COMP390!$C$9:'COMP390'!$C$17, _xlfn.AGGREGATE(15, 6, ROW($1:$17)/SIGN(LEN(COMP390!O$9:'COMP390'!O$17)), COUNTIFS(COMP390!O$9:O$17,"Yes"))),""),"")</f>
        <v/>
      </c>
      <c r="P59" s="88" t="str" cm="1">
        <f t="array" ref="P59">IF(COUNTIFS(COMP390!P$9:P$17,"Yes")&gt;=$G59, IFERROR(INDEX(COMP390!$C$9:'COMP390'!$C$17, _xlfn.AGGREGATE(15, 6, ROW($1:$17)/SIGN(LEN(COMP390!P$9:'COMP390'!P$17)), COUNTIFS(COMP390!P$9:P$17,"Yes"))),""),"")</f>
        <v/>
      </c>
      <c r="Q59" s="88" t="str" cm="1">
        <f t="array" ref="Q59">IF(COUNTIFS(COMP390!Q$9:Q$17,"Yes")&gt;=$G59, IFERROR(INDEX(COMP390!$C$9:'COMP390'!$C$17, _xlfn.AGGREGATE(15, 6, ROW($1:$17)/SIGN(LEN(COMP390!Q$9:'COMP390'!Q$17)), COUNTIFS(COMP390!Q$9:Q$17,"Yes"))),""),"")</f>
        <v/>
      </c>
      <c r="R59" s="88" t="str" cm="1">
        <f t="array" ref="R59">IF(COUNTIFS(COMP390!R$9:R$17,"Yes")&gt;=$G59, IFERROR(INDEX(COMP390!$C$9:'COMP390'!$C$17, _xlfn.AGGREGATE(15, 6, ROW($1:$17)/SIGN(LEN(COMP390!R$9:'COMP390'!R$17)), COUNTIFS(COMP390!R$9:R$17,"Yes"))),""),"")</f>
        <v/>
      </c>
      <c r="S59" s="88" t="str" cm="1">
        <f t="array" ref="S59">IF(COUNTIFS(COMP390!S$9:S$17,"Yes")&gt;=$G59, IFERROR(INDEX(COMP390!$C$9:'COMP390'!$C$17, _xlfn.AGGREGATE(15, 6, ROW($1:$17)/SIGN(LEN(COMP390!S$9:'COMP390'!S$17)), COUNTIFS(COMP390!S$9:S$17,"Yes"))),""),"")</f>
        <v/>
      </c>
      <c r="T59" s="89" t="str" cm="1">
        <f t="array" ref="T59">IF(COUNTIFS(COMP390!T$9:T$17,"Yes")&gt;=$G59, IFERROR(INDEX(COMP390!$C$9:'COMP390'!$C$17, _xlfn.AGGREGATE(15, 6, ROW($1:$17)/SIGN(LEN(COMP390!T$9:'COMP390'!T$17)), COUNTIFS(COMP390!T$9:T$17,"Yes"))),""),"")</f>
        <v/>
      </c>
    </row>
    <row r="60" spans="7:23" ht="21" customHeight="1" x14ac:dyDescent="0.2">
      <c r="G60" s="82"/>
      <c r="H60" s="154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</row>
    <row r="61" spans="7:23" ht="21" customHeight="1" x14ac:dyDescent="0.2">
      <c r="G61" s="82"/>
      <c r="H61" s="154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</row>
    <row r="62" spans="7:23" ht="21" customHeight="1" x14ac:dyDescent="0.2">
      <c r="G62" s="82"/>
      <c r="H62" s="154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</row>
    <row r="63" spans="7:23" ht="21" customHeight="1" x14ac:dyDescent="0.2">
      <c r="G63" s="82"/>
      <c r="H63" s="154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</row>
    <row r="67" spans="7:23" x14ac:dyDescent="0.2">
      <c r="G67" t="s">
        <v>99</v>
      </c>
      <c r="I67" s="18">
        <f ca="1">I15</f>
        <v>41</v>
      </c>
      <c r="J67" s="18">
        <f t="shared" ref="J67:W67" ca="1" si="2">(J15-I15)*(J15&gt;I15)</f>
        <v>11</v>
      </c>
      <c r="K67" s="18">
        <f t="shared" ca="1" si="2"/>
        <v>31</v>
      </c>
      <c r="L67" s="18">
        <f t="shared" ca="1" si="2"/>
        <v>0</v>
      </c>
      <c r="M67" s="18">
        <f t="shared" ca="1" si="2"/>
        <v>1</v>
      </c>
      <c r="N67" s="18">
        <f t="shared" ca="1" si="2"/>
        <v>31.75</v>
      </c>
      <c r="O67" s="18">
        <f t="shared" ca="1" si="2"/>
        <v>0</v>
      </c>
      <c r="P67" s="18">
        <f t="shared" ca="1" si="2"/>
        <v>23.25</v>
      </c>
      <c r="Q67" s="18">
        <f t="shared" ca="1" si="2"/>
        <v>22.75</v>
      </c>
      <c r="R67" s="18">
        <f t="shared" ca="1" si="2"/>
        <v>21.75</v>
      </c>
      <c r="S67" s="18">
        <f t="shared" ca="1" si="2"/>
        <v>0</v>
      </c>
      <c r="T67" s="18">
        <f t="shared" ca="1" si="2"/>
        <v>50</v>
      </c>
      <c r="U67" s="18">
        <f t="shared" ca="1" si="2"/>
        <v>0</v>
      </c>
      <c r="V67" s="18">
        <f t="shared" ca="1" si="2"/>
        <v>18.599999999999998</v>
      </c>
      <c r="W67" s="18">
        <f t="shared" ca="1" si="2"/>
        <v>63.025000000000027</v>
      </c>
    </row>
    <row r="68" spans="7:23" x14ac:dyDescent="0.2">
      <c r="G68" t="s">
        <v>101</v>
      </c>
      <c r="I68" s="18">
        <f ca="1">I67^2</f>
        <v>1681</v>
      </c>
      <c r="J68" s="18">
        <f t="shared" ref="J68:W68" ca="1" si="3">J67^2</f>
        <v>121</v>
      </c>
      <c r="K68" s="18">
        <f t="shared" ca="1" si="3"/>
        <v>961</v>
      </c>
      <c r="L68" s="18">
        <f t="shared" ca="1" si="3"/>
        <v>0</v>
      </c>
      <c r="M68" s="18">
        <f t="shared" ca="1" si="3"/>
        <v>1</v>
      </c>
      <c r="N68" s="18">
        <f t="shared" ca="1" si="3"/>
        <v>1008.0625</v>
      </c>
      <c r="O68" s="18">
        <f t="shared" ca="1" si="3"/>
        <v>0</v>
      </c>
      <c r="P68" s="18">
        <f t="shared" ca="1" si="3"/>
        <v>540.5625</v>
      </c>
      <c r="Q68" s="18">
        <f t="shared" ca="1" si="3"/>
        <v>517.5625</v>
      </c>
      <c r="R68" s="18">
        <f t="shared" ca="1" si="3"/>
        <v>473.0625</v>
      </c>
      <c r="S68" s="18">
        <f t="shared" ca="1" si="3"/>
        <v>0</v>
      </c>
      <c r="T68" s="18">
        <f t="shared" ca="1" si="3"/>
        <v>2500</v>
      </c>
      <c r="U68" s="18">
        <f t="shared" ca="1" si="3"/>
        <v>0</v>
      </c>
      <c r="V68" s="18">
        <f t="shared" ca="1" si="3"/>
        <v>345.95999999999992</v>
      </c>
      <c r="W68" s="18">
        <f t="shared" ca="1" si="3"/>
        <v>3972.1506250000034</v>
      </c>
    </row>
  </sheetData>
  <mergeCells count="13">
    <mergeCell ref="H58:H59"/>
    <mergeCell ref="H50:H51"/>
    <mergeCell ref="H52:H53"/>
    <mergeCell ref="H54:H55"/>
    <mergeCell ref="H56:H57"/>
    <mergeCell ref="H46:H47"/>
    <mergeCell ref="H48:H49"/>
    <mergeCell ref="I1:W1"/>
    <mergeCell ref="H16:L16"/>
    <mergeCell ref="I38:T38"/>
    <mergeCell ref="H40:H41"/>
    <mergeCell ref="H42:H43"/>
    <mergeCell ref="H44:H45"/>
  </mergeCells>
  <conditionalFormatting sqref="I15:W15">
    <cfRule type="cellIs" dxfId="601" priority="10" operator="between">
      <formula>(2/3)*$C$16</formula>
      <formula>(1.2)*$C$16</formula>
    </cfRule>
    <cfRule type="cellIs" dxfId="600" priority="11" operator="lessThan">
      <formula>(2/3)*$C$16</formula>
    </cfRule>
    <cfRule type="cellIs" dxfId="599" priority="12" operator="greaterThanOrEqual">
      <formula>1.2*$C$16</formula>
    </cfRule>
  </conditionalFormatting>
  <conditionalFormatting sqref="I25:T27">
    <cfRule type="beginsWith" dxfId="598" priority="6" stopIfTrue="1" operator="beginsWith" text="0">
      <formula>LEFT(I25,LEN("0"))="0"</formula>
    </cfRule>
  </conditionalFormatting>
  <conditionalFormatting sqref="N28">
    <cfRule type="beginsWith" dxfId="597" priority="7" stopIfTrue="1" operator="beginsWith" text="0">
      <formula>LEFT(N28,LEN("0"))="0"</formula>
    </cfRule>
  </conditionalFormatting>
  <conditionalFormatting sqref="H25:H27">
    <cfRule type="expression" dxfId="596" priority="13">
      <formula>ABS($H$15-$C$14&gt;=1)</formula>
    </cfRule>
  </conditionalFormatting>
  <conditionalFormatting sqref="H16">
    <cfRule type="containsText" dxfId="595" priority="5" operator="containsText" text="OK">
      <formula>NOT(ISERROR(SEARCH("OK",H16)))</formula>
    </cfRule>
  </conditionalFormatting>
  <conditionalFormatting sqref="H16">
    <cfRule type="containsText" dxfId="594" priority="4" operator="containsText" text="don't">
      <formula>NOT(ISERROR(SEARCH("don't",H16)))</formula>
    </cfRule>
  </conditionalFormatting>
  <conditionalFormatting sqref="I40:T47 I58:T63 U52:W53">
    <cfRule type="cellIs" dxfId="593" priority="3" operator="notEqual">
      <formula>$I$40</formula>
    </cfRule>
  </conditionalFormatting>
  <conditionalFormatting sqref="I48:T49">
    <cfRule type="cellIs" dxfId="592" priority="2" operator="notEqual">
      <formula>$I$40</formula>
    </cfRule>
  </conditionalFormatting>
  <conditionalFormatting sqref="H15">
    <cfRule type="cellIs" dxfId="591" priority="31" stopIfTrue="1" operator="equal">
      <formula>$B$7*10</formula>
    </cfRule>
    <cfRule type="cellIs" dxfId="590" priority="32" operator="notEqual">
      <formula>$B$7*10</formula>
    </cfRule>
  </conditionalFormatting>
  <conditionalFormatting sqref="I50:T57">
    <cfRule type="cellIs" dxfId="589" priority="1" operator="notEqual">
      <formula>$I$40</formula>
    </cfRule>
  </conditionalFormatting>
  <dataValidations disablePrompts="1"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7EE8AD81-CE63-D94C-AA46-90DDD541BEDB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921D-F371-4B58-A29F-75B4A69C3776}">
  <dimension ref="A1:Y73"/>
  <sheetViews>
    <sheetView topLeftCell="A35" zoomScale="80" zoomScaleNormal="80" workbookViewId="0">
      <selection activeCell="I40" sqref="I40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3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3" ht="47" x14ac:dyDescent="0.3">
      <c r="A2" s="75" t="s">
        <v>117</v>
      </c>
      <c r="B2" s="76" t="s">
        <v>115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3" x14ac:dyDescent="0.2">
      <c r="A3" s="7" t="s">
        <v>118</v>
      </c>
      <c r="B3" s="68">
        <v>3</v>
      </c>
      <c r="E3" s="11" t="s">
        <v>256</v>
      </c>
      <c r="F3" s="50">
        <f ca="1">ELEC402!$B20</f>
        <v>957.79187500000012</v>
      </c>
      <c r="G3" s="50" t="e">
        <f ca="1">ELEC402!$B20*ELEC402!$B6/$B7</f>
        <v>#VALUE!</v>
      </c>
      <c r="H3" s="69">
        <f ca="1">ELEC402!H30</f>
        <v>150</v>
      </c>
      <c r="I3" s="93">
        <f ca="1">ELEC402!I30</f>
        <v>3</v>
      </c>
      <c r="J3" s="93">
        <f ca="1">ELEC402!J30</f>
        <v>4</v>
      </c>
      <c r="K3" s="93">
        <f ca="1">ELEC402!K30</f>
        <v>5</v>
      </c>
      <c r="L3" s="93">
        <f ca="1">ELEC402!L30</f>
        <v>4</v>
      </c>
      <c r="M3" s="93">
        <f ca="1">ELEC402!M30</f>
        <v>5</v>
      </c>
      <c r="N3" s="93">
        <f ca="1">ELEC402!N30</f>
        <v>4</v>
      </c>
      <c r="O3" s="93">
        <f ca="1">ELEC402!O30</f>
        <v>2</v>
      </c>
      <c r="P3" s="93">
        <f ca="1">ELEC402!P30</f>
        <v>4</v>
      </c>
      <c r="Q3" s="93">
        <f ca="1">ELEC402!Q30</f>
        <v>5</v>
      </c>
      <c r="R3" s="93">
        <f ca="1">ELEC402!R30</f>
        <v>23.5</v>
      </c>
      <c r="S3" s="93">
        <f ca="1">ELEC402!S30</f>
        <v>5</v>
      </c>
      <c r="T3" s="93">
        <f ca="1">ELEC402!T30</f>
        <v>9</v>
      </c>
      <c r="U3" s="93">
        <f ca="1">ELEC402!U30</f>
        <v>11.025</v>
      </c>
      <c r="V3" s="93">
        <f ca="1">ELEC402!V30</f>
        <v>22.05</v>
      </c>
      <c r="W3" s="93">
        <f ca="1">ELEC402!W30</f>
        <v>43.425000000000004</v>
      </c>
    </row>
    <row r="4" spans="1:23" x14ac:dyDescent="0.2">
      <c r="A4" s="7" t="s">
        <v>53</v>
      </c>
      <c r="B4" s="92" t="s">
        <v>296</v>
      </c>
      <c r="E4" s="11" t="s">
        <v>299</v>
      </c>
      <c r="F4" s="50">
        <f ca="1">ELEC450!$B20</f>
        <v>1769</v>
      </c>
      <c r="G4" s="50" t="e">
        <f ca="1">ELEC450!$B20*ELEC450!$B6/$B7</f>
        <v>#VALUE!</v>
      </c>
      <c r="H4" s="69">
        <f ca="1">ELEC450!H30</f>
        <v>93</v>
      </c>
      <c r="I4" s="93">
        <f ca="1">ELEC450!I30</f>
        <v>16</v>
      </c>
      <c r="J4" s="93">
        <f ca="1">ELEC450!J30</f>
        <v>2</v>
      </c>
      <c r="K4" s="93">
        <f ca="1">ELEC450!K30</f>
        <v>4</v>
      </c>
      <c r="L4" s="93">
        <f ca="1">ELEC450!L30</f>
        <v>4</v>
      </c>
      <c r="M4" s="93">
        <f ca="1">ELEC450!M30</f>
        <v>3</v>
      </c>
      <c r="N4" s="93">
        <f ca="1">ELEC450!N30</f>
        <v>4</v>
      </c>
      <c r="O4" s="93">
        <f ca="1">ELEC450!O30</f>
        <v>3</v>
      </c>
      <c r="P4" s="93">
        <f ca="1">ELEC450!P30</f>
        <v>11</v>
      </c>
      <c r="Q4" s="93">
        <f ca="1">ELEC450!Q30</f>
        <v>3</v>
      </c>
      <c r="R4" s="93">
        <f ca="1">ELEC450!R30</f>
        <v>3</v>
      </c>
      <c r="S4" s="93">
        <f ca="1">ELEC450!S30</f>
        <v>1</v>
      </c>
      <c r="T4" s="93">
        <f ca="1">ELEC450!T30</f>
        <v>39</v>
      </c>
      <c r="U4" s="93">
        <f ca="1">ELEC450!U30</f>
        <v>0</v>
      </c>
      <c r="V4" s="93">
        <f ca="1">ELEC450!V30</f>
        <v>0</v>
      </c>
      <c r="W4" s="93">
        <f ca="1">ELEC450!W30</f>
        <v>0</v>
      </c>
    </row>
    <row r="5" spans="1:23" ht="16" thickBot="1" x14ac:dyDescent="0.25">
      <c r="A5" t="s">
        <v>50</v>
      </c>
      <c r="B5" s="36">
        <v>1</v>
      </c>
      <c r="E5" s="11" t="s">
        <v>255</v>
      </c>
      <c r="F5" s="50">
        <f ca="1">ELEC421!$B20</f>
        <v>268.185</v>
      </c>
      <c r="G5" s="50" t="e">
        <f ca="1">ELEC421!$B20*ELEC421!$B6/$B7</f>
        <v>#VALUE!</v>
      </c>
      <c r="H5" s="69">
        <f ca="1">ELEC421!H30</f>
        <v>75</v>
      </c>
      <c r="I5" s="93">
        <f ca="1">ELEC421!I30</f>
        <v>2</v>
      </c>
      <c r="J5" s="93">
        <f ca="1">ELEC421!J30</f>
        <v>3</v>
      </c>
      <c r="K5" s="93">
        <f ca="1">ELEC421!K30</f>
        <v>4</v>
      </c>
      <c r="L5" s="93">
        <f ca="1">ELEC421!L30</f>
        <v>2</v>
      </c>
      <c r="M5" s="93">
        <f ca="1">ELEC421!M30</f>
        <v>4</v>
      </c>
      <c r="N5" s="93">
        <f ca="1">ELEC421!N30</f>
        <v>3</v>
      </c>
      <c r="O5" s="93">
        <f ca="1">ELEC421!O30</f>
        <v>2</v>
      </c>
      <c r="P5" s="93">
        <f ca="1">ELEC421!P30</f>
        <v>3</v>
      </c>
      <c r="Q5" s="93">
        <f ca="1">ELEC421!Q30</f>
        <v>16</v>
      </c>
      <c r="R5" s="93">
        <f ca="1">ELEC421!R30</f>
        <v>2</v>
      </c>
      <c r="S5" s="93">
        <f ca="1">ELEC421!S30</f>
        <v>4</v>
      </c>
      <c r="T5" s="93">
        <f ca="1">ELEC421!T30</f>
        <v>8</v>
      </c>
      <c r="U5" s="93">
        <f ca="1">ELEC421!U30</f>
        <v>2.85</v>
      </c>
      <c r="V5" s="93">
        <f ca="1">ELEC421!V30</f>
        <v>5.7</v>
      </c>
      <c r="W5" s="93">
        <f ca="1">ELEC421!W30</f>
        <v>13.450000000000001</v>
      </c>
    </row>
    <row r="6" spans="1:23" x14ac:dyDescent="0.2">
      <c r="A6" t="s">
        <v>119</v>
      </c>
      <c r="B6" s="72" t="s">
        <v>285</v>
      </c>
      <c r="C6" t="e">
        <f>B6*10</f>
        <v>#VALUE!</v>
      </c>
      <c r="E6" s="11" t="s">
        <v>280</v>
      </c>
      <c r="F6" s="50">
        <f ca="1">ELEC362!$B20</f>
        <v>3147.54</v>
      </c>
      <c r="G6" s="50" t="e">
        <f ca="1">ELEC362!$B20*ELEC362!$B6/$B7</f>
        <v>#VALUE!</v>
      </c>
      <c r="H6" s="69">
        <f ca="1">ELEC362!H30</f>
        <v>150</v>
      </c>
      <c r="I6" s="93">
        <f ca="1">ELEC362!I30</f>
        <v>6</v>
      </c>
      <c r="J6" s="93">
        <f ca="1">ELEC362!J30</f>
        <v>6</v>
      </c>
      <c r="K6" s="93">
        <f ca="1">ELEC362!K30</f>
        <v>7</v>
      </c>
      <c r="L6" s="93">
        <f ca="1">ELEC362!L30</f>
        <v>6</v>
      </c>
      <c r="M6" s="93">
        <f ca="1">ELEC362!M30</f>
        <v>8</v>
      </c>
      <c r="N6" s="93">
        <f ca="1">ELEC362!N30</f>
        <v>6</v>
      </c>
      <c r="O6" s="93">
        <f ca="1">ELEC362!O30</f>
        <v>2</v>
      </c>
      <c r="P6" s="93">
        <f ca="1">ELEC362!P30</f>
        <v>6</v>
      </c>
      <c r="Q6" s="93">
        <f ca="1">ELEC362!Q30</f>
        <v>7</v>
      </c>
      <c r="R6" s="93">
        <f ca="1">ELEC362!R30</f>
        <v>6</v>
      </c>
      <c r="S6" s="93">
        <f ca="1">ELEC362!S30</f>
        <v>7</v>
      </c>
      <c r="T6" s="93">
        <f ca="1">ELEC362!T30</f>
        <v>62</v>
      </c>
      <c r="U6" s="93">
        <f ca="1">ELEC362!U30</f>
        <v>2.6999999999999997</v>
      </c>
      <c r="V6" s="93">
        <f ca="1">ELEC362!V30</f>
        <v>5.3999999999999995</v>
      </c>
      <c r="W6" s="93">
        <f ca="1">ELEC362!W30</f>
        <v>12.9</v>
      </c>
    </row>
    <row r="7" spans="1:23" x14ac:dyDescent="0.2">
      <c r="A7" t="s">
        <v>183</v>
      </c>
      <c r="B7" s="70" t="s">
        <v>285</v>
      </c>
      <c r="E7" s="11" t="s">
        <v>263</v>
      </c>
      <c r="F7" s="50">
        <f ca="1">ELEC470!$B$20</f>
        <v>1070.2418750000002</v>
      </c>
      <c r="G7" s="50" t="e">
        <f ca="1">ELEC470!$B20*ELEC470!$B$6/$B$7</f>
        <v>#VALUE!</v>
      </c>
      <c r="H7" s="69">
        <f ca="1">ELEC470!H30</f>
        <v>150</v>
      </c>
      <c r="I7" s="93">
        <f ca="1">ELEC470!I30</f>
        <v>3</v>
      </c>
      <c r="J7" s="93">
        <f ca="1">ELEC470!J30</f>
        <v>4</v>
      </c>
      <c r="K7" s="93">
        <f ca="1">ELEC470!K30</f>
        <v>5</v>
      </c>
      <c r="L7" s="93">
        <f ca="1">ELEC470!L30</f>
        <v>4</v>
      </c>
      <c r="M7" s="93">
        <f ca="1">ELEC470!M30</f>
        <v>5</v>
      </c>
      <c r="N7" s="93">
        <f ca="1">ELEC470!N30</f>
        <v>4</v>
      </c>
      <c r="O7" s="93">
        <f ca="1">ELEC470!O30</f>
        <v>2</v>
      </c>
      <c r="P7" s="93">
        <f ca="1">ELEC470!P30</f>
        <v>4</v>
      </c>
      <c r="Q7" s="93">
        <f ca="1">ELEC470!Q30</f>
        <v>5</v>
      </c>
      <c r="R7" s="93">
        <f ca="1">ELEC470!R30</f>
        <v>23.5</v>
      </c>
      <c r="S7" s="93">
        <f ca="1">ELEC470!S30</f>
        <v>5</v>
      </c>
      <c r="T7" s="93">
        <f ca="1">ELEC470!T30</f>
        <v>4</v>
      </c>
      <c r="U7" s="93">
        <f ca="1">ELEC470!U30</f>
        <v>11.775</v>
      </c>
      <c r="V7" s="93">
        <f ca="1">ELEC470!V30</f>
        <v>23.55</v>
      </c>
      <c r="W7" s="93">
        <f ca="1">ELEC470!W30</f>
        <v>46.175000000000004</v>
      </c>
    </row>
    <row r="8" spans="1:23" ht="16" thickBot="1" x14ac:dyDescent="0.25">
      <c r="A8" t="s">
        <v>55</v>
      </c>
      <c r="B8" s="71" t="s">
        <v>285</v>
      </c>
      <c r="E8" s="11" t="s">
        <v>262</v>
      </c>
      <c r="F8" s="50">
        <f ca="1">ELEC472!$B$20</f>
        <v>80.36</v>
      </c>
      <c r="G8" s="50" t="e">
        <f ca="1">ELEC472!$B$20*ELEC472!$B$6/$B$7</f>
        <v>#VALUE!</v>
      </c>
      <c r="H8" s="69">
        <f ca="1">ELEC472!H30</f>
        <v>75</v>
      </c>
      <c r="I8" s="93">
        <f ca="1">ELEC472!I30</f>
        <v>6</v>
      </c>
      <c r="J8" s="93">
        <f ca="1">ELEC472!J30</f>
        <v>6</v>
      </c>
      <c r="K8" s="93">
        <f ca="1">ELEC472!K30</f>
        <v>7</v>
      </c>
      <c r="L8" s="93">
        <f ca="1">ELEC472!L30</f>
        <v>6</v>
      </c>
      <c r="M8" s="93">
        <f ca="1">ELEC472!M30</f>
        <v>3</v>
      </c>
      <c r="N8" s="93">
        <f ca="1">ELEC472!N30</f>
        <v>6</v>
      </c>
      <c r="O8" s="93">
        <f ca="1">ELEC472!O30</f>
        <v>2</v>
      </c>
      <c r="P8" s="93">
        <f ca="1">ELEC472!P30</f>
        <v>6</v>
      </c>
      <c r="Q8" s="93">
        <f ca="1">ELEC472!Q30</f>
        <v>7</v>
      </c>
      <c r="R8" s="93">
        <f ca="1">ELEC472!R30</f>
        <v>6</v>
      </c>
      <c r="S8" s="93">
        <f ca="1">ELEC472!S30</f>
        <v>6</v>
      </c>
      <c r="T8" s="93">
        <f ca="1">ELEC472!T30</f>
        <v>7</v>
      </c>
      <c r="U8" s="93">
        <f ca="1">ELEC472!U30</f>
        <v>0.6</v>
      </c>
      <c r="V8" s="93">
        <f ca="1">ELEC472!V30</f>
        <v>1.2</v>
      </c>
      <c r="W8" s="93">
        <f ca="1">ELEC472!W30</f>
        <v>5.2</v>
      </c>
    </row>
    <row r="9" spans="1:23" x14ac:dyDescent="0.2">
      <c r="A9" t="s">
        <v>177</v>
      </c>
      <c r="E9" s="11" t="s">
        <v>265</v>
      </c>
      <c r="F9" s="50">
        <f ca="1">ELEC473!$B$20</f>
        <v>220.25</v>
      </c>
      <c r="G9" s="50" t="e">
        <f ca="1">ELEC473!$B$20*ELEC473!$B$6/$B$7</f>
        <v>#VALUE!</v>
      </c>
      <c r="H9" s="69">
        <f ca="1">ELEC473!H$30</f>
        <v>97.5</v>
      </c>
      <c r="I9" s="93">
        <f ca="1">ELEC473!I$30</f>
        <v>5</v>
      </c>
      <c r="J9" s="93">
        <f ca="1">ELEC473!J$30</f>
        <v>6</v>
      </c>
      <c r="K9" s="93">
        <f ca="1">ELEC473!K$30</f>
        <v>7</v>
      </c>
      <c r="L9" s="93">
        <f ca="1">ELEC473!L$30</f>
        <v>6</v>
      </c>
      <c r="M9" s="93">
        <f ca="1">ELEC473!M$30</f>
        <v>7</v>
      </c>
      <c r="N9" s="93">
        <f ca="1">ELEC473!N$30</f>
        <v>6</v>
      </c>
      <c r="O9" s="93">
        <f ca="1">ELEC473!O$30</f>
        <v>4</v>
      </c>
      <c r="P9" s="93">
        <f ca="1">ELEC473!P$30</f>
        <v>9</v>
      </c>
      <c r="Q9" s="93">
        <f ca="1">ELEC473!Q$30</f>
        <v>15.5</v>
      </c>
      <c r="R9" s="93">
        <f ca="1">ELEC473!R$30</f>
        <v>6</v>
      </c>
      <c r="S9" s="93">
        <f ca="1">ELEC473!S$30</f>
        <v>8</v>
      </c>
      <c r="T9" s="93">
        <f ca="1">ELEC473!T$30</f>
        <v>7</v>
      </c>
      <c r="U9" s="93">
        <f ca="1">ELEC473!U$30</f>
        <v>0</v>
      </c>
      <c r="V9" s="93">
        <f ca="1">ELEC473!V$30</f>
        <v>0</v>
      </c>
      <c r="W9" s="93">
        <f ca="1">ELEC473!W$30</f>
        <v>11</v>
      </c>
    </row>
    <row r="10" spans="1:23" x14ac:dyDescent="0.2">
      <c r="E10" s="11" t="s">
        <v>254</v>
      </c>
      <c r="F10" s="50">
        <f ca="1">ELEC431!$B$20</f>
        <v>1749.5</v>
      </c>
      <c r="G10" s="50" t="e">
        <f ca="1">ELEC431!$B$20*ELEC431!$B$6/$B$7</f>
        <v>#VALUE!</v>
      </c>
      <c r="H10" s="69">
        <f ca="1">ELEC431!H$30</f>
        <v>168</v>
      </c>
      <c r="I10" s="93">
        <f ca="1">ELEC431!I$30</f>
        <v>7</v>
      </c>
      <c r="J10" s="93">
        <f ca="1">ELEC431!J$30</f>
        <v>6</v>
      </c>
      <c r="K10" s="93">
        <f ca="1">ELEC431!K$30</f>
        <v>7</v>
      </c>
      <c r="L10" s="93">
        <f ca="1">ELEC431!L$30</f>
        <v>9</v>
      </c>
      <c r="M10" s="93">
        <f ca="1">ELEC431!M$30</f>
        <v>11</v>
      </c>
      <c r="N10" s="93">
        <f ca="1">ELEC431!N$30</f>
        <v>13</v>
      </c>
      <c r="O10" s="93">
        <f ca="1">ELEC431!O$30</f>
        <v>16</v>
      </c>
      <c r="P10" s="93">
        <f ca="1">ELEC431!P$30</f>
        <v>32.5</v>
      </c>
      <c r="Q10" s="93">
        <f ca="1">ELEC431!Q$30</f>
        <v>15</v>
      </c>
      <c r="R10" s="93">
        <f ca="1">ELEC431!R$30</f>
        <v>7</v>
      </c>
      <c r="S10" s="93">
        <f ca="1">ELEC431!S$30</f>
        <v>44.5</v>
      </c>
      <c r="T10" s="93">
        <f ca="1">ELEC431!T$30</f>
        <v>0</v>
      </c>
      <c r="U10" s="93">
        <f ca="1">ELEC431!U$30</f>
        <v>0</v>
      </c>
      <c r="V10" s="93">
        <f ca="1">ELEC431!V$30</f>
        <v>0</v>
      </c>
      <c r="W10" s="93">
        <f ca="1">ELEC431!W$30</f>
        <v>0</v>
      </c>
    </row>
    <row r="11" spans="1:23" x14ac:dyDescent="0.2">
      <c r="E11" s="11" t="s">
        <v>264</v>
      </c>
      <c r="F11" s="50">
        <f ca="1">ELEC423!$B$20</f>
        <v>1009.5650000000001</v>
      </c>
      <c r="G11" s="50" t="e">
        <f ca="1">ELEC423!$B$20*ELEC423!$B$6/$B$7</f>
        <v>#VALUE!</v>
      </c>
      <c r="H11" s="69">
        <f ca="1">ELEC423!H$30</f>
        <v>150</v>
      </c>
      <c r="I11" s="93">
        <f ca="1">ELEC423!I$30</f>
        <v>3</v>
      </c>
      <c r="J11" s="93">
        <f ca="1">ELEC423!J$30</f>
        <v>4</v>
      </c>
      <c r="K11" s="93">
        <f ca="1">ELEC423!K$30</f>
        <v>5</v>
      </c>
      <c r="L11" s="93">
        <f ca="1">ELEC423!L$30</f>
        <v>4</v>
      </c>
      <c r="M11" s="93">
        <f ca="1">ELEC423!M$30</f>
        <v>5</v>
      </c>
      <c r="N11" s="93">
        <f ca="1">ELEC423!N$30</f>
        <v>4</v>
      </c>
      <c r="O11" s="93">
        <f ca="1">ELEC423!O$30</f>
        <v>10.5</v>
      </c>
      <c r="P11" s="93">
        <f ca="1">ELEC423!P$30</f>
        <v>4</v>
      </c>
      <c r="Q11" s="93">
        <f ca="1">ELEC423!Q$30</f>
        <v>5</v>
      </c>
      <c r="R11" s="93">
        <f ca="1">ELEC423!R$30</f>
        <v>4</v>
      </c>
      <c r="S11" s="93">
        <f ca="1">ELEC423!S$30</f>
        <v>5</v>
      </c>
      <c r="T11" s="93">
        <f ca="1">ELEC423!T$30</f>
        <v>26.5</v>
      </c>
      <c r="U11" s="93">
        <f ca="1">ELEC423!U$30</f>
        <v>10.049999999999999</v>
      </c>
      <c r="V11" s="93">
        <f ca="1">ELEC423!V$30</f>
        <v>20.099999999999998</v>
      </c>
      <c r="W11" s="93">
        <f ca="1">ELEC423!W$30</f>
        <v>39.85</v>
      </c>
    </row>
    <row r="12" spans="1:23" ht="33" thickBot="1" x14ac:dyDescent="0.25">
      <c r="A12" s="63" t="s">
        <v>100</v>
      </c>
      <c r="B12" s="153">
        <f ca="1">SUM(I73:W73)</f>
        <v>57454.915000000008</v>
      </c>
      <c r="E12" s="11" t="s">
        <v>297</v>
      </c>
      <c r="F12" s="50">
        <f ca="1">COMP521!$B$20</f>
        <v>918.4675000000002</v>
      </c>
      <c r="G12" s="50" t="e">
        <f ca="1">COMP521!$B$20*COMP521!$B$6/$B$7</f>
        <v>#VALUE!</v>
      </c>
      <c r="H12" s="69">
        <f ca="1">COMP521!H$30</f>
        <v>150</v>
      </c>
      <c r="I12" s="93">
        <f ca="1">COMP521!I30</f>
        <v>3</v>
      </c>
      <c r="J12" s="93">
        <f ca="1">COMP521!J30</f>
        <v>4</v>
      </c>
      <c r="K12" s="93">
        <f ca="1">COMP521!K30</f>
        <v>4</v>
      </c>
      <c r="L12" s="93">
        <f ca="1">COMP521!L30</f>
        <v>2</v>
      </c>
      <c r="M12" s="93">
        <f ca="1">COMP521!M30</f>
        <v>4</v>
      </c>
      <c r="N12" s="93">
        <f ca="1">COMP521!N30</f>
        <v>10</v>
      </c>
      <c r="O12" s="93">
        <f ca="1">COMP521!O30</f>
        <v>2</v>
      </c>
      <c r="P12" s="93">
        <f ca="1">COMP521!P30</f>
        <v>4</v>
      </c>
      <c r="Q12" s="93">
        <f ca="1">COMP521!Q30</f>
        <v>8</v>
      </c>
      <c r="R12" s="93">
        <f ca="1">COMP521!R30</f>
        <v>10</v>
      </c>
      <c r="S12" s="93">
        <f ca="1">COMP521!S30</f>
        <v>2</v>
      </c>
      <c r="T12" s="93">
        <f ca="1">COMP521!T30</f>
        <v>7</v>
      </c>
      <c r="U12" s="93">
        <f ca="1">COMP521!U30</f>
        <v>13.049999999999999</v>
      </c>
      <c r="V12" s="93">
        <f ca="1">COMP521!V30</f>
        <v>26.099999999999998</v>
      </c>
      <c r="W12" s="93">
        <f ca="1">COMP521!W30</f>
        <v>50.85</v>
      </c>
    </row>
    <row r="13" spans="1:23" ht="16" thickTop="1" x14ac:dyDescent="0.2">
      <c r="B13" s="152"/>
      <c r="E13" s="11" t="s">
        <v>298</v>
      </c>
      <c r="F13" s="50" t="e">
        <f>[2]COMP523!$B$20</f>
        <v>#REF!</v>
      </c>
      <c r="G13" s="50" t="e">
        <f ca="1">COMP523!$B$20*COMP523!$B$6/$B$7</f>
        <v>#VALUE!</v>
      </c>
      <c r="H13" s="69">
        <f ca="1">COMP523!H$30</f>
        <v>150</v>
      </c>
      <c r="I13" s="93">
        <f ca="1">COMP523!I30</f>
        <v>3</v>
      </c>
      <c r="J13" s="93">
        <f ca="1">COMP523!J30</f>
        <v>4</v>
      </c>
      <c r="K13" s="93">
        <f ca="1">COMP523!K30</f>
        <v>4</v>
      </c>
      <c r="L13" s="93">
        <f ca="1">COMP523!L30</f>
        <v>2</v>
      </c>
      <c r="M13" s="93">
        <f ca="1">COMP523!M30</f>
        <v>4</v>
      </c>
      <c r="N13" s="93">
        <f ca="1">COMP523!N30</f>
        <v>14.5</v>
      </c>
      <c r="O13" s="93">
        <f ca="1">COMP523!O30</f>
        <v>2</v>
      </c>
      <c r="P13" s="93">
        <f ca="1">COMP523!P30</f>
        <v>4</v>
      </c>
      <c r="Q13" s="93">
        <f ca="1">COMP523!Q30</f>
        <v>8</v>
      </c>
      <c r="R13" s="93">
        <f ca="1">COMP523!R30</f>
        <v>10</v>
      </c>
      <c r="S13" s="93">
        <f ca="1">COMP523!S30</f>
        <v>4</v>
      </c>
      <c r="T13" s="93">
        <f ca="1">COMP523!T30</f>
        <v>3</v>
      </c>
      <c r="U13" s="93">
        <f ca="1">COMP523!U30</f>
        <v>12.674999999999999</v>
      </c>
      <c r="V13" s="93">
        <f ca="1">COMP523!V30</f>
        <v>25.349999999999998</v>
      </c>
      <c r="W13" s="93">
        <f ca="1">COMP523!W30</f>
        <v>49.475000000000001</v>
      </c>
    </row>
    <row r="14" spans="1:23" x14ac:dyDescent="0.2">
      <c r="B14" s="152"/>
      <c r="E14" s="11" t="s">
        <v>300</v>
      </c>
      <c r="F14" s="50">
        <f ca="1">ELEC476!$B$20</f>
        <v>1016.2650000000002</v>
      </c>
      <c r="G14" s="50" t="e">
        <f ca="1">ELEC476!$B$20*ELEC476!$B$6/$B$7</f>
        <v>#VALUE!</v>
      </c>
      <c r="H14" s="69">
        <f ca="1">ELEC476!H$30</f>
        <v>150</v>
      </c>
      <c r="I14" s="93">
        <f ca="1">ELEC476!I30</f>
        <v>6</v>
      </c>
      <c r="J14" s="93">
        <f ca="1">ELEC476!J30</f>
        <v>6</v>
      </c>
      <c r="K14" s="93">
        <f ca="1">ELEC476!K30</f>
        <v>7</v>
      </c>
      <c r="L14" s="93">
        <f ca="1">ELEC476!L30</f>
        <v>6</v>
      </c>
      <c r="M14" s="93">
        <f ca="1">ELEC476!M30</f>
        <v>3</v>
      </c>
      <c r="N14" s="93">
        <f ca="1">ELEC476!N30</f>
        <v>6</v>
      </c>
      <c r="O14" s="93">
        <f ca="1">ELEC476!O30</f>
        <v>2</v>
      </c>
      <c r="P14" s="93">
        <f ca="1">ELEC476!P30</f>
        <v>6</v>
      </c>
      <c r="Q14" s="93">
        <f ca="1">ELEC476!Q30</f>
        <v>7</v>
      </c>
      <c r="R14" s="93">
        <f ca="1">ELEC476!R30</f>
        <v>6</v>
      </c>
      <c r="S14" s="93">
        <f ca="1">ELEC476!S30</f>
        <v>7</v>
      </c>
      <c r="T14" s="93">
        <f ca="1">ELEC476!T30</f>
        <v>32</v>
      </c>
      <c r="U14" s="93">
        <f ca="1">ELEC476!U30</f>
        <v>7.9499999999999993</v>
      </c>
      <c r="V14" s="93">
        <f ca="1">ELEC476!V30</f>
        <v>15.899999999999999</v>
      </c>
      <c r="W14" s="93">
        <f ca="1">ELEC476!W30</f>
        <v>32.150000000000006</v>
      </c>
    </row>
    <row r="15" spans="1:23" x14ac:dyDescent="0.2">
      <c r="B15" s="152"/>
      <c r="E15" s="11" t="s">
        <v>261</v>
      </c>
      <c r="F15" s="50">
        <f ca="1">ELEC474!$B$20</f>
        <v>796.04187500000012</v>
      </c>
      <c r="G15" s="50" t="e">
        <f ca="1">ELEC474!$B$20*ELEC474!$B$6/$B$7</f>
        <v>#VALUE!</v>
      </c>
      <c r="H15" s="69">
        <f ca="1">ELEC474!H$30</f>
        <v>150</v>
      </c>
      <c r="I15" s="93">
        <f ca="1">ELEC474!I30</f>
        <v>6</v>
      </c>
      <c r="J15" s="93">
        <f ca="1">ELEC474!J30</f>
        <v>6</v>
      </c>
      <c r="K15" s="93">
        <f ca="1">ELEC474!K30</f>
        <v>7</v>
      </c>
      <c r="L15" s="93">
        <f ca="1">ELEC474!L30</f>
        <v>6</v>
      </c>
      <c r="M15" s="93">
        <f ca="1">ELEC474!M30</f>
        <v>3</v>
      </c>
      <c r="N15" s="93">
        <f ca="1">ELEC474!N30</f>
        <v>6</v>
      </c>
      <c r="O15" s="93">
        <f ca="1">ELEC474!O30</f>
        <v>2</v>
      </c>
      <c r="P15" s="93">
        <f ca="1">ELEC474!P30</f>
        <v>6</v>
      </c>
      <c r="Q15" s="93">
        <f ca="1">ELEC474!Q30</f>
        <v>7</v>
      </c>
      <c r="R15" s="93">
        <f ca="1">ELEC474!R30</f>
        <v>25.5</v>
      </c>
      <c r="S15" s="93">
        <f ca="1">ELEC474!S30</f>
        <v>7</v>
      </c>
      <c r="T15" s="93">
        <f ca="1">ELEC474!T30</f>
        <v>7</v>
      </c>
      <c r="U15" s="93">
        <f ca="1">ELEC474!U30</f>
        <v>8.7750000000000004</v>
      </c>
      <c r="V15" s="93">
        <f ca="1">ELEC474!V30</f>
        <v>17.55</v>
      </c>
      <c r="W15" s="93">
        <f ca="1">ELEC474!W30</f>
        <v>35.175000000000004</v>
      </c>
    </row>
    <row r="16" spans="1:23" x14ac:dyDescent="0.2">
      <c r="B16" s="152"/>
      <c r="E16" s="11"/>
      <c r="F16" s="50"/>
      <c r="G16" s="50"/>
      <c r="H16" s="69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</row>
    <row r="17" spans="3:25" x14ac:dyDescent="0.2">
      <c r="C17" t="e">
        <f>B7*10</f>
        <v>#VALUE!</v>
      </c>
    </row>
    <row r="18" spans="3:25" x14ac:dyDescent="0.2">
      <c r="E18" s="12" t="s">
        <v>28</v>
      </c>
      <c r="F18" s="112">
        <f ca="1">SUM(F3:F6)</f>
        <v>6142.5168749999993</v>
      </c>
      <c r="G18" s="112" t="e">
        <f ca="1">SUM(G3:G6)</f>
        <v>#VALUE!</v>
      </c>
      <c r="H18" s="21">
        <f ca="1">SUM(I18:W18)</f>
        <v>1708.5000000000002</v>
      </c>
      <c r="I18" s="94">
        <f t="shared" ref="I18:W18" ca="1" si="0">SUM(I3:I16)</f>
        <v>69</v>
      </c>
      <c r="J18" s="94">
        <f t="shared" ca="1" si="0"/>
        <v>61</v>
      </c>
      <c r="K18" s="94">
        <f t="shared" ca="1" si="0"/>
        <v>73</v>
      </c>
      <c r="L18" s="94">
        <f t="shared" ca="1" si="0"/>
        <v>61</v>
      </c>
      <c r="M18" s="94">
        <f t="shared" ca="1" si="0"/>
        <v>65</v>
      </c>
      <c r="N18" s="94">
        <f t="shared" ca="1" si="0"/>
        <v>86.5</v>
      </c>
      <c r="O18" s="94">
        <f t="shared" ca="1" si="0"/>
        <v>51.5</v>
      </c>
      <c r="P18" s="94">
        <f t="shared" ca="1" si="0"/>
        <v>99.5</v>
      </c>
      <c r="Q18" s="94">
        <f t="shared" ca="1" si="0"/>
        <v>108.5</v>
      </c>
      <c r="R18" s="94">
        <f t="shared" ca="1" si="0"/>
        <v>132.5</v>
      </c>
      <c r="S18" s="94">
        <f t="shared" ca="1" si="0"/>
        <v>105.5</v>
      </c>
      <c r="T18" s="94">
        <f t="shared" ca="1" si="0"/>
        <v>211.5</v>
      </c>
      <c r="U18" s="94">
        <f t="shared" ca="1" si="0"/>
        <v>81.45</v>
      </c>
      <c r="V18" s="94">
        <f t="shared" ca="1" si="0"/>
        <v>162.9</v>
      </c>
      <c r="W18" s="94">
        <f t="shared" ca="1" si="0"/>
        <v>339.65000000000003</v>
      </c>
    </row>
    <row r="19" spans="3:25" x14ac:dyDescent="0.2">
      <c r="C19" t="e">
        <f>C17/15</f>
        <v>#VALUE!</v>
      </c>
      <c r="H19" s="165" t="e">
        <f ca="1">IF(ROUND(H18,0)=ROUND(C17,0),"Total hours OK","Total hours don't add up correctly!")</f>
        <v>#VALUE!</v>
      </c>
      <c r="I19" s="165"/>
      <c r="J19" s="165"/>
      <c r="K19" s="165"/>
      <c r="L19" s="165"/>
      <c r="U19" s="10" t="s">
        <v>22</v>
      </c>
    </row>
    <row r="20" spans="3:25" x14ac:dyDescent="0.2"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3:25" x14ac:dyDescent="0.2">
      <c r="C21">
        <v>402</v>
      </c>
      <c r="D21">
        <v>402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3:25" x14ac:dyDescent="0.2">
      <c r="C22">
        <v>450</v>
      </c>
      <c r="D22">
        <v>450</v>
      </c>
      <c r="Y22" s="17"/>
    </row>
    <row r="23" spans="3:25" x14ac:dyDescent="0.2">
      <c r="C23">
        <v>421</v>
      </c>
      <c r="D23">
        <v>421</v>
      </c>
      <c r="Y23" s="17"/>
    </row>
    <row r="24" spans="3:25" x14ac:dyDescent="0.2">
      <c r="C24">
        <v>470</v>
      </c>
      <c r="D24">
        <v>470</v>
      </c>
      <c r="Y24" s="17"/>
    </row>
    <row r="25" spans="3:25" x14ac:dyDescent="0.2">
      <c r="C25">
        <v>472</v>
      </c>
      <c r="D25">
        <v>472</v>
      </c>
      <c r="Y25" s="17"/>
    </row>
    <row r="26" spans="3:25" x14ac:dyDescent="0.2">
      <c r="C26">
        <v>373</v>
      </c>
      <c r="D26">
        <v>473</v>
      </c>
      <c r="Y26" s="17"/>
    </row>
    <row r="28" spans="3:25" ht="21" customHeight="1" x14ac:dyDescent="0.2">
      <c r="G28" s="17"/>
      <c r="H28" s="50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51"/>
      <c r="V28" s="51"/>
      <c r="W28" s="51"/>
      <c r="X28" s="17"/>
    </row>
    <row r="29" spans="3:25" ht="21" customHeight="1" x14ac:dyDescent="0.2">
      <c r="G29" s="17"/>
      <c r="H29" s="50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51"/>
      <c r="V29" s="51"/>
      <c r="W29" s="51"/>
      <c r="X29" s="17"/>
    </row>
    <row r="30" spans="3:25" ht="21" customHeight="1" x14ac:dyDescent="0.2">
      <c r="D30">
        <v>431</v>
      </c>
      <c r="G30" s="17"/>
      <c r="H30" s="50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51"/>
      <c r="V30" s="51"/>
      <c r="W30" s="51"/>
      <c r="X30" s="17"/>
    </row>
    <row r="31" spans="3:25" x14ac:dyDescent="0.2">
      <c r="D31">
        <v>423</v>
      </c>
      <c r="N31" s="25"/>
      <c r="U31" s="18"/>
      <c r="V31" s="18"/>
    </row>
    <row r="32" spans="3:25" x14ac:dyDescent="0.2">
      <c r="C32" s="11" t="s">
        <v>261</v>
      </c>
      <c r="D32">
        <v>474</v>
      </c>
      <c r="G32" s="17"/>
      <c r="H32" s="17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2:23" x14ac:dyDescent="0.2">
      <c r="B33" t="str">
        <f>T(1)</f>
        <v/>
      </c>
      <c r="C33" s="11" t="s">
        <v>300</v>
      </c>
      <c r="D33">
        <v>476</v>
      </c>
      <c r="G33" s="20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2:23" x14ac:dyDescent="0.2">
      <c r="C34" s="11" t="s">
        <v>297</v>
      </c>
      <c r="D34" t="s">
        <v>297</v>
      </c>
    </row>
    <row r="35" spans="2:23" x14ac:dyDescent="0.2">
      <c r="C35" t="s">
        <v>298</v>
      </c>
      <c r="D35" t="s">
        <v>298</v>
      </c>
    </row>
    <row r="38" spans="2:23" x14ac:dyDescent="0.2">
      <c r="I38" s="85" t="e">
        <f>C19</f>
        <v>#VALUE!</v>
      </c>
      <c r="J38" s="85" t="e">
        <f>I38</f>
        <v>#VALUE!</v>
      </c>
      <c r="K38" s="85" t="e">
        <f t="shared" ref="K38:W38" si="1">J38</f>
        <v>#VALUE!</v>
      </c>
      <c r="L38" s="85" t="e">
        <f t="shared" si="1"/>
        <v>#VALUE!</v>
      </c>
      <c r="M38" s="85" t="e">
        <f t="shared" si="1"/>
        <v>#VALUE!</v>
      </c>
      <c r="N38" s="85" t="e">
        <f t="shared" si="1"/>
        <v>#VALUE!</v>
      </c>
      <c r="O38" s="85" t="e">
        <f t="shared" si="1"/>
        <v>#VALUE!</v>
      </c>
      <c r="P38" s="85" t="e">
        <f t="shared" si="1"/>
        <v>#VALUE!</v>
      </c>
      <c r="Q38" s="85" t="e">
        <f t="shared" si="1"/>
        <v>#VALUE!</v>
      </c>
      <c r="R38" s="85" t="e">
        <f t="shared" si="1"/>
        <v>#VALUE!</v>
      </c>
      <c r="S38" s="85" t="e">
        <f t="shared" si="1"/>
        <v>#VALUE!</v>
      </c>
      <c r="T38" s="85" t="e">
        <f t="shared" si="1"/>
        <v>#VALUE!</v>
      </c>
      <c r="U38" s="85" t="e">
        <f t="shared" si="1"/>
        <v>#VALUE!</v>
      </c>
      <c r="V38" s="85" t="e">
        <f t="shared" si="1"/>
        <v>#VALUE!</v>
      </c>
      <c r="W38" s="85" t="e">
        <f t="shared" si="1"/>
        <v>#VALUE!</v>
      </c>
    </row>
    <row r="39" spans="2:23" x14ac:dyDescent="0.2">
      <c r="G39" s="90"/>
      <c r="H39" s="91" t="e">
        <f>C17-432</f>
        <v>#VALUE!</v>
      </c>
    </row>
    <row r="40" spans="2:23" ht="33" customHeight="1" x14ac:dyDescent="0.2">
      <c r="I40" s="133" t="s">
        <v>295</v>
      </c>
      <c r="J40" s="132"/>
      <c r="K40" s="132"/>
      <c r="L40" s="132"/>
      <c r="M40" s="132"/>
      <c r="N40" s="132"/>
      <c r="O40" s="132"/>
    </row>
    <row r="41" spans="2:23" ht="15" customHeight="1" thickBot="1" x14ac:dyDescent="0.25">
      <c r="I41" s="164" t="s">
        <v>134</v>
      </c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80"/>
      <c r="V41" s="80"/>
      <c r="W41" s="80"/>
    </row>
    <row r="42" spans="2:23" x14ac:dyDescent="0.2">
      <c r="H42" s="77"/>
      <c r="I42" s="78">
        <v>1</v>
      </c>
      <c r="J42" s="78">
        <v>2</v>
      </c>
      <c r="K42" s="78">
        <v>3</v>
      </c>
      <c r="L42" s="78">
        <v>4</v>
      </c>
      <c r="M42" s="78">
        <v>5</v>
      </c>
      <c r="N42" s="78">
        <v>6</v>
      </c>
      <c r="O42" s="78">
        <v>7</v>
      </c>
      <c r="P42" s="78">
        <v>8</v>
      </c>
      <c r="Q42" s="78">
        <v>9</v>
      </c>
      <c r="R42" s="78">
        <v>10</v>
      </c>
      <c r="S42" s="78">
        <v>11</v>
      </c>
      <c r="T42" s="79">
        <v>12</v>
      </c>
      <c r="U42" s="74">
        <v>13</v>
      </c>
      <c r="V42" s="74">
        <v>14</v>
      </c>
      <c r="W42" s="74">
        <v>15</v>
      </c>
    </row>
    <row r="43" spans="2:23" ht="24" customHeight="1" x14ac:dyDescent="0.2">
      <c r="G43" s="82">
        <v>1</v>
      </c>
      <c r="H43" s="166" t="s">
        <v>256</v>
      </c>
      <c r="I43" s="125" t="str" cm="1">
        <f t="array" ref="I43">IFERROR(INDEX(ELEC402!$C$9:'ELEC402'!$C$17, _xlfn.AGGREGATE(15, 6, ROW($1:$20)/SIGN(LEN(ELEC402!I$9:'ELEC402'!I$17)), 1)),"")</f>
        <v/>
      </c>
      <c r="J43" s="125" t="str" cm="1">
        <f t="array" ref="J43">IFERROR(INDEX(ELEC402!$C$9:'ELEC402'!$C$17, _xlfn.AGGREGATE(15, 6, ROW($1:$20)/SIGN(LEN(ELEC402!J$9:'ELEC402'!J$17)), 1)),"")</f>
        <v/>
      </c>
      <c r="K43" s="125" t="str" cm="1">
        <f t="array" ref="K43">IFERROR(INDEX(ELEC402!$C$9:'ELEC402'!$C$17, _xlfn.AGGREGATE(15, 6, ROW($1:$20)/SIGN(LEN(ELEC402!K$9:'ELEC402'!K$17)), 1)),"")</f>
        <v/>
      </c>
      <c r="L43" s="125" t="str" cm="1">
        <f t="array" ref="L43">IFERROR(INDEX(ELEC402!$C$9:'ELEC402'!$C$17, _xlfn.AGGREGATE(15, 6, ROW($1:$20)/SIGN(LEN(ELEC402!L$9:'ELEC402'!L$17)), 1)),"")</f>
        <v/>
      </c>
      <c r="M43" s="125" t="str" cm="1">
        <f t="array" ref="M43">IFERROR(INDEX(ELEC402!$C$9:'ELEC402'!$C$17, _xlfn.AGGREGATE(15, 6, ROW($1:$20)/SIGN(LEN(ELEC402!M$9:'ELEC402'!M$17)), 1)),"")</f>
        <v/>
      </c>
      <c r="N43" s="125" t="str" cm="1">
        <f t="array" ref="N43">IFERROR(INDEX(ELEC402!$C$9:'ELEC402'!$C$17, _xlfn.AGGREGATE(15, 6, ROW($1:$20)/SIGN(LEN(ELEC402!N$9:'ELEC402'!N$17)), 1)),"")</f>
        <v/>
      </c>
      <c r="O43" s="125" t="str" cm="1">
        <f t="array" ref="O43">IFERROR(INDEX(ELEC402!$C$9:'ELEC402'!$C$17, _xlfn.AGGREGATE(15, 6, ROW($1:$20)/SIGN(LEN(ELEC402!O$9:'ELEC402'!O$17)), 1)),"")</f>
        <v/>
      </c>
      <c r="P43" s="125" t="str" cm="1">
        <f t="array" ref="P43">IFERROR(INDEX(ELEC402!$C$9:'ELEC402'!$C$17, _xlfn.AGGREGATE(15, 6, ROW($1:$20)/SIGN(LEN(ELEC402!P$9:'ELEC402'!P$17)), 1)),"")</f>
        <v/>
      </c>
      <c r="Q43" s="125" t="str" cm="1">
        <f t="array" ref="Q43">IFERROR(INDEX(ELEC402!$C$9:'ELEC402'!$C$17, _xlfn.AGGREGATE(15, 6, ROW($1:$20)/SIGN(LEN(ELEC402!Q$9:'ELEC402'!Q$17)), 1)),"")</f>
        <v/>
      </c>
      <c r="R43" s="125" t="str" cm="1">
        <f t="array" ref="R43">IFERROR(INDEX(ELEC402!$C$9:'ELEC402'!$C$17, _xlfn.AGGREGATE(15, 6, ROW($1:$20)/SIGN(LEN(ELEC402!R$9:'ELEC402'!R$17)), 1)),"")</f>
        <v>Power Flow etc</v>
      </c>
      <c r="S43" s="125" t="str" cm="1">
        <f t="array" ref="S43">IFERROR(INDEX(ELEC402!$C$9:'ELEC402'!$C$17, _xlfn.AGGREGATE(15, 6, ROW($1:$20)/SIGN(LEN(ELEC402!S$9:'ELEC402'!S$17)), 1)),"")</f>
        <v/>
      </c>
      <c r="T43" s="126" t="str" cm="1">
        <f t="array" ref="T43">IFERROR(INDEX(ELEC402!$C$9:'ELEC402'!$C$17, _xlfn.AGGREGATE(15, 6, ROW($1:$20)/SIGN(LEN(ELEC402!T$9:'ELEC402'!T$17)), 1)),"")</f>
        <v/>
      </c>
    </row>
    <row r="44" spans="2:23" ht="24" customHeight="1" x14ac:dyDescent="0.2">
      <c r="G44" s="82">
        <v>2</v>
      </c>
      <c r="H44" s="167"/>
      <c r="I44" s="84" t="str" cm="1">
        <f t="array" ref="I44">IF(COUNTIFS(ELEC402!I$9:I$17,"Yes")&gt;=$G44, IFERROR(INDEX(ELEC402!$C$9:'ELEC402'!$C$17, _xlfn.AGGREGATE(15, 6, ROW($1:$20)/SIGN(LEN(ELEC402!I$9:'ELEC402'!I$17)), COUNTIFS(ELEC402!I$9:I$17,"Yes"))),""),"")</f>
        <v/>
      </c>
      <c r="J44" s="84" t="str" cm="1">
        <f t="array" ref="J44">IF(COUNTIFS(ELEC402!J$9:J$17,"Yes")&gt;=$G44, IFERROR(INDEX(ELEC402!$C$9:'ELEC402'!$C$17, _xlfn.AGGREGATE(15, 6, ROW($1:$20)/SIGN(LEN(ELEC402!J$9:'ELEC402'!J$17)), COUNTIFS(ELEC402!J$9:J$17,"Yes"))),""),"")</f>
        <v/>
      </c>
      <c r="K44" s="84" t="str" cm="1">
        <f t="array" ref="K44">IF(COUNTIFS(ELEC402!K$9:K$17,"Yes")&gt;=$G44, IFERROR(INDEX(ELEC402!$C$9:'ELEC402'!$C$17, _xlfn.AGGREGATE(15, 6, ROW($1:$20)/SIGN(LEN(ELEC402!K$9:'ELEC402'!K$17)), COUNTIFS(ELEC402!K$9:K$17,"Yes"))),""),"")</f>
        <v/>
      </c>
      <c r="L44" s="84" t="str" cm="1">
        <f t="array" ref="L44">IF(COUNTIFS(ELEC402!L$9:L$17,"Yes")&gt;=$G44, IFERROR(INDEX(ELEC402!$C$9:'ELEC402'!$C$17, _xlfn.AGGREGATE(15, 6, ROW($1:$20)/SIGN(LEN(ELEC402!L$9:'ELEC402'!L$17)), COUNTIFS(ELEC402!L$9:L$17,"Yes"))),""),"")</f>
        <v/>
      </c>
      <c r="M44" s="84" t="str" cm="1">
        <f t="array" ref="M44">IF(COUNTIFS(ELEC402!M$9:M$17,"Yes")&gt;=$G44, IFERROR(INDEX(ELEC402!$C$9:'ELEC402'!$C$17, _xlfn.AGGREGATE(15, 6, ROW($1:$20)/SIGN(LEN(ELEC402!M$9:'ELEC402'!M$17)), COUNTIFS(ELEC402!M$9:M$17,"Yes"))),""),"")</f>
        <v/>
      </c>
      <c r="N44" s="84" t="str" cm="1">
        <f t="array" ref="N44">IF(COUNTIFS(ELEC402!N$9:N$17,"Yes")&gt;=$G44, IFERROR(INDEX(ELEC402!$C$9:'ELEC402'!$C$17, _xlfn.AGGREGATE(15, 6, ROW($1:$20)/SIGN(LEN(ELEC402!N$9:'ELEC402'!N$17)), COUNTIFS(ELEC402!N$9:N$17,"Yes"))),""),"")</f>
        <v/>
      </c>
      <c r="O44" s="84" t="str" cm="1">
        <f t="array" ref="O44">IF(COUNTIFS(ELEC402!O$9:O$17,"Yes")&gt;=$G44, IFERROR(INDEX(ELEC402!$C$9:'ELEC402'!$C$17, _xlfn.AGGREGATE(15, 6, ROW($1:$20)/SIGN(LEN(ELEC402!O$9:'ELEC402'!O$17)), COUNTIFS(ELEC402!O$9:O$17,"Yes"))),""),"")</f>
        <v/>
      </c>
      <c r="P44" s="84" t="str" cm="1">
        <f t="array" ref="P44">IF(COUNTIFS(ELEC402!P$9:P$17,"Yes")&gt;=$G44, IFERROR(INDEX(ELEC402!$C$9:'ELEC402'!$C$17, _xlfn.AGGREGATE(15, 6, ROW($1:$20)/SIGN(LEN(ELEC402!P$9:'ELEC402'!P$17)), COUNTIFS(ELEC402!P$9:P$17,"Yes"))),""),"")</f>
        <v/>
      </c>
      <c r="Q44" s="84" t="str" cm="1">
        <f t="array" ref="Q44">IF(COUNTIFS(ELEC402!Q$9:Q$17,"Yes")&gt;=$G44, IFERROR(INDEX(ELEC402!$C$9:'ELEC402'!$C$17, _xlfn.AGGREGATE(15, 6, ROW($1:$20)/SIGN(LEN(ELEC402!Q$9:'ELEC402'!Q$17)), COUNTIFS(ELEC402!Q$9:Q$17,"Yes"))),""),"")</f>
        <v/>
      </c>
      <c r="R44" s="84" t="str" cm="1">
        <f t="array" ref="R44">IF(COUNTIFS(ELEC402!R$9:R$17,"Yes")&gt;=$G44, IFERROR(INDEX(ELEC402!$C$9:'ELEC402'!$C$17, _xlfn.AGGREGATE(15, 6, ROW($1:$20)/SIGN(LEN(ELEC402!R$9:'ELEC402'!R$17)), COUNTIFS(ELEC402!R$9:R$17,"Yes"))),""),"")</f>
        <v/>
      </c>
      <c r="S44" s="84" t="str" cm="1">
        <f t="array" ref="S44">IF(COUNTIFS(ELEC402!S$9:S$17,"Yes")&gt;=$G44, IFERROR(INDEX(ELEC402!$C$9:'ELEC402'!$C$17, _xlfn.AGGREGATE(15, 6, ROW($1:$20)/SIGN(LEN(ELEC402!S$9:'ELEC402'!S$17)), COUNTIFS(ELEC402!S$9:S$17,"Yes"))),""),"")</f>
        <v/>
      </c>
      <c r="T44" s="87" t="str" cm="1">
        <f t="array" ref="T44">IF(COUNTIFS(ELEC402!T$9:T$17,"Yes")&gt;=$G44, IFERROR(INDEX(ELEC402!$C$9:'ELEC402'!$C$17, _xlfn.AGGREGATE(15, 6, ROW($1:$20)/SIGN(LEN(ELEC402!T$9:'ELEC402'!T$17)), COUNTIFS(ELEC402!T$9:T$17,"Yes"))),""),"")</f>
        <v/>
      </c>
    </row>
    <row r="45" spans="2:23" ht="24" customHeight="1" x14ac:dyDescent="0.2">
      <c r="G45" s="82">
        <v>1</v>
      </c>
      <c r="H45" s="160" t="s">
        <v>299</v>
      </c>
      <c r="I45" s="83" t="str" cm="1">
        <f t="array" ref="I45">IFERROR(INDEX(ELEC450!$C$9:'ELEC450'!$C$17, _xlfn.AGGREGATE(15, 6, ROW(1:20)/SIGN(LEN(ELEC450!I$9:'ELEC450'!I$17)), 1)),"")</f>
        <v>Skills Audit</v>
      </c>
      <c r="J45" s="83" t="str" cm="1">
        <f t="array" ref="J45">IFERROR(INDEX(ELEC450!$C$9:'ELEC450'!$C$17, _xlfn.AGGREGATE(15, 6, ROW(1:20)/SIGN(LEN(ELEC450!J$9:'ELEC450'!J$17)), 1)),"")</f>
        <v/>
      </c>
      <c r="K45" s="83" t="str" cm="1">
        <f t="array" ref="K45">IFERROR(INDEX(ELEC450!$C$9:'ELEC450'!$C$17, _xlfn.AGGREGATE(15, 6, ROW(1:20)/SIGN(LEN(ELEC450!K$9:'ELEC450'!K$17)), 1)),"")</f>
        <v>Academic Integrity Quiz</v>
      </c>
      <c r="L45" s="83" t="str" cm="1">
        <f t="array" ref="L45">IFERROR(INDEX(ELEC450!$C$9:'ELEC450'!$C$17, _xlfn.AGGREGATE(15, 6, ROW(1:20)/SIGN(LEN(ELEC450!L$9:'ELEC450'!L$17)), 1)),"")</f>
        <v/>
      </c>
      <c r="M45" s="83" t="str" cm="1">
        <f t="array" ref="M45">IFERROR(INDEX(ELEC450!$C$9:'ELEC450'!$C$17, _xlfn.AGGREGATE(15, 6, ROW(1:20)/SIGN(LEN(ELEC450!M$9:'ELEC450'!M$17)), 1)),"")</f>
        <v/>
      </c>
      <c r="N45" s="83" t="str" cm="1">
        <f t="array" ref="N45">IFERROR(INDEX(ELEC450!$C$9:'ELEC450'!$C$17, _xlfn.AGGREGATE(15, 6, ROW(1:20)/SIGN(LEN(ELEC450!N$9:'ELEC450'!N$17)), 1)),"")</f>
        <v/>
      </c>
      <c r="O45" s="83" t="str" cm="1">
        <f t="array" ref="O45">IFERROR(INDEX(ELEC450!$C$9:'ELEC450'!$C$17, _xlfn.AGGREGATE(15, 6, ROW(1:20)/SIGN(LEN(ELEC450!O$9:'ELEC450'!O$17)), 1)),"")</f>
        <v/>
      </c>
      <c r="P45" s="83" t="str" cm="1">
        <f t="array" ref="P45">IFERROR(INDEX(ELEC450!$C$9:'ELEC450'!$C$17, _xlfn.AGGREGATE(15, 6, ROW(1:20)/SIGN(LEN(ELEC450!P$9:'ELEC450'!P$17)), 1)),"")</f>
        <v>Presentation</v>
      </c>
      <c r="Q45" s="83" t="str" cm="1">
        <f t="array" ref="Q45">IFERROR(INDEX(ELEC450!$C$9:'ELEC450'!$C$17, _xlfn.AGGREGATE(15, 6, ROW(1:20)/SIGN(LEN(ELEC450!Q$9:'ELEC450'!Q$17)), 1)),"")</f>
        <v/>
      </c>
      <c r="R45" s="83" t="str" cm="1">
        <f t="array" ref="R45">IFERROR(INDEX(ELEC450!$C$9:'ELEC450'!$C$17, _xlfn.AGGREGATE(15, 6, ROW(1:20)/SIGN(LEN(ELEC450!R$9:'ELEC450'!R$17)), 1)),"")</f>
        <v/>
      </c>
      <c r="S45" s="83" t="str" cm="1">
        <f t="array" ref="S45">IFERROR(INDEX(ELEC450!$C$9:'ELEC450'!$C$17, _xlfn.AGGREGATE(15, 6, ROW(1:20)/SIGN(LEN(ELEC450!S$9:'ELEC450'!S$17)), 1)),"")</f>
        <v/>
      </c>
      <c r="T45" s="86" t="str" cm="1">
        <f t="array" ref="T45">IFERROR(INDEX(ELEC450!$C$9:'ELEC450'!$C$17, _xlfn.AGGREGATE(15, 6, ROW(1:20)/SIGN(LEN(ELEC450!T$9:'ELEC450'!T$17)), 1)),"")</f>
        <v>Interim Report</v>
      </c>
    </row>
    <row r="46" spans="2:23" ht="24" customHeight="1" x14ac:dyDescent="0.2">
      <c r="G46" s="82">
        <v>2</v>
      </c>
      <c r="H46" s="161"/>
      <c r="I46" s="84" t="str" cm="1">
        <f t="array" ref="I46">IF(COUNTIFS(ELEC450!I$9:I$17,"Yes")&gt;=$G46, IFERROR(INDEX(ELEC450!$C$9:'ELEC450'!$C$17, _xlfn.AGGREGATE(15, 6, ROW($1:$20)/SIGN(LEN(ELEC450!I$9:'ELEC450'!I$17)), COUNTIFS(ELEC450!I$9:I$17,"Yes"))),""),"")</f>
        <v/>
      </c>
      <c r="J46" s="84" t="str" cm="1">
        <f t="array" ref="J46">IF(COUNTIFS(ELEC450!J$9:J$17,"Yes")&gt;=$G46, IFERROR(INDEX(ELEC450!$C$9:'ELEC450'!$C$17, _xlfn.AGGREGATE(15, 6, ROW($1:$20)/SIGN(LEN(ELEC450!J$9:'ELEC450'!J$17)), COUNTIFS(ELEC450!J$9:J$17,"Yes"))),""),"")</f>
        <v/>
      </c>
      <c r="K46" s="84" t="str" cm="1">
        <f t="array" ref="K46">IF(COUNTIFS(ELEC450!K$9:K$17,"Yes")&gt;=$G46, IFERROR(INDEX(ELEC450!$C$9:'ELEC450'!$C$17, _xlfn.AGGREGATE(15, 6, ROW($1:$20)/SIGN(LEN(ELEC450!K$9:'ELEC450'!K$17)), COUNTIFS(ELEC450!K$9:K$17,"Yes"))),""),"")</f>
        <v/>
      </c>
      <c r="L46" s="84" t="str" cm="1">
        <f t="array" ref="L46">IF(COUNTIFS(ELEC450!L$9:L$17,"Yes")&gt;=$G46, IFERROR(INDEX(ELEC450!$C$9:'ELEC450'!$C$17, _xlfn.AGGREGATE(15, 6, ROW($1:$20)/SIGN(LEN(ELEC450!L$9:'ELEC450'!L$17)), COUNTIFS(ELEC450!L$9:L$17,"Yes"))),""),"")</f>
        <v/>
      </c>
      <c r="M46" s="84" t="str" cm="1">
        <f t="array" ref="M46">IF(COUNTIFS(ELEC450!M$9:M$17,"Yes")&gt;=$G46, IFERROR(INDEX(ELEC450!$C$9:'ELEC450'!$C$17, _xlfn.AGGREGATE(15, 6, ROW($1:$20)/SIGN(LEN(ELEC450!M$9:'ELEC450'!M$17)), COUNTIFS(ELEC450!M$9:M$17,"Yes"))),""),"")</f>
        <v/>
      </c>
      <c r="N46" s="84" t="str" cm="1">
        <f t="array" ref="N46">IF(COUNTIFS(ELEC450!N$9:N$17,"Yes")&gt;=$G46, IFERROR(INDEX(ELEC450!$C$9:'ELEC450'!$C$17, _xlfn.AGGREGATE(15, 6, ROW($1:$20)/SIGN(LEN(ELEC450!N$9:'ELEC450'!N$17)), COUNTIFS(ELEC450!N$9:N$17,"Yes"))),""),"")</f>
        <v/>
      </c>
      <c r="O46" s="84" t="str" cm="1">
        <f t="array" ref="O46">IF(COUNTIFS(ELEC450!O$9:O$17,"Yes")&gt;=$G46, IFERROR(INDEX(ELEC450!$C$9:'ELEC450'!$C$17, _xlfn.AGGREGATE(15, 6, ROW($1:$20)/SIGN(LEN(ELEC450!O$9:'ELEC450'!O$17)), COUNTIFS(ELEC450!O$9:O$17,"Yes"))),""),"")</f>
        <v/>
      </c>
      <c r="P46" s="84" t="str" cm="1">
        <f t="array" ref="P46">IF(COUNTIFS(ELEC450!P$9:P$17,"Yes")&gt;=$G46, IFERROR(INDEX(ELEC450!$C$9:'ELEC450'!$C$17, _xlfn.AGGREGATE(15, 6, ROW($1:$20)/SIGN(LEN(ELEC450!P$9:'ELEC450'!P$17)), COUNTIFS(ELEC450!P$9:P$17,"Yes"))),""),"")</f>
        <v/>
      </c>
      <c r="Q46" s="84" t="str" cm="1">
        <f t="array" ref="Q46">IF(COUNTIFS(ELEC450!Q$9:Q$17,"Yes")&gt;=$G46, IFERROR(INDEX(ELEC450!$C$9:'ELEC450'!$C$17, _xlfn.AGGREGATE(15, 6, ROW($1:$20)/SIGN(LEN(ELEC450!Q$9:'ELEC450'!Q$17)), COUNTIFS(ELEC450!Q$9:Q$17,"Yes"))),""),"")</f>
        <v/>
      </c>
      <c r="R46" s="84" t="str" cm="1">
        <f t="array" ref="R46">IF(COUNTIFS(ELEC450!R$9:R$17,"Yes")&gt;=$G46, IFERROR(INDEX(ELEC450!$C$9:'ELEC450'!$C$17, _xlfn.AGGREGATE(15, 6, ROW($1:$20)/SIGN(LEN(ELEC450!R$9:'ELEC450'!R$17)), COUNTIFS(ELEC450!R$9:R$17,"Yes"))),""),"")</f>
        <v/>
      </c>
      <c r="S46" s="84" t="str" cm="1">
        <f t="array" ref="S46">IF(COUNTIFS(ELEC450!S$9:S$17,"Yes")&gt;=$G46, IFERROR(INDEX(ELEC450!$C$9:'ELEC450'!$C$17, _xlfn.AGGREGATE(15, 6, ROW($1:$20)/SIGN(LEN(ELEC450!S$9:'ELEC450'!S$17)), COUNTIFS(ELEC450!S$9:S$17,"Yes"))),""),"")</f>
        <v/>
      </c>
      <c r="T46" s="87" t="str" cm="1">
        <f t="array" ref="T46">IF(COUNTIFS(ELEC450!T$9:T$17,"Yes")&gt;=$G46, IFERROR(INDEX(ELEC450!$C$9:'ELEC450'!$C$17, _xlfn.AGGREGATE(15, 6, ROW($1:$20)/SIGN(LEN(ELEC450!T$9:'ELEC450'!T$17)), COUNTIFS(ELEC450!T$9:T$17,"Yes"))),""),"")</f>
        <v/>
      </c>
    </row>
    <row r="47" spans="2:23" ht="24" customHeight="1" x14ac:dyDescent="0.2">
      <c r="G47" s="82">
        <v>1</v>
      </c>
      <c r="H47" s="160" t="s">
        <v>255</v>
      </c>
      <c r="I47" s="83" t="str" cm="1">
        <f t="array" ref="I47">IFERROR(INDEX(ELEC421!$C$9:'ELEC421'!$C$17, _xlfn.AGGREGATE(15, 6, ROW($1:$20)/SIGN(LEN(ELEC421!I$9:'ELEC421'!I$17)), 1)),"")</f>
        <v/>
      </c>
      <c r="J47" s="83" t="str" cm="1">
        <f t="array" ref="J47">IFERROR(INDEX(ELEC421!$C$9:'ELEC421'!$C$17, _xlfn.AGGREGATE(15, 6, ROW($1:$20)/SIGN(LEN(ELEC421!J$9:'ELEC421'!J$17)), 1)),"")</f>
        <v/>
      </c>
      <c r="K47" s="83" t="str" cm="1">
        <f t="array" ref="K47">IFERROR(INDEX(ELEC421!$C$9:'ELEC421'!$C$17, _xlfn.AGGREGATE(15, 6, ROW($1:$20)/SIGN(LEN(ELEC421!K$9:'ELEC421'!K$17)), 1)),"")</f>
        <v/>
      </c>
      <c r="L47" s="83" t="str" cm="1">
        <f t="array" ref="L47">IFERROR(INDEX(ELEC421!$C$9:'ELEC421'!$C$17, _xlfn.AGGREGATE(15, 6, ROW($1:$20)/SIGN(LEN(ELEC421!L$9:'ELEC421'!L$17)), 1)),"")</f>
        <v/>
      </c>
      <c r="M47" s="83" t="str" cm="1">
        <f t="array" ref="M47">IFERROR(INDEX(ELEC421!$C$9:'ELEC421'!$C$17, _xlfn.AGGREGATE(15, 6, ROW($1:$20)/SIGN(LEN(ELEC421!M$9:'ELEC421'!M$17)), 1)),"")</f>
        <v/>
      </c>
      <c r="N47" s="83" t="str" cm="1">
        <f t="array" ref="N47">IFERROR(INDEX(ELEC421!$C$9:'ELEC421'!$C$17, _xlfn.AGGREGATE(15, 6, ROW($1:$20)/SIGN(LEN(ELEC421!N$9:'ELEC421'!N$17)), 1)),"")</f>
        <v/>
      </c>
      <c r="O47" s="83" t="str" cm="1">
        <f t="array" ref="O47">IFERROR(INDEX(ELEC421!$C$9:'ELEC421'!$C$17, _xlfn.AGGREGATE(15, 6, ROW($1:$20)/SIGN(LEN(ELEC421!O$9:'ELEC421'!O$17)), 1)),"")</f>
        <v/>
      </c>
      <c r="P47" s="83" t="str" cm="1">
        <f t="array" ref="P47">IFERROR(INDEX(ELEC421!$C$9:'ELEC421'!$C$17, _xlfn.AGGREGATE(15, 6, ROW($1:$20)/SIGN(LEN(ELEC421!P$9:'ELEC421'!P$17)), 1)),"")</f>
        <v/>
      </c>
      <c r="Q47" s="83" t="str" cm="1">
        <f t="array" ref="Q47">IFERROR(INDEX(ELEC421!$C$9:'ELEC421'!$C$17, _xlfn.AGGREGATE(15, 6, ROW($1:$20)/SIGN(LEN(ELEC421!Q$9:'ELEC421'!Q$17)), 1)),"")</f>
        <v>Sensor Report</v>
      </c>
      <c r="R47" s="83" t="str" cm="1">
        <f t="array" ref="R47">IFERROR(INDEX(ELEC421!$C$9:'ELEC421'!$C$17, _xlfn.AGGREGATE(15, 6, ROW($1:$20)/SIGN(LEN(ELEC421!R$9:'ELEC421'!R$17)), 1)),"")</f>
        <v/>
      </c>
      <c r="S47" s="83" t="str" cm="1">
        <f t="array" ref="S47">IFERROR(INDEX(ELEC421!$C$9:'ELEC421'!$C$17, _xlfn.AGGREGATE(15, 6, ROW($1:$20)/SIGN(LEN(ELEC421!S$9:'ELEC421'!S$17)), 1)),"")</f>
        <v/>
      </c>
      <c r="T47" s="86" t="str" cm="1">
        <f t="array" ref="T47">IFERROR(INDEX(ELEC421!$C$9:'ELEC421'!$C$17, _xlfn.AGGREGATE(15, 6, ROW($1:$20)/SIGN(LEN(ELEC421!T$9:'ELEC421'!T$17)), 1)),"")</f>
        <v/>
      </c>
    </row>
    <row r="48" spans="2:23" ht="24" customHeight="1" x14ac:dyDescent="0.2">
      <c r="G48" s="82">
        <v>2</v>
      </c>
      <c r="H48" s="161"/>
      <c r="I48" s="84" t="str" cm="1">
        <f t="array" ref="I48">IF(COUNTIFS(ELEC421!I$9:I$17,"Yes")&gt;=$G48, IFERROR(INDEX(ELEC421!$C$9:'ELEC421'!$C$17, _xlfn.AGGREGATE(15, 6, ROW($1:$20)/SIGN(LEN(ELEC421!I$9:'ELEC421'!I$17)), COUNTIFS(ELEC421!I$9:I$17,"Yes"))),""),"")</f>
        <v/>
      </c>
      <c r="J48" s="84" t="str" cm="1">
        <f t="array" ref="J48">IF(COUNTIFS(ELEC421!J$9:J$17,"Yes")&gt;=$G48, IFERROR(INDEX(ELEC421!$C$9:'ELEC421'!$C$17, _xlfn.AGGREGATE(15, 6, ROW($1:$20)/SIGN(LEN(ELEC421!J$9:'ELEC421'!J$17)), COUNTIFS(ELEC421!J$9:J$17,"Yes"))),""),"")</f>
        <v/>
      </c>
      <c r="K48" s="84" t="str" cm="1">
        <f t="array" ref="K48">IF(COUNTIFS(ELEC421!K$9:K$17,"Yes")&gt;=$G48, IFERROR(INDEX(ELEC421!$C$9:'ELEC421'!$C$17, _xlfn.AGGREGATE(15, 6, ROW($1:$20)/SIGN(LEN(ELEC421!K$9:'ELEC421'!K$17)), COUNTIFS(ELEC421!K$9:K$17,"Yes"))),""),"")</f>
        <v/>
      </c>
      <c r="L48" s="84" t="str" cm="1">
        <f t="array" ref="L48">IF(COUNTIFS(ELEC421!L$9:L$17,"Yes")&gt;=$G48, IFERROR(INDEX(ELEC421!$C$9:'ELEC421'!$C$17, _xlfn.AGGREGATE(15, 6, ROW($1:$20)/SIGN(LEN(ELEC421!L$9:'ELEC421'!L$17)), COUNTIFS(ELEC421!L$9:L$17,"Yes"))),""),"")</f>
        <v/>
      </c>
      <c r="M48" s="84" t="str" cm="1">
        <f t="array" ref="M48">IF(COUNTIFS(ELEC421!M$9:M$17,"Yes")&gt;=$G48, IFERROR(INDEX(ELEC421!$C$9:'ELEC421'!$C$17, _xlfn.AGGREGATE(15, 6, ROW($1:$20)/SIGN(LEN(ELEC421!M$9:'ELEC421'!M$17)), COUNTIFS(ELEC421!M$9:M$17,"Yes"))),""),"")</f>
        <v/>
      </c>
      <c r="N48" s="84" t="str" cm="1">
        <f t="array" ref="N48">IF(COUNTIFS(ELEC421!N$9:N$17,"Yes")&gt;=$G48, IFERROR(INDEX(ELEC421!$C$9:'ELEC421'!$C$17, _xlfn.AGGREGATE(15, 6, ROW($1:$20)/SIGN(LEN(ELEC421!N$9:'ELEC421'!N$17)), COUNTIFS(ELEC421!N$9:N$17,"Yes"))),""),"")</f>
        <v/>
      </c>
      <c r="O48" s="84" t="str" cm="1">
        <f t="array" ref="O48">IF(COUNTIFS(ELEC421!O$9:O$17,"Yes")&gt;=$G48, IFERROR(INDEX(ELEC421!$C$9:'ELEC421'!$C$17, _xlfn.AGGREGATE(15, 6, ROW($1:$20)/SIGN(LEN(ELEC421!O$9:'ELEC421'!O$17)), COUNTIFS(ELEC421!O$9:O$17,"Yes"))),""),"")</f>
        <v/>
      </c>
      <c r="P48" s="84" t="str" cm="1">
        <f t="array" ref="P48">IF(COUNTIFS(ELEC421!P$9:P$17,"Yes")&gt;=$G48, IFERROR(INDEX(ELEC421!$C$9:'ELEC421'!$C$17, _xlfn.AGGREGATE(15, 6, ROW($1:$20)/SIGN(LEN(ELEC421!P$9:'ELEC421'!P$17)), COUNTIFS(ELEC421!P$9:P$17,"Yes"))),""),"")</f>
        <v/>
      </c>
      <c r="Q48" s="84" t="str" cm="1">
        <f t="array" ref="Q48">IF(COUNTIFS(ELEC421!Q$9:Q$17,"Yes")&gt;=$G48, IFERROR(INDEX(ELEC421!$C$9:'ELEC421'!$C$17, _xlfn.AGGREGATE(15, 6, ROW($1:$20)/SIGN(LEN(ELEC421!Q$9:'ELEC421'!Q$17)), COUNTIFS(ELEC421!Q$9:Q$17,"Yes"))),""),"")</f>
        <v/>
      </c>
      <c r="R48" s="84" t="str" cm="1">
        <f t="array" ref="R48">IF(COUNTIFS(ELEC421!R$9:R$17,"Yes")&gt;=$G48, IFERROR(INDEX(ELEC421!$C$9:'ELEC421'!$C$17, _xlfn.AGGREGATE(15, 6, ROW($1:$20)/SIGN(LEN(ELEC421!R$9:'ELEC421'!R$17)), COUNTIFS(ELEC421!R$9:R$17,"Yes"))),""),"")</f>
        <v/>
      </c>
      <c r="S48" s="84" t="str" cm="1">
        <f t="array" ref="S48">IF(COUNTIFS(ELEC421!S$9:S$17,"Yes")&gt;=$G48, IFERROR(INDEX(ELEC421!$C$9:'ELEC421'!$C$17, _xlfn.AGGREGATE(15, 6, ROW($1:$20)/SIGN(LEN(ELEC421!S$9:'ELEC421'!S$17)), COUNTIFS(ELEC421!S$9:S$17,"Yes"))),""),"")</f>
        <v/>
      </c>
      <c r="T48" s="87" t="str" cm="1">
        <f t="array" ref="T48">IF(COUNTIFS(ELEC421!T$9:T$17,"Yes")&gt;=$G48, IFERROR(INDEX(ELEC421!$C$9:'ELEC421'!$C$17, _xlfn.AGGREGATE(15, 6, ROW($1:$20)/SIGN(LEN(ELEC421!T$9:'ELEC421'!T$17)), COUNTIFS(ELEC421!T$9:T$17,"Yes"))),""),"")</f>
        <v/>
      </c>
    </row>
    <row r="49" spans="1:25" ht="37" customHeight="1" x14ac:dyDescent="0.2">
      <c r="G49" s="82">
        <v>1</v>
      </c>
      <c r="H49" s="160" t="s">
        <v>280</v>
      </c>
      <c r="I49" s="125" t="str" cm="1">
        <f t="array" ref="I49">IFERROR(INDEX(ELEC362!$C$9:'ELEC362'!$C$17, _xlfn.AGGREGATE(15, 6, ROW($1:$20)/SIGN(LEN(ELEC362!I$9:'ELEC362'!I$17)), 1)),"")</f>
        <v/>
      </c>
      <c r="J49" s="125" t="str" cm="1">
        <f t="array" ref="J49">IFERROR(INDEX(ELEC362!$C$9:'ELEC362'!$C$17, _xlfn.AGGREGATE(15, 6, ROW($1:$20)/SIGN(LEN(ELEC362!J$9:'ELEC362'!J$17)), 1)),"")</f>
        <v/>
      </c>
      <c r="K49" s="125" t="str" cm="1">
        <f t="array" ref="K49">IFERROR(INDEX(ELEC362!$C$9:'ELEC362'!$C$17, _xlfn.AGGREGATE(15, 6, ROW($1:$20)/SIGN(LEN(ELEC362!K$9:'ELEC362'!K$17)), 1)),"")</f>
        <v/>
      </c>
      <c r="L49" s="125" t="str" cm="1">
        <f t="array" ref="L49">IFERROR(INDEX(ELEC362!$C$9:'ELEC362'!$C$17, _xlfn.AGGREGATE(15, 6, ROW($1:$20)/SIGN(LEN(ELEC362!L$9:'ELEC362'!L$17)), 1)),"")</f>
        <v/>
      </c>
      <c r="M49" s="125" t="str" cm="1">
        <f t="array" ref="M49">IFERROR(INDEX(ELEC362!$C$9:'ELEC362'!$C$17, _xlfn.AGGREGATE(15, 6, ROW($1:$20)/SIGN(LEN(ELEC362!M$9:'ELEC362'!M$17)), 1)),"")</f>
        <v>Coding Assignment</v>
      </c>
      <c r="N49" s="125" t="str" cm="1">
        <f t="array" ref="N49">IFERROR(INDEX(ELEC362!$C$9:'ELEC362'!$C$17, _xlfn.AGGREGATE(15, 6, ROW($1:$20)/SIGN(LEN(ELEC362!N$9:'ELEC362'!N$17)), 1)),"")</f>
        <v/>
      </c>
      <c r="O49" s="125" t="str" cm="1">
        <f t="array" ref="O49">IFERROR(INDEX(ELEC362!$C$9:'ELEC362'!$C$17, _xlfn.AGGREGATE(15, 6, ROW($1:$20)/SIGN(LEN(ELEC362!O$9:'ELEC362'!O$17)), 1)),"")</f>
        <v/>
      </c>
      <c r="P49" s="125" t="str" cm="1">
        <f t="array" ref="P49">IFERROR(INDEX(ELEC362!$C$9:'ELEC362'!$C$17, _xlfn.AGGREGATE(15, 6, ROW($1:$20)/SIGN(LEN(ELEC362!P$9:'ELEC362'!P$17)), 1)),"")</f>
        <v/>
      </c>
      <c r="Q49" s="125" t="str" cm="1">
        <f t="array" ref="Q49">IFERROR(INDEX(ELEC362!$C$9:'ELEC362'!$C$17, _xlfn.AGGREGATE(15, 6, ROW($1:$20)/SIGN(LEN(ELEC362!Q$9:'ELEC362'!Q$17)), 1)),"")</f>
        <v/>
      </c>
      <c r="R49" s="125" t="str" cm="1">
        <f t="array" ref="R49">IFERROR(INDEX(ELEC362!$C$9:'ELEC362'!$C$17, _xlfn.AGGREGATE(15, 6, ROW($1:$20)/SIGN(LEN(ELEC362!R$9:'ELEC362'!R$17)), 1)),"")</f>
        <v/>
      </c>
      <c r="S49" s="125" t="str" cm="1">
        <f t="array" ref="S49">IFERROR(INDEX(ELEC362!$C$9:'ELEC362'!$C$17, _xlfn.AGGREGATE(15, 6, ROW($1:$20)/SIGN(LEN(ELEC362!S$9:'ELEC362'!S$17)), 1)),"")</f>
        <v/>
      </c>
      <c r="T49" s="126" t="str" cm="1">
        <f t="array" ref="T49">IFERROR(INDEX(ELEC362!$C$9:'ELEC362'!$C$17, _xlfn.AGGREGATE(15, 6, ROW($1:$20)/SIGN(LEN(ELEC362!T$9:'ELEC362'!T$17)), 1)),"")</f>
        <v>Software Development Project</v>
      </c>
    </row>
    <row r="50" spans="1:25" ht="25.25" customHeight="1" x14ac:dyDescent="0.2">
      <c r="G50" s="82">
        <v>2</v>
      </c>
      <c r="H50" s="161"/>
      <c r="I50" s="84" t="str" cm="1">
        <f t="array" ref="I50">IF(COUNTIFS(ELEC362!I$9:I$17,"Yes")&gt;=$G50, IFERROR(INDEX(ELEC362!$C$9:'ELEC362'!$C$17, _xlfn.AGGREGATE(15, 6, ROW($1:$20)/SIGN(LEN(ELEC362!I$9:'ELEC362'!I$17)), COUNTIFS(ELEC362!I$9:I$17,"Yes"))),""),"")</f>
        <v/>
      </c>
      <c r="J50" s="84" t="str" cm="1">
        <f t="array" ref="J50">IF(COUNTIFS(ELEC362!J$9:J$17,"Yes")&gt;=$G50, IFERROR(INDEX(ELEC362!$C$9:'ELEC362'!$C$17, _xlfn.AGGREGATE(15, 6, ROW($1:$20)/SIGN(LEN(ELEC362!J$9:'ELEC362'!J$17)), COUNTIFS(ELEC362!J$9:J$17,"Yes"))),""),"")</f>
        <v/>
      </c>
      <c r="K50" s="84" t="str" cm="1">
        <f t="array" ref="K50">IF(COUNTIFS(ELEC362!K$9:K$17,"Yes")&gt;=$G50, IFERROR(INDEX(ELEC362!$C$9:'ELEC362'!$C$17, _xlfn.AGGREGATE(15, 6, ROW($1:$20)/SIGN(LEN(ELEC362!K$9:'ELEC362'!K$17)), COUNTIFS(ELEC362!K$9:K$17,"Yes"))),""),"")</f>
        <v/>
      </c>
      <c r="L50" s="84" t="str" cm="1">
        <f t="array" ref="L50">IF(COUNTIFS(ELEC362!L$9:L$17,"Yes")&gt;=$G50, IFERROR(INDEX(ELEC362!$C$9:'ELEC362'!$C$17, _xlfn.AGGREGATE(15, 6, ROW($1:$20)/SIGN(LEN(ELEC362!L$9:'ELEC362'!L$17)), COUNTIFS(ELEC362!L$9:L$17,"Yes"))),""),"")</f>
        <v/>
      </c>
      <c r="M50" s="84" t="str" cm="1">
        <f t="array" ref="M50">IF(COUNTIFS(ELEC362!M$9:M$17,"Yes")&gt;=$G50, IFERROR(INDEX(ELEC362!$C$9:'ELEC362'!$C$17, _xlfn.AGGREGATE(15, 6, ROW($1:$20)/SIGN(LEN(ELEC362!M$9:'ELEC362'!M$17)), COUNTIFS(ELEC362!M$9:M$17,"Yes"))),""),"")</f>
        <v/>
      </c>
      <c r="N50" s="84" t="str" cm="1">
        <f t="array" ref="N50">IF(COUNTIFS(ELEC362!N$9:N$17,"Yes")&gt;=$G50, IFERROR(INDEX(ELEC362!$C$9:'ELEC362'!$C$17, _xlfn.AGGREGATE(15, 6, ROW($1:$20)/SIGN(LEN(ELEC362!N$9:'ELEC362'!N$17)), COUNTIFS(ELEC362!N$9:N$17,"Yes"))),""),"")</f>
        <v/>
      </c>
      <c r="O50" s="84" t="str" cm="1">
        <f t="array" ref="O50">IF(COUNTIFS(ELEC362!O$9:O$17,"Yes")&gt;=$G50, IFERROR(INDEX(ELEC362!$C$9:'ELEC362'!$C$17, _xlfn.AGGREGATE(15, 6, ROW($1:$20)/SIGN(LEN(ELEC362!O$9:'ELEC362'!O$17)), COUNTIFS(ELEC362!O$9:O$17,"Yes"))),""),"")</f>
        <v/>
      </c>
      <c r="P50" s="84" t="str" cm="1">
        <f t="array" ref="P50">IF(COUNTIFS(ELEC362!P$9:P$17,"Yes")&gt;=$G50, IFERROR(INDEX(ELEC362!$C$9:'ELEC362'!$C$17, _xlfn.AGGREGATE(15, 6, ROW($1:$20)/SIGN(LEN(ELEC362!P$9:'ELEC362'!P$17)), COUNTIFS(ELEC362!P$9:P$17,"Yes"))),""),"")</f>
        <v/>
      </c>
      <c r="Q50" s="84" t="str" cm="1">
        <f t="array" ref="Q50">IF(COUNTIFS(ELEC362!Q$9:Q$17,"Yes")&gt;=$G50, IFERROR(INDEX(ELEC362!$C$9:'ELEC362'!$C$17, _xlfn.AGGREGATE(15, 6, ROW($1:$20)/SIGN(LEN(ELEC362!Q$9:'ELEC362'!Q$17)), COUNTIFS(ELEC362!Q$9:Q$17,"Yes"))),""),"")</f>
        <v/>
      </c>
      <c r="R50" s="84" t="str" cm="1">
        <f t="array" ref="R50">IF(COUNTIFS(ELEC362!R$9:R$17,"Yes")&gt;=$G50, IFERROR(INDEX(ELEC362!$C$9:'ELEC362'!$C$17, _xlfn.AGGREGATE(15, 6, ROW($1:$20)/SIGN(LEN(ELEC362!R$9:'ELEC362'!R$17)), COUNTIFS(ELEC362!R$9:R$17,"Yes"))),""),"")</f>
        <v/>
      </c>
      <c r="S50" s="84" t="str" cm="1">
        <f t="array" ref="S50">IF(COUNTIFS(ELEC362!S$9:S$17,"Yes")&gt;=$G50, IFERROR(INDEX(ELEC362!$C$9:'ELEC362'!$C$17, _xlfn.AGGREGATE(15, 6, ROW($1:$20)/SIGN(LEN(ELEC362!S$9:'ELEC362'!S$17)), COUNTIFS(ELEC362!S$9:S$17,"Yes"))),""),"")</f>
        <v/>
      </c>
      <c r="T50" s="87" t="str" cm="1">
        <f t="array" ref="T50">IF(COUNTIFS(ELEC362!T$9:T$17,"Yes")&gt;=$G50, IFERROR(INDEX(ELEC362!$C$9:'ELEC362'!$C$17, _xlfn.AGGREGATE(15, 6, ROW($1:$20)/SIGN(LEN(ELEC362!T$9:'ELEC362'!T$17)), COUNTIFS(ELEC362!T$9:T$17,"Yes"))),""),"")</f>
        <v/>
      </c>
    </row>
    <row r="51" spans="1:25" s="10" customFormat="1" ht="23" customHeight="1" x14ac:dyDescent="0.2">
      <c r="A51"/>
      <c r="B51"/>
      <c r="C51"/>
      <c r="D51"/>
      <c r="E51"/>
      <c r="F51"/>
      <c r="G51" s="82">
        <v>1</v>
      </c>
      <c r="H51" s="160" t="s">
        <v>263</v>
      </c>
      <c r="I51" s="125" t="str" cm="1">
        <f t="array" ref="I51">IFERROR(INDEX(ELEC470!$C$9:'ELEC470'!$C$17, _xlfn.AGGREGATE(15, 6, ROW($1:$20)/SIGN(LEN(ELEC470!I$9:'ELEC470'!I$17)), 1)),"")</f>
        <v/>
      </c>
      <c r="J51" s="125" t="str" cm="1">
        <f t="array" ref="J51">IFERROR(INDEX(ELEC470!$C$9:'ELEC470'!$C$17, _xlfn.AGGREGATE(15, 6, ROW($1:$20)/SIGN(LEN(ELEC470!J$9:'ELEC470'!J$17)), 1)),"")</f>
        <v/>
      </c>
      <c r="K51" s="125" t="str" cm="1">
        <f t="array" ref="K51">IFERROR(INDEX(ELEC470!$C$9:'ELEC470'!$C$17, _xlfn.AGGREGATE(15, 6, ROW($1:$20)/SIGN(LEN(ELEC470!K$9:'ELEC470'!K$17)), 1)),"")</f>
        <v/>
      </c>
      <c r="L51" s="125" t="str" cm="1">
        <f t="array" ref="L51">IFERROR(INDEX(ELEC470!$C$9:'ELEC470'!$C$17, _xlfn.AGGREGATE(15, 6, ROW($1:$20)/SIGN(LEN(ELEC470!L$9:'ELEC470'!L$17)), 1)),"")</f>
        <v/>
      </c>
      <c r="M51" s="125" t="str" cm="1">
        <f t="array" ref="M51">IFERROR(INDEX(ELEC470!$C$9:'ELEC470'!$C$17, _xlfn.AGGREGATE(15, 6, ROW($1:$20)/SIGN(LEN(ELEC470!M$9:'ELEC470'!M$17)), 1)),"")</f>
        <v/>
      </c>
      <c r="N51" s="125" t="str" cm="1">
        <f t="array" ref="N51">IFERROR(INDEX(ELEC470!$C$9:'ELEC470'!$C$17, _xlfn.AGGREGATE(15, 6, ROW($1:$20)/SIGN(LEN(ELEC470!N$9:'ELEC470'!N$17)), 1)),"")</f>
        <v/>
      </c>
      <c r="O51" s="125" t="str" cm="1">
        <f t="array" ref="O51">IFERROR(INDEX(ELEC470!$C$9:'ELEC470'!$C$17, _xlfn.AGGREGATE(15, 6, ROW($1:$20)/SIGN(LEN(ELEC470!O$9:'ELEC470'!O$17)), 1)),"")</f>
        <v/>
      </c>
      <c r="P51" s="125" t="str" cm="1">
        <f t="array" ref="P51">IFERROR(INDEX(ELEC470!$C$9:'ELEC470'!$C$17, _xlfn.AGGREGATE(15, 6, ROW($1:$20)/SIGN(LEN(ELEC470!P$9:'ELEC470'!P$17)), 1)),"")</f>
        <v/>
      </c>
      <c r="Q51" s="125" t="str" cm="1">
        <f t="array" ref="Q51">IFERROR(INDEX(ELEC470!$C$9:'ELEC470'!$C$17, _xlfn.AGGREGATE(15, 6, ROW($1:$20)/SIGN(LEN(ELEC470!Q$9:'ELEC470'!Q$17)), 1)),"")</f>
        <v/>
      </c>
      <c r="R51" s="125" t="str" cm="1">
        <f t="array" ref="R51">IFERROR(INDEX(ELEC470!$C$9:'ELEC470'!$C$17, _xlfn.AGGREGATE(15, 6, ROW($1:$20)/SIGN(LEN(ELEC470!R$9:'ELEC470'!R$17)), 1)),"")</f>
        <v>CW</v>
      </c>
      <c r="S51" s="125" t="str" cm="1">
        <f t="array" ref="S51">IFERROR(INDEX(ELEC470!$C$9:'ELEC470'!$C$17, _xlfn.AGGREGATE(15, 6, ROW($1:$20)/SIGN(LEN(ELEC470!S$9:'ELEC470'!S$17)), 1)),"")</f>
        <v/>
      </c>
      <c r="T51" s="126" t="str" cm="1">
        <f t="array" ref="T51">IFERROR(INDEX(ELEC470!$C$9:'ELEC470'!$C$17, _xlfn.AGGREGATE(15, 6, ROW($1:$20)/SIGN(LEN(ELEC470!T$9:'ELEC470'!T$17)), 1)),"")</f>
        <v/>
      </c>
      <c r="X51"/>
      <c r="Y51"/>
    </row>
    <row r="52" spans="1:25" s="10" customFormat="1" ht="21" customHeight="1" x14ac:dyDescent="0.2">
      <c r="A52"/>
      <c r="B52"/>
      <c r="C52"/>
      <c r="D52"/>
      <c r="E52"/>
      <c r="F52"/>
      <c r="G52" s="82">
        <v>2</v>
      </c>
      <c r="H52" s="161"/>
      <c r="I52" s="84" t="str" cm="1">
        <f t="array" ref="I52">IF(COUNTIFS(ELEC470!I$9:I$17,"Yes")&gt;=$G52, IFERROR(INDEX(ELEC470!$C$9:'ELEC470'!$C$17, _xlfn.AGGREGATE(15, 6, ROW($1:$20)/SIGN(LEN(ELEC470!I$9:'ELEC470'!I$17)), COUNTIFS(ELEC470!I$9:I$17,"Yes"))),""),"")</f>
        <v/>
      </c>
      <c r="J52" s="84" t="str" cm="1">
        <f t="array" ref="J52">IF(COUNTIFS(ELEC470!J$9:J$17,"Yes")&gt;=$G52, IFERROR(INDEX(ELEC470!$C$9:'ELEC470'!$C$17, _xlfn.AGGREGATE(15, 6, ROW($1:$20)/SIGN(LEN(ELEC470!J$9:'ELEC470'!J$17)), COUNTIFS(ELEC470!J$9:J$17,"Yes"))),""),"")</f>
        <v/>
      </c>
      <c r="K52" s="84" t="str" cm="1">
        <f t="array" ref="K52">IF(COUNTIFS(ELEC470!K$9:K$17,"Yes")&gt;=$G52, IFERROR(INDEX(ELEC470!$C$9:'ELEC470'!$C$17, _xlfn.AGGREGATE(15, 6, ROW($1:$20)/SIGN(LEN(ELEC470!K$9:'ELEC470'!K$17)), COUNTIFS(ELEC470!K$9:K$17,"Yes"))),""),"")</f>
        <v/>
      </c>
      <c r="L52" s="84" t="str" cm="1">
        <f t="array" ref="L52">IF(COUNTIFS(ELEC470!L$9:L$17,"Yes")&gt;=$G52, IFERROR(INDEX(ELEC470!$C$9:'ELEC470'!$C$17, _xlfn.AGGREGATE(15, 6, ROW($1:$20)/SIGN(LEN(ELEC470!L$9:'ELEC470'!L$17)), COUNTIFS(ELEC470!L$9:L$17,"Yes"))),""),"")</f>
        <v/>
      </c>
      <c r="M52" s="84" t="str" cm="1">
        <f t="array" ref="M52">IF(COUNTIFS(ELEC470!M$9:M$17,"Yes")&gt;=$G52, IFERROR(INDEX(ELEC470!$C$9:'ELEC470'!$C$17, _xlfn.AGGREGATE(15, 6, ROW($1:$20)/SIGN(LEN(ELEC470!M$9:'ELEC470'!M$17)), COUNTIFS(ELEC470!M$9:M$17,"Yes"))),""),"")</f>
        <v/>
      </c>
      <c r="N52" s="84" t="str" cm="1">
        <f t="array" ref="N52">IF(COUNTIFS(ELEC470!N$9:N$17,"Yes")&gt;=$G52, IFERROR(INDEX(ELEC470!$C$9:'ELEC470'!$C$17, _xlfn.AGGREGATE(15, 6, ROW($1:$20)/SIGN(LEN(ELEC470!N$9:'ELEC470'!N$17)), COUNTIFS(ELEC470!N$9:N$17,"Yes"))),""),"")</f>
        <v/>
      </c>
      <c r="O52" s="84" t="str" cm="1">
        <f t="array" ref="O52">IF(COUNTIFS(ELEC470!O$9:O$17,"Yes")&gt;=$G52, IFERROR(INDEX(ELEC470!$C$9:'ELEC470'!$C$17, _xlfn.AGGREGATE(15, 6, ROW($1:$20)/SIGN(LEN(ELEC470!O$9:'ELEC470'!O$17)), COUNTIFS(ELEC470!O$9:O$17,"Yes"))),""),"")</f>
        <v/>
      </c>
      <c r="P52" s="84" t="str" cm="1">
        <f t="array" ref="P52">IF(COUNTIFS(ELEC470!P$9:P$17,"Yes")&gt;=$G52, IFERROR(INDEX(ELEC470!$C$9:'ELEC470'!$C$17, _xlfn.AGGREGATE(15, 6, ROW($1:$20)/SIGN(LEN(ELEC470!P$9:'ELEC470'!P$17)), COUNTIFS(ELEC470!P$9:P$17,"Yes"))),""),"")</f>
        <v/>
      </c>
      <c r="Q52" s="84" t="str" cm="1">
        <f t="array" ref="Q52">IF(COUNTIFS(ELEC470!Q$9:Q$17,"Yes")&gt;=$G52, IFERROR(INDEX(ELEC470!$C$9:'ELEC470'!$C$17, _xlfn.AGGREGATE(15, 6, ROW($1:$20)/SIGN(LEN(ELEC470!Q$9:'ELEC470'!Q$17)), COUNTIFS(ELEC470!Q$9:Q$17,"Yes"))),""),"")</f>
        <v/>
      </c>
      <c r="R52" s="84" t="str" cm="1">
        <f t="array" ref="R52">IF(COUNTIFS(ELEC470!R$9:R$17,"Yes")&gt;=$G52, IFERROR(INDEX(ELEC470!$C$9:'ELEC470'!$C$17, _xlfn.AGGREGATE(15, 6, ROW($1:$20)/SIGN(LEN(ELEC470!R$9:'ELEC470'!R$17)), COUNTIFS(ELEC470!R$9:R$17,"Yes"))),""),"")</f>
        <v/>
      </c>
      <c r="S52" s="84" t="str" cm="1">
        <f t="array" ref="S52">IF(COUNTIFS(ELEC470!S$9:S$17,"Yes")&gt;=$G52, IFERROR(INDEX(ELEC470!$C$9:'ELEC470'!$C$17, _xlfn.AGGREGATE(15, 6, ROW($1:$20)/SIGN(LEN(ELEC470!S$9:'ELEC470'!S$17)), COUNTIFS(ELEC470!S$9:S$17,"Yes"))),""),"")</f>
        <v/>
      </c>
      <c r="T52" s="87" t="str" cm="1">
        <f t="array" ref="T52">IF(COUNTIFS(ELEC470!T$9:T$17,"Yes")&gt;=$G52, IFERROR(INDEX(ELEC470!$C$9:'ELEC470'!$C$17, _xlfn.AGGREGATE(15, 6, ROW($1:$20)/SIGN(LEN(ELEC470!T$9:'ELEC470'!T$17)), COUNTIFS(ELEC470!T$9:T$17,"Yes"))),""),"")</f>
        <v/>
      </c>
      <c r="X52"/>
      <c r="Y52"/>
    </row>
    <row r="53" spans="1:25" s="10" customFormat="1" ht="21" customHeight="1" x14ac:dyDescent="0.2">
      <c r="A53"/>
      <c r="B53"/>
      <c r="C53"/>
      <c r="D53"/>
      <c r="E53"/>
      <c r="F53"/>
      <c r="G53" s="82">
        <v>1</v>
      </c>
      <c r="H53" s="168" t="s">
        <v>262</v>
      </c>
      <c r="I53" s="83" t="str" cm="1">
        <f t="array" ref="I53">IFERROR(INDEX(ELEC472!$C$9:'ELEC472'!$C$17, _xlfn.AGGREGATE(15, 6, ROW($1:$20)/SIGN(LEN(ELEC472!I$9:'ELEC472'!I$17)), 1)),"")</f>
        <v/>
      </c>
      <c r="J53" s="83" t="str" cm="1">
        <f t="array" ref="J53">IFERROR(INDEX(ELEC472!$C$9:'ELEC472'!$C$17, _xlfn.AGGREGATE(15, 6, ROW($1:$20)/SIGN(LEN(ELEC472!J$9:'ELEC472'!J$17)), 1)),"")</f>
        <v/>
      </c>
      <c r="K53" s="83" t="str" cm="1">
        <f t="array" ref="K53">IFERROR(INDEX(ELEC472!$C$9:'ELEC472'!$C$17, _xlfn.AGGREGATE(15, 6, ROW($1:$20)/SIGN(LEN(ELEC472!K$9:'ELEC472'!K$17)), 1)),"")</f>
        <v/>
      </c>
      <c r="L53" s="83" t="str" cm="1">
        <f t="array" ref="L53">IFERROR(INDEX(ELEC472!$C$9:'ELEC472'!$C$17, _xlfn.AGGREGATE(15, 6, ROW($1:$20)/SIGN(LEN(ELEC472!L$9:'ELEC472'!L$17)), 1)),"")</f>
        <v/>
      </c>
      <c r="M53" s="83" t="str" cm="1">
        <f t="array" ref="M53">IFERROR(INDEX(ELEC472!$C$9:'ELEC472'!$C$17, _xlfn.AGGREGATE(15, 6, ROW($1:$20)/SIGN(LEN(ELEC472!M$9:'ELEC472'!M$17)), 1)),"")</f>
        <v/>
      </c>
      <c r="N53" s="83" t="str" cm="1">
        <f t="array" ref="N53">IFERROR(INDEX(ELEC472!$C$9:'ELEC472'!$C$17, _xlfn.AGGREGATE(15, 6, ROW($1:$20)/SIGN(LEN(ELEC472!N$9:'ELEC472'!N$17)), 1)),"")</f>
        <v/>
      </c>
      <c r="O53" s="83" t="str" cm="1">
        <f t="array" ref="O53">IFERROR(INDEX(ELEC472!$C$9:'ELEC472'!$C$17, _xlfn.AGGREGATE(15, 6, ROW($1:$20)/SIGN(LEN(ELEC472!O$9:'ELEC472'!O$17)), 1)),"")</f>
        <v/>
      </c>
      <c r="P53" s="83" t="str" cm="1">
        <f t="array" ref="P53">IFERROR(INDEX(ELEC472!$C$9:'ELEC472'!$C$17, _xlfn.AGGREGATE(15, 6, ROW($1:$20)/SIGN(LEN(ELEC472!P$9:'ELEC472'!P$17)), 1)),"")</f>
        <v/>
      </c>
      <c r="Q53" s="83" t="str" cm="1">
        <f t="array" ref="Q53">IFERROR(INDEX(ELEC472!$C$9:'ELEC472'!$C$17, _xlfn.AGGREGATE(15, 6, ROW($1:$20)/SIGN(LEN(ELEC472!Q$9:'ELEC472'!Q$17)), 1)),"")</f>
        <v/>
      </c>
      <c r="R53" s="83" t="str" cm="1">
        <f t="array" ref="R53">IFERROR(INDEX(ELEC472!$C$9:'ELEC472'!$C$17, _xlfn.AGGREGATE(15, 6, ROW($1:$20)/SIGN(LEN(ELEC472!R$9:'ELEC472'!R$17)), 1)),"")</f>
        <v/>
      </c>
      <c r="S53" s="83" t="str" cm="1">
        <f t="array" ref="S53">IFERROR(INDEX(ELEC472!$C$9:'ELEC472'!$C$17, _xlfn.AGGREGATE(15, 6, ROW($1:$20)/SIGN(LEN(ELEC472!S$9:'ELEC472'!S$17)), 1)),"")</f>
        <v>CW1</v>
      </c>
      <c r="T53" s="86" t="str" cm="1">
        <f t="array" ref="T53">IFERROR(INDEX(ELEC472!$C$9:'ELEC472'!$C$17, _xlfn.AGGREGATE(15, 6, ROW($1:$20)/SIGN(LEN(ELEC472!T$9:'ELEC472'!T$17)), 1)),"")</f>
        <v/>
      </c>
      <c r="X53"/>
      <c r="Y53"/>
    </row>
    <row r="54" spans="1:25" s="10" customFormat="1" ht="21" customHeight="1" x14ac:dyDescent="0.2">
      <c r="A54"/>
      <c r="B54"/>
      <c r="C54"/>
      <c r="D54"/>
      <c r="E54"/>
      <c r="F54"/>
      <c r="G54" s="82">
        <v>2</v>
      </c>
      <c r="H54" s="167"/>
      <c r="I54" s="84" t="str" cm="1">
        <f t="array" ref="I54">IF(COUNTIFS(ELEC472!I$9:I$17,"Yes")&gt;=$G54, IFERROR(INDEX(ELEC472!$C$9:'ELEC472'!$C$17, _xlfn.AGGREGATE(15, 6, ROW($1:$20)/SIGN(LEN(ELEC472!I$9:'ELEC472'!I$17)), COUNTIFS(ELEC472!I$9:I$17,"Yes"))),""),"")</f>
        <v/>
      </c>
      <c r="J54" s="84" t="str" cm="1">
        <f t="array" ref="J54">IF(COUNTIFS(ELEC472!J$9:J$17,"Yes")&gt;=$G54, IFERROR(INDEX(ELEC472!$C$9:'ELEC472'!$C$17, _xlfn.AGGREGATE(15, 6, ROW($1:$20)/SIGN(LEN(ELEC472!J$9:'ELEC472'!J$17)), COUNTIFS(ELEC472!J$9:J$17,"Yes"))),""),"")</f>
        <v/>
      </c>
      <c r="K54" s="84" t="str" cm="1">
        <f t="array" ref="K54">IF(COUNTIFS(ELEC472!K$9:K$17,"Yes")&gt;=$G54, IFERROR(INDEX(ELEC472!$C$9:'ELEC472'!$C$17, _xlfn.AGGREGATE(15, 6, ROW($1:$20)/SIGN(LEN(ELEC472!K$9:'ELEC472'!K$17)), COUNTIFS(ELEC472!K$9:K$17,"Yes"))),""),"")</f>
        <v/>
      </c>
      <c r="L54" s="84" t="str" cm="1">
        <f t="array" ref="L54">IF(COUNTIFS(ELEC472!L$9:L$17,"Yes")&gt;=$G54, IFERROR(INDEX(ELEC472!$C$9:'ELEC472'!$C$17, _xlfn.AGGREGATE(15, 6, ROW($1:$20)/SIGN(LEN(ELEC472!L$9:'ELEC472'!L$17)), COUNTIFS(ELEC472!L$9:L$17,"Yes"))),""),"")</f>
        <v/>
      </c>
      <c r="M54" s="84" t="str" cm="1">
        <f t="array" ref="M54">IF(COUNTIFS(ELEC472!M$9:M$17,"Yes")&gt;=$G54, IFERROR(INDEX(ELEC472!$C$9:'ELEC472'!$C$17, _xlfn.AGGREGATE(15, 6, ROW($1:$20)/SIGN(LEN(ELEC472!M$9:'ELEC472'!M$17)), COUNTIFS(ELEC472!M$9:M$17,"Yes"))),""),"")</f>
        <v/>
      </c>
      <c r="N54" s="84" t="str" cm="1">
        <f t="array" ref="N54">IF(COUNTIFS(ELEC472!N$9:N$17,"Yes")&gt;=$G54, IFERROR(INDEX(ELEC472!$C$9:'ELEC472'!$C$17, _xlfn.AGGREGATE(15, 6, ROW($1:$20)/SIGN(LEN(ELEC472!N$9:'ELEC472'!N$17)), COUNTIFS(ELEC472!N$9:N$17,"Yes"))),""),"")</f>
        <v/>
      </c>
      <c r="O54" s="84" t="str" cm="1">
        <f t="array" ref="O54">IF(COUNTIFS(ELEC472!O$9:O$17,"Yes")&gt;=$G54, IFERROR(INDEX(ELEC472!$C$9:'ELEC472'!$C$17, _xlfn.AGGREGATE(15, 6, ROW($1:$20)/SIGN(LEN(ELEC472!O$9:'ELEC472'!O$17)), COUNTIFS(ELEC472!O$9:O$17,"Yes"))),""),"")</f>
        <v/>
      </c>
      <c r="P54" s="84" t="str" cm="1">
        <f t="array" ref="P54">IF(COUNTIFS(ELEC472!P$9:P$17,"Yes")&gt;=$G54, IFERROR(INDEX(ELEC472!$C$9:'ELEC472'!$C$17, _xlfn.AGGREGATE(15, 6, ROW($1:$20)/SIGN(LEN(ELEC472!P$9:'ELEC472'!P$17)), COUNTIFS(ELEC472!P$9:P$17,"Yes"))),""),"")</f>
        <v/>
      </c>
      <c r="Q54" s="84" t="str" cm="1">
        <f t="array" ref="Q54">IF(COUNTIFS(ELEC472!Q$9:Q$17,"Yes")&gt;=$G54, IFERROR(INDEX(ELEC472!$C$9:'ELEC472'!$C$17, _xlfn.AGGREGATE(15, 6, ROW($1:$20)/SIGN(LEN(ELEC472!Q$9:'ELEC472'!Q$17)), COUNTIFS(ELEC472!Q$9:Q$17,"Yes"))),""),"")</f>
        <v/>
      </c>
      <c r="R54" s="84" t="str" cm="1">
        <f t="array" ref="R54">IF(COUNTIFS(ELEC472!R$9:R$17,"Yes")&gt;=$G54, IFERROR(INDEX(ELEC472!$C$9:'ELEC472'!$C$17, _xlfn.AGGREGATE(15, 6, ROW($1:$20)/SIGN(LEN(ELEC472!R$9:'ELEC472'!R$17)), COUNTIFS(ELEC472!R$9:R$17,"Yes"))),""),"")</f>
        <v/>
      </c>
      <c r="S54" s="84" t="str" cm="1">
        <f t="array" ref="S54">IF(COUNTIFS(ELEC472!S$9:S$17,"Yes")&gt;=$G54, IFERROR(INDEX(ELEC472!$C$9:'ELEC472'!$C$17, _xlfn.AGGREGATE(15, 6, ROW($1:$20)/SIGN(LEN(ELEC472!S$9:'ELEC472'!S$17)), COUNTIFS(ELEC472!S$9:S$17,"Yes"))),""),"")</f>
        <v/>
      </c>
      <c r="T54" s="87" t="str" cm="1">
        <f t="array" ref="T54">IF(COUNTIFS(ELEC472!T$9:T$17,"Yes")&gt;=$G54, IFERROR(INDEX(ELEC472!$C$9:'ELEC472'!$C$17, _xlfn.AGGREGATE(15, 6, ROW($1:$20)/SIGN(LEN(ELEC472!T$9:'ELEC472'!T$17)), COUNTIFS(ELEC472!T$9:T$17,"Yes"))),""),"")</f>
        <v/>
      </c>
      <c r="X54"/>
      <c r="Y54"/>
    </row>
    <row r="55" spans="1:25" s="10" customFormat="1" ht="21" customHeight="1" x14ac:dyDescent="0.2">
      <c r="A55"/>
      <c r="B55"/>
      <c r="C55"/>
      <c r="D55"/>
      <c r="E55"/>
      <c r="F55"/>
      <c r="G55" s="82">
        <v>1</v>
      </c>
      <c r="H55" s="160" t="s">
        <v>265</v>
      </c>
      <c r="I55" s="125" t="str" cm="1">
        <f t="array" ref="I55">IFERROR(INDEX(ELEC473!$C$9:'ELEC473'!$C$17, _xlfn.AGGREGATE(15, 6, ROW(1:20)/SIGN(LEN(ELEC473!I$9:'ELEC473'!I$17)), 1)),"")</f>
        <v/>
      </c>
      <c r="J55" s="125" t="str" cm="1">
        <f t="array" ref="J55">IFERROR(INDEX(ELEC473!$C$9:'ELEC473'!$C$17, _xlfn.AGGREGATE(15, 6, ROW(1:20)/SIGN(LEN(ELEC473!J$9:'ELEC473'!J$17)), 1)),"")</f>
        <v/>
      </c>
      <c r="K55" s="125" t="str" cm="1">
        <f t="array" ref="K55">IFERROR(INDEX(ELEC473!$C$9:'ELEC473'!$C$17, _xlfn.AGGREGATE(15, 6, ROW(1:20)/SIGN(LEN(ELEC473!K$9:'ELEC473'!K$17)), 1)),"")</f>
        <v/>
      </c>
      <c r="L55" s="125" t="str" cm="1">
        <f t="array" ref="L55">IFERROR(INDEX(ELEC473!$C$9:'ELEC473'!$C$17, _xlfn.AGGREGATE(15, 6, ROW(1:20)/SIGN(LEN(ELEC473!L$9:'ELEC473'!L$17)), 1)),"")</f>
        <v/>
      </c>
      <c r="M55" s="125" t="str" cm="1">
        <f t="array" ref="M55">IFERROR(INDEX(ELEC473!$C$9:'ELEC473'!$C$17, _xlfn.AGGREGATE(15, 6, ROW(1:20)/SIGN(LEN(ELEC473!M$9:'ELEC473'!M$17)), 1)),"")</f>
        <v/>
      </c>
      <c r="N55" s="125" t="str" cm="1">
        <f t="array" ref="N55">IFERROR(INDEX(ELEC473!$C$9:'ELEC473'!$C$17, _xlfn.AGGREGATE(15, 6, ROW(1:20)/SIGN(LEN(ELEC473!N$9:'ELEC473'!N$17)), 1)),"")</f>
        <v/>
      </c>
      <c r="O55" s="125" t="str" cm="1">
        <f t="array" ref="O55">IFERROR(INDEX(ELEC473!$C$9:'ELEC473'!$C$17, _xlfn.AGGREGATE(15, 6, ROW(1:20)/SIGN(LEN(ELEC473!O$9:'ELEC473'!O$17)), 1)),"")</f>
        <v/>
      </c>
      <c r="P55" s="125" t="str" cm="1">
        <f t="array" ref="P55">IFERROR(INDEX(ELEC473!$C$9:'ELEC473'!$C$17, _xlfn.AGGREGATE(15, 6, ROW(1:20)/SIGN(LEN(ELEC473!P$9:'ELEC473'!P$17)), 1)),"")</f>
        <v/>
      </c>
      <c r="Q55" s="125" t="str" cm="1">
        <f t="array" ref="Q55">IFERROR(INDEX(ELEC473!$C$9:'ELEC473'!$C$17, _xlfn.AGGREGATE(15, 6, ROW(1:20)/SIGN(LEN(ELEC473!Q$9:'ELEC473'!Q$17)), 1)),"")</f>
        <v>Design Assignment</v>
      </c>
      <c r="R55" s="125" t="str" cm="1">
        <f t="array" ref="R55">IFERROR(INDEX(ELEC473!$C$9:'ELEC473'!$C$17, _xlfn.AGGREGATE(15, 6, ROW(1:20)/SIGN(LEN(ELEC473!R$9:'ELEC473'!R$17)), 1)),"")</f>
        <v/>
      </c>
      <c r="S55" s="125" t="str" cm="1">
        <f t="array" ref="S55">IFERROR(INDEX(ELEC473!$C$9:'ELEC473'!$C$17, _xlfn.AGGREGATE(15, 6, ROW(1:20)/SIGN(LEN(ELEC473!S$9:'ELEC473'!S$17)), 1)),"")</f>
        <v/>
      </c>
      <c r="T55" s="125" t="str" cm="1">
        <f t="array" ref="T55">IFERROR(INDEX(ELEC473!$C$9:'ELEC473'!$C$17, _xlfn.AGGREGATE(15, 6, ROW(1:20)/SIGN(LEN(ELEC473!T$9:'ELEC473'!T$17)), 1)),"")</f>
        <v/>
      </c>
      <c r="U55" s="159" t="str" cm="1">
        <f t="array" ref="U55">IFERROR(INDEX(ELEC473!$C$9:'ELEC473'!$C$17, _xlfn.AGGREGATE(15, 6, ROW(1:20)/SIGN(LEN(ELEC473!U$9:'ELEC473'!U$17)), 1)),"")</f>
        <v/>
      </c>
      <c r="V55" s="126" t="str" cm="1">
        <f t="array" ref="V55">IFERROR(INDEX(ELEC473!$C$9:'ELEC473'!$C$17, _xlfn.AGGREGATE(15, 6, ROW(1:20)/SIGN(LEN(ELEC473!V$9:'ELEC473'!V$17)), 1)),"")</f>
        <v/>
      </c>
      <c r="W55" s="126" t="str" cm="1">
        <f t="array" ref="W55">IFERROR(INDEX(ELEC473!$C$9:'ELEC473'!$C$17, _xlfn.AGGREGATE(15, 6, ROW(1:20)/SIGN(LEN(ELEC473!W$9:'ELEC473'!W$17)), 1)),"")</f>
        <v>Class Test (sem 2 wk 1)</v>
      </c>
      <c r="X55"/>
      <c r="Y55"/>
    </row>
    <row r="56" spans="1:25" s="10" customFormat="1" ht="21" customHeight="1" x14ac:dyDescent="0.2">
      <c r="A56"/>
      <c r="B56"/>
      <c r="C56"/>
      <c r="D56"/>
      <c r="E56"/>
      <c r="F56"/>
      <c r="G56" s="82">
        <v>2</v>
      </c>
      <c r="H56" s="161"/>
      <c r="I56" s="84" t="str" cm="1">
        <f t="array" ref="I56">IF(COUNTIFS(ELEC473!I$9:I$17,"Yes")&gt;=$G56, IFERROR(INDEX(ELEC473!$C$9:'ELEC473'!$C$17, _xlfn.AGGREGATE(15, 6, ROW($1:$20)/SIGN(LEN(ELEC473!I$9:'ELEC473'!I$17)), COUNTIFS(ELEC473!I$9:I$17,"Yes"))),""),"")</f>
        <v/>
      </c>
      <c r="J56" s="84" t="str" cm="1">
        <f t="array" ref="J56">IF(COUNTIFS(ELEC473!J$9:J$17,"Yes")&gt;=$G56, IFERROR(INDEX(ELEC473!$C$9:'ELEC473'!$C$17, _xlfn.AGGREGATE(15, 6, ROW($1:$20)/SIGN(LEN(ELEC473!J$9:'ELEC473'!J$17)), COUNTIFS(ELEC473!J$9:J$17,"Yes"))),""),"")</f>
        <v/>
      </c>
      <c r="K56" s="84" t="str" cm="1">
        <f t="array" ref="K56">IF(COUNTIFS(ELEC473!K$9:K$17,"Yes")&gt;=$G56, IFERROR(INDEX(ELEC473!$C$9:'ELEC473'!$C$17, _xlfn.AGGREGATE(15, 6, ROW($1:$20)/SIGN(LEN(ELEC473!K$9:'ELEC473'!K$17)), COUNTIFS(ELEC473!K$9:K$17,"Yes"))),""),"")</f>
        <v/>
      </c>
      <c r="L56" s="84" t="str" cm="1">
        <f t="array" ref="L56">IF(COUNTIFS(ELEC473!L$9:L$17,"Yes")&gt;=$G56, IFERROR(INDEX(ELEC473!$C$9:'ELEC473'!$C$17, _xlfn.AGGREGATE(15, 6, ROW($1:$20)/SIGN(LEN(ELEC473!L$9:'ELEC473'!L$17)), COUNTIFS(ELEC473!L$9:L$17,"Yes"))),""),"")</f>
        <v/>
      </c>
      <c r="M56" s="84" t="str" cm="1">
        <f t="array" ref="M56">IF(COUNTIFS(ELEC473!M$9:M$17,"Yes")&gt;=$G56, IFERROR(INDEX(ELEC473!$C$9:'ELEC473'!$C$17, _xlfn.AGGREGATE(15, 6, ROW($1:$20)/SIGN(LEN(ELEC473!M$9:'ELEC473'!M$17)), COUNTIFS(ELEC473!M$9:M$17,"Yes"))),""),"")</f>
        <v/>
      </c>
      <c r="N56" s="84" t="str" cm="1">
        <f t="array" ref="N56">IF(COUNTIFS(ELEC473!N$9:N$17,"Yes")&gt;=$G56, IFERROR(INDEX(ELEC473!$C$9:'ELEC473'!$C$17, _xlfn.AGGREGATE(15, 6, ROW($1:$20)/SIGN(LEN(ELEC473!N$9:'ELEC473'!N$17)), COUNTIFS(ELEC473!N$9:N$17,"Yes"))),""),"")</f>
        <v/>
      </c>
      <c r="O56" s="84" t="str" cm="1">
        <f t="array" ref="O56">IF(COUNTIFS(ELEC473!O$9:O$17,"Yes")&gt;=$G56, IFERROR(INDEX(ELEC473!$C$9:'ELEC473'!$C$17, _xlfn.AGGREGATE(15, 6, ROW($1:$20)/SIGN(LEN(ELEC473!O$9:'ELEC473'!O$17)), COUNTIFS(ELEC473!O$9:O$17,"Yes"))),""),"")</f>
        <v/>
      </c>
      <c r="P56" s="84" t="str" cm="1">
        <f t="array" ref="P56">IF(COUNTIFS(ELEC473!P$9:P$17,"Yes")&gt;=$G56, IFERROR(INDEX(ELEC473!$C$9:'ELEC473'!$C$17, _xlfn.AGGREGATE(15, 6, ROW($1:$20)/SIGN(LEN(ELEC473!P$9:'ELEC473'!P$17)), COUNTIFS(ELEC473!P$9:P$17,"Yes"))),""),"")</f>
        <v/>
      </c>
      <c r="Q56" s="84" t="str" cm="1">
        <f t="array" ref="Q56">IF(COUNTIFS(ELEC473!Q$9:Q$17,"Yes")&gt;=$G56, IFERROR(INDEX(ELEC473!$C$9:'ELEC473'!$C$17, _xlfn.AGGREGATE(15, 6, ROW($1:$20)/SIGN(LEN(ELEC473!Q$9:'ELEC473'!Q$17)), COUNTIFS(ELEC473!Q$9:Q$17,"Yes"))),""),"")</f>
        <v/>
      </c>
      <c r="R56" s="84" t="str" cm="1">
        <f t="array" ref="R56">IF(COUNTIFS(ELEC473!R$9:R$17,"Yes")&gt;=$G56, IFERROR(INDEX(ELEC473!$C$9:'ELEC473'!$C$17, _xlfn.AGGREGATE(15, 6, ROW($1:$20)/SIGN(LEN(ELEC473!R$9:'ELEC473'!R$17)), COUNTIFS(ELEC473!R$9:R$17,"Yes"))),""),"")</f>
        <v/>
      </c>
      <c r="S56" s="84" t="str" cm="1">
        <f t="array" ref="S56">IF(COUNTIFS(ELEC473!S$9:S$17,"Yes")&gt;=$G56, IFERROR(INDEX(ELEC473!$C$9:'ELEC473'!$C$17, _xlfn.AGGREGATE(15, 6, ROW($1:$20)/SIGN(LEN(ELEC473!S$9:'ELEC473'!S$17)), COUNTIFS(ELEC473!S$9:S$17,"Yes"))),""),"")</f>
        <v/>
      </c>
      <c r="T56" s="142" t="str" cm="1">
        <f t="array" ref="T56">IF(COUNTIFS(ELEC473!T$9:T$17,"Yes")&gt;=$G56, IFERROR(INDEX(ELEC473!$C$9:'ELEC473'!$C$17, _xlfn.AGGREGATE(15, 6, ROW($1:$20)/SIGN(LEN(ELEC473!T$9:'ELEC473'!T$17)), COUNTIFS(ELEC473!T$9:T$17,"Yes"))),""),"")</f>
        <v/>
      </c>
      <c r="U56" s="84" t="str" cm="1">
        <f t="array" ref="U56">IF(COUNTIFS(ELEC473!U$9:U$17,"Yes")&gt;=$G56, IFERROR(INDEX(ELEC473!$C$9:'ELEC473'!$C$17, _xlfn.AGGREGATE(15, 6, ROW($1:$20)/SIGN(LEN(ELEC473!U$9:'ELEC473'!U$17)), COUNTIFS(ELEC473!U$9:U$17,"Yes"))),""),"")</f>
        <v/>
      </c>
      <c r="V56" s="142" t="str" cm="1">
        <f t="array" ref="V56">IF(COUNTIFS(ELEC473!V$9:V$17,"Yes")&gt;=$G56, IFERROR(INDEX(ELEC473!$C$9:'ELEC473'!$C$17, _xlfn.AGGREGATE(15, 6, ROW($1:$20)/SIGN(LEN(ELEC473!V$9:'ELEC473'!V$17)), COUNTIFS(ELEC473!V$9:V$17,"Yes"))),""),"")</f>
        <v/>
      </c>
      <c r="W56" s="87" t="str" cm="1">
        <f t="array" ref="W56">IF(COUNTIFS(ELEC473!W$9:W$17,"Yes")&gt;=$G56, IFERROR(INDEX(ELEC473!$C$9:'ELEC473'!$C$17, _xlfn.AGGREGATE(15, 6, ROW($1:$20)/SIGN(LEN(ELEC473!W$9:'ELEC473'!W$17)), COUNTIFS(ELEC473!W$9:W$17,"Yes"))),""),"")</f>
        <v/>
      </c>
      <c r="X56"/>
      <c r="Y56"/>
    </row>
    <row r="57" spans="1:25" s="10" customFormat="1" ht="21" customHeight="1" x14ac:dyDescent="0.2">
      <c r="A57"/>
      <c r="B57"/>
      <c r="C57"/>
      <c r="D57"/>
      <c r="E57"/>
      <c r="F57"/>
      <c r="G57" s="82">
        <v>1</v>
      </c>
      <c r="H57" s="162" t="s">
        <v>300</v>
      </c>
      <c r="I57" s="83" t="str" cm="1">
        <f t="array" ref="I57">IFERROR(INDEX(ELEC476!$C$9:'ELEC476'!$C$17, _xlfn.AGGREGATE(15, 6, ROW($1:$20)/SIGN(LEN(ELEC476!I$9:'ELEC476'!I$17)), 1)),"")</f>
        <v/>
      </c>
      <c r="J57" s="83" t="str" cm="1">
        <f t="array" ref="J57">IFERROR(INDEX(ELEC476!$C$9:'ELEC476'!$C$17, _xlfn.AGGREGATE(15, 6, ROW($1:$20)/SIGN(LEN(ELEC476!J$9:'ELEC476'!J$17)), 1)),"")</f>
        <v/>
      </c>
      <c r="K57" s="83" t="str" cm="1">
        <f t="array" ref="K57">IFERROR(INDEX(ELEC476!$C$9:'ELEC476'!$C$17, _xlfn.AGGREGATE(15, 6, ROW($1:$20)/SIGN(LEN(ELEC476!K$9:'ELEC476'!K$17)), 1)),"")</f>
        <v/>
      </c>
      <c r="L57" s="83" t="str" cm="1">
        <f t="array" ref="L57">IFERROR(INDEX(ELEC476!$C$9:'ELEC476'!$C$17, _xlfn.AGGREGATE(15, 6, ROW($1:$20)/SIGN(LEN(ELEC476!L$9:'ELEC476'!L$17)), 1)),"")</f>
        <v/>
      </c>
      <c r="M57" s="83" t="str" cm="1">
        <f t="array" ref="M57">IFERROR(INDEX(ELEC476!$C$9:'ELEC476'!$C$17, _xlfn.AGGREGATE(15, 6, ROW($1:$20)/SIGN(LEN(ELEC476!M$9:'ELEC476'!M$17)), 1)),"")</f>
        <v/>
      </c>
      <c r="N57" s="83" t="str" cm="1">
        <f t="array" ref="N57">IFERROR(INDEX(ELEC476!$C$9:'ELEC476'!$C$17, _xlfn.AGGREGATE(15, 6, ROW($1:$20)/SIGN(LEN(ELEC476!N$9:'ELEC476'!N$17)), 1)),"")</f>
        <v/>
      </c>
      <c r="O57" s="83" t="str" cm="1">
        <f t="array" ref="O57">IFERROR(INDEX(ELEC476!$C$9:'ELEC476'!$C$17, _xlfn.AGGREGATE(15, 6, ROW($1:$20)/SIGN(LEN(ELEC476!O$9:'ELEC476'!O$17)), 1)),"")</f>
        <v/>
      </c>
      <c r="P57" s="83" t="str" cm="1">
        <f t="array" ref="P57">IFERROR(INDEX(ELEC476!$C$9:'ELEC476'!$C$17, _xlfn.AGGREGATE(15, 6, ROW($1:$20)/SIGN(LEN(ELEC476!P$9:'ELEC476'!P$17)), 1)),"")</f>
        <v/>
      </c>
      <c r="Q57" s="83" t="str" cm="1">
        <f t="array" ref="Q57">IFERROR(INDEX(ELEC476!$C$9:'ELEC476'!$C$17, _xlfn.AGGREGATE(15, 6, ROW($1:$20)/SIGN(LEN(ELEC476!Q$9:'ELEC476'!Q$17)), 1)),"")</f>
        <v/>
      </c>
      <c r="R57" s="83" t="str" cm="1">
        <f t="array" ref="R57">IFERROR(INDEX(ELEC476!$C$9:'ELEC476'!$C$17, _xlfn.AGGREGATE(15, 6, ROW($1:$20)/SIGN(LEN(ELEC476!R$9:'ELEC476'!R$17)), 1)),"")</f>
        <v/>
      </c>
      <c r="S57" s="83" t="str" cm="1">
        <f t="array" ref="S57">IFERROR(INDEX(ELEC476!$C$9:'ELEC476'!$C$17, _xlfn.AGGREGATE(15, 6, ROW($1:$20)/SIGN(LEN(ELEC476!S$9:'ELEC476'!S$17)), 1)),"")</f>
        <v/>
      </c>
      <c r="T57" s="86" t="str" cm="1">
        <f t="array" ref="T57">IFERROR(INDEX(ELEC476!$C$9:'ELEC476'!$C$17, _xlfn.AGGREGATE(15, 6, ROW($1:$20)/SIGN(LEN(ELEC476!T$9:'ELEC476'!T$17)), 1)),"")</f>
        <v>Design Assignment</v>
      </c>
      <c r="X57"/>
      <c r="Y57"/>
    </row>
    <row r="58" spans="1:25" s="10" customFormat="1" ht="21" customHeight="1" x14ac:dyDescent="0.2">
      <c r="A58"/>
      <c r="B58"/>
      <c r="C58"/>
      <c r="D58"/>
      <c r="E58"/>
      <c r="F58"/>
      <c r="G58" s="82">
        <v>2</v>
      </c>
      <c r="H58" s="161"/>
      <c r="I58" s="84" t="str" cm="1">
        <f t="array" ref="I58">IF(COUNTIFS(ELEC476!I$9:I$17,"Yes")&gt;=$G58, IFERROR(INDEX(ELEC476!$C$9:'ELEC476'!$C$17, _xlfn.AGGREGATE(15, 6, ROW($1:$20)/SIGN(LEN(ELEC476!I$9:'ELEC476'!I$17)), COUNTIFS(ELEC476!I$9:I$17,"Yes"))),""),"")</f>
        <v/>
      </c>
      <c r="J58" s="84" t="str" cm="1">
        <f t="array" ref="J58">IF(COUNTIFS(ELEC476!J$9:J$17,"Yes")&gt;=$G58, IFERROR(INDEX(ELEC476!$C$9:'ELEC476'!$C$17, _xlfn.AGGREGATE(15, 6, ROW($1:$20)/SIGN(LEN(ELEC476!J$9:'ELEC476'!J$17)), COUNTIFS(ELEC476!J$9:J$17,"Yes"))),""),"")</f>
        <v/>
      </c>
      <c r="K58" s="84" t="str" cm="1">
        <f t="array" ref="K58">IF(COUNTIFS(ELEC476!K$9:K$17,"Yes")&gt;=$G58, IFERROR(INDEX(ELEC476!$C$9:'ELEC476'!$C$17, _xlfn.AGGREGATE(15, 6, ROW($1:$20)/SIGN(LEN(ELEC476!K$9:'ELEC476'!K$17)), COUNTIFS(ELEC476!K$9:K$17,"Yes"))),""),"")</f>
        <v/>
      </c>
      <c r="L58" s="84" t="str" cm="1">
        <f t="array" ref="L58">IF(COUNTIFS(ELEC476!L$9:L$17,"Yes")&gt;=$G58, IFERROR(INDEX(ELEC476!$C$9:'ELEC476'!$C$17, _xlfn.AGGREGATE(15, 6, ROW($1:$20)/SIGN(LEN(ELEC476!L$9:'ELEC476'!L$17)), COUNTIFS(ELEC476!L$9:L$17,"Yes"))),""),"")</f>
        <v/>
      </c>
      <c r="M58" s="84" t="str" cm="1">
        <f t="array" ref="M58">IF(COUNTIFS(ELEC476!M$9:M$17,"Yes")&gt;=$G58, IFERROR(INDEX(ELEC476!$C$9:'ELEC476'!$C$17, _xlfn.AGGREGATE(15, 6, ROW($1:$20)/SIGN(LEN(ELEC476!M$9:'ELEC476'!M$17)), COUNTIFS(ELEC476!M$9:M$17,"Yes"))),""),"")</f>
        <v/>
      </c>
      <c r="N58" s="84" t="str" cm="1">
        <f t="array" ref="N58">IF(COUNTIFS(ELEC476!N$9:N$17,"Yes")&gt;=$G58, IFERROR(INDEX(ELEC476!$C$9:'ELEC476'!$C$17, _xlfn.AGGREGATE(15, 6, ROW($1:$20)/SIGN(LEN(ELEC476!N$9:'ELEC476'!N$17)), COUNTIFS(ELEC476!N$9:N$17,"Yes"))),""),"")</f>
        <v/>
      </c>
      <c r="O58" s="84" t="str" cm="1">
        <f t="array" ref="O58">IF(COUNTIFS(ELEC476!O$9:O$17,"Yes")&gt;=$G58, IFERROR(INDEX(ELEC476!$C$9:'ELEC476'!$C$17, _xlfn.AGGREGATE(15, 6, ROW($1:$20)/SIGN(LEN(ELEC476!O$9:'ELEC476'!O$17)), COUNTIFS(ELEC476!O$9:O$17,"Yes"))),""),"")</f>
        <v/>
      </c>
      <c r="P58" s="84" t="str" cm="1">
        <f t="array" ref="P58">IF(COUNTIFS(ELEC476!P$9:P$17,"Yes")&gt;=$G58, IFERROR(INDEX(ELEC476!$C$9:'ELEC476'!$C$17, _xlfn.AGGREGATE(15, 6, ROW($1:$20)/SIGN(LEN(ELEC476!P$9:'ELEC476'!P$17)), COUNTIFS(ELEC476!P$9:P$17,"Yes"))),""),"")</f>
        <v/>
      </c>
      <c r="Q58" s="84" t="str" cm="1">
        <f t="array" ref="Q58">IF(COUNTIFS(ELEC476!Q$9:Q$17,"Yes")&gt;=$G58, IFERROR(INDEX(ELEC476!$C$9:'ELEC476'!$C$17, _xlfn.AGGREGATE(15, 6, ROW($1:$20)/SIGN(LEN(ELEC476!Q$9:'ELEC476'!Q$17)), COUNTIFS(ELEC476!Q$9:Q$17,"Yes"))),""),"")</f>
        <v/>
      </c>
      <c r="R58" s="84" t="str" cm="1">
        <f t="array" ref="R58">IF(COUNTIFS(ELEC476!R$9:R$17,"Yes")&gt;=$G58, IFERROR(INDEX(ELEC476!$C$9:'ELEC476'!$C$17, _xlfn.AGGREGATE(15, 6, ROW($1:$20)/SIGN(LEN(ELEC476!R$9:'ELEC476'!R$17)), COUNTIFS(ELEC476!R$9:R$17,"Yes"))),""),"")</f>
        <v/>
      </c>
      <c r="S58" s="84" t="str" cm="1">
        <f t="array" ref="S58">IF(COUNTIFS(ELEC476!S$9:S$17,"Yes")&gt;=$G58, IFERROR(INDEX(ELEC476!$C$9:'ELEC476'!$C$17, _xlfn.AGGREGATE(15, 6, ROW($1:$20)/SIGN(LEN(ELEC476!S$9:'ELEC476'!S$17)), COUNTIFS(ELEC476!S$9:S$17,"Yes"))),""),"")</f>
        <v/>
      </c>
      <c r="T58" s="87" t="str" cm="1">
        <f t="array" ref="T58">IF(COUNTIFS(ELEC476!T$9:T$17,"Yes")&gt;=$G58, IFERROR(INDEX(ELEC476!$C$9:'ELEC476'!$C$17, _xlfn.AGGREGATE(15, 6, ROW($1:$20)/SIGN(LEN(ELEC476!T$9:'ELEC476'!T$17)), COUNTIFS(ELEC476!T$9:T$17,"Yes"))),""),"")</f>
        <v/>
      </c>
      <c r="X58"/>
      <c r="Y58"/>
    </row>
    <row r="59" spans="1:25" s="10" customFormat="1" ht="21" customHeight="1" x14ac:dyDescent="0.2">
      <c r="A59"/>
      <c r="B59"/>
      <c r="C59"/>
      <c r="D59"/>
      <c r="E59"/>
      <c r="F59"/>
      <c r="G59" s="82">
        <v>1</v>
      </c>
      <c r="H59" s="162" t="s">
        <v>261</v>
      </c>
      <c r="I59" s="83" t="str" cm="1">
        <f t="array" ref="I59">IFERROR(INDEX(ELEC474!$C$9:'ELEC474'!$C$17, _xlfn.AGGREGATE(15, 6, ROW($1:$20)/SIGN(LEN(ELEC474!I$9:'ELEC474'!I$17)), 1)),"")</f>
        <v/>
      </c>
      <c r="J59" s="83" t="str" cm="1">
        <f t="array" ref="J59">IFERROR(INDEX(ELEC474!$C$9:'ELEC474'!$C$17, _xlfn.AGGREGATE(15, 6, ROW($1:$20)/SIGN(LEN(ELEC474!J$9:'ELEC474'!J$17)), 1)),"")</f>
        <v/>
      </c>
      <c r="K59" s="83" t="str" cm="1">
        <f t="array" ref="K59">IFERROR(INDEX(ELEC474!$C$9:'ELEC474'!$C$17, _xlfn.AGGREGATE(15, 6, ROW($1:$20)/SIGN(LEN(ELEC474!K$9:'ELEC474'!K$17)), 1)),"")</f>
        <v/>
      </c>
      <c r="L59" s="83" t="str" cm="1">
        <f t="array" ref="L59">IFERROR(INDEX(ELEC474!$C$9:'ELEC474'!$C$17, _xlfn.AGGREGATE(15, 6, ROW($1:$20)/SIGN(LEN(ELEC474!L$9:'ELEC474'!L$17)), 1)),"")</f>
        <v/>
      </c>
      <c r="M59" s="83" t="str" cm="1">
        <f t="array" ref="M59">IFERROR(INDEX(ELEC474!$C$9:'ELEC474'!$C$17, _xlfn.AGGREGATE(15, 6, ROW($1:$20)/SIGN(LEN(ELEC474!M$9:'ELEC474'!M$17)), 1)),"")</f>
        <v/>
      </c>
      <c r="N59" s="83" t="str" cm="1">
        <f t="array" ref="N59">IFERROR(INDEX(ELEC474!$C$9:'ELEC474'!$C$17, _xlfn.AGGREGATE(15, 6, ROW($1:$20)/SIGN(LEN(ELEC474!N$9:'ELEC474'!N$17)), 1)),"")</f>
        <v/>
      </c>
      <c r="O59" s="83" t="str" cm="1">
        <f t="array" ref="O59">IFERROR(INDEX(ELEC474!$C$9:'ELEC474'!$C$17, _xlfn.AGGREGATE(15, 6, ROW($1:$20)/SIGN(LEN(ELEC474!O$9:'ELEC474'!O$17)), 1)),"")</f>
        <v/>
      </c>
      <c r="P59" s="83" t="str" cm="1">
        <f t="array" ref="P59">IFERROR(INDEX(ELEC474!$C$9:'ELEC474'!$C$17, _xlfn.AGGREGATE(15, 6, ROW($1:$20)/SIGN(LEN(ELEC474!P$9:'ELEC474'!P$17)), 1)),"")</f>
        <v/>
      </c>
      <c r="Q59" s="83" t="str" cm="1">
        <f t="array" ref="Q59">IFERROR(INDEX(ELEC474!$C$9:'ELEC474'!$C$17, _xlfn.AGGREGATE(15, 6, ROW($1:$20)/SIGN(LEN(ELEC474!Q$9:'ELEC474'!Q$17)), 1)),"")</f>
        <v/>
      </c>
      <c r="R59" s="83" t="str" cm="1">
        <f t="array" ref="R59">IFERROR(INDEX(ELEC474!$C$9:'ELEC474'!$C$17, _xlfn.AGGREGATE(15, 6, ROW($1:$20)/SIGN(LEN(ELEC474!R$9:'ELEC474'!R$17)), 1)),"")</f>
        <v>Class Test</v>
      </c>
      <c r="S59" s="83" t="str" cm="1">
        <f t="array" ref="S59">IFERROR(INDEX(ELEC474!$C$9:'ELEC474'!$C$17, _xlfn.AGGREGATE(15, 6, ROW($1:$20)/SIGN(LEN(ELEC474!S$9:'ELEC474'!S$17)), 1)),"")</f>
        <v/>
      </c>
      <c r="T59" s="86" t="str" cm="1">
        <f t="array" ref="T59">IFERROR(INDEX(ELEC474!$C$9:'ELEC474'!$C$17, _xlfn.AGGREGATE(15, 6, ROW($1:$20)/SIGN(LEN(ELEC474!T$9:'ELEC474'!T$17)), 1)),"")</f>
        <v/>
      </c>
      <c r="X59"/>
      <c r="Y59"/>
    </row>
    <row r="60" spans="1:25" s="10" customFormat="1" ht="21" customHeight="1" x14ac:dyDescent="0.2">
      <c r="A60"/>
      <c r="B60"/>
      <c r="C60"/>
      <c r="D60"/>
      <c r="E60"/>
      <c r="F60"/>
      <c r="G60" s="82">
        <v>2</v>
      </c>
      <c r="H60" s="162"/>
      <c r="I60" s="83" t="str" cm="1">
        <f t="array" ref="I60">IF(COUNTIFS(ELEC474!I$9:I$17,"Yes")&gt;=$G60, IFERROR(INDEX(ELEC474!$C$9:'ELEC474'!$C$17, _xlfn.AGGREGATE(15, 6, ROW($1:$20)/SIGN(LEN(ELEC474!I$9:'ELEC474'!I$17)), COUNTIFS(ELEC474!I$9:I$17,"Yes"))),""),"")</f>
        <v/>
      </c>
      <c r="J60" s="83" t="str" cm="1">
        <f t="array" ref="J60">IF(COUNTIFS(ELEC474!J$9:J$17,"Yes")&gt;=$G60, IFERROR(INDEX(ELEC474!$C$9:'ELEC474'!$C$17, _xlfn.AGGREGATE(15, 6, ROW($1:$20)/SIGN(LEN(ELEC474!J$9:'ELEC474'!J$17)), COUNTIFS(ELEC474!J$9:J$17,"Yes"))),""),"")</f>
        <v/>
      </c>
      <c r="K60" s="83" t="str" cm="1">
        <f t="array" ref="K60">IF(COUNTIFS(ELEC474!K$9:K$17,"Yes")&gt;=$G60, IFERROR(INDEX(ELEC474!$C$9:'ELEC474'!$C$17, _xlfn.AGGREGATE(15, 6, ROW($1:$20)/SIGN(LEN(ELEC474!K$9:'ELEC474'!K$17)), COUNTIFS(ELEC474!K$9:K$17,"Yes"))),""),"")</f>
        <v/>
      </c>
      <c r="L60" s="83" t="str" cm="1">
        <f t="array" ref="L60">IF(COUNTIFS(ELEC474!L$9:L$17,"Yes")&gt;=$G60, IFERROR(INDEX(ELEC474!$C$9:'ELEC474'!$C$17, _xlfn.AGGREGATE(15, 6, ROW($1:$20)/SIGN(LEN(ELEC474!L$9:'ELEC474'!L$17)), COUNTIFS(ELEC474!L$9:L$17,"Yes"))),""),"")</f>
        <v/>
      </c>
      <c r="M60" s="83" t="str" cm="1">
        <f t="array" ref="M60">IF(COUNTIFS(ELEC474!M$9:M$17,"Yes")&gt;=$G60, IFERROR(INDEX(ELEC474!$C$9:'ELEC474'!$C$17, _xlfn.AGGREGATE(15, 6, ROW($1:$20)/SIGN(LEN(ELEC474!M$9:'ELEC474'!M$17)), COUNTIFS(ELEC474!M$9:M$17,"Yes"))),""),"")</f>
        <v/>
      </c>
      <c r="N60" s="83" t="str" cm="1">
        <f t="array" ref="N60">IF(COUNTIFS(ELEC474!N$9:N$17,"Yes")&gt;=$G60, IFERROR(INDEX(ELEC474!$C$9:'ELEC474'!$C$17, _xlfn.AGGREGATE(15, 6, ROW($1:$20)/SIGN(LEN(ELEC474!N$9:'ELEC474'!N$17)), COUNTIFS(ELEC474!N$9:N$17,"Yes"))),""),"")</f>
        <v/>
      </c>
      <c r="O60" s="83" t="str" cm="1">
        <f t="array" ref="O60">IF(COUNTIFS(ELEC474!O$9:O$17,"Yes")&gt;=$G60, IFERROR(INDEX(ELEC474!$C$9:'ELEC474'!$C$17, _xlfn.AGGREGATE(15, 6, ROW($1:$20)/SIGN(LEN(ELEC474!O$9:'ELEC474'!O$17)), COUNTIFS(ELEC474!O$9:O$17,"Yes"))),""),"")</f>
        <v/>
      </c>
      <c r="P60" s="83" t="str" cm="1">
        <f t="array" ref="P60">IF(COUNTIFS(ELEC474!P$9:P$17,"Yes")&gt;=$G60, IFERROR(INDEX(ELEC474!$C$9:'ELEC474'!$C$17, _xlfn.AGGREGATE(15, 6, ROW($1:$20)/SIGN(LEN(ELEC474!P$9:'ELEC474'!P$17)), COUNTIFS(ELEC474!P$9:P$17,"Yes"))),""),"")</f>
        <v/>
      </c>
      <c r="Q60" s="83" t="str" cm="1">
        <f t="array" ref="Q60">IF(COUNTIFS(ELEC474!Q$9:Q$17,"Yes")&gt;=$G60, IFERROR(INDEX(ELEC474!$C$9:'ELEC474'!$C$17, _xlfn.AGGREGATE(15, 6, ROW($1:$20)/SIGN(LEN(ELEC474!Q$9:'ELEC474'!Q$17)), COUNTIFS(ELEC474!Q$9:Q$17,"Yes"))),""),"")</f>
        <v/>
      </c>
      <c r="R60" s="83" t="str" cm="1">
        <f t="array" ref="R60">IF(COUNTIFS(ELEC474!R$9:R$17,"Yes")&gt;=$G60, IFERROR(INDEX(ELEC474!$C$9:'ELEC474'!$C$17, _xlfn.AGGREGATE(15, 6, ROW($1:$20)/SIGN(LEN(ELEC474!R$9:'ELEC474'!R$17)), COUNTIFS(ELEC474!R$9:R$17,"Yes"))),""),"")</f>
        <v/>
      </c>
      <c r="S60" s="83" t="str" cm="1">
        <f t="array" ref="S60">IF(COUNTIFS(ELEC474!S$9:S$17,"Yes")&gt;=$G60, IFERROR(INDEX(ELEC474!$C$9:'ELEC474'!$C$17, _xlfn.AGGREGATE(15, 6, ROW($1:$20)/SIGN(LEN(ELEC474!S$9:'ELEC474'!S$17)), COUNTIFS(ELEC474!S$9:S$17,"Yes"))),""),"")</f>
        <v/>
      </c>
      <c r="T60" s="86" t="str" cm="1">
        <f t="array" ref="T60">IF(COUNTIFS(ELEC474!T$9:T$17,"Yes")&gt;=$G60, IFERROR(INDEX(ELEC474!$C$9:'ELEC474'!$C$17, _xlfn.AGGREGATE(15, 6, ROW($1:$20)/SIGN(LEN(ELEC474!T$9:'ELEC474'!T$17)), COUNTIFS(ELEC474!T$9:T$17,"Yes"))),""),"")</f>
        <v/>
      </c>
      <c r="X60"/>
      <c r="Y60"/>
    </row>
    <row r="61" spans="1:25" s="10" customFormat="1" ht="21" customHeight="1" x14ac:dyDescent="0.2">
      <c r="A61"/>
      <c r="B61"/>
      <c r="C61"/>
      <c r="D61"/>
      <c r="E61"/>
      <c r="F61"/>
      <c r="G61" s="82">
        <v>1</v>
      </c>
      <c r="H61" s="160" t="s">
        <v>254</v>
      </c>
      <c r="I61" s="125" t="str" cm="1">
        <f t="array" ref="I61">IFERROR(INDEX(ELEC431!$C$9:'ELEC431'!$C$17, _xlfn.AGGREGATE(15, 6, ROW($1:$20)/SIGN(LEN(ELEC431!I$9:'ELEC431'!I$17)), 1)),"")</f>
        <v/>
      </c>
      <c r="J61" s="125" t="str" cm="1">
        <f t="array" ref="J61">IFERROR(INDEX(ELEC431!$C$9:'ELEC431'!$C$17, _xlfn.AGGREGATE(15, 6, ROW($1:$20)/SIGN(LEN(ELEC431!J$9:'ELEC431'!J$17)), 1)),"")</f>
        <v/>
      </c>
      <c r="K61" s="125" t="str" cm="1">
        <f t="array" ref="K61">IFERROR(INDEX(ELEC431!$C$9:'ELEC431'!$C$17, _xlfn.AGGREGATE(15, 6, ROW($1:$20)/SIGN(LEN(ELEC431!K$9:'ELEC431'!K$17)), 1)),"")</f>
        <v/>
      </c>
      <c r="L61" s="125" t="str" cm="1">
        <f t="array" ref="L61">IFERROR(INDEX(ELEC431!$C$9:'ELEC431'!$C$17, _xlfn.AGGREGATE(15, 6, ROW($1:$20)/SIGN(LEN(ELEC431!L$9:'ELEC431'!L$17)), 1)),"")</f>
        <v/>
      </c>
      <c r="M61" s="125" t="str" cm="1">
        <f t="array" ref="M61">IFERROR(INDEX(ELEC431!$C$9:'ELEC431'!$C$17, _xlfn.AGGREGATE(15, 6, ROW($1:$20)/SIGN(LEN(ELEC431!M$9:'ELEC431'!M$17)), 1)),"")</f>
        <v/>
      </c>
      <c r="N61" s="125" t="str" cm="1">
        <f t="array" ref="N61">IFERROR(INDEX(ELEC431!$C$9:'ELEC431'!$C$17, _xlfn.AGGREGATE(15, 6, ROW($1:$20)/SIGN(LEN(ELEC431!N$9:'ELEC431'!N$17)), 1)),"")</f>
        <v/>
      </c>
      <c r="O61" s="125" t="str" cm="1">
        <f t="array" ref="O61">IFERROR(INDEX(ELEC431!$C$9:'ELEC431'!$C$17, _xlfn.AGGREGATE(15, 6, ROW($1:$20)/SIGN(LEN(ELEC431!O$9:'ELEC431'!O$17)), 1)),"")</f>
        <v/>
      </c>
      <c r="P61" s="125" t="str" cm="1">
        <f t="array" ref="P61">IFERROR(INDEX(ELEC431!$C$9:'ELEC431'!$C$17, _xlfn.AGGREGATE(15, 6, ROW($1:$20)/SIGN(LEN(ELEC431!P$9:'ELEC431'!P$17)), 1)),"")</f>
        <v>GUI Design</v>
      </c>
      <c r="Q61" s="125" t="str" cm="1">
        <f t="array" ref="Q61">IFERROR(INDEX(ELEC431!$C$9:'ELEC431'!$C$17, _xlfn.AGGREGATE(15, 6, ROW($1:$20)/SIGN(LEN(ELEC431!Q$9:'ELEC431'!Q$17)), 1)),"")</f>
        <v/>
      </c>
      <c r="R61" s="125" t="str" cm="1">
        <f t="array" ref="R61">IFERROR(INDEX(ELEC431!$C$9:'ELEC431'!$C$17, _xlfn.AGGREGATE(15, 6, ROW($1:$20)/SIGN(LEN(ELEC431!R$9:'ELEC431'!R$17)), 1)),"")</f>
        <v/>
      </c>
      <c r="S61" s="125" t="str" cm="1">
        <f t="array" ref="S61">IFERROR(INDEX(ELEC431!$C$9:'ELEC431'!$C$17, _xlfn.AGGREGATE(15, 6, ROW($1:$20)/SIGN(LEN(ELEC431!S$9:'ELEC431'!S$17)), 1)),"")</f>
        <v>Class Test</v>
      </c>
      <c r="T61" s="126" t="str" cm="1">
        <f t="array" ref="T61">IFERROR(INDEX(ELEC431!$C$9:'ELEC431'!$C$17, _xlfn.AGGREGATE(15, 6, ROW($1:$20)/SIGN(LEN(ELEC431!T$9:'ELEC431'!T$17)), 1)),"")</f>
        <v/>
      </c>
      <c r="X61"/>
      <c r="Y61"/>
    </row>
    <row r="62" spans="1:25" s="10" customFormat="1" ht="21" customHeight="1" x14ac:dyDescent="0.2">
      <c r="A62"/>
      <c r="B62"/>
      <c r="C62"/>
      <c r="D62"/>
      <c r="E62"/>
      <c r="F62"/>
      <c r="G62" s="82">
        <v>2</v>
      </c>
      <c r="H62" s="161"/>
      <c r="I62" s="84" t="str" cm="1">
        <f t="array" ref="I62">IF(COUNTIFS(ELEC431!I$9:I$17,"Yes")&gt;=$G62, IFERROR(INDEX(ELEC431!$C$9:'ELEC431'!$C$17, _xlfn.AGGREGATE(15, 6, ROW($1:$20)/SIGN(LEN(ELEC431!I$9:'ELEC431'!I$17)), COUNTIFS(ELEC431!I$9:I$17,"Yes"))),""),"")</f>
        <v/>
      </c>
      <c r="J62" s="84" t="str" cm="1">
        <f t="array" ref="J62">IF(COUNTIFS(ELEC431!J$9:J$17,"Yes")&gt;=$G62, IFERROR(INDEX(ELEC431!$C$9:'ELEC431'!$C$17, _xlfn.AGGREGATE(15, 6, ROW($1:$20)/SIGN(LEN(ELEC431!J$9:'ELEC431'!J$17)), COUNTIFS(ELEC431!J$9:J$17,"Yes"))),""),"")</f>
        <v/>
      </c>
      <c r="K62" s="84" t="str" cm="1">
        <f t="array" ref="K62">IF(COUNTIFS(ELEC431!K$9:K$17,"Yes")&gt;=$G62, IFERROR(INDEX(ELEC431!$C$9:'ELEC431'!$C$17, _xlfn.AGGREGATE(15, 6, ROW($1:$20)/SIGN(LEN(ELEC431!K$9:'ELEC431'!K$17)), COUNTIFS(ELEC431!K$9:K$17,"Yes"))),""),"")</f>
        <v/>
      </c>
      <c r="L62" s="84" t="str" cm="1">
        <f t="array" ref="L62">IF(COUNTIFS(ELEC431!L$9:L$17,"Yes")&gt;=$G62, IFERROR(INDEX(ELEC431!$C$9:'ELEC431'!$C$17, _xlfn.AGGREGATE(15, 6, ROW($1:$20)/SIGN(LEN(ELEC431!L$9:'ELEC431'!L$17)), COUNTIFS(ELEC431!L$9:L$17,"Yes"))),""),"")</f>
        <v/>
      </c>
      <c r="M62" s="84" t="str" cm="1">
        <f t="array" ref="M62">IF(COUNTIFS(ELEC431!M$9:M$17,"Yes")&gt;=$G62, IFERROR(INDEX(ELEC431!$C$9:'ELEC431'!$C$17, _xlfn.AGGREGATE(15, 6, ROW($1:$20)/SIGN(LEN(ELEC431!M$9:'ELEC431'!M$17)), COUNTIFS(ELEC431!M$9:M$17,"Yes"))),""),"")</f>
        <v/>
      </c>
      <c r="N62" s="84" t="str" cm="1">
        <f t="array" ref="N62">IF(COUNTIFS(ELEC431!N$9:N$17,"Yes")&gt;=$G62, IFERROR(INDEX(ELEC431!$C$9:'ELEC431'!$C$17, _xlfn.AGGREGATE(15, 6, ROW($1:$20)/SIGN(LEN(ELEC431!N$9:'ELEC431'!N$17)), COUNTIFS(ELEC431!N$9:N$17,"Yes"))),""),"")</f>
        <v/>
      </c>
      <c r="O62" s="84" t="str" cm="1">
        <f t="array" ref="O62">IF(COUNTIFS(ELEC431!O$9:O$17,"Yes")&gt;=$G62, IFERROR(INDEX(ELEC431!$C$9:'ELEC431'!$C$17, _xlfn.AGGREGATE(15, 6, ROW($1:$20)/SIGN(LEN(ELEC431!O$9:'ELEC431'!O$17)), COUNTIFS(ELEC431!O$9:O$17,"Yes"))),""),"")</f>
        <v/>
      </c>
      <c r="P62" s="84" t="str" cm="1">
        <f t="array" ref="P62">IF(COUNTIFS(ELEC431!P$9:P$17,"Yes")&gt;=$G62, IFERROR(INDEX(ELEC431!$C$9:'ELEC431'!$C$17, _xlfn.AGGREGATE(15, 6, ROW($1:$20)/SIGN(LEN(ELEC431!P$9:'ELEC431'!P$17)), COUNTIFS(ELEC431!P$9:P$17,"Yes"))),""),"")</f>
        <v/>
      </c>
      <c r="Q62" s="84" t="str" cm="1">
        <f t="array" ref="Q62">IF(COUNTIFS(ELEC431!Q$9:Q$17,"Yes")&gt;=$G62, IFERROR(INDEX(ELEC431!$C$9:'ELEC431'!$C$17, _xlfn.AGGREGATE(15, 6, ROW($1:$20)/SIGN(LEN(ELEC431!Q$9:'ELEC431'!Q$17)), COUNTIFS(ELEC431!Q$9:Q$17,"Yes"))),""),"")</f>
        <v/>
      </c>
      <c r="R62" s="84" t="str" cm="1">
        <f t="array" ref="R62">IF(COUNTIFS(ELEC431!R$9:R$17,"Yes")&gt;=$G62, IFERROR(INDEX(ELEC431!$C$9:'ELEC431'!$C$17, _xlfn.AGGREGATE(15, 6, ROW($1:$20)/SIGN(LEN(ELEC431!R$9:'ELEC431'!R$17)), COUNTIFS(ELEC431!R$9:R$17,"Yes"))),""),"")</f>
        <v/>
      </c>
      <c r="S62" s="84" t="str" cm="1">
        <f t="array" ref="S62">IF(COUNTIFS(ELEC431!S$9:S$17,"Yes")&gt;=$G62, IFERROR(INDEX(ELEC431!$C$9:'ELEC431'!$C$17, _xlfn.AGGREGATE(15, 6, ROW($1:$20)/SIGN(LEN(ELEC431!S$9:'ELEC431'!S$17)), COUNTIFS(ELEC431!S$9:S$17,"Yes"))),""),"")</f>
        <v/>
      </c>
      <c r="T62" s="87" t="str" cm="1">
        <f t="array" ref="T62">IF(COUNTIFS(ELEC431!T$9:T$17,"Yes")&gt;=$G62, IFERROR(INDEX(ELEC431!$C$9:'ELEC431'!$C$17, _xlfn.AGGREGATE(15, 6, ROW($1:$20)/SIGN(LEN(ELEC431!T$9:'ELEC431'!T$17)), COUNTIFS(ELEC431!T$9:T$17,"Yes"))),""),"")</f>
        <v/>
      </c>
      <c r="X62"/>
      <c r="Y62"/>
    </row>
    <row r="63" spans="1:25" s="10" customFormat="1" ht="21" customHeight="1" x14ac:dyDescent="0.2">
      <c r="A63"/>
      <c r="B63"/>
      <c r="C63"/>
      <c r="D63"/>
      <c r="E63"/>
      <c r="F63"/>
      <c r="G63" s="82">
        <v>1</v>
      </c>
      <c r="H63" s="160" t="s">
        <v>264</v>
      </c>
      <c r="I63" s="125" t="str" cm="1">
        <f t="array" ref="I63">IFERROR(INDEX(ELEC423!$C$9:'ELEC423'!$C$17, _xlfn.AGGREGATE(15, 6, ROW($1:$20)/SIGN(LEN(ELEC423!I$9:'ELEC423'!I$17)), 1)),"")</f>
        <v/>
      </c>
      <c r="J63" s="125" t="str" cm="1">
        <f t="array" ref="J63">IFERROR(INDEX(ELEC423!$C$9:'ELEC423'!$C$17, _xlfn.AGGREGATE(15, 6, ROW($1:$20)/SIGN(LEN(ELEC423!J$9:'ELEC423'!J$17)), 1)),"")</f>
        <v/>
      </c>
      <c r="K63" s="125" t="str" cm="1">
        <f t="array" ref="K63">IFERROR(INDEX(ELEC423!$C$9:'ELEC423'!$C$17, _xlfn.AGGREGATE(15, 6, ROW($1:$20)/SIGN(LEN(ELEC423!K$9:'ELEC423'!K$17)), 1)),"")</f>
        <v/>
      </c>
      <c r="L63" s="125" t="str" cm="1">
        <f t="array" ref="L63">IFERROR(INDEX(ELEC423!$C$9:'ELEC423'!$C$17, _xlfn.AGGREGATE(15, 6, ROW($1:$20)/SIGN(LEN(ELEC423!L$9:'ELEC423'!L$17)), 1)),"")</f>
        <v/>
      </c>
      <c r="M63" s="125" t="str" cm="1">
        <f t="array" ref="M63">IFERROR(INDEX(ELEC423!$C$9:'ELEC423'!$C$17, _xlfn.AGGREGATE(15, 6, ROW($1:$20)/SIGN(LEN(ELEC423!M$9:'ELEC423'!M$17)), 1)),"")</f>
        <v/>
      </c>
      <c r="N63" s="125" t="str" cm="1">
        <f t="array" ref="N63">IFERROR(INDEX(ELEC423!$C$9:'ELEC423'!$C$17, _xlfn.AGGREGATE(15, 6, ROW($1:$20)/SIGN(LEN(ELEC423!N$9:'ELEC423'!N$17)), 1)),"")</f>
        <v/>
      </c>
      <c r="O63" s="125" t="str" cm="1">
        <f t="array" ref="O63">IFERROR(INDEX(ELEC423!$C$9:'ELEC423'!$C$17, _xlfn.AGGREGATE(15, 6, ROW($1:$20)/SIGN(LEN(ELEC423!O$9:'ELEC423'!O$17)), 1)),"")</f>
        <v>M2M Implementation</v>
      </c>
      <c r="P63" s="125" t="str" cm="1">
        <f t="array" ref="P63">IFERROR(INDEX(ELEC423!$C$9:'ELEC423'!$C$17, _xlfn.AGGREGATE(15, 6, ROW($1:$20)/SIGN(LEN(ELEC423!P$9:'ELEC423'!P$17)), 1)),"")</f>
        <v/>
      </c>
      <c r="Q63" s="125" t="str" cm="1">
        <f t="array" ref="Q63">IFERROR(INDEX(ELEC423!$C$9:'ELEC423'!$C$17, _xlfn.AGGREGATE(15, 6, ROW($1:$20)/SIGN(LEN(ELEC423!Q$9:'ELEC423'!Q$17)), 1)),"")</f>
        <v/>
      </c>
      <c r="R63" s="125" t="str" cm="1">
        <f t="array" ref="R63">IFERROR(INDEX(ELEC423!$C$9:'ELEC423'!$C$17, _xlfn.AGGREGATE(15, 6, ROW($1:$20)/SIGN(LEN(ELEC423!R$9:'ELEC423'!R$17)), 1)),"")</f>
        <v/>
      </c>
      <c r="S63" s="125" t="str" cm="1">
        <f t="array" ref="S63">IFERROR(INDEX(ELEC423!$C$9:'ELEC423'!$C$17, _xlfn.AGGREGATE(15, 6, ROW($1:$20)/SIGN(LEN(ELEC423!S$9:'ELEC423'!S$17)), 1)),"")</f>
        <v/>
      </c>
      <c r="T63" s="126" t="str" cm="1">
        <f t="array" ref="T63">IFERROR(INDEX(ELEC423!$C$9:'ELEC423'!$C$17, _xlfn.AGGREGATE(15, 6, ROW($1:$20)/SIGN(LEN(ELEC423!T$9:'ELEC423'!T$17)), 1)),"")</f>
        <v>IoT Prototype</v>
      </c>
      <c r="X63"/>
      <c r="Y63"/>
    </row>
    <row r="64" spans="1:25" s="10" customFormat="1" ht="21" customHeight="1" x14ac:dyDescent="0.2">
      <c r="A64"/>
      <c r="B64"/>
      <c r="C64"/>
      <c r="D64"/>
      <c r="E64"/>
      <c r="F64"/>
      <c r="G64" s="82">
        <v>2</v>
      </c>
      <c r="H64" s="161"/>
      <c r="I64" s="84" t="str" cm="1">
        <f t="array" ref="I64">IF(COUNTIFS(ELEC423!I$9:I$17,"Yes")&gt;=$G64, IFERROR(INDEX(ELEC423!$C$9:'ELEC423'!$C$17, _xlfn.AGGREGATE(15, 6, ROW($1:$20)/SIGN(LEN(ELEC423!I$9:'ELEC423'!I$17)), COUNTIFS(ELEC423!I$9:I$17,"Yes"))),""),"")</f>
        <v/>
      </c>
      <c r="J64" s="84" t="str" cm="1">
        <f t="array" ref="J64">IF(COUNTIFS(ELEC423!J$9:J$17,"Yes")&gt;=$G64, IFERROR(INDEX(ELEC423!$C$9:'ELEC423'!$C$17, _xlfn.AGGREGATE(15, 6, ROW($1:$20)/SIGN(LEN(ELEC423!J$9:'ELEC423'!J$17)), COUNTIFS(ELEC423!J$9:J$17,"Yes"))),""),"")</f>
        <v/>
      </c>
      <c r="K64" s="84" t="str" cm="1">
        <f t="array" ref="K64">IF(COUNTIFS(ELEC423!K$9:K$17,"Yes")&gt;=$G64, IFERROR(INDEX(ELEC423!$C$9:'ELEC423'!$C$17, _xlfn.AGGREGATE(15, 6, ROW($1:$20)/SIGN(LEN(ELEC423!K$9:'ELEC423'!K$17)), COUNTIFS(ELEC423!K$9:K$17,"Yes"))),""),"")</f>
        <v/>
      </c>
      <c r="L64" s="84" t="str" cm="1">
        <f t="array" ref="L64">IF(COUNTIFS(ELEC423!L$9:L$17,"Yes")&gt;=$G64, IFERROR(INDEX(ELEC423!$C$9:'ELEC423'!$C$17, _xlfn.AGGREGATE(15, 6, ROW($1:$20)/SIGN(LEN(ELEC423!L$9:'ELEC423'!L$17)), COUNTIFS(ELEC423!L$9:L$17,"Yes"))),""),"")</f>
        <v/>
      </c>
      <c r="M64" s="84" t="str" cm="1">
        <f t="array" ref="M64">IF(COUNTIFS(ELEC423!M$9:M$17,"Yes")&gt;=$G64, IFERROR(INDEX(ELEC423!$C$9:'ELEC423'!$C$17, _xlfn.AGGREGATE(15, 6, ROW($1:$20)/SIGN(LEN(ELEC423!M$9:'ELEC423'!M$17)), COUNTIFS(ELEC423!M$9:M$17,"Yes"))),""),"")</f>
        <v/>
      </c>
      <c r="N64" s="84" t="str" cm="1">
        <f t="array" ref="N64">IF(COUNTIFS(ELEC423!N$9:N$17,"Yes")&gt;=$G64, IFERROR(INDEX(ELEC423!$C$9:'ELEC423'!$C$17, _xlfn.AGGREGATE(15, 6, ROW($1:$20)/SIGN(LEN(ELEC423!N$9:'ELEC423'!N$17)), COUNTIFS(ELEC423!N$9:N$17,"Yes"))),""),"")</f>
        <v/>
      </c>
      <c r="O64" s="84" t="str" cm="1">
        <f t="array" ref="O64">IF(COUNTIFS(ELEC423!O$9:O$17,"Yes")&gt;=$G64, IFERROR(INDEX(ELEC423!$C$9:'ELEC423'!$C$17, _xlfn.AGGREGATE(15, 6, ROW($1:$20)/SIGN(LEN(ELEC423!O$9:'ELEC423'!O$17)), COUNTIFS(ELEC423!O$9:O$17,"Yes"))),""),"")</f>
        <v/>
      </c>
      <c r="P64" s="84" t="str" cm="1">
        <f t="array" ref="P64">IF(COUNTIFS(ELEC423!P$9:P$17,"Yes")&gt;=$G64, IFERROR(INDEX(ELEC423!$C$9:'ELEC423'!$C$17, _xlfn.AGGREGATE(15, 6, ROW($1:$20)/SIGN(LEN(ELEC423!P$9:'ELEC423'!P$17)), COUNTIFS(ELEC423!P$9:P$17,"Yes"))),""),"")</f>
        <v/>
      </c>
      <c r="Q64" s="84" t="str" cm="1">
        <f t="array" ref="Q64">IF(COUNTIFS(ELEC423!Q$9:Q$17,"Yes")&gt;=$G64, IFERROR(INDEX(ELEC423!$C$9:'ELEC423'!$C$17, _xlfn.AGGREGATE(15, 6, ROW($1:$20)/SIGN(LEN(ELEC423!Q$9:'ELEC423'!Q$17)), COUNTIFS(ELEC423!Q$9:Q$17,"Yes"))),""),"")</f>
        <v/>
      </c>
      <c r="R64" s="84" t="str" cm="1">
        <f t="array" ref="R64">IF(COUNTIFS(ELEC423!R$9:R$17,"Yes")&gt;=$G64, IFERROR(INDEX(ELEC423!$C$9:'ELEC423'!$C$17, _xlfn.AGGREGATE(15, 6, ROW($1:$20)/SIGN(LEN(ELEC423!R$9:'ELEC423'!R$17)), COUNTIFS(ELEC423!R$9:R$17,"Yes"))),""),"")</f>
        <v/>
      </c>
      <c r="S64" s="84" t="str" cm="1">
        <f t="array" ref="S64">IF(COUNTIFS(ELEC423!S$9:S$17,"Yes")&gt;=$G64, IFERROR(INDEX(ELEC423!$C$9:'ELEC423'!$C$17, _xlfn.AGGREGATE(15, 6, ROW($1:$20)/SIGN(LEN(ELEC423!S$9:'ELEC423'!S$17)), COUNTIFS(ELEC423!S$9:S$17,"Yes"))),""),"")</f>
        <v/>
      </c>
      <c r="T64" s="87" t="str" cm="1">
        <f t="array" ref="T64">IF(COUNTIFS(ELEC423!T$9:T$17,"Yes")&gt;=$G64, IFERROR(INDEX(ELEC423!$C$9:'ELEC423'!$C$17, _xlfn.AGGREGATE(15, 6, ROW($1:$20)/SIGN(LEN(ELEC423!T$9:'ELEC423'!T$17)), COUNTIFS(ELEC423!T$9:T$17,"Yes"))),""),"")</f>
        <v/>
      </c>
      <c r="X64"/>
      <c r="Y64"/>
    </row>
    <row r="65" spans="1:25" s="10" customFormat="1" ht="21" customHeight="1" x14ac:dyDescent="0.2">
      <c r="A65"/>
      <c r="B65"/>
      <c r="C65"/>
      <c r="D65"/>
      <c r="E65"/>
      <c r="F65"/>
      <c r="G65" s="82">
        <v>1</v>
      </c>
      <c r="H65" s="162" t="s">
        <v>297</v>
      </c>
      <c r="I65" s="83" t="str" cm="1">
        <f t="array" ref="I65">IFERROR(INDEX(COMP521!$C$9:'COMP521'!$C$17, _xlfn.AGGREGATE(15, 6, ROW($1:$20)/SIGN(LEN(COMP521!I$9:'COMP521'!I$17)), 1)),"")</f>
        <v/>
      </c>
      <c r="J65" s="83" t="str" cm="1">
        <f t="array" ref="J65">IFERROR(INDEX(COMP521!$C$9:'COMP521'!$C$17, _xlfn.AGGREGATE(15, 6, ROW($1:$20)/SIGN(LEN(COMP521!J$9:'COMP521'!J$17)), 1)),"")</f>
        <v/>
      </c>
      <c r="K65" s="83" t="str" cm="1">
        <f t="array" ref="K65">IFERROR(INDEX(COMP521!$C$9:'COMP521'!$C$17, _xlfn.AGGREGATE(15, 6, ROW($1:$20)/SIGN(LEN(COMP521!K$9:'COMP521'!K$17)), 1)),"")</f>
        <v/>
      </c>
      <c r="L65" s="83" t="str" cm="1">
        <f t="array" ref="L65">IFERROR(INDEX(COMP521!$C$9:'COMP521'!$C$17, _xlfn.AGGREGATE(15, 6, ROW($1:$20)/SIGN(LEN(COMP521!L$9:'COMP521'!L$17)), 1)),"")</f>
        <v/>
      </c>
      <c r="M65" s="83" t="str" cm="1">
        <f t="array" ref="M65">IFERROR(INDEX(COMP521!$C$9:'COMP521'!$C$17, _xlfn.AGGREGATE(15, 6, ROW($1:$20)/SIGN(LEN(COMP521!M$9:'COMP521'!M$17)), 1)),"")</f>
        <v/>
      </c>
      <c r="N65" s="83" t="str" cm="1">
        <f t="array" ref="N65">IFERROR(INDEX(COMP521!$C$9:'COMP521'!$C$17, _xlfn.AGGREGATE(15, 6, ROW($1:$20)/SIGN(LEN(COMP521!N$9:'COMP521'!N$17)), 1)),"")</f>
        <v>Class Test 1</v>
      </c>
      <c r="O65" s="83" t="str" cm="1">
        <f t="array" ref="O65">IFERROR(INDEX(COMP521!$C$9:'COMP521'!$C$17, _xlfn.AGGREGATE(15, 6, ROW($1:$20)/SIGN(LEN(COMP521!O$9:'COMP521'!O$17)), 1)),"")</f>
        <v/>
      </c>
      <c r="P65" s="83" t="str" cm="1">
        <f t="array" ref="P65">IFERROR(INDEX(COMP521!$C$9:'COMP521'!$C$17, _xlfn.AGGREGATE(15, 6, ROW($1:$20)/SIGN(LEN(COMP521!P$9:'COMP521'!P$17)), 1)),"")</f>
        <v/>
      </c>
      <c r="Q65" s="83" t="str" cm="1">
        <f t="array" ref="Q65">IFERROR(INDEX(COMP521!$C$9:'COMP521'!$C$17, _xlfn.AGGREGATE(15, 6, ROW($1:$20)/SIGN(LEN(COMP521!Q$9:'COMP521'!Q$17)), 1)),"")</f>
        <v/>
      </c>
      <c r="R65" s="83" t="str" cm="1">
        <f t="array" ref="R65">IFERROR(INDEX(COMP521!$C$9:'COMP521'!$C$17, _xlfn.AGGREGATE(15, 6, ROW($1:$20)/SIGN(LEN(COMP521!R$9:'COMP521'!R$17)), 1)),"")</f>
        <v/>
      </c>
      <c r="S65" s="83" t="str" cm="1">
        <f t="array" ref="S65">IFERROR(INDEX(COMP521!$C$9:'COMP521'!$C$17, _xlfn.AGGREGATE(15, 6, ROW($1:$20)/SIGN(LEN(COMP521!S$9:'COMP521'!S$17)), 1)),"")</f>
        <v/>
      </c>
      <c r="T65" s="86" t="str" cm="1">
        <f t="array" ref="T65">IFERROR(INDEX(COMP521!$C$9:'COMP521'!$C$17, _xlfn.AGGREGATE(15, 6, ROW($1:$20)/SIGN(LEN(COMP521!T$9:'COMP521'!T$17)), 1)),"")</f>
        <v>Class Test 2</v>
      </c>
      <c r="X65"/>
      <c r="Y65"/>
    </row>
    <row r="66" spans="1:25" s="10" customFormat="1" ht="21" customHeight="1" x14ac:dyDescent="0.2">
      <c r="A66"/>
      <c r="B66"/>
      <c r="C66"/>
      <c r="D66"/>
      <c r="E66"/>
      <c r="F66"/>
      <c r="G66" s="82">
        <v>2</v>
      </c>
      <c r="H66" s="161"/>
      <c r="I66" s="84" t="str" cm="1">
        <f t="array" ref="I66">IF(COUNTIFS(COMP521!I$9:I$17,"Yes")&gt;=$G58, IFERROR(INDEX(COMP521!$C$9:'COMP521'!$C$17, _xlfn.AGGREGATE(15, 6, ROW($1:$20)/SIGN(LEN(COMP521!I$9:'COMP521'!I$17)), COUNTIFS(COMP521!I$9:I$17,"Yes"))),""),"")</f>
        <v/>
      </c>
      <c r="J66" s="84" t="str" cm="1">
        <f t="array" ref="J66">IF(COUNTIFS(COMP521!J$9:J$17,"Yes")&gt;=$G58, IFERROR(INDEX(COMP521!$C$9:'COMP521'!$C$17, _xlfn.AGGREGATE(15, 6, ROW($1:$20)/SIGN(LEN(COMP521!J$9:'COMP521'!J$17)), COUNTIFS(COMP521!J$9:J$17,"Yes"))),""),"")</f>
        <v/>
      </c>
      <c r="K66" s="84" t="str" cm="1">
        <f t="array" ref="K66">IF(COUNTIFS(COMP521!K$9:K$17,"Yes")&gt;=$G58, IFERROR(INDEX(COMP521!$C$9:'COMP521'!$C$17, _xlfn.AGGREGATE(15, 6, ROW($1:$20)/SIGN(LEN(COMP521!K$9:'COMP521'!K$17)), COUNTIFS(COMP521!K$9:K$17,"Yes"))),""),"")</f>
        <v/>
      </c>
      <c r="L66" s="84" t="str" cm="1">
        <f t="array" ref="L66">IF(COUNTIFS(COMP521!L$9:L$17,"Yes")&gt;=$G58, IFERROR(INDEX(COMP521!$C$9:'COMP521'!$C$17, _xlfn.AGGREGATE(15, 6, ROW($1:$20)/SIGN(LEN(COMP521!L$9:'COMP521'!L$17)), COUNTIFS(COMP521!L$9:L$17,"Yes"))),""),"")</f>
        <v/>
      </c>
      <c r="M66" s="84" t="str" cm="1">
        <f t="array" ref="M66">IF(COUNTIFS(COMP521!M$9:M$17,"Yes")&gt;=$G58, IFERROR(INDEX(COMP521!$C$9:'COMP521'!$C$17, _xlfn.AGGREGATE(15, 6, ROW($1:$20)/SIGN(LEN(COMP521!M$9:'COMP521'!M$17)), COUNTIFS(COMP521!M$9:M$17,"Yes"))),""),"")</f>
        <v/>
      </c>
      <c r="N66" s="84" t="str" cm="1">
        <f t="array" ref="N66">IF(COUNTIFS(COMP521!N$9:N$17,"Yes")&gt;=$G58, IFERROR(INDEX(COMP521!$C$9:'COMP521'!$C$17, _xlfn.AGGREGATE(15, 6, ROW($1:$20)/SIGN(LEN(COMP521!N$9:'COMP521'!N$17)), COUNTIFS(COMP521!N$9:N$17,"Yes"))),""),"")</f>
        <v/>
      </c>
      <c r="O66" s="84" t="str" cm="1">
        <f t="array" ref="O66">IF(COUNTIFS(COMP521!O$9:O$17,"Yes")&gt;=$G58, IFERROR(INDEX(COMP521!$C$9:'COMP521'!$C$17, _xlfn.AGGREGATE(15, 6, ROW($1:$20)/SIGN(LEN(COMP521!O$9:'COMP521'!O$17)), COUNTIFS(COMP521!O$9:O$17,"Yes"))),""),"")</f>
        <v/>
      </c>
      <c r="P66" s="84" t="str" cm="1">
        <f t="array" ref="P66">IF(COUNTIFS(COMP521!P$9:P$17,"Yes")&gt;=$G58, IFERROR(INDEX(COMP521!$C$9:'COMP521'!$C$17, _xlfn.AGGREGATE(15, 6, ROW($1:$20)/SIGN(LEN(COMP521!P$9:'COMP521'!P$17)), COUNTIFS(COMP521!P$9:P$17,"Yes"))),""),"")</f>
        <v/>
      </c>
      <c r="Q66" s="84" t="str" cm="1">
        <f t="array" ref="Q66">IF(COUNTIFS(COMP521!Q$9:Q$17,"Yes")&gt;=$G58, IFERROR(INDEX(COMP521!$C$9:'COMP521'!$C$17, _xlfn.AGGREGATE(15, 6, ROW($1:$20)/SIGN(LEN(COMP521!Q$9:'COMP521'!Q$17)), COUNTIFS(COMP521!Q$9:Q$17,"Yes"))),""),"")</f>
        <v/>
      </c>
      <c r="R66" s="84" t="str" cm="1">
        <f t="array" ref="R66">IF(COUNTIFS(COMP521!R$9:R$17,"Yes")&gt;=$G58, IFERROR(INDEX(COMP521!$C$9:'COMP521'!$C$17, _xlfn.AGGREGATE(15, 6, ROW($1:$20)/SIGN(LEN(COMP521!R$9:'COMP521'!R$17)), COUNTIFS(COMP521!R$9:R$17,"Yes"))),""),"")</f>
        <v/>
      </c>
      <c r="S66" s="84" t="str" cm="1">
        <f t="array" ref="S66">IF(COUNTIFS(COMP521!S$9:S$17,"Yes")&gt;=$G58, IFERROR(INDEX(COMP521!$C$9:'COMP521'!$C$17, _xlfn.AGGREGATE(15, 6, ROW($1:$20)/SIGN(LEN(COMP521!S$9:'COMP521'!S$17)), COUNTIFS(COMP521!S$9:S$17,"Yes"))),""),"")</f>
        <v/>
      </c>
      <c r="T66" s="87" t="str" cm="1">
        <f t="array" ref="T66">IF(COUNTIFS(COMP521!T$9:T$17,"Yes")&gt;=$G58, IFERROR(INDEX(COMP521!$C$9:'COMP521'!$C$17, _xlfn.AGGREGATE(15, 6, ROW($1:$20)/SIGN(LEN(COMP521!T$9:'COMP521'!T$17)), COUNTIFS(COMP521!T$9:T$17,"Yes"))),""),"")</f>
        <v/>
      </c>
      <c r="X66"/>
      <c r="Y66"/>
    </row>
    <row r="67" spans="1:25" ht="21" customHeight="1" x14ac:dyDescent="0.2">
      <c r="G67" s="82">
        <v>1</v>
      </c>
      <c r="H67" s="160" t="s">
        <v>298</v>
      </c>
      <c r="I67" s="125" t="str" cm="1">
        <f t="array" ref="I67">IFERROR(INDEX(COMP523!$C$9:'COMP523'!$C$17, _xlfn.AGGREGATE(15, 6, ROW($1:$20)/SIGN(LEN(COMP523!I$9:'COMP523'!I$17)), 1)),"")</f>
        <v/>
      </c>
      <c r="J67" s="125" t="str" cm="1">
        <f t="array" ref="J67">IFERROR(INDEX(COMP523!$C$9:'COMP523'!$C$17, _xlfn.AGGREGATE(15, 6, ROW($1:$20)/SIGN(LEN(COMP523!J$9:'COMP523'!J$17)), 1)),"")</f>
        <v/>
      </c>
      <c r="K67" s="125" t="str" cm="1">
        <f t="array" ref="K67">IFERROR(INDEX(COMP523!$C$9:'COMP523'!$C$17, _xlfn.AGGREGATE(15, 6, ROW($1:$20)/SIGN(LEN(COMP523!K$9:'COMP523'!K$17)), 1)),"")</f>
        <v/>
      </c>
      <c r="L67" s="125" t="str" cm="1">
        <f t="array" ref="L67">IFERROR(INDEX(COMP523!$C$9:'COMP523'!$C$17, _xlfn.AGGREGATE(15, 6, ROW($1:$20)/SIGN(LEN(COMP523!L$9:'COMP523'!L$17)), 1)),"")</f>
        <v/>
      </c>
      <c r="M67" s="125" t="str" cm="1">
        <f t="array" ref="M67">IFERROR(INDEX(COMP523!$C$9:'COMP523'!$C$17, _xlfn.AGGREGATE(15, 6, ROW($1:$20)/SIGN(LEN(COMP523!M$9:'COMP523'!M$17)), 1)),"")</f>
        <v/>
      </c>
      <c r="N67" s="125" t="str" cm="1">
        <f t="array" ref="N67">IFERROR(INDEX(COMP523!$C$9:'COMP523'!$C$17, _xlfn.AGGREGATE(15, 6, ROW($1:$20)/SIGN(LEN(COMP523!N$9:'COMP523'!N$17)), 1)),"")</f>
        <v>CA1</v>
      </c>
      <c r="O67" s="125" t="str" cm="1">
        <f t="array" ref="O67">IFERROR(INDEX(COMP523!$C$9:'COMP523'!$C$17, _xlfn.AGGREGATE(15, 6, ROW($1:$20)/SIGN(LEN(COMP523!O$9:'COMP523'!O$17)), 1)),"")</f>
        <v/>
      </c>
      <c r="P67" s="125" t="str" cm="1">
        <f t="array" ref="P67">IFERROR(INDEX(COMP523!$C$9:'COMP523'!$C$17, _xlfn.AGGREGATE(15, 6, ROW($1:$20)/SIGN(LEN(COMP523!P$9:'COMP523'!P$17)), 1)),"")</f>
        <v/>
      </c>
      <c r="Q67" s="125" t="str" cm="1">
        <f t="array" ref="Q67">IFERROR(INDEX(COMP523!$C$9:'COMP523'!$C$17, _xlfn.AGGREGATE(15, 6, ROW($1:$20)/SIGN(LEN(COMP523!Q$9:'COMP523'!Q$17)), 1)),"")</f>
        <v/>
      </c>
      <c r="R67" s="125" t="str" cm="1">
        <f t="array" ref="R67">IFERROR(INDEX(COMP523!$C$9:'COMP523'!$C$17, _xlfn.AGGREGATE(15, 6, ROW($1:$20)/SIGN(LEN(COMP523!R$9:'COMP523'!R$17)), 1)),"")</f>
        <v/>
      </c>
      <c r="S67" s="125" t="str" cm="1">
        <f t="array" ref="S67">IFERROR(INDEX(COMP523!$C$9:'COMP523'!$C$17, _xlfn.AGGREGATE(15, 6, ROW($1:$20)/SIGN(LEN(COMP523!S$9:'COMP523'!S$17)), 1)),"")</f>
        <v>CA2</v>
      </c>
      <c r="T67" s="126" t="str" cm="1">
        <f t="array" ref="T67">IFERROR(INDEX(COMP523!$C$9:'COMP523'!$C$17, _xlfn.AGGREGATE(15, 6, ROW($1:$20)/SIGN(LEN(COMP523!T$9:'COMP523'!T$17)), 1)),"")</f>
        <v/>
      </c>
    </row>
    <row r="68" spans="1:25" ht="21" customHeight="1" thickBot="1" x14ac:dyDescent="0.25">
      <c r="G68" s="82">
        <v>2</v>
      </c>
      <c r="H68" s="163"/>
      <c r="I68" s="88" t="str" cm="1">
        <f t="array" ref="I68">IF(COUNTIFS(COMP523!I$9:I$17,"Yes")&gt;=$G60, IFERROR(INDEX(COMP523!$C$9:'COMP523'!$C$17, _xlfn.AGGREGATE(15, 6, ROW($1:$20)/SIGN(LEN(COMP523!I$9:'COMP523'!I$17)), COUNTIFS(COMP523!I$9:I$17,"Yes"))),""),"")</f>
        <v/>
      </c>
      <c r="J68" s="88" t="str" cm="1">
        <f t="array" ref="J68">IF(COUNTIFS(COMP523!J$9:J$17,"Yes")&gt;=$G60, IFERROR(INDEX(COMP523!$C$9:'COMP523'!$C$17, _xlfn.AGGREGATE(15, 6, ROW($1:$20)/SIGN(LEN(COMP523!J$9:'COMP523'!J$17)), COUNTIFS(COMP523!J$9:J$17,"Yes"))),""),"")</f>
        <v/>
      </c>
      <c r="K68" s="88" t="str" cm="1">
        <f t="array" ref="K68">IF(COUNTIFS(COMP523!K$9:K$17,"Yes")&gt;=$G60, IFERROR(INDEX(COMP523!$C$9:'COMP523'!$C$17, _xlfn.AGGREGATE(15, 6, ROW($1:$20)/SIGN(LEN(COMP523!K$9:'COMP523'!K$17)), COUNTIFS(COMP523!K$9:K$17,"Yes"))),""),"")</f>
        <v/>
      </c>
      <c r="L68" s="88" t="str" cm="1">
        <f t="array" ref="L68">IF(COUNTIFS(COMP523!L$9:L$17,"Yes")&gt;=$G60, IFERROR(INDEX(COMP523!$C$9:'COMP523'!$C$17, _xlfn.AGGREGATE(15, 6, ROW($1:$20)/SIGN(LEN(COMP523!L$9:'COMP523'!L$17)), COUNTIFS(COMP523!L$9:L$17,"Yes"))),""),"")</f>
        <v/>
      </c>
      <c r="M68" s="88" t="str" cm="1">
        <f t="array" ref="M68">IF(COUNTIFS(COMP523!M$9:M$17,"Yes")&gt;=$G60, IFERROR(INDEX(COMP523!$C$9:'COMP523'!$C$17, _xlfn.AGGREGATE(15, 6, ROW($1:$20)/SIGN(LEN(COMP523!M$9:'COMP523'!M$17)), COUNTIFS(COMP523!M$9:M$17,"Yes"))),""),"")</f>
        <v/>
      </c>
      <c r="N68" s="88" t="str" cm="1">
        <f t="array" ref="N68">IF(COUNTIFS(COMP523!N$9:N$17,"Yes")&gt;=$G60, IFERROR(INDEX(COMP523!$C$9:'COMP523'!$C$17, _xlfn.AGGREGATE(15, 6, ROW($1:$20)/SIGN(LEN(COMP523!N$9:'COMP523'!N$17)), COUNTIFS(COMP523!N$9:N$17,"Yes"))),""),"")</f>
        <v/>
      </c>
      <c r="O68" s="88" t="str" cm="1">
        <f t="array" ref="O68">IF(COUNTIFS(COMP523!O$9:O$17,"Yes")&gt;=$G60, IFERROR(INDEX(COMP523!$C$9:'COMP523'!$C$17, _xlfn.AGGREGATE(15, 6, ROW($1:$20)/SIGN(LEN(COMP523!O$9:'COMP523'!O$17)), COUNTIFS(COMP523!O$9:O$17,"Yes"))),""),"")</f>
        <v/>
      </c>
      <c r="P68" s="88" t="str" cm="1">
        <f t="array" ref="P68">IF(COUNTIFS(COMP523!P$9:P$17,"Yes")&gt;=$G60, IFERROR(INDEX(COMP523!$C$9:'COMP523'!$C$17, _xlfn.AGGREGATE(15, 6, ROW($1:$20)/SIGN(LEN(COMP523!P$9:'COMP523'!P$17)), COUNTIFS(COMP523!P$9:P$17,"Yes"))),""),"")</f>
        <v/>
      </c>
      <c r="Q68" s="88" t="str" cm="1">
        <f t="array" ref="Q68">IF(COUNTIFS(COMP523!Q$9:Q$17,"Yes")&gt;=$G60, IFERROR(INDEX(COMP523!$C$9:'COMP523'!$C$17, _xlfn.AGGREGATE(15, 6, ROW($1:$20)/SIGN(LEN(COMP523!Q$9:'COMP523'!Q$17)), COUNTIFS(COMP523!Q$9:Q$17,"Yes"))),""),"")</f>
        <v/>
      </c>
      <c r="R68" s="88" t="str" cm="1">
        <f t="array" ref="R68">IF(COUNTIFS(COMP523!R$9:R$17,"Yes")&gt;=$G60, IFERROR(INDEX(COMP523!$C$9:'COMP523'!$C$17, _xlfn.AGGREGATE(15, 6, ROW($1:$20)/SIGN(LEN(COMP523!R$9:'COMP523'!R$17)), COUNTIFS(COMP523!R$9:R$17,"Yes"))),""),"")</f>
        <v/>
      </c>
      <c r="S68" s="88" t="str" cm="1">
        <f t="array" ref="S68">IF(COUNTIFS(COMP523!S$9:S$17,"Yes")&gt;=$G60, IFERROR(INDEX(COMP523!$C$9:'COMP523'!$C$17, _xlfn.AGGREGATE(15, 6, ROW($1:$20)/SIGN(LEN(COMP523!S$9:'COMP523'!S$17)), COUNTIFS(COMP523!S$9:S$17,"Yes"))),""),"")</f>
        <v/>
      </c>
      <c r="T68" s="89" t="str" cm="1">
        <f t="array" ref="T68">IF(COUNTIFS(COMP523!T$9:T$17,"Yes")&gt;=$G60, IFERROR(INDEX(COMP523!$C$9:'COMP523'!$C$17, _xlfn.AGGREGATE(15, 6, ROW($1:$20)/SIGN(LEN(COMP523!T$9:'COMP523'!T$17)), COUNTIFS(COMP523!T$9:T$17,"Yes"))),""),"")</f>
        <v/>
      </c>
    </row>
    <row r="69" spans="1:25" x14ac:dyDescent="0.2">
      <c r="G69" s="82">
        <v>1</v>
      </c>
    </row>
    <row r="70" spans="1:25" x14ac:dyDescent="0.2">
      <c r="G70" s="82">
        <v>2</v>
      </c>
    </row>
    <row r="72" spans="1:25" x14ac:dyDescent="0.2">
      <c r="G72" t="s">
        <v>99</v>
      </c>
      <c r="I72" s="18">
        <f ca="1">I18</f>
        <v>69</v>
      </c>
      <c r="J72" s="18">
        <f t="shared" ref="J72:W72" ca="1" si="2">(J18-I18)*(J18&gt;I18)</f>
        <v>0</v>
      </c>
      <c r="K72" s="18">
        <f t="shared" ca="1" si="2"/>
        <v>12</v>
      </c>
      <c r="L72" s="18">
        <f t="shared" ca="1" si="2"/>
        <v>0</v>
      </c>
      <c r="M72" s="18">
        <f t="shared" ca="1" si="2"/>
        <v>4</v>
      </c>
      <c r="N72" s="18">
        <f t="shared" ca="1" si="2"/>
        <v>21.5</v>
      </c>
      <c r="O72" s="18">
        <f t="shared" ca="1" si="2"/>
        <v>0</v>
      </c>
      <c r="P72" s="18">
        <f t="shared" ca="1" si="2"/>
        <v>48</v>
      </c>
      <c r="Q72" s="18">
        <f t="shared" ca="1" si="2"/>
        <v>9</v>
      </c>
      <c r="R72" s="18">
        <f t="shared" ca="1" si="2"/>
        <v>24</v>
      </c>
      <c r="S72" s="18">
        <f t="shared" ca="1" si="2"/>
        <v>0</v>
      </c>
      <c r="T72" s="18">
        <f t="shared" ca="1" si="2"/>
        <v>106</v>
      </c>
      <c r="U72" s="18">
        <f t="shared" ca="1" si="2"/>
        <v>0</v>
      </c>
      <c r="V72" s="18">
        <f t="shared" ca="1" si="2"/>
        <v>81.45</v>
      </c>
      <c r="W72" s="18">
        <f t="shared" ca="1" si="2"/>
        <v>176.75000000000003</v>
      </c>
    </row>
    <row r="73" spans="1:25" x14ac:dyDescent="0.2">
      <c r="G73" t="s">
        <v>101</v>
      </c>
      <c r="I73" s="18">
        <f ca="1">I72^2</f>
        <v>4761</v>
      </c>
      <c r="J73" s="18">
        <f t="shared" ref="J73:W73" ca="1" si="3">J72^2</f>
        <v>0</v>
      </c>
      <c r="K73" s="18">
        <f t="shared" ca="1" si="3"/>
        <v>144</v>
      </c>
      <c r="L73" s="18">
        <f t="shared" ca="1" si="3"/>
        <v>0</v>
      </c>
      <c r="M73" s="18">
        <f t="shared" ca="1" si="3"/>
        <v>16</v>
      </c>
      <c r="N73" s="18">
        <f t="shared" ca="1" si="3"/>
        <v>462.25</v>
      </c>
      <c r="O73" s="18">
        <f t="shared" ca="1" si="3"/>
        <v>0</v>
      </c>
      <c r="P73" s="18">
        <f t="shared" ca="1" si="3"/>
        <v>2304</v>
      </c>
      <c r="Q73" s="18">
        <f t="shared" ca="1" si="3"/>
        <v>81</v>
      </c>
      <c r="R73" s="18">
        <f t="shared" ca="1" si="3"/>
        <v>576</v>
      </c>
      <c r="S73" s="18">
        <f t="shared" ca="1" si="3"/>
        <v>0</v>
      </c>
      <c r="T73" s="18">
        <f t="shared" ca="1" si="3"/>
        <v>11236</v>
      </c>
      <c r="U73" s="18">
        <f t="shared" ca="1" si="3"/>
        <v>0</v>
      </c>
      <c r="V73" s="18">
        <f t="shared" ca="1" si="3"/>
        <v>6634.1025000000009</v>
      </c>
      <c r="W73" s="18">
        <f t="shared" ca="1" si="3"/>
        <v>31240.562500000011</v>
      </c>
    </row>
  </sheetData>
  <mergeCells count="16">
    <mergeCell ref="I1:W1"/>
    <mergeCell ref="H19:L19"/>
    <mergeCell ref="I41:T41"/>
    <mergeCell ref="H43:H44"/>
    <mergeCell ref="H45:H46"/>
    <mergeCell ref="H65:H66"/>
    <mergeCell ref="H67:H68"/>
    <mergeCell ref="H57:H58"/>
    <mergeCell ref="H59:H60"/>
    <mergeCell ref="H47:H48"/>
    <mergeCell ref="H61:H62"/>
    <mergeCell ref="H63:H64"/>
    <mergeCell ref="H49:H50"/>
    <mergeCell ref="H51:H52"/>
    <mergeCell ref="H53:H54"/>
    <mergeCell ref="H55:H56"/>
  </mergeCells>
  <conditionalFormatting sqref="I18:W18">
    <cfRule type="cellIs" dxfId="588" priority="9" operator="between">
      <formula>(2/3)*$C$19</formula>
      <formula>(1.2)*$C$19</formula>
    </cfRule>
    <cfRule type="cellIs" dxfId="587" priority="10" operator="lessThan">
      <formula>(2/3)*$C$19</formula>
    </cfRule>
    <cfRule type="cellIs" dxfId="586" priority="11" operator="greaterThanOrEqual">
      <formula>1.2*$C$19</formula>
    </cfRule>
  </conditionalFormatting>
  <conditionalFormatting sqref="I28:T30">
    <cfRule type="beginsWith" dxfId="585" priority="7" stopIfTrue="1" operator="beginsWith" text="0">
      <formula>LEFT(I28,LEN("0"))="0"</formula>
    </cfRule>
  </conditionalFormatting>
  <conditionalFormatting sqref="N31">
    <cfRule type="beginsWith" dxfId="584" priority="8" stopIfTrue="1" operator="beginsWith" text="0">
      <formula>LEFT(N31,LEN("0"))="0"</formula>
    </cfRule>
  </conditionalFormatting>
  <conditionalFormatting sqref="H28:H30">
    <cfRule type="expression" dxfId="583" priority="12">
      <formula>ABS($H$18-$C$17&gt;=1)</formula>
    </cfRule>
  </conditionalFormatting>
  <conditionalFormatting sqref="H19">
    <cfRule type="containsText" dxfId="582" priority="6" operator="containsText" text="OK">
      <formula>NOT(ISERROR(SEARCH("OK",H19)))</formula>
    </cfRule>
  </conditionalFormatting>
  <conditionalFormatting sqref="H19">
    <cfRule type="containsText" dxfId="581" priority="5" operator="containsText" text="don't">
      <formula>NOT(ISERROR(SEARCH("don't",H19)))</formula>
    </cfRule>
  </conditionalFormatting>
  <conditionalFormatting sqref="I43:T50 I53:T56 I61:T68 U55:W56">
    <cfRule type="cellIs" dxfId="580" priority="4" operator="notEqual">
      <formula>$I$43</formula>
    </cfRule>
  </conditionalFormatting>
  <conditionalFormatting sqref="I51:T52">
    <cfRule type="cellIs" dxfId="579" priority="3" operator="notEqual">
      <formula>$I$43</formula>
    </cfRule>
  </conditionalFormatting>
  <conditionalFormatting sqref="H18">
    <cfRule type="cellIs" dxfId="578" priority="13" stopIfTrue="1" operator="equal">
      <formula>$B$7*10</formula>
    </cfRule>
    <cfRule type="cellIs" dxfId="577" priority="14" operator="notEqual">
      <formula>$B$7*10</formula>
    </cfRule>
  </conditionalFormatting>
  <conditionalFormatting sqref="I57:T60">
    <cfRule type="cellIs" dxfId="576" priority="1" operator="notEqual">
      <formula>$I$43</formula>
    </cfRule>
  </conditionalFormatting>
  <dataValidations disablePrompts="1"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8EE53122-E8C0-4EF2-A73A-489248BCADDB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9C31-FDFE-3841-B023-B9BF8134B5C9}">
  <dimension ref="A1:Y47"/>
  <sheetViews>
    <sheetView topLeftCell="D13" zoomScaleNormal="100" workbookViewId="0">
      <selection activeCell="H32" sqref="H32:T42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5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47" x14ac:dyDescent="0.3">
      <c r="A2" s="75" t="s">
        <v>117</v>
      </c>
      <c r="B2" s="76" t="s">
        <v>268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5" ht="16" x14ac:dyDescent="0.2">
      <c r="A3" s="7" t="s">
        <v>118</v>
      </c>
      <c r="B3" s="68" t="s">
        <v>252</v>
      </c>
      <c r="E3" s="11" t="s">
        <v>253</v>
      </c>
      <c r="F3" s="50">
        <f ca="1">ELEC483!$B20</f>
        <v>1347.02</v>
      </c>
      <c r="G3" s="50">
        <f ca="1">ELEC483!$B20*ELEC483!$B6/$B7</f>
        <v>168.3775</v>
      </c>
      <c r="H3" s="69">
        <f ca="1">ELEC483!H30</f>
        <v>85.300000000000011</v>
      </c>
      <c r="I3" s="93">
        <f ca="1">ELEC483!I30</f>
        <v>1</v>
      </c>
      <c r="J3" s="93">
        <f ca="1">ELEC483!J30</f>
        <v>2</v>
      </c>
      <c r="K3" s="93">
        <f ca="1">ELEC483!K30</f>
        <v>2</v>
      </c>
      <c r="L3" s="93">
        <f ca="1">ELEC483!L30</f>
        <v>4</v>
      </c>
      <c r="M3" s="93">
        <f ca="1">ELEC483!M30</f>
        <v>8.1</v>
      </c>
      <c r="N3" s="93">
        <f ca="1">ELEC483!N30</f>
        <v>30.6</v>
      </c>
      <c r="O3" s="93">
        <f ca="1">ELEC483!O30</f>
        <v>2</v>
      </c>
      <c r="P3" s="93">
        <f ca="1">ELEC483!P30</f>
        <v>30.6</v>
      </c>
      <c r="Q3" s="93">
        <f ca="1">ELEC483!Q30</f>
        <v>2</v>
      </c>
      <c r="R3" s="93">
        <f ca="1">ELEC483!R30</f>
        <v>1</v>
      </c>
      <c r="S3" s="93">
        <f ca="1">ELEC483!S30</f>
        <v>1</v>
      </c>
      <c r="T3" s="93">
        <f ca="1">ELEC483!T30</f>
        <v>1</v>
      </c>
      <c r="U3" s="93">
        <f ca="1">ELEC483!U30</f>
        <v>0</v>
      </c>
      <c r="V3" s="93">
        <f ca="1">ELEC483!V30</f>
        <v>0</v>
      </c>
      <c r="W3" s="93">
        <f ca="1">ELEC483!W30</f>
        <v>0</v>
      </c>
    </row>
    <row r="4" spans="1:25" x14ac:dyDescent="0.2">
      <c r="A4" s="7" t="s">
        <v>53</v>
      </c>
      <c r="B4" s="92" t="s">
        <v>241</v>
      </c>
      <c r="E4" s="11" t="s">
        <v>254</v>
      </c>
      <c r="F4" s="50">
        <f ca="1">ELEC431!$B20</f>
        <v>1749.5</v>
      </c>
      <c r="G4" s="50">
        <f ca="1">ELEC431!$B20*ELEC431!$B6/$B7</f>
        <v>437.375</v>
      </c>
      <c r="H4" s="69">
        <f ca="1">ELEC431!H30</f>
        <v>168</v>
      </c>
      <c r="I4" s="93">
        <f ca="1">ELEC431!I30</f>
        <v>7</v>
      </c>
      <c r="J4" s="93">
        <f ca="1">ELEC431!J30</f>
        <v>6</v>
      </c>
      <c r="K4" s="93">
        <f ca="1">ELEC431!K30</f>
        <v>7</v>
      </c>
      <c r="L4" s="93">
        <f ca="1">ELEC431!L30</f>
        <v>9</v>
      </c>
      <c r="M4" s="93">
        <f ca="1">ELEC431!M30</f>
        <v>11</v>
      </c>
      <c r="N4" s="93">
        <f ca="1">ELEC431!N30</f>
        <v>13</v>
      </c>
      <c r="O4" s="93">
        <f ca="1">ELEC431!O30</f>
        <v>16</v>
      </c>
      <c r="P4" s="93">
        <f ca="1">ELEC431!P30</f>
        <v>32.5</v>
      </c>
      <c r="Q4" s="93">
        <f ca="1">ELEC431!Q30</f>
        <v>15</v>
      </c>
      <c r="R4" s="93">
        <f ca="1">ELEC431!R30</f>
        <v>7</v>
      </c>
      <c r="S4" s="93">
        <f ca="1">ELEC431!S30</f>
        <v>44.5</v>
      </c>
      <c r="T4" s="93">
        <f ca="1">ELEC431!T30</f>
        <v>0</v>
      </c>
      <c r="U4" s="93">
        <f ca="1">ELEC431!U30</f>
        <v>0</v>
      </c>
      <c r="V4" s="93">
        <f ca="1">ELEC431!V30</f>
        <v>0</v>
      </c>
      <c r="W4" s="93">
        <f ca="1">ELEC431!W30</f>
        <v>0</v>
      </c>
    </row>
    <row r="5" spans="1:25" ht="16" thickBot="1" x14ac:dyDescent="0.25">
      <c r="A5" t="s">
        <v>50</v>
      </c>
      <c r="B5" s="36">
        <v>1</v>
      </c>
      <c r="E5" s="11" t="s">
        <v>255</v>
      </c>
      <c r="F5" s="50">
        <f ca="1">ELEC421!$B20</f>
        <v>268.185</v>
      </c>
      <c r="G5" s="50">
        <f ca="1">ELEC421!$B20*ELEC421!$B6/$B7</f>
        <v>33.523125</v>
      </c>
      <c r="H5" s="69">
        <f ca="1">ELEC421!H30</f>
        <v>75</v>
      </c>
      <c r="I5" s="93">
        <f ca="1">ELEC421!I30</f>
        <v>2</v>
      </c>
      <c r="J5" s="93">
        <f ca="1">ELEC421!J30</f>
        <v>3</v>
      </c>
      <c r="K5" s="93">
        <f ca="1">ELEC421!K30</f>
        <v>4</v>
      </c>
      <c r="L5" s="93">
        <f ca="1">ELEC421!L30</f>
        <v>2</v>
      </c>
      <c r="M5" s="93">
        <f ca="1">ELEC421!M30</f>
        <v>4</v>
      </c>
      <c r="N5" s="93">
        <f ca="1">ELEC421!N30</f>
        <v>3</v>
      </c>
      <c r="O5" s="93">
        <f ca="1">ELEC421!O30</f>
        <v>2</v>
      </c>
      <c r="P5" s="93">
        <f ca="1">ELEC421!P30</f>
        <v>3</v>
      </c>
      <c r="Q5" s="93">
        <f ca="1">ELEC421!Q30</f>
        <v>16</v>
      </c>
      <c r="R5" s="93">
        <f ca="1">ELEC421!R30</f>
        <v>2</v>
      </c>
      <c r="S5" s="93">
        <f ca="1">ELEC421!S30</f>
        <v>4</v>
      </c>
      <c r="T5" s="93">
        <f ca="1">ELEC421!T30</f>
        <v>8</v>
      </c>
      <c r="U5" s="93">
        <f ca="1">ELEC421!U30</f>
        <v>2.85</v>
      </c>
      <c r="V5" s="93">
        <f ca="1">ELEC421!V30</f>
        <v>5.7</v>
      </c>
      <c r="W5" s="93">
        <f ca="1">ELEC421!W30</f>
        <v>13.450000000000001</v>
      </c>
    </row>
    <row r="6" spans="1:25" x14ac:dyDescent="0.2">
      <c r="A6" t="s">
        <v>119</v>
      </c>
      <c r="B6" s="72">
        <f>ROUND((ELEC483!B6*ELEC483!B7 + ELEC431!B6*ELEC431!B7 + ELEC421!B6*ELEC421!B7 + ELEC432!B6*ELEC432!B7  + ELEC402!B6*ELEC402!B7)/100,1)</f>
        <v>36.799999999999997</v>
      </c>
      <c r="C6">
        <f>B6*10</f>
        <v>368</v>
      </c>
      <c r="E6" s="11" t="s">
        <v>257</v>
      </c>
      <c r="F6" s="50">
        <f ca="1">ELEC432!$B20</f>
        <v>3685.0650000000001</v>
      </c>
      <c r="G6" s="50">
        <f ca="1">ELEC432!$B20*ELEC432!$B6/$B7</f>
        <v>921.26625000000001</v>
      </c>
      <c r="H6" s="69">
        <f ca="1">ELEC432!H30</f>
        <v>150</v>
      </c>
      <c r="I6" s="93">
        <f ca="1">ELEC432!I30</f>
        <v>3</v>
      </c>
      <c r="J6" s="93">
        <f ca="1">ELEC432!J30</f>
        <v>4</v>
      </c>
      <c r="K6" s="93">
        <f ca="1">ELEC432!K30</f>
        <v>5</v>
      </c>
      <c r="L6" s="93">
        <f ca="1">ELEC432!L30</f>
        <v>4</v>
      </c>
      <c r="M6" s="93">
        <f ca="1">ELEC432!M30</f>
        <v>10</v>
      </c>
      <c r="N6" s="93">
        <f ca="1">ELEC432!N30</f>
        <v>4</v>
      </c>
      <c r="O6" s="93">
        <f ca="1">ELEC432!O30</f>
        <v>2</v>
      </c>
      <c r="P6" s="93">
        <f ca="1">ELEC432!P30</f>
        <v>4</v>
      </c>
      <c r="Q6" s="93">
        <f ca="1">ELEC432!Q30</f>
        <v>5</v>
      </c>
      <c r="R6" s="93">
        <f ca="1">ELEC432!R30</f>
        <v>4</v>
      </c>
      <c r="S6" s="93">
        <f ca="1">ELEC432!S30</f>
        <v>5</v>
      </c>
      <c r="T6" s="93">
        <f ca="1">ELEC432!T30</f>
        <v>64</v>
      </c>
      <c r="U6" s="93">
        <f ca="1">ELEC432!U30</f>
        <v>4.95</v>
      </c>
      <c r="V6" s="93">
        <f ca="1">ELEC432!V30</f>
        <v>9.9</v>
      </c>
      <c r="W6" s="93">
        <f ca="1">ELEC432!W30</f>
        <v>21.150000000000002</v>
      </c>
    </row>
    <row r="7" spans="1:25" x14ac:dyDescent="0.2">
      <c r="A7" t="s">
        <v>183</v>
      </c>
      <c r="B7" s="70">
        <f>ROUND(ELEC483!B6+ ELEC431!B6  + ELEC421!B6  + ELEC432!B6 + ELEC402!B6,0)</f>
        <v>60</v>
      </c>
      <c r="C7">
        <f>B7*10</f>
        <v>600</v>
      </c>
      <c r="E7" s="11" t="s">
        <v>256</v>
      </c>
      <c r="F7" s="50">
        <f ca="1">ELEC402!$B20</f>
        <v>957.79187500000012</v>
      </c>
      <c r="G7" s="50">
        <f ca="1">ELEC402!$B20*ELEC402!$B6/$B7</f>
        <v>239.44796875000003</v>
      </c>
      <c r="H7" s="69">
        <f ca="1">ELEC402!H30</f>
        <v>150</v>
      </c>
      <c r="I7" s="93">
        <f ca="1">ELEC402!I30</f>
        <v>3</v>
      </c>
      <c r="J7" s="93">
        <f ca="1">ELEC402!J30</f>
        <v>4</v>
      </c>
      <c r="K7" s="93">
        <f ca="1">ELEC402!K30</f>
        <v>5</v>
      </c>
      <c r="L7" s="93">
        <f ca="1">ELEC402!L30</f>
        <v>4</v>
      </c>
      <c r="M7" s="93">
        <f ca="1">ELEC402!M30</f>
        <v>5</v>
      </c>
      <c r="N7" s="93">
        <f ca="1">ELEC402!N30</f>
        <v>4</v>
      </c>
      <c r="O7" s="93">
        <f ca="1">ELEC402!O30</f>
        <v>2</v>
      </c>
      <c r="P7" s="93">
        <f ca="1">ELEC402!P30</f>
        <v>4</v>
      </c>
      <c r="Q7" s="93">
        <f ca="1">ELEC402!Q30</f>
        <v>5</v>
      </c>
      <c r="R7" s="93">
        <f ca="1">ELEC402!R30</f>
        <v>23.5</v>
      </c>
      <c r="S7" s="93">
        <f ca="1">ELEC402!S30</f>
        <v>5</v>
      </c>
      <c r="T7" s="93">
        <f ca="1">ELEC402!T30</f>
        <v>9</v>
      </c>
      <c r="U7" s="93">
        <f ca="1">ELEC402!U30</f>
        <v>11.025</v>
      </c>
      <c r="V7" s="93">
        <f ca="1">ELEC402!V30</f>
        <v>22.05</v>
      </c>
      <c r="W7" s="93">
        <f ca="1">ELEC402!W30</f>
        <v>43.425000000000004</v>
      </c>
    </row>
    <row r="8" spans="1:25" ht="16" thickBot="1" x14ac:dyDescent="0.25">
      <c r="A8" t="s">
        <v>55</v>
      </c>
      <c r="B8" s="71">
        <f>ELEC483!B8+ ELEC431!B8  + ELEC421!B8  + ELEC432!B8 + ELEC402!B8</f>
        <v>11</v>
      </c>
      <c r="E8" s="12" t="s">
        <v>28</v>
      </c>
      <c r="F8" s="112">
        <f ca="1">SUM(F3:F6)</f>
        <v>7049.77</v>
      </c>
      <c r="G8" s="112">
        <f ca="1">SUM(G3:G6)</f>
        <v>1560.5418750000001</v>
      </c>
      <c r="H8" s="21">
        <f ca="1">SUM(I8:W8)</f>
        <v>628.29999999999995</v>
      </c>
      <c r="I8" s="94">
        <f ca="1">SUM(I3:I7)</f>
        <v>16</v>
      </c>
      <c r="J8" s="94">
        <f t="shared" ref="J8:W8" ca="1" si="0">SUM(J3:J7)</f>
        <v>19</v>
      </c>
      <c r="K8" s="94">
        <f t="shared" ca="1" si="0"/>
        <v>23</v>
      </c>
      <c r="L8" s="94">
        <f t="shared" ca="1" si="0"/>
        <v>23</v>
      </c>
      <c r="M8" s="94">
        <f t="shared" ca="1" si="0"/>
        <v>38.1</v>
      </c>
      <c r="N8" s="94">
        <f t="shared" ca="1" si="0"/>
        <v>54.6</v>
      </c>
      <c r="O8" s="94">
        <f t="shared" ca="1" si="0"/>
        <v>24</v>
      </c>
      <c r="P8" s="94">
        <f t="shared" ca="1" si="0"/>
        <v>74.099999999999994</v>
      </c>
      <c r="Q8" s="94">
        <f t="shared" ca="1" si="0"/>
        <v>43</v>
      </c>
      <c r="R8" s="94">
        <f t="shared" ca="1" si="0"/>
        <v>37.5</v>
      </c>
      <c r="S8" s="94">
        <f t="shared" ca="1" si="0"/>
        <v>59.5</v>
      </c>
      <c r="T8" s="94">
        <f t="shared" ca="1" si="0"/>
        <v>82</v>
      </c>
      <c r="U8" s="94">
        <f t="shared" ca="1" si="0"/>
        <v>18.825000000000003</v>
      </c>
      <c r="V8" s="94">
        <f t="shared" ca="1" si="0"/>
        <v>37.650000000000006</v>
      </c>
      <c r="W8" s="94">
        <f t="shared" ca="1" si="0"/>
        <v>78.025000000000006</v>
      </c>
    </row>
    <row r="9" spans="1:25" ht="16" thickBot="1" x14ac:dyDescent="0.25">
      <c r="A9" t="s">
        <v>177</v>
      </c>
      <c r="C9">
        <f>C7/15</f>
        <v>40</v>
      </c>
      <c r="H9" s="165" t="str">
        <f ca="1">IF(ROUND(H8,0)=ROUND(C7,0),"Total hours OK","Total hours don't add up correctly!")</f>
        <v>Total hours don't add up correctly!</v>
      </c>
      <c r="I9" s="165"/>
      <c r="J9" s="165"/>
      <c r="K9" s="165"/>
      <c r="L9" s="165"/>
      <c r="U9" s="10" t="s">
        <v>22</v>
      </c>
    </row>
    <row r="10" spans="1:25" ht="34" thickTop="1" thickBot="1" x14ac:dyDescent="0.25">
      <c r="A10" s="63" t="s">
        <v>100</v>
      </c>
      <c r="B10" s="73">
        <f ca="1">SUM(I47:W47)</f>
        <v>6266.0412499999993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5" ht="16" thickTop="1" x14ac:dyDescent="0.2"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5" x14ac:dyDescent="0.2">
      <c r="Y12" s="17"/>
    </row>
    <row r="13" spans="1:25" x14ac:dyDescent="0.2">
      <c r="Y13" s="17"/>
    </row>
    <row r="14" spans="1:25" x14ac:dyDescent="0.2">
      <c r="Y14" s="17"/>
    </row>
    <row r="15" spans="1:25" x14ac:dyDescent="0.2">
      <c r="Y15" s="17"/>
    </row>
    <row r="16" spans="1:25" x14ac:dyDescent="0.2">
      <c r="Y16" s="17"/>
    </row>
    <row r="18" spans="7:24" ht="21" customHeight="1" x14ac:dyDescent="0.2">
      <c r="G18" s="17"/>
      <c r="H18" s="50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51"/>
      <c r="V18" s="51"/>
      <c r="W18" s="51"/>
      <c r="X18" s="17"/>
    </row>
    <row r="19" spans="7:24" ht="21" customHeight="1" x14ac:dyDescent="0.2">
      <c r="G19" s="17"/>
      <c r="H19" s="50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51"/>
      <c r="V19" s="51"/>
      <c r="W19" s="51"/>
      <c r="X19" s="17"/>
    </row>
    <row r="20" spans="7:24" ht="21" customHeight="1" x14ac:dyDescent="0.2">
      <c r="G20" s="17"/>
      <c r="H20" s="50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51"/>
      <c r="V20" s="51"/>
      <c r="W20" s="51"/>
      <c r="X20" s="17"/>
    </row>
    <row r="21" spans="7:24" x14ac:dyDescent="0.2">
      <c r="N21" s="25"/>
      <c r="U21" s="18"/>
      <c r="V21" s="18"/>
    </row>
    <row r="22" spans="7:24" x14ac:dyDescent="0.2">
      <c r="G22" s="17"/>
      <c r="H22" s="17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</row>
    <row r="23" spans="7:24" x14ac:dyDescent="0.2">
      <c r="G23" s="20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</row>
    <row r="28" spans="7:24" x14ac:dyDescent="0.2">
      <c r="I28" s="85">
        <f>C9</f>
        <v>40</v>
      </c>
      <c r="J28" s="85">
        <f>I28</f>
        <v>40</v>
      </c>
      <c r="K28" s="85">
        <f t="shared" ref="K28:W28" si="1">J28</f>
        <v>40</v>
      </c>
      <c r="L28" s="85">
        <f t="shared" si="1"/>
        <v>40</v>
      </c>
      <c r="M28" s="85">
        <f t="shared" si="1"/>
        <v>40</v>
      </c>
      <c r="N28" s="85">
        <f t="shared" si="1"/>
        <v>40</v>
      </c>
      <c r="O28" s="85">
        <f t="shared" si="1"/>
        <v>40</v>
      </c>
      <c r="P28" s="85">
        <f t="shared" si="1"/>
        <v>40</v>
      </c>
      <c r="Q28" s="85">
        <f t="shared" si="1"/>
        <v>40</v>
      </c>
      <c r="R28" s="85">
        <f t="shared" si="1"/>
        <v>40</v>
      </c>
      <c r="S28" s="85">
        <f t="shared" si="1"/>
        <v>40</v>
      </c>
      <c r="T28" s="85">
        <f t="shared" si="1"/>
        <v>40</v>
      </c>
      <c r="U28" s="85">
        <f t="shared" si="1"/>
        <v>40</v>
      </c>
      <c r="V28" s="85">
        <f t="shared" si="1"/>
        <v>40</v>
      </c>
      <c r="W28" s="85">
        <f t="shared" si="1"/>
        <v>40</v>
      </c>
    </row>
    <row r="29" spans="7:24" x14ac:dyDescent="0.2">
      <c r="G29" s="90"/>
      <c r="H29" s="91">
        <f>C7-432</f>
        <v>168</v>
      </c>
    </row>
    <row r="30" spans="7:24" ht="33" customHeight="1" x14ac:dyDescent="0.2">
      <c r="I30" s="133" t="s">
        <v>258</v>
      </c>
      <c r="J30" s="132"/>
      <c r="K30" s="132"/>
      <c r="L30" s="132"/>
      <c r="M30" s="132"/>
      <c r="N30" s="132"/>
      <c r="O30" s="132"/>
    </row>
    <row r="31" spans="7:24" ht="15" customHeight="1" thickBot="1" x14ac:dyDescent="0.25">
      <c r="I31" s="164" t="s">
        <v>134</v>
      </c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80"/>
      <c r="V31" s="80"/>
      <c r="W31" s="80"/>
    </row>
    <row r="32" spans="7:24" x14ac:dyDescent="0.2">
      <c r="H32" s="77"/>
      <c r="I32" s="78">
        <v>1</v>
      </c>
      <c r="J32" s="78">
        <v>2</v>
      </c>
      <c r="K32" s="78">
        <v>3</v>
      </c>
      <c r="L32" s="78">
        <v>4</v>
      </c>
      <c r="M32" s="78">
        <v>5</v>
      </c>
      <c r="N32" s="78">
        <v>6</v>
      </c>
      <c r="O32" s="78">
        <v>7</v>
      </c>
      <c r="P32" s="78">
        <v>8</v>
      </c>
      <c r="Q32" s="78">
        <v>9</v>
      </c>
      <c r="R32" s="78">
        <v>10</v>
      </c>
      <c r="S32" s="78">
        <v>11</v>
      </c>
      <c r="T32" s="79">
        <v>12</v>
      </c>
      <c r="U32" s="74">
        <v>13</v>
      </c>
      <c r="V32" s="74">
        <v>14</v>
      </c>
      <c r="W32" s="74">
        <v>15</v>
      </c>
    </row>
    <row r="33" spans="7:23" ht="24" customHeight="1" x14ac:dyDescent="0.2">
      <c r="G33" s="82">
        <v>1</v>
      </c>
      <c r="H33" s="166" t="s">
        <v>253</v>
      </c>
      <c r="I33" s="83" t="str" cm="1">
        <f t="array" ref="I33">IFERROR(INDEX(ELEC483!$C$9:'ELEC483'!$C$17, _xlfn.AGGREGATE(15, 6, ROW($1:$10)/SIGN(LEN(ELEC483!I$9:'ELEC483'!I$17)), 1)),"")</f>
        <v/>
      </c>
      <c r="J33" s="83" t="str" cm="1">
        <f t="array" ref="J33">IFERROR(INDEX(ELEC483!$C$9:'ELEC483'!$C$17, _xlfn.AGGREGATE(15, 6, ROW($1:$10)/SIGN(LEN(ELEC483!J$9:'ELEC483'!J$17)), 1)),"")</f>
        <v/>
      </c>
      <c r="K33" s="83" t="str" cm="1">
        <f t="array" ref="K33">IFERROR(INDEX(ELEC483!$C$9:'ELEC483'!$C$17, _xlfn.AGGREGATE(15, 6, ROW($1:$10)/SIGN(LEN(ELEC483!K$9:'ELEC483'!K$17)), 1)),"")</f>
        <v/>
      </c>
      <c r="L33" s="83" t="str" cm="1">
        <f t="array" ref="L33">IFERROR(INDEX(ELEC483!$C$9:'ELEC483'!$C$17, _xlfn.AGGREGATE(15, 6, ROW($1:$10)/SIGN(LEN(ELEC483!L$9:'ELEC483'!L$17)), 1)),"")</f>
        <v>Graduates First</v>
      </c>
      <c r="M33" s="83" t="str" cm="1">
        <f t="array" ref="M33">IFERROR(INDEX(ELEC483!$C$9:'ELEC483'!$C$17, _xlfn.AGGREGATE(15, 6, ROW($1:$10)/SIGN(LEN(ELEC483!M$9:'ELEC483'!M$17)), 1)),"")</f>
        <v>LinkedIn</v>
      </c>
      <c r="N33" s="83" t="str" cm="1">
        <f t="array" ref="N33">IFERROR(INDEX(ELEC483!$C$9:'ELEC483'!$C$17, _xlfn.AGGREGATE(15, 6, ROW($1:$10)/SIGN(LEN(ELEC483!N$9:'ELEC483'!N$17)), 1)),"")</f>
        <v>Short Pilot Literature Review</v>
      </c>
      <c r="O33" s="83" t="str" cm="1">
        <f t="array" ref="O33">IFERROR(INDEX(ELEC483!$C$9:'ELEC483'!$C$17, _xlfn.AGGREGATE(15, 6, ROW($1:$10)/SIGN(LEN(ELEC483!O$9:'ELEC483'!O$17)), 1)),"")</f>
        <v/>
      </c>
      <c r="P33" s="83" t="str" cm="1">
        <f t="array" ref="P33">IFERROR(INDEX(ELEC483!$C$9:'ELEC483'!$C$17, _xlfn.AGGREGATE(15, 6, ROW($1:$10)/SIGN(LEN(ELEC483!P$9:'ELEC483'!P$17)), 1)),"")</f>
        <v>Oral Presentation</v>
      </c>
      <c r="Q33" s="83" t="str" cm="1">
        <f t="array" ref="Q33">IFERROR(INDEX(ELEC483!$C$9:'ELEC483'!$C$17, _xlfn.AGGREGATE(15, 6, ROW($1:$10)/SIGN(LEN(ELEC483!Q$9:'ELEC483'!Q$17)), 1)),"")</f>
        <v/>
      </c>
      <c r="R33" s="83" t="str" cm="1">
        <f t="array" ref="R33">IFERROR(INDEX(ELEC483!$C$9:'ELEC483'!$C$17, _xlfn.AGGREGATE(15, 6, ROW($1:$10)/SIGN(LEN(ELEC483!R$9:'ELEC483'!R$17)), 1)),"")</f>
        <v/>
      </c>
      <c r="S33" s="83" t="str" cm="1">
        <f t="array" ref="S33">IFERROR(INDEX(ELEC483!$C$9:'ELEC483'!$C$17, _xlfn.AGGREGATE(15, 6, ROW($1:$10)/SIGN(LEN(ELEC483!S$9:'ELEC483'!S$17)), 1)),"")</f>
        <v/>
      </c>
      <c r="T33" s="86" t="str" cm="1">
        <f t="array" ref="T33">IFERROR(INDEX(ELEC483!$C$9:'ELEC483'!$C$17, _xlfn.AGGREGATE(15, 6, ROW($1:$10)/SIGN(LEN(ELEC483!T$9:'ELEC483'!T$17)), 1)),"")</f>
        <v/>
      </c>
    </row>
    <row r="34" spans="7:23" ht="24" customHeight="1" x14ac:dyDescent="0.2">
      <c r="G34" s="82">
        <v>2</v>
      </c>
      <c r="H34" s="167"/>
      <c r="I34" s="84" t="str" cm="1">
        <f t="array" ref="I34">IF(COUNTIFS(ELEC483!I$9:I$17,"Yes")&gt;=$G34, IFERROR(INDEX(ELEC483!$C$9:'ELEC483'!$C$17, _xlfn.AGGREGATE(15, 6, ROW($1:$10)/SIGN(LEN(ELEC483!I$9:'ELEC483'!I$17)), COUNTIFS(ELEC483!I$9:I$17,"Yes"))),""),"")</f>
        <v/>
      </c>
      <c r="J34" s="84" t="str" cm="1">
        <f t="array" ref="J34">IF(COUNTIFS(ELEC483!J$9:J$17,"Yes")&gt;=$G34, IFERROR(INDEX(ELEC483!$C$9:'ELEC483'!$C$17, _xlfn.AGGREGATE(15, 6, ROW($1:$10)/SIGN(LEN(ELEC483!J$9:'ELEC483'!J$17)), COUNTIFS(ELEC483!J$9:J$17,"Yes"))),""),"")</f>
        <v/>
      </c>
      <c r="K34" s="84" t="str" cm="1">
        <f t="array" ref="K34">IF(COUNTIFS(ELEC483!K$9:K$17,"Yes")&gt;=$G34, IFERROR(INDEX(ELEC483!$C$9:'ELEC483'!$C$17, _xlfn.AGGREGATE(15, 6, ROW($1:$10)/SIGN(LEN(ELEC483!K$9:'ELEC483'!K$17)), COUNTIFS(ELEC483!K$9:K$17,"Yes"))),""),"")</f>
        <v/>
      </c>
      <c r="L34" s="84" t="str" cm="1">
        <f t="array" ref="L34">IF(COUNTIFS(ELEC483!L$9:L$17,"Yes")&gt;=$G34, IFERROR(INDEX(ELEC483!$C$9:'ELEC483'!$C$17, _xlfn.AGGREGATE(15, 6, ROW($1:$10)/SIGN(LEN(ELEC483!L$9:'ELEC483'!L$17)), COUNTIFS(ELEC483!L$9:L$17,"Yes"))),""),"")</f>
        <v/>
      </c>
      <c r="M34" s="84" t="str" cm="1">
        <f t="array" ref="M34">IF(COUNTIFS(ELEC483!M$9:M$17,"Yes")&gt;=$G34, IFERROR(INDEX(ELEC483!$C$9:'ELEC483'!$C$17, _xlfn.AGGREGATE(15, 6, ROW($1:$10)/SIGN(LEN(ELEC483!M$9:'ELEC483'!M$17)), COUNTIFS(ELEC483!M$9:M$17,"Yes"))),""),"")</f>
        <v/>
      </c>
      <c r="N34" s="84" t="str" cm="1">
        <f t="array" ref="N34">IF(COUNTIFS(ELEC483!N$9:N$17,"Yes")&gt;=$G34, IFERROR(INDEX(ELEC483!$C$9:'ELEC483'!$C$17, _xlfn.AGGREGATE(15, 6, ROW($1:$10)/SIGN(LEN(ELEC483!N$9:'ELEC483'!N$17)), COUNTIFS(ELEC483!N$9:N$17,"Yes"))),""),"")</f>
        <v/>
      </c>
      <c r="O34" s="84" t="str" cm="1">
        <f t="array" ref="O34">IF(COUNTIFS(ELEC483!O$9:O$17,"Yes")&gt;=$G34, IFERROR(INDEX(ELEC483!$C$9:'ELEC483'!$C$17, _xlfn.AGGREGATE(15, 6, ROW($1:$10)/SIGN(LEN(ELEC483!O$9:'ELEC483'!O$17)), COUNTIFS(ELEC483!O$9:O$17,"Yes"))),""),"")</f>
        <v/>
      </c>
      <c r="P34" s="84" t="str" cm="1">
        <f t="array" ref="P34">IF(COUNTIFS(ELEC483!P$9:P$17,"Yes")&gt;=$G34, IFERROR(INDEX(ELEC483!$C$9:'ELEC483'!$C$17, _xlfn.AGGREGATE(15, 6, ROW($1:$10)/SIGN(LEN(ELEC483!P$9:'ELEC483'!P$17)), COUNTIFS(ELEC483!P$9:P$17,"Yes"))),""),"")</f>
        <v/>
      </c>
      <c r="Q34" s="84" t="str" cm="1">
        <f t="array" ref="Q34">IF(COUNTIFS(ELEC483!Q$9:Q$17,"Yes")&gt;=$G34, IFERROR(INDEX(ELEC483!$C$9:'ELEC483'!$C$17, _xlfn.AGGREGATE(15, 6, ROW($1:$10)/SIGN(LEN(ELEC483!Q$9:'ELEC483'!Q$17)), COUNTIFS(ELEC483!Q$9:Q$17,"Yes"))),""),"")</f>
        <v/>
      </c>
      <c r="R34" s="84" t="str" cm="1">
        <f t="array" ref="R34">IF(COUNTIFS(ELEC483!R$9:R$17,"Yes")&gt;=$G34, IFERROR(INDEX(ELEC483!$C$9:'ELEC483'!$C$17, _xlfn.AGGREGATE(15, 6, ROW($1:$10)/SIGN(LEN(ELEC483!R$9:'ELEC483'!R$17)), COUNTIFS(ELEC483!R$9:R$17,"Yes"))),""),"")</f>
        <v/>
      </c>
      <c r="S34" s="84" t="str" cm="1">
        <f t="array" ref="S34">IF(COUNTIFS(ELEC483!S$9:S$17,"Yes")&gt;=$G34, IFERROR(INDEX(ELEC483!$C$9:'ELEC483'!$C$17, _xlfn.AGGREGATE(15, 6, ROW($1:$10)/SIGN(LEN(ELEC483!S$9:'ELEC483'!S$17)), COUNTIFS(ELEC483!S$9:S$17,"Yes"))),""),"")</f>
        <v/>
      </c>
      <c r="T34" s="87" t="str" cm="1">
        <f t="array" ref="T34">IF(COUNTIFS(ELEC483!T$9:T$17,"Yes")&gt;=$G34, IFERROR(INDEX(ELEC483!$C$9:'ELEC483'!$C$17, _xlfn.AGGREGATE(15, 6, ROW($1:$10)/SIGN(LEN(ELEC483!T$9:'ELEC483'!T$17)), COUNTIFS(ELEC483!T$9:T$17,"Yes"))),""),"")</f>
        <v/>
      </c>
    </row>
    <row r="35" spans="7:23" ht="24" customHeight="1" x14ac:dyDescent="0.2">
      <c r="G35" s="82">
        <v>1</v>
      </c>
      <c r="H35" s="160" t="s">
        <v>254</v>
      </c>
      <c r="I35" s="83" t="str" cm="1">
        <f t="array" ref="I35">IFERROR(INDEX(ELEC431!$C$9:'ELEC431'!$C$17, _xlfn.AGGREGATE(15, 6, ROW(1:10)/SIGN(LEN(ELEC431!I$9:'ELEC431'!I$17)), 1)),"")</f>
        <v/>
      </c>
      <c r="J35" s="83" t="str" cm="1">
        <f t="array" ref="J35">IFERROR(INDEX(ELEC431!$C$9:'ELEC431'!$C$17, _xlfn.AGGREGATE(15, 6, ROW(1:10)/SIGN(LEN(ELEC431!J$9:'ELEC431'!J$17)), 1)),"")</f>
        <v/>
      </c>
      <c r="K35" s="83" t="str" cm="1">
        <f t="array" ref="K35">IFERROR(INDEX(ELEC431!$C$9:'ELEC431'!$C$17, _xlfn.AGGREGATE(15, 6, ROW(1:10)/SIGN(LEN(ELEC431!K$9:'ELEC431'!K$17)), 1)),"")</f>
        <v/>
      </c>
      <c r="L35" s="83" t="str" cm="1">
        <f t="array" ref="L35">IFERROR(INDEX(ELEC431!$C$9:'ELEC431'!$C$17, _xlfn.AGGREGATE(15, 6, ROW(1:10)/SIGN(LEN(ELEC431!L$9:'ELEC431'!L$17)), 1)),"")</f>
        <v/>
      </c>
      <c r="M35" s="83" t="str" cm="1">
        <f t="array" ref="M35">IFERROR(INDEX(ELEC431!$C$9:'ELEC431'!$C$17, _xlfn.AGGREGATE(15, 6, ROW(1:10)/SIGN(LEN(ELEC431!M$9:'ELEC431'!M$17)), 1)),"")</f>
        <v/>
      </c>
      <c r="N35" s="83" t="str" cm="1">
        <f t="array" ref="N35">IFERROR(INDEX(ELEC431!$C$9:'ELEC431'!$C$17, _xlfn.AGGREGATE(15, 6, ROW(1:10)/SIGN(LEN(ELEC431!N$9:'ELEC431'!N$17)), 1)),"")</f>
        <v/>
      </c>
      <c r="O35" s="83" t="str" cm="1">
        <f t="array" ref="O35">IFERROR(INDEX(ELEC431!$C$9:'ELEC431'!$C$17, _xlfn.AGGREGATE(15, 6, ROW(1:10)/SIGN(LEN(ELEC431!O$9:'ELEC431'!O$17)), 1)),"")</f>
        <v/>
      </c>
      <c r="P35" s="83" t="str" cm="1">
        <f t="array" ref="P35">IFERROR(INDEX(ELEC431!$C$9:'ELEC431'!$C$17, _xlfn.AGGREGATE(15, 6, ROW(1:10)/SIGN(LEN(ELEC431!P$9:'ELEC431'!P$17)), 1)),"")</f>
        <v>GUI Design</v>
      </c>
      <c r="Q35" s="83" t="str" cm="1">
        <f t="array" ref="Q35">IFERROR(INDEX(ELEC431!$C$9:'ELEC431'!$C$17, _xlfn.AGGREGATE(15, 6, ROW(1:10)/SIGN(LEN(ELEC431!Q$9:'ELEC431'!Q$17)), 1)),"")</f>
        <v/>
      </c>
      <c r="R35" s="83" t="str" cm="1">
        <f t="array" ref="R35">IFERROR(INDEX(ELEC431!$C$9:'ELEC431'!$C$17, _xlfn.AGGREGATE(15, 6, ROW(1:10)/SIGN(LEN(ELEC431!R$9:'ELEC431'!R$17)), 1)),"")</f>
        <v/>
      </c>
      <c r="S35" s="83" t="str" cm="1">
        <f t="array" ref="S35">IFERROR(INDEX(ELEC431!$C$9:'ELEC431'!$C$17, _xlfn.AGGREGATE(15, 6, ROW(1:10)/SIGN(LEN(ELEC431!S$9:'ELEC431'!S$17)), 1)),"")</f>
        <v>Class Test</v>
      </c>
      <c r="T35" s="86" t="str" cm="1">
        <f t="array" ref="T35">IFERROR(INDEX(ELEC431!$C$9:'ELEC431'!$C$17, _xlfn.AGGREGATE(15, 6, ROW(1:10)/SIGN(LEN(ELEC431!T$9:'ELEC431'!T$17)), 1)),"")</f>
        <v/>
      </c>
    </row>
    <row r="36" spans="7:23" ht="24" customHeight="1" x14ac:dyDescent="0.2">
      <c r="G36" s="82">
        <v>2</v>
      </c>
      <c r="H36" s="161"/>
      <c r="I36" s="84" t="str" cm="1">
        <f t="array" ref="I36">IF(COUNTIFS(ELEC431!I$9:I$17,"Yes")&gt;=$G36, IFERROR(INDEX(ELEC431!$C$9:'ELEC431'!$C$17, _xlfn.AGGREGATE(15, 6, ROW($1:$10)/SIGN(LEN(ELEC431!I$9:'ELEC431'!I$17)), COUNTIFS(ELEC431!I$9:I$17,"Yes"))),""),"")</f>
        <v/>
      </c>
      <c r="J36" s="84" t="str" cm="1">
        <f t="array" ref="J36">IF(COUNTIFS(ELEC431!J$9:J$17,"Yes")&gt;=$G36, IFERROR(INDEX(ELEC431!$C$9:'ELEC431'!$C$17, _xlfn.AGGREGATE(15, 6, ROW($1:$10)/SIGN(LEN(ELEC431!J$9:'ELEC431'!J$17)), COUNTIFS(ELEC431!J$9:J$17,"Yes"))),""),"")</f>
        <v/>
      </c>
      <c r="K36" s="84" t="str" cm="1">
        <f t="array" ref="K36">IF(COUNTIFS(ELEC431!K$9:K$17,"Yes")&gt;=$G36, IFERROR(INDEX(ELEC431!$C$9:'ELEC431'!$C$17, _xlfn.AGGREGATE(15, 6, ROW($1:$10)/SIGN(LEN(ELEC431!K$9:'ELEC431'!K$17)), COUNTIFS(ELEC431!K$9:K$17,"Yes"))),""),"")</f>
        <v/>
      </c>
      <c r="L36" s="84" t="str" cm="1">
        <f t="array" ref="L36">IF(COUNTIFS(ELEC431!L$9:L$17,"Yes")&gt;=$G36, IFERROR(INDEX(ELEC431!$C$9:'ELEC431'!$C$17, _xlfn.AGGREGATE(15, 6, ROW($1:$10)/SIGN(LEN(ELEC431!L$9:'ELEC431'!L$17)), COUNTIFS(ELEC431!L$9:L$17,"Yes"))),""),"")</f>
        <v/>
      </c>
      <c r="M36" s="84" t="str" cm="1">
        <f t="array" ref="M36">IF(COUNTIFS(ELEC431!M$9:M$17,"Yes")&gt;=$G36, IFERROR(INDEX(ELEC431!$C$9:'ELEC431'!$C$17, _xlfn.AGGREGATE(15, 6, ROW($1:$10)/SIGN(LEN(ELEC431!M$9:'ELEC431'!M$17)), COUNTIFS(ELEC431!M$9:M$17,"Yes"))),""),"")</f>
        <v/>
      </c>
      <c r="N36" s="84" t="str" cm="1">
        <f t="array" ref="N36">IF(COUNTIFS(ELEC431!N$9:N$17,"Yes")&gt;=$G36, IFERROR(INDEX(ELEC431!$C$9:'ELEC431'!$C$17, _xlfn.AGGREGATE(15, 6, ROW($1:$10)/SIGN(LEN(ELEC431!N$9:'ELEC431'!N$17)), COUNTIFS(ELEC431!N$9:N$17,"Yes"))),""),"")</f>
        <v/>
      </c>
      <c r="O36" s="84" t="str" cm="1">
        <f t="array" ref="O36">IF(COUNTIFS(ELEC431!O$9:O$17,"Yes")&gt;=$G36, IFERROR(INDEX(ELEC431!$C$9:'ELEC431'!$C$17, _xlfn.AGGREGATE(15, 6, ROW($1:$10)/SIGN(LEN(ELEC431!O$9:'ELEC431'!O$17)), COUNTIFS(ELEC431!O$9:O$17,"Yes"))),""),"")</f>
        <v/>
      </c>
      <c r="P36" s="84" t="str" cm="1">
        <f t="array" ref="P36">IF(COUNTIFS(ELEC431!P$9:P$17,"Yes")&gt;=$G36, IFERROR(INDEX(ELEC431!$C$9:'ELEC431'!$C$17, _xlfn.AGGREGATE(15, 6, ROW($1:$10)/SIGN(LEN(ELEC431!P$9:'ELEC431'!P$17)), COUNTIFS(ELEC431!P$9:P$17,"Yes"))),""),"")</f>
        <v/>
      </c>
      <c r="Q36" s="84" t="str" cm="1">
        <f t="array" ref="Q36">IF(COUNTIFS(ELEC431!Q$9:Q$17,"Yes")&gt;=$G36, IFERROR(INDEX(ELEC431!$C$9:'ELEC431'!$C$17, _xlfn.AGGREGATE(15, 6, ROW($1:$10)/SIGN(LEN(ELEC431!Q$9:'ELEC431'!Q$17)), COUNTIFS(ELEC431!Q$9:Q$17,"Yes"))),""),"")</f>
        <v/>
      </c>
      <c r="R36" s="84" t="str" cm="1">
        <f t="array" ref="R36">IF(COUNTIFS(ELEC431!R$9:R$17,"Yes")&gt;=$G36, IFERROR(INDEX(ELEC431!$C$9:'ELEC431'!$C$17, _xlfn.AGGREGATE(15, 6, ROW($1:$10)/SIGN(LEN(ELEC431!R$9:'ELEC431'!R$17)), COUNTIFS(ELEC431!R$9:R$17,"Yes"))),""),"")</f>
        <v/>
      </c>
      <c r="S36" s="84" t="str" cm="1">
        <f t="array" ref="S36">IF(COUNTIFS(ELEC431!S$9:S$17,"Yes")&gt;=$G36, IFERROR(INDEX(ELEC431!$C$9:'ELEC431'!$C$17, _xlfn.AGGREGATE(15, 6, ROW($1:$10)/SIGN(LEN(ELEC431!S$9:'ELEC431'!S$17)), COUNTIFS(ELEC431!S$9:S$17,"Yes"))),""),"")</f>
        <v/>
      </c>
      <c r="T36" s="87" t="str" cm="1">
        <f t="array" ref="T36">IF(COUNTIFS(ELEC431!T$9:T$17,"Yes")&gt;=$G36, IFERROR(INDEX(ELEC431!$C$9:'ELEC431'!$C$17, _xlfn.AGGREGATE(15, 6, ROW($1:$10)/SIGN(LEN(ELEC431!T$9:'ELEC431'!T$17)), COUNTIFS(ELEC431!T$9:T$17,"Yes"))),""),"")</f>
        <v/>
      </c>
    </row>
    <row r="37" spans="7:23" ht="24" customHeight="1" x14ac:dyDescent="0.2">
      <c r="G37" s="82">
        <v>1</v>
      </c>
      <c r="H37" s="160" t="s">
        <v>255</v>
      </c>
      <c r="I37" s="83" t="str" cm="1">
        <f t="array" ref="I37">IFERROR(INDEX(ELEC421!$C$9:'ELEC421'!$C$17, _xlfn.AGGREGATE(15, 6, ROW($1:$10)/SIGN(LEN(ELEC421!I$9:'ELEC421'!I$17)), 1)),"")</f>
        <v/>
      </c>
      <c r="J37" s="83" t="str" cm="1">
        <f t="array" ref="J37">IFERROR(INDEX(ELEC421!$C$9:'ELEC421'!$C$17, _xlfn.AGGREGATE(15, 6, ROW($1:$10)/SIGN(LEN(ELEC421!J$9:'ELEC421'!J$17)), 1)),"")</f>
        <v/>
      </c>
      <c r="K37" s="83" t="str" cm="1">
        <f t="array" ref="K37">IFERROR(INDEX(ELEC421!$C$9:'ELEC421'!$C$17, _xlfn.AGGREGATE(15, 6, ROW($1:$10)/SIGN(LEN(ELEC421!K$9:'ELEC421'!K$17)), 1)),"")</f>
        <v/>
      </c>
      <c r="L37" s="83" t="str" cm="1">
        <f t="array" ref="L37">IFERROR(INDEX(ELEC421!$C$9:'ELEC421'!$C$17, _xlfn.AGGREGATE(15, 6, ROW($1:$10)/SIGN(LEN(ELEC421!L$9:'ELEC421'!L$17)), 1)),"")</f>
        <v/>
      </c>
      <c r="M37" s="83" t="str" cm="1">
        <f t="array" ref="M37">IFERROR(INDEX(ELEC421!$C$9:'ELEC421'!$C$17, _xlfn.AGGREGATE(15, 6, ROW($1:$10)/SIGN(LEN(ELEC421!M$9:'ELEC421'!M$17)), 1)),"")</f>
        <v/>
      </c>
      <c r="N37" s="83" t="str" cm="1">
        <f t="array" ref="N37">IFERROR(INDEX(ELEC421!$C$9:'ELEC421'!$C$17, _xlfn.AGGREGATE(15, 6, ROW($1:$10)/SIGN(LEN(ELEC421!N$9:'ELEC421'!N$17)), 1)),"")</f>
        <v/>
      </c>
      <c r="O37" s="83" t="str" cm="1">
        <f t="array" ref="O37">IFERROR(INDEX(ELEC421!$C$9:'ELEC421'!$C$17, _xlfn.AGGREGATE(15, 6, ROW($1:$10)/SIGN(LEN(ELEC421!O$9:'ELEC421'!O$17)), 1)),"")</f>
        <v/>
      </c>
      <c r="P37" s="83" t="str" cm="1">
        <f t="array" ref="P37">IFERROR(INDEX(ELEC421!$C$9:'ELEC421'!$C$17, _xlfn.AGGREGATE(15, 6, ROW($1:$10)/SIGN(LEN(ELEC421!P$9:'ELEC421'!P$17)), 1)),"")</f>
        <v/>
      </c>
      <c r="Q37" s="83" t="str" cm="1">
        <f t="array" ref="Q37">IFERROR(INDEX(ELEC421!$C$9:'ELEC421'!$C$17, _xlfn.AGGREGATE(15, 6, ROW($1:$10)/SIGN(LEN(ELEC421!Q$9:'ELEC421'!Q$17)), 1)),"")</f>
        <v>Sensor Report</v>
      </c>
      <c r="R37" s="83" t="str" cm="1">
        <f t="array" ref="R37">IFERROR(INDEX(ELEC421!$C$9:'ELEC421'!$C$17, _xlfn.AGGREGATE(15, 6, ROW($1:$10)/SIGN(LEN(ELEC421!R$9:'ELEC421'!R$17)), 1)),"")</f>
        <v/>
      </c>
      <c r="S37" s="83" t="str" cm="1">
        <f t="array" ref="S37">IFERROR(INDEX(ELEC421!$C$9:'ELEC421'!$C$17, _xlfn.AGGREGATE(15, 6, ROW($1:$10)/SIGN(LEN(ELEC421!S$9:'ELEC421'!S$17)), 1)),"")</f>
        <v/>
      </c>
      <c r="T37" s="86" t="str" cm="1">
        <f t="array" ref="T37">IFERROR(INDEX(ELEC421!$C$9:'ELEC421'!$C$17, _xlfn.AGGREGATE(15, 6, ROW($1:$10)/SIGN(LEN(ELEC421!T$9:'ELEC421'!T$17)), 1)),"")</f>
        <v/>
      </c>
    </row>
    <row r="38" spans="7:23" ht="24" customHeight="1" x14ac:dyDescent="0.2">
      <c r="G38" s="82">
        <v>2</v>
      </c>
      <c r="H38" s="161"/>
      <c r="I38" s="84" t="str" cm="1">
        <f t="array" ref="I38">IF(COUNTIFS(ELEC421!I$9:I$17,"Yes")&gt;=$G38, IFERROR(INDEX(ELEC421!$C$9:'ELEC421'!$C$17, _xlfn.AGGREGATE(15, 6, ROW($1:$10)/SIGN(LEN(ELEC421!I$9:'ELEC421'!I$17)), COUNTIFS(ELEC421!I$9:I$17,"Yes"))),""),"")</f>
        <v/>
      </c>
      <c r="J38" s="84" t="str" cm="1">
        <f t="array" ref="J38">IF(COUNTIFS(ELEC421!J$9:J$17,"Yes")&gt;=$G38, IFERROR(INDEX(ELEC421!$C$9:'ELEC421'!$C$17, _xlfn.AGGREGATE(15, 6, ROW($1:$10)/SIGN(LEN(ELEC421!J$9:'ELEC421'!J$17)), COUNTIFS(ELEC421!J$9:J$17,"Yes"))),""),"")</f>
        <v/>
      </c>
      <c r="K38" s="84" t="str" cm="1">
        <f t="array" ref="K38">IF(COUNTIFS(ELEC421!K$9:K$17,"Yes")&gt;=$G38, IFERROR(INDEX(ELEC421!$C$9:'ELEC421'!$C$17, _xlfn.AGGREGATE(15, 6, ROW($1:$10)/SIGN(LEN(ELEC421!K$9:'ELEC421'!K$17)), COUNTIFS(ELEC421!K$9:K$17,"Yes"))),""),"")</f>
        <v/>
      </c>
      <c r="L38" s="84" t="str" cm="1">
        <f t="array" ref="L38">IF(COUNTIFS(ELEC421!L$9:L$17,"Yes")&gt;=$G38, IFERROR(INDEX(ELEC421!$C$9:'ELEC421'!$C$17, _xlfn.AGGREGATE(15, 6, ROW($1:$10)/SIGN(LEN(ELEC421!L$9:'ELEC421'!L$17)), COUNTIFS(ELEC421!L$9:L$17,"Yes"))),""),"")</f>
        <v/>
      </c>
      <c r="M38" s="84" t="str" cm="1">
        <f t="array" ref="M38">IF(COUNTIFS(ELEC421!M$9:M$17,"Yes")&gt;=$G38, IFERROR(INDEX(ELEC421!$C$9:'ELEC421'!$C$17, _xlfn.AGGREGATE(15, 6, ROW($1:$10)/SIGN(LEN(ELEC421!M$9:'ELEC421'!M$17)), COUNTIFS(ELEC421!M$9:M$17,"Yes"))),""),"")</f>
        <v/>
      </c>
      <c r="N38" s="84" t="str" cm="1">
        <f t="array" ref="N38">IF(COUNTIFS(ELEC421!N$9:N$17,"Yes")&gt;=$G38, IFERROR(INDEX(ELEC421!$C$9:'ELEC421'!$C$17, _xlfn.AGGREGATE(15, 6, ROW($1:$10)/SIGN(LEN(ELEC421!N$9:'ELEC421'!N$17)), COUNTIFS(ELEC421!N$9:N$17,"Yes"))),""),"")</f>
        <v/>
      </c>
      <c r="O38" s="84" t="str" cm="1">
        <f t="array" ref="O38">IF(COUNTIFS(ELEC421!O$9:O$17,"Yes")&gt;=$G38, IFERROR(INDEX(ELEC421!$C$9:'ELEC421'!$C$17, _xlfn.AGGREGATE(15, 6, ROW($1:$10)/SIGN(LEN(ELEC421!O$9:'ELEC421'!O$17)), COUNTIFS(ELEC421!O$9:O$17,"Yes"))),""),"")</f>
        <v/>
      </c>
      <c r="P38" s="84" t="str" cm="1">
        <f t="array" ref="P38">IF(COUNTIFS(ELEC421!P$9:P$17,"Yes")&gt;=$G38, IFERROR(INDEX(ELEC421!$C$9:'ELEC421'!$C$17, _xlfn.AGGREGATE(15, 6, ROW($1:$10)/SIGN(LEN(ELEC421!P$9:'ELEC421'!P$17)), COUNTIFS(ELEC421!P$9:P$17,"Yes"))),""),"")</f>
        <v/>
      </c>
      <c r="Q38" s="84" t="str" cm="1">
        <f t="array" ref="Q38">IF(COUNTIFS(ELEC421!Q$9:Q$17,"Yes")&gt;=$G38, IFERROR(INDEX(ELEC421!$C$9:'ELEC421'!$C$17, _xlfn.AGGREGATE(15, 6, ROW($1:$10)/SIGN(LEN(ELEC421!Q$9:'ELEC421'!Q$17)), COUNTIFS(ELEC421!Q$9:Q$17,"Yes"))),""),"")</f>
        <v/>
      </c>
      <c r="R38" s="84" t="str" cm="1">
        <f t="array" ref="R38">IF(COUNTIFS(ELEC421!R$9:R$17,"Yes")&gt;=$G38, IFERROR(INDEX(ELEC421!$C$9:'ELEC421'!$C$17, _xlfn.AGGREGATE(15, 6, ROW($1:$10)/SIGN(LEN(ELEC421!R$9:'ELEC421'!R$17)), COUNTIFS(ELEC421!R$9:R$17,"Yes"))),""),"")</f>
        <v/>
      </c>
      <c r="S38" s="84" t="str" cm="1">
        <f t="array" ref="S38">IF(COUNTIFS(ELEC421!S$9:S$17,"Yes")&gt;=$G38, IFERROR(INDEX(ELEC421!$C$9:'ELEC421'!$C$17, _xlfn.AGGREGATE(15, 6, ROW($1:$10)/SIGN(LEN(ELEC421!S$9:'ELEC421'!S$17)), COUNTIFS(ELEC421!S$9:S$17,"Yes"))),""),"")</f>
        <v/>
      </c>
      <c r="T38" s="87" t="str" cm="1">
        <f t="array" ref="T38">IF(COUNTIFS(ELEC421!T$9:T$17,"Yes")&gt;=$G38, IFERROR(INDEX(ELEC421!$C$9:'ELEC421'!$C$17, _xlfn.AGGREGATE(15, 6, ROW($1:$10)/SIGN(LEN(ELEC421!T$9:'ELEC421'!T$17)), COUNTIFS(ELEC421!T$9:T$17,"Yes"))),""),"")</f>
        <v/>
      </c>
    </row>
    <row r="39" spans="7:23" ht="24" customHeight="1" x14ac:dyDescent="0.2">
      <c r="G39" s="82">
        <v>1</v>
      </c>
      <c r="H39" s="160" t="s">
        <v>257</v>
      </c>
      <c r="I39" s="125" t="str" cm="1">
        <f t="array" ref="I39">IFERROR(INDEX(ELEC432!$C$9:'ELEC432'!$C$17, _xlfn.AGGREGATE(15, 6, ROW($1:$10)/SIGN(LEN(ELEC432!I$9:'ELEC432'!I$17)), 1)),"")</f>
        <v/>
      </c>
      <c r="J39" s="125" t="str" cm="1">
        <f t="array" ref="J39">IFERROR(INDEX(ELEC432!$C$9:'ELEC432'!$C$17, _xlfn.AGGREGATE(15, 6, ROW($1:$10)/SIGN(LEN(ELEC432!J$9:'ELEC432'!J$17)), 1)),"")</f>
        <v/>
      </c>
      <c r="K39" s="125" t="str" cm="1">
        <f t="array" ref="K39">IFERROR(INDEX(ELEC432!$C$9:'ELEC432'!$C$17, _xlfn.AGGREGATE(15, 6, ROW($1:$10)/SIGN(LEN(ELEC432!K$9:'ELEC432'!K$17)), 1)),"")</f>
        <v/>
      </c>
      <c r="L39" s="125" t="str" cm="1">
        <f t="array" ref="L39">IFERROR(INDEX(ELEC432!$C$9:'ELEC432'!$C$17, _xlfn.AGGREGATE(15, 6, ROW($1:$10)/SIGN(LEN(ELEC432!L$9:'ELEC432'!L$17)), 1)),"")</f>
        <v/>
      </c>
      <c r="M39" s="125" t="str" cm="1">
        <f t="array" ref="M39">IFERROR(INDEX(ELEC432!$C$9:'ELEC432'!$C$17, _xlfn.AGGREGATE(15, 6, ROW($1:$10)/SIGN(LEN(ELEC432!M$9:'ELEC432'!M$17)), 1)),"")</f>
        <v>Coding Assignment</v>
      </c>
      <c r="N39" s="125" t="str" cm="1">
        <f t="array" ref="N39">IFERROR(INDEX(ELEC432!$C$9:'ELEC432'!$C$17, _xlfn.AGGREGATE(15, 6, ROW($1:$10)/SIGN(LEN(ELEC432!N$9:'ELEC432'!N$17)), 1)),"")</f>
        <v/>
      </c>
      <c r="O39" s="125" t="str" cm="1">
        <f t="array" ref="O39">IFERROR(INDEX(ELEC432!$C$9:'ELEC432'!$C$17, _xlfn.AGGREGATE(15, 6, ROW($1:$10)/SIGN(LEN(ELEC432!O$9:'ELEC432'!O$17)), 1)),"")</f>
        <v/>
      </c>
      <c r="P39" s="125" t="str" cm="1">
        <f t="array" ref="P39">IFERROR(INDEX(ELEC432!$C$9:'ELEC432'!$C$17, _xlfn.AGGREGATE(15, 6, ROW($1:$10)/SIGN(LEN(ELEC432!P$9:'ELEC432'!P$17)), 1)),"")</f>
        <v/>
      </c>
      <c r="Q39" s="125" t="str" cm="1">
        <f t="array" ref="Q39">IFERROR(INDEX(ELEC432!$C$9:'ELEC432'!$C$17, _xlfn.AGGREGATE(15, 6, ROW($1:$10)/SIGN(LEN(ELEC432!Q$9:'ELEC432'!Q$17)), 1)),"")</f>
        <v/>
      </c>
      <c r="R39" s="125" t="str" cm="1">
        <f t="array" ref="R39">IFERROR(INDEX(ELEC432!$C$9:'ELEC432'!$C$17, _xlfn.AGGREGATE(15, 6, ROW($1:$10)/SIGN(LEN(ELEC432!R$9:'ELEC432'!R$17)), 1)),"")</f>
        <v/>
      </c>
      <c r="S39" s="125" t="str" cm="1">
        <f t="array" ref="S39">IFERROR(INDEX(ELEC432!$C$9:'ELEC432'!$C$17, _xlfn.AGGREGATE(15, 6, ROW($1:$10)/SIGN(LEN(ELEC432!S$9:'ELEC432'!S$17)), 1)),"")</f>
        <v/>
      </c>
      <c r="T39" s="126" t="str" cm="1">
        <f t="array" ref="T39">IFERROR(INDEX(ELEC432!$C$9:'ELEC432'!$C$17, _xlfn.AGGREGATE(15, 6, ROW($1:$10)/SIGN(LEN(ELEC432!T$9:'ELEC432'!T$17)), 1)),"")</f>
        <v>Software Development Project</v>
      </c>
    </row>
    <row r="40" spans="7:23" ht="25.25" customHeight="1" x14ac:dyDescent="0.2">
      <c r="G40" s="82">
        <v>2</v>
      </c>
      <c r="H40" s="161"/>
      <c r="I40" s="84" t="str" cm="1">
        <f t="array" ref="I40">IF(COUNTIFS(ELEC432!I$9:I$17,"Yes")&gt;=$G40, IFERROR(INDEX(ELEC432!$C$9:'ELEC432'!$C$17, _xlfn.AGGREGATE(15, 6, ROW($1:$10)/SIGN(LEN(ELEC432!I$9:'ELEC432'!I$17)), COUNTIFS(ELEC432!I$9:I$17,"Yes"))),""),"")</f>
        <v/>
      </c>
      <c r="J40" s="84" t="str" cm="1">
        <f t="array" ref="J40">IF(COUNTIFS(ELEC432!J$9:J$17,"Yes")&gt;=$G40, IFERROR(INDEX(ELEC432!$C$9:'ELEC432'!$C$17, _xlfn.AGGREGATE(15, 6, ROW($1:$10)/SIGN(LEN(ELEC432!J$9:'ELEC432'!J$17)), COUNTIFS(ELEC432!J$9:J$17,"Yes"))),""),"")</f>
        <v/>
      </c>
      <c r="K40" s="84" t="str" cm="1">
        <f t="array" ref="K40">IF(COUNTIFS(ELEC432!K$9:K$17,"Yes")&gt;=$G40, IFERROR(INDEX(ELEC432!$C$9:'ELEC432'!$C$17, _xlfn.AGGREGATE(15, 6, ROW($1:$10)/SIGN(LEN(ELEC432!K$9:'ELEC432'!K$17)), COUNTIFS(ELEC432!K$9:K$17,"Yes"))),""),"")</f>
        <v/>
      </c>
      <c r="L40" s="84" t="str" cm="1">
        <f t="array" ref="L40">IF(COUNTIFS(ELEC432!L$9:L$17,"Yes")&gt;=$G40, IFERROR(INDEX(ELEC432!$C$9:'ELEC432'!$C$17, _xlfn.AGGREGATE(15, 6, ROW($1:$10)/SIGN(LEN(ELEC432!L$9:'ELEC432'!L$17)), COUNTIFS(ELEC432!L$9:L$17,"Yes"))),""),"")</f>
        <v/>
      </c>
      <c r="M40" s="84" t="str" cm="1">
        <f t="array" ref="M40">IF(COUNTIFS(ELEC432!M$9:M$17,"Yes")&gt;=$G40, IFERROR(INDEX(ELEC432!$C$9:'ELEC432'!$C$17, _xlfn.AGGREGATE(15, 6, ROW($1:$10)/SIGN(LEN(ELEC432!M$9:'ELEC432'!M$17)), COUNTIFS(ELEC432!M$9:M$17,"Yes"))),""),"")</f>
        <v/>
      </c>
      <c r="N40" s="84" t="str" cm="1">
        <f t="array" ref="N40">IF(COUNTIFS(ELEC432!N$9:N$17,"Yes")&gt;=$G40, IFERROR(INDEX(ELEC432!$C$9:'ELEC432'!$C$17, _xlfn.AGGREGATE(15, 6, ROW($1:$10)/SIGN(LEN(ELEC432!N$9:'ELEC432'!N$17)), COUNTIFS(ELEC432!N$9:N$17,"Yes"))),""),"")</f>
        <v/>
      </c>
      <c r="O40" s="84" t="str" cm="1">
        <f t="array" ref="O40">IF(COUNTIFS(ELEC432!O$9:O$17,"Yes")&gt;=$G40, IFERROR(INDEX(ELEC432!$C$9:'ELEC432'!$C$17, _xlfn.AGGREGATE(15, 6, ROW($1:$10)/SIGN(LEN(ELEC432!O$9:'ELEC432'!O$17)), COUNTIFS(ELEC432!O$9:O$17,"Yes"))),""),"")</f>
        <v/>
      </c>
      <c r="P40" s="84" t="str" cm="1">
        <f t="array" ref="P40">IF(COUNTIFS(ELEC432!P$9:P$17,"Yes")&gt;=$G40, IFERROR(INDEX(ELEC432!$C$9:'ELEC432'!$C$17, _xlfn.AGGREGATE(15, 6, ROW($1:$10)/SIGN(LEN(ELEC432!P$9:'ELEC432'!P$17)), COUNTIFS(ELEC432!P$9:P$17,"Yes"))),""),"")</f>
        <v/>
      </c>
      <c r="Q40" s="84" t="str" cm="1">
        <f t="array" ref="Q40">IF(COUNTIFS(ELEC432!Q$9:Q$17,"Yes")&gt;=$G40, IFERROR(INDEX(ELEC432!$C$9:'ELEC432'!$C$17, _xlfn.AGGREGATE(15, 6, ROW($1:$10)/SIGN(LEN(ELEC432!Q$9:'ELEC432'!Q$17)), COUNTIFS(ELEC432!Q$9:Q$17,"Yes"))),""),"")</f>
        <v/>
      </c>
      <c r="R40" s="84" t="str" cm="1">
        <f t="array" ref="R40">IF(COUNTIFS(ELEC432!R$9:R$17,"Yes")&gt;=$G40, IFERROR(INDEX(ELEC432!$C$9:'ELEC432'!$C$17, _xlfn.AGGREGATE(15, 6, ROW($1:$10)/SIGN(LEN(ELEC432!R$9:'ELEC432'!R$17)), COUNTIFS(ELEC432!R$9:R$17,"Yes"))),""),"")</f>
        <v/>
      </c>
      <c r="S40" s="84" t="str" cm="1">
        <f t="array" ref="S40">IF(COUNTIFS(ELEC432!S$9:S$17,"Yes")&gt;=$G40, IFERROR(INDEX(ELEC432!$C$9:'ELEC432'!$C$17, _xlfn.AGGREGATE(15, 6, ROW($1:$10)/SIGN(LEN(ELEC432!S$9:'ELEC432'!S$17)), COUNTIFS(ELEC432!S$9:S$17,"Yes"))),""),"")</f>
        <v/>
      </c>
      <c r="T40" s="87" t="str" cm="1">
        <f t="array" ref="T40">IF(COUNTIFS(ELEC432!T$9:T$17,"Yes")&gt;=$G40, IFERROR(INDEX(ELEC432!$C$9:'ELEC432'!$C$17, _xlfn.AGGREGATE(15, 6, ROW($1:$10)/SIGN(LEN(ELEC432!T$9:'ELEC432'!T$17)), COUNTIFS(ELEC432!T$9:T$17,"Yes"))),""),"")</f>
        <v/>
      </c>
    </row>
    <row r="41" spans="7:23" ht="23" customHeight="1" x14ac:dyDescent="0.2">
      <c r="G41" s="82">
        <v>1</v>
      </c>
      <c r="H41" s="162" t="s">
        <v>256</v>
      </c>
      <c r="I41" s="83" t="str" cm="1">
        <f t="array" ref="I41">IFERROR(INDEX(ELEC402!$C$9:'ELEC402'!$C$17, _xlfn.AGGREGATE(15, 6, ROW($1:$10)/SIGN(LEN(ELEC402!I$9:'ELEC402'!I$17)), 1)),"")</f>
        <v/>
      </c>
      <c r="J41" s="83" t="str" cm="1">
        <f t="array" ref="J41">IFERROR(INDEX(ELEC402!$C$9:'ELEC402'!$C$17, _xlfn.AGGREGATE(15, 6, ROW($1:$10)/SIGN(LEN(ELEC402!J$9:'ELEC402'!J$17)), 1)),"")</f>
        <v/>
      </c>
      <c r="K41" s="83" t="str" cm="1">
        <f t="array" ref="K41">IFERROR(INDEX(ELEC402!$C$9:'ELEC402'!$C$17, _xlfn.AGGREGATE(15, 6, ROW($1:$10)/SIGN(LEN(ELEC402!K$9:'ELEC402'!K$17)), 1)),"")</f>
        <v/>
      </c>
      <c r="L41" s="83" t="str" cm="1">
        <f t="array" ref="L41">IFERROR(INDEX(ELEC402!$C$9:'ELEC402'!$C$17, _xlfn.AGGREGATE(15, 6, ROW($1:$10)/SIGN(LEN(ELEC402!L$9:'ELEC402'!L$17)), 1)),"")</f>
        <v/>
      </c>
      <c r="M41" s="83" t="str" cm="1">
        <f t="array" ref="M41">IFERROR(INDEX(ELEC402!$C$9:'ELEC402'!$C$17, _xlfn.AGGREGATE(15, 6, ROW($1:$10)/SIGN(LEN(ELEC402!M$9:'ELEC402'!M$17)), 1)),"")</f>
        <v/>
      </c>
      <c r="N41" s="83" t="str" cm="1">
        <f t="array" ref="N41">IFERROR(INDEX(ELEC402!$C$9:'ELEC402'!$C$17, _xlfn.AGGREGATE(15, 6, ROW($1:$10)/SIGN(LEN(ELEC402!N$9:'ELEC402'!N$17)), 1)),"")</f>
        <v/>
      </c>
      <c r="O41" s="83" t="str" cm="1">
        <f t="array" ref="O41">IFERROR(INDEX(ELEC402!$C$9:'ELEC402'!$C$17, _xlfn.AGGREGATE(15, 6, ROW($1:$10)/SIGN(LEN(ELEC402!O$9:'ELEC402'!O$17)), 1)),"")</f>
        <v/>
      </c>
      <c r="P41" s="83" t="str" cm="1">
        <f t="array" ref="P41">IFERROR(INDEX(ELEC402!$C$9:'ELEC402'!$C$17, _xlfn.AGGREGATE(15, 6, ROW($1:$10)/SIGN(LEN(ELEC402!P$9:'ELEC402'!P$17)), 1)),"")</f>
        <v/>
      </c>
      <c r="Q41" s="83" t="str" cm="1">
        <f t="array" ref="Q41">IFERROR(INDEX(ELEC402!$C$9:'ELEC402'!$C$17, _xlfn.AGGREGATE(15, 6, ROW($1:$10)/SIGN(LEN(ELEC402!Q$9:'ELEC402'!Q$17)), 1)),"")</f>
        <v/>
      </c>
      <c r="R41" s="83" t="str" cm="1">
        <f t="array" ref="R41">IFERROR(INDEX(ELEC402!$C$9:'ELEC402'!$C$17, _xlfn.AGGREGATE(15, 6, ROW($1:$10)/SIGN(LEN(ELEC402!R$9:'ELEC402'!R$17)), 1)),"")</f>
        <v>Power Flow etc</v>
      </c>
      <c r="S41" s="83" t="str" cm="1">
        <f t="array" ref="S41">IFERROR(INDEX(ELEC402!$C$9:'ELEC402'!$C$17, _xlfn.AGGREGATE(15, 6, ROW($1:$10)/SIGN(LEN(ELEC402!S$9:'ELEC402'!S$17)), 1)),"")</f>
        <v/>
      </c>
      <c r="T41" s="86" t="str" cm="1">
        <f t="array" ref="T41">IFERROR(INDEX(ELEC402!$C$9:'ELEC402'!$C$17, _xlfn.AGGREGATE(15, 6, ROW($1:$10)/SIGN(LEN(ELEC402!T$9:'ELEC402'!T$17)), 1)),"")</f>
        <v/>
      </c>
    </row>
    <row r="42" spans="7:23" ht="21" customHeight="1" thickBot="1" x14ac:dyDescent="0.25">
      <c r="G42" s="82">
        <v>2</v>
      </c>
      <c r="H42" s="163"/>
      <c r="I42" s="88" t="str" cm="1">
        <f t="array" ref="I42">IF(COUNTIFS(ELEC402!I$9:I$17,"Yes")&gt;=$G42, IFERROR(INDEX(ELEC402!$C$9:'ELEC402'!$C$17, _xlfn.AGGREGATE(15, 6, ROW($1:$10)/SIGN(LEN(ELEC402!I$9:'ELEC402'!I$17)), COUNTIFS(ELEC402!I$9:I$17,"Yes"))),""),"")</f>
        <v/>
      </c>
      <c r="J42" s="88" t="str" cm="1">
        <f t="array" ref="J42">IF(COUNTIFS(ELEC402!J$9:J$17,"Yes")&gt;=$G42, IFERROR(INDEX(ELEC402!$C$9:'ELEC402'!$C$17, _xlfn.AGGREGATE(15, 6, ROW($1:$10)/SIGN(LEN(ELEC402!J$9:'ELEC402'!J$17)), COUNTIFS(ELEC402!J$9:J$17,"Yes"))),""),"")</f>
        <v/>
      </c>
      <c r="K42" s="88" t="str" cm="1">
        <f t="array" ref="K42">IF(COUNTIFS(ELEC402!K$9:K$17,"Yes")&gt;=$G42, IFERROR(INDEX(ELEC402!$C$9:'ELEC402'!$C$17, _xlfn.AGGREGATE(15, 6, ROW($1:$10)/SIGN(LEN(ELEC402!K$9:'ELEC402'!K$17)), COUNTIFS(ELEC402!K$9:K$17,"Yes"))),""),"")</f>
        <v/>
      </c>
      <c r="L42" s="88" t="str" cm="1">
        <f t="array" ref="L42">IF(COUNTIFS(ELEC402!L$9:L$17,"Yes")&gt;=$G42, IFERROR(INDEX(ELEC402!$C$9:'ELEC402'!$C$17, _xlfn.AGGREGATE(15, 6, ROW($1:$10)/SIGN(LEN(ELEC402!L$9:'ELEC402'!L$17)), COUNTIFS(ELEC402!L$9:L$17,"Yes"))),""),"")</f>
        <v/>
      </c>
      <c r="M42" s="88" t="str" cm="1">
        <f t="array" ref="M42">IF(COUNTIFS(ELEC402!M$9:M$17,"Yes")&gt;=$G42, IFERROR(INDEX(ELEC402!$C$9:'ELEC402'!$C$17, _xlfn.AGGREGATE(15, 6, ROW($1:$10)/SIGN(LEN(ELEC402!M$9:'ELEC402'!M$17)), COUNTIFS(ELEC402!M$9:M$17,"Yes"))),""),"")</f>
        <v/>
      </c>
      <c r="N42" s="88" t="str" cm="1">
        <f t="array" ref="N42">IF(COUNTIFS(ELEC402!N$9:N$17,"Yes")&gt;=$G42, IFERROR(INDEX(ELEC402!$C$9:'ELEC402'!$C$17, _xlfn.AGGREGATE(15, 6, ROW($1:$10)/SIGN(LEN(ELEC402!N$9:'ELEC402'!N$17)), COUNTIFS(ELEC402!N$9:N$17,"Yes"))),""),"")</f>
        <v/>
      </c>
      <c r="O42" s="88" t="str" cm="1">
        <f t="array" ref="O42">IF(COUNTIFS(ELEC402!O$9:O$17,"Yes")&gt;=$G42, IFERROR(INDEX(ELEC402!$C$9:'ELEC402'!$C$17, _xlfn.AGGREGATE(15, 6, ROW($1:$10)/SIGN(LEN(ELEC402!O$9:'ELEC402'!O$17)), COUNTIFS(ELEC402!O$9:O$17,"Yes"))),""),"")</f>
        <v/>
      </c>
      <c r="P42" s="88" t="str" cm="1">
        <f t="array" ref="P42">IF(COUNTIFS(ELEC402!P$9:P$17,"Yes")&gt;=$G42, IFERROR(INDEX(ELEC402!$C$9:'ELEC402'!$C$17, _xlfn.AGGREGATE(15, 6, ROW($1:$10)/SIGN(LEN(ELEC402!P$9:'ELEC402'!P$17)), COUNTIFS(ELEC402!P$9:P$17,"Yes"))),""),"")</f>
        <v/>
      </c>
      <c r="Q42" s="88" t="str" cm="1">
        <f t="array" ref="Q42">IF(COUNTIFS(ELEC402!Q$9:Q$17,"Yes")&gt;=$G42, IFERROR(INDEX(ELEC402!$C$9:'ELEC402'!$C$17, _xlfn.AGGREGATE(15, 6, ROW($1:$10)/SIGN(LEN(ELEC402!Q$9:'ELEC402'!Q$17)), COUNTIFS(ELEC402!Q$9:Q$17,"Yes"))),""),"")</f>
        <v/>
      </c>
      <c r="R42" s="88" t="str" cm="1">
        <f t="array" ref="R42">IF(COUNTIFS(ELEC402!R$9:R$17,"Yes")&gt;=$G42, IFERROR(INDEX(ELEC402!$C$9:'ELEC402'!$C$17, _xlfn.AGGREGATE(15, 6, ROW($1:$10)/SIGN(LEN(ELEC402!R$9:'ELEC402'!R$17)), COUNTIFS(ELEC402!R$9:R$17,"Yes"))),""),"")</f>
        <v/>
      </c>
      <c r="S42" s="88" t="str" cm="1">
        <f t="array" ref="S42">IF(COUNTIFS(ELEC402!S$9:S$17,"Yes")&gt;=$G42, IFERROR(INDEX(ELEC402!$C$9:'ELEC402'!$C$17, _xlfn.AGGREGATE(15, 6, ROW($1:$10)/SIGN(LEN(ELEC402!S$9:'ELEC402'!S$17)), COUNTIFS(ELEC402!S$9:S$17,"Yes"))),""),"")</f>
        <v/>
      </c>
      <c r="T42" s="89" t="str" cm="1">
        <f t="array" ref="T42">IF(COUNTIFS(ELEC402!T$9:T$17,"Yes")&gt;=$G42, IFERROR(INDEX(ELEC402!$C$9:'ELEC402'!$C$17, _xlfn.AGGREGATE(15, 6, ROW($1:$10)/SIGN(LEN(ELEC402!T$9:'ELEC402'!T$17)), COUNTIFS(ELEC402!T$9:T$17,"Yes"))),""),"")</f>
        <v/>
      </c>
    </row>
    <row r="46" spans="7:23" x14ac:dyDescent="0.2">
      <c r="G46" t="s">
        <v>99</v>
      </c>
      <c r="I46" s="18">
        <f ca="1">I8</f>
        <v>16</v>
      </c>
      <c r="J46" s="18">
        <f t="shared" ref="J46:W46" ca="1" si="2">(J8-I8)*(J8&gt;I8)</f>
        <v>3</v>
      </c>
      <c r="K46" s="18">
        <f t="shared" ca="1" si="2"/>
        <v>4</v>
      </c>
      <c r="L46" s="18">
        <f t="shared" ca="1" si="2"/>
        <v>0</v>
      </c>
      <c r="M46" s="18">
        <f t="shared" ca="1" si="2"/>
        <v>15.100000000000001</v>
      </c>
      <c r="N46" s="18">
        <f t="shared" ca="1" si="2"/>
        <v>16.5</v>
      </c>
      <c r="O46" s="18">
        <f t="shared" ca="1" si="2"/>
        <v>0</v>
      </c>
      <c r="P46" s="18">
        <f t="shared" ca="1" si="2"/>
        <v>50.099999999999994</v>
      </c>
      <c r="Q46" s="18">
        <f t="shared" ca="1" si="2"/>
        <v>0</v>
      </c>
      <c r="R46" s="18">
        <f t="shared" ca="1" si="2"/>
        <v>0</v>
      </c>
      <c r="S46" s="18">
        <f t="shared" ca="1" si="2"/>
        <v>22</v>
      </c>
      <c r="T46" s="18">
        <f t="shared" ca="1" si="2"/>
        <v>22.5</v>
      </c>
      <c r="U46" s="18">
        <f t="shared" ca="1" si="2"/>
        <v>0</v>
      </c>
      <c r="V46" s="18">
        <f t="shared" ca="1" si="2"/>
        <v>18.825000000000003</v>
      </c>
      <c r="W46" s="18">
        <f t="shared" ca="1" si="2"/>
        <v>40.375</v>
      </c>
    </row>
    <row r="47" spans="7:23" x14ac:dyDescent="0.2">
      <c r="G47" t="s">
        <v>101</v>
      </c>
      <c r="I47" s="18">
        <f ca="1">I46^2</f>
        <v>256</v>
      </c>
      <c r="J47" s="18">
        <f t="shared" ref="J47:W47" ca="1" si="3">J46^2</f>
        <v>9</v>
      </c>
      <c r="K47" s="18">
        <f t="shared" ca="1" si="3"/>
        <v>16</v>
      </c>
      <c r="L47" s="18">
        <f t="shared" ca="1" si="3"/>
        <v>0</v>
      </c>
      <c r="M47" s="18">
        <f t="shared" ca="1" si="3"/>
        <v>228.01000000000005</v>
      </c>
      <c r="N47" s="18">
        <f t="shared" ca="1" si="3"/>
        <v>272.25</v>
      </c>
      <c r="O47" s="18">
        <f t="shared" ca="1" si="3"/>
        <v>0</v>
      </c>
      <c r="P47" s="18">
        <f t="shared" ca="1" si="3"/>
        <v>2510.0099999999993</v>
      </c>
      <c r="Q47" s="18">
        <f t="shared" ca="1" si="3"/>
        <v>0</v>
      </c>
      <c r="R47" s="18">
        <f t="shared" ca="1" si="3"/>
        <v>0</v>
      </c>
      <c r="S47" s="18">
        <f t="shared" ca="1" si="3"/>
        <v>484</v>
      </c>
      <c r="T47" s="18">
        <f t="shared" ca="1" si="3"/>
        <v>506.25</v>
      </c>
      <c r="U47" s="18">
        <f t="shared" ca="1" si="3"/>
        <v>0</v>
      </c>
      <c r="V47" s="18">
        <f t="shared" ca="1" si="3"/>
        <v>354.38062500000012</v>
      </c>
      <c r="W47" s="18">
        <f t="shared" ca="1" si="3"/>
        <v>1630.140625</v>
      </c>
    </row>
  </sheetData>
  <mergeCells count="8">
    <mergeCell ref="H39:H40"/>
    <mergeCell ref="H41:H42"/>
    <mergeCell ref="I1:W1"/>
    <mergeCell ref="H9:L9"/>
    <mergeCell ref="I31:T31"/>
    <mergeCell ref="H33:H34"/>
    <mergeCell ref="H35:H36"/>
    <mergeCell ref="H37:H38"/>
  </mergeCells>
  <conditionalFormatting sqref="I8:W8">
    <cfRule type="cellIs" dxfId="575" priority="9" operator="between">
      <formula>(2/3)*$C$9</formula>
      <formula>(1.2)*$C$9</formula>
    </cfRule>
    <cfRule type="cellIs" dxfId="574" priority="10" operator="lessThan">
      <formula>(2/3)*$C$9</formula>
    </cfRule>
    <cfRule type="cellIs" dxfId="573" priority="11" operator="greaterThanOrEqual">
      <formula>1.2*$C$9</formula>
    </cfRule>
  </conditionalFormatting>
  <conditionalFormatting sqref="H8">
    <cfRule type="cellIs" dxfId="572" priority="7" stopIfTrue="1" operator="equal">
      <formula>$B$7*10</formula>
    </cfRule>
    <cfRule type="cellIs" dxfId="571" priority="8" operator="notEqual">
      <formula>$B$7*10</formula>
    </cfRule>
  </conditionalFormatting>
  <conditionalFormatting sqref="I18:T20">
    <cfRule type="beginsWith" dxfId="570" priority="5" stopIfTrue="1" operator="beginsWith" text="0">
      <formula>LEFT(I18,LEN("0"))="0"</formula>
    </cfRule>
  </conditionalFormatting>
  <conditionalFormatting sqref="N21">
    <cfRule type="beginsWith" dxfId="569" priority="6" stopIfTrue="1" operator="beginsWith" text="0">
      <formula>LEFT(N21,LEN("0"))="0"</formula>
    </cfRule>
  </conditionalFormatting>
  <conditionalFormatting sqref="H18:H20">
    <cfRule type="expression" dxfId="568" priority="12">
      <formula>ABS($H$8-$C$7&gt;=1)</formula>
    </cfRule>
  </conditionalFormatting>
  <conditionalFormatting sqref="H9">
    <cfRule type="containsText" dxfId="567" priority="4" operator="containsText" text="OK">
      <formula>NOT(ISERROR(SEARCH("OK",H9)))</formula>
    </cfRule>
  </conditionalFormatting>
  <conditionalFormatting sqref="H9">
    <cfRule type="containsText" dxfId="566" priority="3" operator="containsText" text="don't">
      <formula>NOT(ISERROR(SEARCH("don't",H9)))</formula>
    </cfRule>
  </conditionalFormatting>
  <conditionalFormatting sqref="I33:T40">
    <cfRule type="cellIs" dxfId="565" priority="2" operator="notEqual">
      <formula>$I$33</formula>
    </cfRule>
  </conditionalFormatting>
  <conditionalFormatting sqref="I41:T42">
    <cfRule type="cellIs" dxfId="564" priority="1" operator="notEqual">
      <formula>$I$33</formula>
    </cfRule>
  </conditionalFormatting>
  <dataValidations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CAA1F6BE-2B10-3645-A6D0-1B2F61ACCF40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4C84-F0E9-DD40-B692-E1585145E451}">
  <dimension ref="A1:Y48"/>
  <sheetViews>
    <sheetView topLeftCell="A20" zoomScale="110" zoomScaleNormal="110" workbookViewId="0">
      <selection activeCell="H33" sqref="H33:T43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5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47" x14ac:dyDescent="0.3">
      <c r="A2" s="75" t="s">
        <v>117</v>
      </c>
      <c r="B2" s="76" t="s">
        <v>266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5" ht="16" x14ac:dyDescent="0.2">
      <c r="A3" s="7" t="s">
        <v>118</v>
      </c>
      <c r="B3" s="68" t="s">
        <v>252</v>
      </c>
      <c r="E3" s="11" t="s">
        <v>253</v>
      </c>
      <c r="F3" s="50">
        <f ca="1">ELEC483!$B20</f>
        <v>1347.02</v>
      </c>
      <c r="G3" s="50">
        <f ca="1">ELEC483!$B20*ELEC483!$B6/$B7</f>
        <v>168.3775</v>
      </c>
      <c r="H3" s="69">
        <f ca="1">ELEC483!H30</f>
        <v>85.300000000000011</v>
      </c>
      <c r="I3" s="93">
        <f ca="1">ELEC483!I30</f>
        <v>1</v>
      </c>
      <c r="J3" s="93">
        <f ca="1">ELEC483!J30</f>
        <v>2</v>
      </c>
      <c r="K3" s="93">
        <f ca="1">ELEC483!K30</f>
        <v>2</v>
      </c>
      <c r="L3" s="93">
        <f ca="1">ELEC483!L30</f>
        <v>4</v>
      </c>
      <c r="M3" s="93">
        <f ca="1">ELEC483!M30</f>
        <v>8.1</v>
      </c>
      <c r="N3" s="93">
        <f ca="1">ELEC483!N30</f>
        <v>30.6</v>
      </c>
      <c r="O3" s="93">
        <f ca="1">ELEC483!O30</f>
        <v>2</v>
      </c>
      <c r="P3" s="93">
        <f ca="1">ELEC483!P30</f>
        <v>30.6</v>
      </c>
      <c r="Q3" s="93">
        <f ca="1">ELEC483!Q30</f>
        <v>2</v>
      </c>
      <c r="R3" s="93">
        <f ca="1">ELEC483!R30</f>
        <v>1</v>
      </c>
      <c r="S3" s="93">
        <f ca="1">ELEC483!S30</f>
        <v>1</v>
      </c>
      <c r="T3" s="93">
        <f ca="1">ELEC483!T30</f>
        <v>1</v>
      </c>
      <c r="U3" s="93">
        <f ca="1">ELEC483!U30</f>
        <v>0</v>
      </c>
      <c r="V3" s="93">
        <f ca="1">ELEC483!V30</f>
        <v>0</v>
      </c>
      <c r="W3" s="93">
        <f ca="1">ELEC483!W30</f>
        <v>0</v>
      </c>
    </row>
    <row r="4" spans="1:25" x14ac:dyDescent="0.2">
      <c r="A4" s="7" t="s">
        <v>53</v>
      </c>
      <c r="B4" s="92" t="s">
        <v>241</v>
      </c>
      <c r="E4" s="11" t="s">
        <v>254</v>
      </c>
      <c r="F4" s="50">
        <f ca="1">ELEC431!$B20</f>
        <v>1749.5</v>
      </c>
      <c r="G4" s="50">
        <f ca="1">ELEC431!$B20*ELEC431!$B6/$B7</f>
        <v>437.375</v>
      </c>
      <c r="H4" s="69">
        <f ca="1">ELEC431!H30</f>
        <v>168</v>
      </c>
      <c r="I4" s="93">
        <f ca="1">ELEC431!I30</f>
        <v>7</v>
      </c>
      <c r="J4" s="93">
        <f ca="1">ELEC431!J30</f>
        <v>6</v>
      </c>
      <c r="K4" s="93">
        <f ca="1">ELEC431!K30</f>
        <v>7</v>
      </c>
      <c r="L4" s="93">
        <f ca="1">ELEC431!L30</f>
        <v>9</v>
      </c>
      <c r="M4" s="93">
        <f ca="1">ELEC431!M30</f>
        <v>11</v>
      </c>
      <c r="N4" s="93">
        <f ca="1">ELEC431!N30</f>
        <v>13</v>
      </c>
      <c r="O4" s="93">
        <f ca="1">ELEC431!O30</f>
        <v>16</v>
      </c>
      <c r="P4" s="93">
        <f ca="1">ELEC431!P30</f>
        <v>32.5</v>
      </c>
      <c r="Q4" s="93">
        <f ca="1">ELEC431!Q30</f>
        <v>15</v>
      </c>
      <c r="R4" s="93">
        <f ca="1">ELEC431!R30</f>
        <v>7</v>
      </c>
      <c r="S4" s="93">
        <f ca="1">ELEC431!S30</f>
        <v>44.5</v>
      </c>
      <c r="T4" s="93">
        <f ca="1">ELEC431!T30</f>
        <v>0</v>
      </c>
      <c r="U4" s="93">
        <f ca="1">ELEC431!U30</f>
        <v>0</v>
      </c>
      <c r="V4" s="93">
        <f ca="1">ELEC431!V30</f>
        <v>0</v>
      </c>
      <c r="W4" s="93">
        <f ca="1">ELEC431!W30</f>
        <v>0</v>
      </c>
    </row>
    <row r="5" spans="1:25" ht="16" thickBot="1" x14ac:dyDescent="0.25">
      <c r="A5" t="s">
        <v>50</v>
      </c>
      <c r="B5" s="36">
        <v>1</v>
      </c>
      <c r="E5" s="11" t="s">
        <v>263</v>
      </c>
      <c r="F5" s="50">
        <f ca="1">ELEC470!$B20</f>
        <v>1070.2418750000002</v>
      </c>
      <c r="G5" s="50">
        <f ca="1">ELEC470!$B20*ELEC470!$B6/$B7</f>
        <v>267.56046875000004</v>
      </c>
      <c r="H5" s="69">
        <f ca="1">ELEC470!H30</f>
        <v>150</v>
      </c>
      <c r="I5" s="93">
        <f ca="1">ELEC470!I30</f>
        <v>3</v>
      </c>
      <c r="J5" s="93">
        <f ca="1">ELEC470!J30</f>
        <v>4</v>
      </c>
      <c r="K5" s="93">
        <f ca="1">ELEC470!K30</f>
        <v>5</v>
      </c>
      <c r="L5" s="93">
        <f ca="1">ELEC470!L30</f>
        <v>4</v>
      </c>
      <c r="M5" s="93">
        <f ca="1">ELEC470!M30</f>
        <v>5</v>
      </c>
      <c r="N5" s="93">
        <f ca="1">ELEC470!N30</f>
        <v>4</v>
      </c>
      <c r="O5" s="93">
        <f ca="1">ELEC470!O30</f>
        <v>2</v>
      </c>
      <c r="P5" s="93">
        <f ca="1">ELEC470!P30</f>
        <v>4</v>
      </c>
      <c r="Q5" s="93">
        <f ca="1">ELEC470!Q30</f>
        <v>5</v>
      </c>
      <c r="R5" s="93">
        <f ca="1">ELEC470!R30</f>
        <v>23.5</v>
      </c>
      <c r="S5" s="93">
        <f ca="1">ELEC470!S30</f>
        <v>5</v>
      </c>
      <c r="T5" s="93">
        <f ca="1">ELEC470!T30</f>
        <v>4</v>
      </c>
      <c r="U5" s="93">
        <f ca="1">ELEC470!U30</f>
        <v>11.775</v>
      </c>
      <c r="V5" s="93">
        <f ca="1">ELEC470!V30</f>
        <v>23.55</v>
      </c>
      <c r="W5" s="93">
        <f ca="1">ELEC470!W30</f>
        <v>46.175000000000004</v>
      </c>
    </row>
    <row r="6" spans="1:25" x14ac:dyDescent="0.2">
      <c r="A6" t="s">
        <v>119</v>
      </c>
      <c r="B6" s="72">
        <f>ROUND((ELEC483!B6*ELEC483!B7 + ELEC431!B6*ELEC431!B7 + ELEC470!B6*ELEC470!B7 + ELEC423!B6*ELEC423!B7  + ELEC473!B6*ELEC473!B7)/100,1)</f>
        <v>34.5</v>
      </c>
      <c r="C6">
        <f>B6*10</f>
        <v>345</v>
      </c>
      <c r="E6" s="11" t="s">
        <v>264</v>
      </c>
      <c r="F6" s="50">
        <f ca="1">ELEC423!$B20</f>
        <v>1009.5650000000001</v>
      </c>
      <c r="G6" s="50">
        <f ca="1">ELEC423!$B20*ELEC423!$B6/$B7</f>
        <v>252.39125000000001</v>
      </c>
      <c r="H6" s="69">
        <f ca="1">ELEC423!H30</f>
        <v>150</v>
      </c>
      <c r="I6" s="93">
        <f ca="1">ELEC423!I30</f>
        <v>3</v>
      </c>
      <c r="J6" s="93">
        <f ca="1">ELEC423!J30</f>
        <v>4</v>
      </c>
      <c r="K6" s="93">
        <f ca="1">ELEC423!K30</f>
        <v>5</v>
      </c>
      <c r="L6" s="93">
        <f ca="1">ELEC423!L30</f>
        <v>4</v>
      </c>
      <c r="M6" s="93">
        <f ca="1">ELEC423!M30</f>
        <v>5</v>
      </c>
      <c r="N6" s="93">
        <f ca="1">ELEC423!N30</f>
        <v>4</v>
      </c>
      <c r="O6" s="93">
        <f ca="1">ELEC423!O30</f>
        <v>10.5</v>
      </c>
      <c r="P6" s="93">
        <f ca="1">ELEC423!P30</f>
        <v>4</v>
      </c>
      <c r="Q6" s="93">
        <f ca="1">ELEC423!Q30</f>
        <v>5</v>
      </c>
      <c r="R6" s="93">
        <f ca="1">ELEC423!R30</f>
        <v>4</v>
      </c>
      <c r="S6" s="93">
        <f ca="1">ELEC423!S30</f>
        <v>5</v>
      </c>
      <c r="T6" s="93">
        <f ca="1">ELEC423!T30</f>
        <v>26.5</v>
      </c>
      <c r="U6" s="93">
        <f ca="1">ELEC423!U30</f>
        <v>10.049999999999999</v>
      </c>
      <c r="V6" s="93">
        <f ca="1">ELEC423!V30</f>
        <v>20.099999999999998</v>
      </c>
      <c r="W6" s="93">
        <f ca="1">ELEC423!W30</f>
        <v>39.85</v>
      </c>
    </row>
    <row r="7" spans="1:25" x14ac:dyDescent="0.2">
      <c r="A7" t="s">
        <v>183</v>
      </c>
      <c r="B7" s="70">
        <f>ROUND(ELEC483!B6+ ELEC431!B6  + ELEC470!B6  + ELEC423!B6 + ELEC473!B6,0)</f>
        <v>60</v>
      </c>
      <c r="C7">
        <f>B7*10</f>
        <v>600</v>
      </c>
      <c r="E7" s="11" t="s">
        <v>265</v>
      </c>
      <c r="F7" s="50">
        <f ca="1">ELEC473!$B20</f>
        <v>220.25</v>
      </c>
      <c r="G7" s="50">
        <f ca="1">ELEC473!$B20*ELEC473!$B6/$B7</f>
        <v>27.53125</v>
      </c>
      <c r="H7" s="69">
        <f ca="1">ELEC473!H30</f>
        <v>97.5</v>
      </c>
      <c r="I7" s="93">
        <f ca="1">ELEC473!I30</f>
        <v>5</v>
      </c>
      <c r="J7" s="93">
        <f ca="1">ELEC473!J30</f>
        <v>6</v>
      </c>
      <c r="K7" s="93">
        <f ca="1">ELEC473!K30</f>
        <v>7</v>
      </c>
      <c r="L7" s="93">
        <f ca="1">ELEC473!L30</f>
        <v>6</v>
      </c>
      <c r="M7" s="93">
        <f ca="1">ELEC473!M30</f>
        <v>7</v>
      </c>
      <c r="N7" s="93">
        <f ca="1">ELEC473!N30</f>
        <v>6</v>
      </c>
      <c r="O7" s="93">
        <f ca="1">ELEC473!O30</f>
        <v>4</v>
      </c>
      <c r="P7" s="93">
        <f ca="1">ELEC473!P30</f>
        <v>9</v>
      </c>
      <c r="Q7" s="93">
        <f ca="1">ELEC473!Q30</f>
        <v>15.5</v>
      </c>
      <c r="R7" s="93">
        <f ca="1">ELEC473!R30</f>
        <v>6</v>
      </c>
      <c r="S7" s="93">
        <f ca="1">ELEC473!S30</f>
        <v>8</v>
      </c>
      <c r="T7" s="93">
        <f ca="1">ELEC473!T30</f>
        <v>7</v>
      </c>
      <c r="U7" s="93">
        <f ca="1">ELEC473!U30</f>
        <v>0</v>
      </c>
      <c r="V7" s="93">
        <f ca="1">ELEC473!V30</f>
        <v>0</v>
      </c>
      <c r="W7" s="93">
        <f ca="1">ELEC473!W30</f>
        <v>11</v>
      </c>
    </row>
    <row r="8" spans="1:25" ht="16" thickBot="1" x14ac:dyDescent="0.25">
      <c r="A8" t="s">
        <v>55</v>
      </c>
      <c r="B8" s="71">
        <f>ELEC483!B8+ ELEC431!B8  + ELEC470!B8  + ELEC423!B8 + ELEC473!B8</f>
        <v>12</v>
      </c>
      <c r="E8" s="11" t="s">
        <v>262</v>
      </c>
      <c r="F8" s="50">
        <f ca="1">ELEC472!$B20</f>
        <v>80.36</v>
      </c>
      <c r="G8" s="50">
        <f ca="1">ELEC472!$B20*ELEC472!$B6/$B7</f>
        <v>10.045</v>
      </c>
      <c r="H8" s="69">
        <f ca="1">ELEC472!H30</f>
        <v>75</v>
      </c>
      <c r="I8" s="93">
        <f ca="1">ELEC472!I30</f>
        <v>6</v>
      </c>
      <c r="J8" s="93">
        <f ca="1">ELEC472!J30</f>
        <v>6</v>
      </c>
      <c r="K8" s="93">
        <f ca="1">ELEC472!K30</f>
        <v>7</v>
      </c>
      <c r="L8" s="93">
        <f ca="1">ELEC472!L30</f>
        <v>6</v>
      </c>
      <c r="M8" s="93">
        <f ca="1">ELEC472!M30</f>
        <v>3</v>
      </c>
      <c r="N8" s="93">
        <f ca="1">ELEC472!N30</f>
        <v>6</v>
      </c>
      <c r="O8" s="93">
        <f ca="1">ELEC472!O30</f>
        <v>2</v>
      </c>
      <c r="P8" s="93">
        <f ca="1">ELEC472!P30</f>
        <v>6</v>
      </c>
      <c r="Q8" s="93">
        <f ca="1">ELEC472!Q30</f>
        <v>7</v>
      </c>
      <c r="R8" s="93">
        <f ca="1">ELEC472!R30</f>
        <v>6</v>
      </c>
      <c r="S8" s="93">
        <f ca="1">ELEC472!S30</f>
        <v>6</v>
      </c>
      <c r="T8" s="93">
        <f ca="1">ELEC472!T30</f>
        <v>7</v>
      </c>
      <c r="U8" s="93">
        <f ca="1">ELEC472!U30</f>
        <v>0.6</v>
      </c>
      <c r="V8" s="93">
        <f ca="1">ELEC472!V30</f>
        <v>1.2</v>
      </c>
      <c r="W8" s="93">
        <f ca="1">ELEC472!W30</f>
        <v>5.2</v>
      </c>
    </row>
    <row r="9" spans="1:25" x14ac:dyDescent="0.2">
      <c r="B9" s="148"/>
      <c r="E9" s="12" t="s">
        <v>28</v>
      </c>
      <c r="F9" s="112">
        <f ca="1">SUM(F3:F6)</f>
        <v>5176.3268750000007</v>
      </c>
      <c r="G9" s="112">
        <f ca="1">SUM(G3:G6)</f>
        <v>1125.7042187500001</v>
      </c>
      <c r="H9" s="21">
        <f ca="1">SUM(I9:W9)</f>
        <v>650.79999999999995</v>
      </c>
      <c r="I9" s="94">
        <f t="shared" ref="I9:W9" ca="1" si="0">SUM(I3:I7)</f>
        <v>19</v>
      </c>
      <c r="J9" s="94">
        <f t="shared" ca="1" si="0"/>
        <v>22</v>
      </c>
      <c r="K9" s="94">
        <f t="shared" ca="1" si="0"/>
        <v>26</v>
      </c>
      <c r="L9" s="94">
        <f t="shared" ca="1" si="0"/>
        <v>27</v>
      </c>
      <c r="M9" s="94">
        <f t="shared" ca="1" si="0"/>
        <v>36.1</v>
      </c>
      <c r="N9" s="94">
        <f t="shared" ca="1" si="0"/>
        <v>57.6</v>
      </c>
      <c r="O9" s="94">
        <f t="shared" ca="1" si="0"/>
        <v>34.5</v>
      </c>
      <c r="P9" s="94">
        <f t="shared" ca="1" si="0"/>
        <v>80.099999999999994</v>
      </c>
      <c r="Q9" s="94">
        <f t="shared" ca="1" si="0"/>
        <v>42.5</v>
      </c>
      <c r="R9" s="94">
        <f t="shared" ca="1" si="0"/>
        <v>41.5</v>
      </c>
      <c r="S9" s="94">
        <f t="shared" ca="1" si="0"/>
        <v>63.5</v>
      </c>
      <c r="T9" s="94">
        <f t="shared" ca="1" si="0"/>
        <v>38.5</v>
      </c>
      <c r="U9" s="94">
        <f t="shared" ca="1" si="0"/>
        <v>21.824999999999999</v>
      </c>
      <c r="V9" s="94">
        <f t="shared" ca="1" si="0"/>
        <v>43.65</v>
      </c>
      <c r="W9" s="94">
        <f t="shared" ca="1" si="0"/>
        <v>97.025000000000006</v>
      </c>
    </row>
    <row r="10" spans="1:25" ht="16" thickBot="1" x14ac:dyDescent="0.25">
      <c r="A10" t="s">
        <v>177</v>
      </c>
      <c r="C10">
        <f>C7/15</f>
        <v>40</v>
      </c>
      <c r="H10" s="165" t="str">
        <f ca="1">IF(ROUND(H9,0)=ROUND(C7,0),"Total hours OK","Total hours don't add up correctly!")</f>
        <v>Total hours don't add up correctly!</v>
      </c>
      <c r="I10" s="165"/>
      <c r="J10" s="165"/>
      <c r="K10" s="165"/>
      <c r="L10" s="165"/>
      <c r="U10" s="10" t="s">
        <v>22</v>
      </c>
    </row>
    <row r="11" spans="1:25" ht="34" thickTop="1" thickBot="1" x14ac:dyDescent="0.25">
      <c r="A11" s="63" t="s">
        <v>100</v>
      </c>
      <c r="B11" s="73">
        <f ca="1">SUM(I48:W48)</f>
        <v>6820.6412500000006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5" ht="16" thickTop="1" x14ac:dyDescent="0.2"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5" x14ac:dyDescent="0.2">
      <c r="Y13" s="17"/>
    </row>
    <row r="14" spans="1:25" x14ac:dyDescent="0.2">
      <c r="Y14" s="17"/>
    </row>
    <row r="15" spans="1:25" x14ac:dyDescent="0.2">
      <c r="Y15" s="17"/>
    </row>
    <row r="16" spans="1:25" x14ac:dyDescent="0.2">
      <c r="Y16" s="17"/>
    </row>
    <row r="17" spans="7:25" x14ac:dyDescent="0.2">
      <c r="Y17" s="17"/>
    </row>
    <row r="19" spans="7:25" ht="21" customHeight="1" x14ac:dyDescent="0.2">
      <c r="G19" s="17"/>
      <c r="H19" s="50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51"/>
      <c r="V19" s="51"/>
      <c r="W19" s="51"/>
      <c r="X19" s="17"/>
    </row>
    <row r="20" spans="7:25" ht="21" customHeight="1" x14ac:dyDescent="0.2">
      <c r="G20" s="17"/>
      <c r="H20" s="50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51"/>
      <c r="V20" s="51"/>
      <c r="W20" s="51"/>
      <c r="X20" s="17"/>
    </row>
    <row r="21" spans="7:25" ht="21" customHeight="1" x14ac:dyDescent="0.2">
      <c r="G21" s="17"/>
      <c r="H21" s="50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51"/>
      <c r="V21" s="51"/>
      <c r="W21" s="51"/>
      <c r="X21" s="17"/>
    </row>
    <row r="22" spans="7:25" x14ac:dyDescent="0.2">
      <c r="N22" s="25"/>
      <c r="U22" s="18"/>
      <c r="V22" s="18"/>
    </row>
    <row r="23" spans="7:25" x14ac:dyDescent="0.2">
      <c r="G23" s="17"/>
      <c r="H23" s="17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</row>
    <row r="24" spans="7:25" x14ac:dyDescent="0.2">
      <c r="G24" s="20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</row>
    <row r="29" spans="7:25" x14ac:dyDescent="0.2">
      <c r="I29" s="85">
        <f>C10</f>
        <v>40</v>
      </c>
      <c r="J29" s="85">
        <f>I29</f>
        <v>40</v>
      </c>
      <c r="K29" s="85">
        <f t="shared" ref="K29:W29" si="1">J29</f>
        <v>40</v>
      </c>
      <c r="L29" s="85">
        <f t="shared" si="1"/>
        <v>40</v>
      </c>
      <c r="M29" s="85">
        <f t="shared" si="1"/>
        <v>40</v>
      </c>
      <c r="N29" s="85">
        <f t="shared" si="1"/>
        <v>40</v>
      </c>
      <c r="O29" s="85">
        <f t="shared" si="1"/>
        <v>40</v>
      </c>
      <c r="P29" s="85">
        <f t="shared" si="1"/>
        <v>40</v>
      </c>
      <c r="Q29" s="85">
        <f t="shared" si="1"/>
        <v>40</v>
      </c>
      <c r="R29" s="85">
        <f t="shared" si="1"/>
        <v>40</v>
      </c>
      <c r="S29" s="85">
        <f t="shared" si="1"/>
        <v>40</v>
      </c>
      <c r="T29" s="85">
        <f t="shared" si="1"/>
        <v>40</v>
      </c>
      <c r="U29" s="85">
        <f t="shared" si="1"/>
        <v>40</v>
      </c>
      <c r="V29" s="85">
        <f t="shared" si="1"/>
        <v>40</v>
      </c>
      <c r="W29" s="85">
        <f t="shared" si="1"/>
        <v>40</v>
      </c>
    </row>
    <row r="30" spans="7:25" x14ac:dyDescent="0.2">
      <c r="G30" s="90"/>
      <c r="H30" s="91">
        <f>C7-423</f>
        <v>177</v>
      </c>
    </row>
    <row r="31" spans="7:25" ht="33" customHeight="1" x14ac:dyDescent="0.2">
      <c r="I31" s="133" t="s">
        <v>269</v>
      </c>
      <c r="J31" s="132"/>
      <c r="K31" s="132"/>
      <c r="L31" s="132"/>
      <c r="M31" s="132"/>
      <c r="N31" s="132"/>
      <c r="O31" s="132"/>
    </row>
    <row r="32" spans="7:25" ht="15" customHeight="1" thickBot="1" x14ac:dyDescent="0.25">
      <c r="I32" s="164" t="s">
        <v>134</v>
      </c>
      <c r="J32" s="164"/>
      <c r="K32" s="164"/>
      <c r="L32" s="164"/>
      <c r="M32" s="164"/>
      <c r="N32" s="164"/>
      <c r="O32" s="164"/>
      <c r="P32" s="164"/>
      <c r="Q32" s="164"/>
      <c r="R32" s="164"/>
      <c r="S32" s="164"/>
      <c r="T32" s="164"/>
      <c r="U32" s="80"/>
      <c r="V32" s="80"/>
      <c r="W32" s="80"/>
    </row>
    <row r="33" spans="7:23" x14ac:dyDescent="0.2">
      <c r="H33" s="77"/>
      <c r="I33" s="78">
        <v>1</v>
      </c>
      <c r="J33" s="78">
        <v>2</v>
      </c>
      <c r="K33" s="78">
        <v>3</v>
      </c>
      <c r="L33" s="78">
        <v>4</v>
      </c>
      <c r="M33" s="78">
        <v>5</v>
      </c>
      <c r="N33" s="78">
        <v>6</v>
      </c>
      <c r="O33" s="78">
        <v>7</v>
      </c>
      <c r="P33" s="78">
        <v>8</v>
      </c>
      <c r="Q33" s="78">
        <v>9</v>
      </c>
      <c r="R33" s="78">
        <v>10</v>
      </c>
      <c r="S33" s="78">
        <v>11</v>
      </c>
      <c r="T33" s="79">
        <v>12</v>
      </c>
      <c r="U33" s="74">
        <v>13</v>
      </c>
      <c r="V33" s="74">
        <v>14</v>
      </c>
      <c r="W33" s="74">
        <v>15</v>
      </c>
    </row>
    <row r="34" spans="7:23" ht="24" customHeight="1" x14ac:dyDescent="0.2">
      <c r="G34" s="82">
        <v>1</v>
      </c>
      <c r="H34" s="166" t="s">
        <v>253</v>
      </c>
      <c r="I34" s="83" t="str" cm="1">
        <f t="array" ref="I34">IFERROR(INDEX(ELEC483!$C$9:'ELEC483'!$C$17, _xlfn.AGGREGATE(15, 6, ROW($1:$11)/SIGN(LEN(ELEC483!I$9:'ELEC483'!I$17)), 1)),"")</f>
        <v/>
      </c>
      <c r="J34" s="83" t="str" cm="1">
        <f t="array" ref="J34">IFERROR(INDEX(ELEC483!$C$9:'ELEC483'!$C$17, _xlfn.AGGREGATE(15, 6, ROW($1:$11)/SIGN(LEN(ELEC483!J$9:'ELEC483'!J$17)), 1)),"")</f>
        <v/>
      </c>
      <c r="K34" s="83" t="str" cm="1">
        <f t="array" ref="K34">IFERROR(INDEX(ELEC483!$C$9:'ELEC483'!$C$17, _xlfn.AGGREGATE(15, 6, ROW($1:$11)/SIGN(LEN(ELEC483!K$9:'ELEC483'!K$17)), 1)),"")</f>
        <v/>
      </c>
      <c r="L34" s="83" t="str" cm="1">
        <f t="array" ref="L34">IFERROR(INDEX(ELEC483!$C$9:'ELEC483'!$C$17, _xlfn.AGGREGATE(15, 6, ROW($1:$11)/SIGN(LEN(ELEC483!L$9:'ELEC483'!L$17)), 1)),"")</f>
        <v>Graduates First</v>
      </c>
      <c r="M34" s="83" t="str" cm="1">
        <f t="array" ref="M34">IFERROR(INDEX(ELEC483!$C$9:'ELEC483'!$C$17, _xlfn.AGGREGATE(15, 6, ROW($1:$11)/SIGN(LEN(ELEC483!M$9:'ELEC483'!M$17)), 1)),"")</f>
        <v>LinkedIn</v>
      </c>
      <c r="N34" s="83" t="str" cm="1">
        <f t="array" ref="N34">IFERROR(INDEX(ELEC483!$C$9:'ELEC483'!$C$17, _xlfn.AGGREGATE(15, 6, ROW($1:$11)/SIGN(LEN(ELEC483!N$9:'ELEC483'!N$17)), 1)),"")</f>
        <v>Short Pilot Literature Review</v>
      </c>
      <c r="O34" s="83" t="str" cm="1">
        <f t="array" ref="O34">IFERROR(INDEX(ELEC483!$C$9:'ELEC483'!$C$17, _xlfn.AGGREGATE(15, 6, ROW($1:$11)/SIGN(LEN(ELEC483!O$9:'ELEC483'!O$17)), 1)),"")</f>
        <v/>
      </c>
      <c r="P34" s="83" t="str" cm="1">
        <f t="array" ref="P34">IFERROR(INDEX(ELEC483!$C$9:'ELEC483'!$C$17, _xlfn.AGGREGATE(15, 6, ROW($1:$11)/SIGN(LEN(ELEC483!P$9:'ELEC483'!P$17)), 1)),"")</f>
        <v>Oral Presentation</v>
      </c>
      <c r="Q34" s="83" t="str" cm="1">
        <f t="array" ref="Q34">IFERROR(INDEX(ELEC483!$C$9:'ELEC483'!$C$17, _xlfn.AGGREGATE(15, 6, ROW($1:$11)/SIGN(LEN(ELEC483!Q$9:'ELEC483'!Q$17)), 1)),"")</f>
        <v/>
      </c>
      <c r="R34" s="83" t="str" cm="1">
        <f t="array" ref="R34">IFERROR(INDEX(ELEC483!$C$9:'ELEC483'!$C$17, _xlfn.AGGREGATE(15, 6, ROW($1:$11)/SIGN(LEN(ELEC483!R$9:'ELEC483'!R$17)), 1)),"")</f>
        <v/>
      </c>
      <c r="S34" s="83" t="str" cm="1">
        <f t="array" ref="S34">IFERROR(INDEX(ELEC483!$C$9:'ELEC483'!$C$17, _xlfn.AGGREGATE(15, 6, ROW($1:$11)/SIGN(LEN(ELEC483!S$9:'ELEC483'!S$17)), 1)),"")</f>
        <v/>
      </c>
      <c r="T34" s="86" t="str" cm="1">
        <f t="array" ref="T34">IFERROR(INDEX(ELEC483!$C$9:'ELEC483'!$C$17, _xlfn.AGGREGATE(15, 6, ROW($1:$11)/SIGN(LEN(ELEC483!T$9:'ELEC483'!T$17)), 1)),"")</f>
        <v/>
      </c>
    </row>
    <row r="35" spans="7:23" ht="24" customHeight="1" x14ac:dyDescent="0.2">
      <c r="G35" s="82">
        <v>2</v>
      </c>
      <c r="H35" s="167"/>
      <c r="I35" s="84" t="str" cm="1">
        <f t="array" ref="I35">IF(COUNTIFS(ELEC483!I$9:I$17,"Yes")&gt;=$G35, IFERROR(INDEX(ELEC483!$C$9:'ELEC483'!$C$17, _xlfn.AGGREGATE(15, 6, ROW($1:$11)/SIGN(LEN(ELEC483!I$9:'ELEC483'!I$17)), COUNTIFS(ELEC483!I$9:I$17,"Yes"))),""),"")</f>
        <v/>
      </c>
      <c r="J35" s="84" t="str" cm="1">
        <f t="array" ref="J35">IF(COUNTIFS(ELEC483!J$9:J$17,"Yes")&gt;=$G35, IFERROR(INDEX(ELEC483!$C$9:'ELEC483'!$C$17, _xlfn.AGGREGATE(15, 6, ROW($1:$11)/SIGN(LEN(ELEC483!J$9:'ELEC483'!J$17)), COUNTIFS(ELEC483!J$9:J$17,"Yes"))),""),"")</f>
        <v/>
      </c>
      <c r="K35" s="84" t="str" cm="1">
        <f t="array" ref="K35">IF(COUNTIFS(ELEC483!K$9:K$17,"Yes")&gt;=$G35, IFERROR(INDEX(ELEC483!$C$9:'ELEC483'!$C$17, _xlfn.AGGREGATE(15, 6, ROW($1:$11)/SIGN(LEN(ELEC483!K$9:'ELEC483'!K$17)), COUNTIFS(ELEC483!K$9:K$17,"Yes"))),""),"")</f>
        <v/>
      </c>
      <c r="L35" s="84" t="str" cm="1">
        <f t="array" ref="L35">IF(COUNTIFS(ELEC483!L$9:L$17,"Yes")&gt;=$G35, IFERROR(INDEX(ELEC483!$C$9:'ELEC483'!$C$17, _xlfn.AGGREGATE(15, 6, ROW($1:$11)/SIGN(LEN(ELEC483!L$9:'ELEC483'!L$17)), COUNTIFS(ELEC483!L$9:L$17,"Yes"))),""),"")</f>
        <v/>
      </c>
      <c r="M35" s="84" t="str" cm="1">
        <f t="array" ref="M35">IF(COUNTIFS(ELEC483!M$9:M$17,"Yes")&gt;=$G35, IFERROR(INDEX(ELEC483!$C$9:'ELEC483'!$C$17, _xlfn.AGGREGATE(15, 6, ROW($1:$11)/SIGN(LEN(ELEC483!M$9:'ELEC483'!M$17)), COUNTIFS(ELEC483!M$9:M$17,"Yes"))),""),"")</f>
        <v/>
      </c>
      <c r="N35" s="84" t="str" cm="1">
        <f t="array" ref="N35">IF(COUNTIFS(ELEC483!N$9:N$17,"Yes")&gt;=$G35, IFERROR(INDEX(ELEC483!$C$9:'ELEC483'!$C$17, _xlfn.AGGREGATE(15, 6, ROW($1:$11)/SIGN(LEN(ELEC483!N$9:'ELEC483'!N$17)), COUNTIFS(ELEC483!N$9:N$17,"Yes"))),""),"")</f>
        <v/>
      </c>
      <c r="O35" s="84" t="str" cm="1">
        <f t="array" ref="O35">IF(COUNTIFS(ELEC483!O$9:O$17,"Yes")&gt;=$G35, IFERROR(INDEX(ELEC483!$C$9:'ELEC483'!$C$17, _xlfn.AGGREGATE(15, 6, ROW($1:$11)/SIGN(LEN(ELEC483!O$9:'ELEC483'!O$17)), COUNTIFS(ELEC483!O$9:O$17,"Yes"))),""),"")</f>
        <v/>
      </c>
      <c r="P35" s="84" t="str" cm="1">
        <f t="array" ref="P35">IF(COUNTIFS(ELEC483!P$9:P$17,"Yes")&gt;=$G35, IFERROR(INDEX(ELEC483!$C$9:'ELEC483'!$C$17, _xlfn.AGGREGATE(15, 6, ROW($1:$11)/SIGN(LEN(ELEC483!P$9:'ELEC483'!P$17)), COUNTIFS(ELEC483!P$9:P$17,"Yes"))),""),"")</f>
        <v/>
      </c>
      <c r="Q35" s="84" t="str" cm="1">
        <f t="array" ref="Q35">IF(COUNTIFS(ELEC483!Q$9:Q$17,"Yes")&gt;=$G35, IFERROR(INDEX(ELEC483!$C$9:'ELEC483'!$C$17, _xlfn.AGGREGATE(15, 6, ROW($1:$11)/SIGN(LEN(ELEC483!Q$9:'ELEC483'!Q$17)), COUNTIFS(ELEC483!Q$9:Q$17,"Yes"))),""),"")</f>
        <v/>
      </c>
      <c r="R35" s="84" t="str" cm="1">
        <f t="array" ref="R35">IF(COUNTIFS(ELEC483!R$9:R$17,"Yes")&gt;=$G35, IFERROR(INDEX(ELEC483!$C$9:'ELEC483'!$C$17, _xlfn.AGGREGATE(15, 6, ROW($1:$11)/SIGN(LEN(ELEC483!R$9:'ELEC483'!R$17)), COUNTIFS(ELEC483!R$9:R$17,"Yes"))),""),"")</f>
        <v/>
      </c>
      <c r="S35" s="84" t="str" cm="1">
        <f t="array" ref="S35">IF(COUNTIFS(ELEC483!S$9:S$17,"Yes")&gt;=$G35, IFERROR(INDEX(ELEC483!$C$9:'ELEC483'!$C$17, _xlfn.AGGREGATE(15, 6, ROW($1:$11)/SIGN(LEN(ELEC483!S$9:'ELEC483'!S$17)), COUNTIFS(ELEC483!S$9:S$17,"Yes"))),""),"")</f>
        <v/>
      </c>
      <c r="T35" s="87" t="str" cm="1">
        <f t="array" ref="T35">IF(COUNTIFS(ELEC483!T$9:T$17,"Yes")&gt;=$G35, IFERROR(INDEX(ELEC483!$C$9:'ELEC483'!$C$17, _xlfn.AGGREGATE(15, 6, ROW($1:$11)/SIGN(LEN(ELEC483!T$9:'ELEC483'!T$17)), COUNTIFS(ELEC483!T$9:T$17,"Yes"))),""),"")</f>
        <v/>
      </c>
    </row>
    <row r="36" spans="7:23" ht="24" customHeight="1" x14ac:dyDescent="0.2">
      <c r="G36" s="82">
        <v>1</v>
      </c>
      <c r="H36" s="160" t="s">
        <v>254</v>
      </c>
      <c r="I36" s="83" t="str" cm="1">
        <f t="array" ref="I36">IFERROR(INDEX(ELEC431!$C$9:'ELEC431'!$C$17, _xlfn.AGGREGATE(15, 6, ROW(1:11)/SIGN(LEN(ELEC431!I$9:'ELEC431'!I$17)), 1)),"")</f>
        <v/>
      </c>
      <c r="J36" s="83" t="str" cm="1">
        <f t="array" ref="J36">IFERROR(INDEX(ELEC431!$C$9:'ELEC431'!$C$17, _xlfn.AGGREGATE(15, 6, ROW(1:11)/SIGN(LEN(ELEC431!J$9:'ELEC431'!J$17)), 1)),"")</f>
        <v/>
      </c>
      <c r="K36" s="83" t="str" cm="1">
        <f t="array" ref="K36">IFERROR(INDEX(ELEC431!$C$9:'ELEC431'!$C$17, _xlfn.AGGREGATE(15, 6, ROW(1:11)/SIGN(LEN(ELEC431!K$9:'ELEC431'!K$17)), 1)),"")</f>
        <v/>
      </c>
      <c r="L36" s="83" t="str" cm="1">
        <f t="array" ref="L36">IFERROR(INDEX(ELEC431!$C$9:'ELEC431'!$C$17, _xlfn.AGGREGATE(15, 6, ROW(1:11)/SIGN(LEN(ELEC431!L$9:'ELEC431'!L$17)), 1)),"")</f>
        <v/>
      </c>
      <c r="M36" s="83" t="str" cm="1">
        <f t="array" ref="M36">IFERROR(INDEX(ELEC431!$C$9:'ELEC431'!$C$17, _xlfn.AGGREGATE(15, 6, ROW(1:11)/SIGN(LEN(ELEC431!M$9:'ELEC431'!M$17)), 1)),"")</f>
        <v/>
      </c>
      <c r="N36" s="83" t="str" cm="1">
        <f t="array" ref="N36">IFERROR(INDEX(ELEC431!$C$9:'ELEC431'!$C$17, _xlfn.AGGREGATE(15, 6, ROW(1:11)/SIGN(LEN(ELEC431!N$9:'ELEC431'!N$17)), 1)),"")</f>
        <v/>
      </c>
      <c r="O36" s="83" t="str" cm="1">
        <f t="array" ref="O36">IFERROR(INDEX(ELEC431!$C$9:'ELEC431'!$C$17, _xlfn.AGGREGATE(15, 6, ROW(1:11)/SIGN(LEN(ELEC431!O$9:'ELEC431'!O$17)), 1)),"")</f>
        <v/>
      </c>
      <c r="P36" s="83" t="str" cm="1">
        <f t="array" ref="P36">IFERROR(INDEX(ELEC431!$C$9:'ELEC431'!$C$17, _xlfn.AGGREGATE(15, 6, ROW(1:11)/SIGN(LEN(ELEC431!P$9:'ELEC431'!P$17)), 1)),"")</f>
        <v>GUI Design</v>
      </c>
      <c r="Q36" s="83" t="str" cm="1">
        <f t="array" ref="Q36">IFERROR(INDEX(ELEC431!$C$9:'ELEC431'!$C$17, _xlfn.AGGREGATE(15, 6, ROW(1:11)/SIGN(LEN(ELEC431!Q$9:'ELEC431'!Q$17)), 1)),"")</f>
        <v/>
      </c>
      <c r="R36" s="83" t="str" cm="1">
        <f t="array" ref="R36">IFERROR(INDEX(ELEC431!$C$9:'ELEC431'!$C$17, _xlfn.AGGREGATE(15, 6, ROW(1:11)/SIGN(LEN(ELEC431!R$9:'ELEC431'!R$17)), 1)),"")</f>
        <v/>
      </c>
      <c r="S36" s="83" t="str" cm="1">
        <f t="array" ref="S36">IFERROR(INDEX(ELEC431!$C$9:'ELEC431'!$C$17, _xlfn.AGGREGATE(15, 6, ROW(1:11)/SIGN(LEN(ELEC431!S$9:'ELEC431'!S$17)), 1)),"")</f>
        <v>Class Test</v>
      </c>
      <c r="T36" s="86" t="str" cm="1">
        <f t="array" ref="T36">IFERROR(INDEX(ELEC431!$C$9:'ELEC431'!$C$17, _xlfn.AGGREGATE(15, 6, ROW(1:11)/SIGN(LEN(ELEC431!T$9:'ELEC431'!T$17)), 1)),"")</f>
        <v/>
      </c>
    </row>
    <row r="37" spans="7:23" ht="24" customHeight="1" x14ac:dyDescent="0.2">
      <c r="G37" s="82">
        <v>2</v>
      </c>
      <c r="H37" s="161"/>
      <c r="I37" s="84" t="str" cm="1">
        <f t="array" ref="I37">IF(COUNTIFS(ELEC431!I$9:I$17,"Yes")&gt;=$G37, IFERROR(INDEX(ELEC431!$C$9:'ELEC431'!$C$17, _xlfn.AGGREGATE(15, 6, ROW($1:$11)/SIGN(LEN(ELEC431!I$9:'ELEC431'!I$17)), COUNTIFS(ELEC431!I$9:I$17,"Yes"))),""),"")</f>
        <v/>
      </c>
      <c r="J37" s="84" t="str" cm="1">
        <f t="array" ref="J37">IF(COUNTIFS(ELEC431!J$9:J$17,"Yes")&gt;=$G37, IFERROR(INDEX(ELEC431!$C$9:'ELEC431'!$C$17, _xlfn.AGGREGATE(15, 6, ROW($1:$11)/SIGN(LEN(ELEC431!J$9:'ELEC431'!J$17)), COUNTIFS(ELEC431!J$9:J$17,"Yes"))),""),"")</f>
        <v/>
      </c>
      <c r="K37" s="84" t="str" cm="1">
        <f t="array" ref="K37">IF(COUNTIFS(ELEC431!K$9:K$17,"Yes")&gt;=$G37, IFERROR(INDEX(ELEC431!$C$9:'ELEC431'!$C$17, _xlfn.AGGREGATE(15, 6, ROW($1:$11)/SIGN(LEN(ELEC431!K$9:'ELEC431'!K$17)), COUNTIFS(ELEC431!K$9:K$17,"Yes"))),""),"")</f>
        <v/>
      </c>
      <c r="L37" s="84" t="str" cm="1">
        <f t="array" ref="L37">IF(COUNTIFS(ELEC431!L$9:L$17,"Yes")&gt;=$G37, IFERROR(INDEX(ELEC431!$C$9:'ELEC431'!$C$17, _xlfn.AGGREGATE(15, 6, ROW($1:$11)/SIGN(LEN(ELEC431!L$9:'ELEC431'!L$17)), COUNTIFS(ELEC431!L$9:L$17,"Yes"))),""),"")</f>
        <v/>
      </c>
      <c r="M37" s="84" t="str" cm="1">
        <f t="array" ref="M37">IF(COUNTIFS(ELEC431!M$9:M$17,"Yes")&gt;=$G37, IFERROR(INDEX(ELEC431!$C$9:'ELEC431'!$C$17, _xlfn.AGGREGATE(15, 6, ROW($1:$11)/SIGN(LEN(ELEC431!M$9:'ELEC431'!M$17)), COUNTIFS(ELEC431!M$9:M$17,"Yes"))),""),"")</f>
        <v/>
      </c>
      <c r="N37" s="84" t="str" cm="1">
        <f t="array" ref="N37">IF(COUNTIFS(ELEC431!N$9:N$17,"Yes")&gt;=$G37, IFERROR(INDEX(ELEC431!$C$9:'ELEC431'!$C$17, _xlfn.AGGREGATE(15, 6, ROW($1:$11)/SIGN(LEN(ELEC431!N$9:'ELEC431'!N$17)), COUNTIFS(ELEC431!N$9:N$17,"Yes"))),""),"")</f>
        <v/>
      </c>
      <c r="O37" s="84" t="str" cm="1">
        <f t="array" ref="O37">IF(COUNTIFS(ELEC431!O$9:O$17,"Yes")&gt;=$G37, IFERROR(INDEX(ELEC431!$C$9:'ELEC431'!$C$17, _xlfn.AGGREGATE(15, 6, ROW($1:$11)/SIGN(LEN(ELEC431!O$9:'ELEC431'!O$17)), COUNTIFS(ELEC431!O$9:O$17,"Yes"))),""),"")</f>
        <v/>
      </c>
      <c r="P37" s="84" t="str" cm="1">
        <f t="array" ref="P37">IF(COUNTIFS(ELEC431!P$9:P$17,"Yes")&gt;=$G37, IFERROR(INDEX(ELEC431!$C$9:'ELEC431'!$C$17, _xlfn.AGGREGATE(15, 6, ROW($1:$11)/SIGN(LEN(ELEC431!P$9:'ELEC431'!P$17)), COUNTIFS(ELEC431!P$9:P$17,"Yes"))),""),"")</f>
        <v/>
      </c>
      <c r="Q37" s="84" t="str" cm="1">
        <f t="array" ref="Q37">IF(COUNTIFS(ELEC431!Q$9:Q$17,"Yes")&gt;=$G37, IFERROR(INDEX(ELEC431!$C$9:'ELEC431'!$C$17, _xlfn.AGGREGATE(15, 6, ROW($1:$11)/SIGN(LEN(ELEC431!Q$9:'ELEC431'!Q$17)), COUNTIFS(ELEC431!Q$9:Q$17,"Yes"))),""),"")</f>
        <v/>
      </c>
      <c r="R37" s="84" t="str" cm="1">
        <f t="array" ref="R37">IF(COUNTIFS(ELEC431!R$9:R$17,"Yes")&gt;=$G37, IFERROR(INDEX(ELEC431!$C$9:'ELEC431'!$C$17, _xlfn.AGGREGATE(15, 6, ROW($1:$11)/SIGN(LEN(ELEC431!R$9:'ELEC431'!R$17)), COUNTIFS(ELEC431!R$9:R$17,"Yes"))),""),"")</f>
        <v/>
      </c>
      <c r="S37" s="84" t="str" cm="1">
        <f t="array" ref="S37">IF(COUNTIFS(ELEC431!S$9:S$17,"Yes")&gt;=$G37, IFERROR(INDEX(ELEC431!$C$9:'ELEC431'!$C$17, _xlfn.AGGREGATE(15, 6, ROW($1:$11)/SIGN(LEN(ELEC431!S$9:'ELEC431'!S$17)), COUNTIFS(ELEC431!S$9:S$17,"Yes"))),""),"")</f>
        <v/>
      </c>
      <c r="T37" s="87" t="str" cm="1">
        <f t="array" ref="T37">IF(COUNTIFS(ELEC431!T$9:T$17,"Yes")&gt;=$G37, IFERROR(INDEX(ELEC431!$C$9:'ELEC431'!$C$17, _xlfn.AGGREGATE(15, 6, ROW($1:$11)/SIGN(LEN(ELEC431!T$9:'ELEC431'!T$17)), COUNTIFS(ELEC431!T$9:T$17,"Yes"))),""),"")</f>
        <v/>
      </c>
    </row>
    <row r="38" spans="7:23" ht="24" customHeight="1" x14ac:dyDescent="0.2">
      <c r="G38" s="82">
        <v>1</v>
      </c>
      <c r="H38" s="160" t="s">
        <v>263</v>
      </c>
      <c r="I38" s="83" t="str" cm="1">
        <f t="array" ref="I38">IFERROR(INDEX(ELEC470!$C$9:'ELEC470'!$C$17, _xlfn.AGGREGATE(15, 6, ROW($1:$11)/SIGN(LEN(ELEC470!I$9:'ELEC470'!I$17)), 1)),"")</f>
        <v/>
      </c>
      <c r="J38" s="83" t="str" cm="1">
        <f t="array" ref="J38">IFERROR(INDEX(ELEC470!$C$9:'ELEC470'!$C$17, _xlfn.AGGREGATE(15, 6, ROW($1:$11)/SIGN(LEN(ELEC470!J$9:'ELEC470'!J$17)), 1)),"")</f>
        <v/>
      </c>
      <c r="K38" s="83" t="str" cm="1">
        <f t="array" ref="K38">IFERROR(INDEX(ELEC470!$C$9:'ELEC470'!$C$17, _xlfn.AGGREGATE(15, 6, ROW($1:$11)/SIGN(LEN(ELEC470!K$9:'ELEC470'!K$17)), 1)),"")</f>
        <v/>
      </c>
      <c r="L38" s="83" t="str" cm="1">
        <f t="array" ref="L38">IFERROR(INDEX(ELEC470!$C$9:'ELEC470'!$C$17, _xlfn.AGGREGATE(15, 6, ROW($1:$11)/SIGN(LEN(ELEC470!L$9:'ELEC470'!L$17)), 1)),"")</f>
        <v/>
      </c>
      <c r="M38" s="83" t="str" cm="1">
        <f t="array" ref="M38">IFERROR(INDEX(ELEC470!$C$9:'ELEC470'!$C$17, _xlfn.AGGREGATE(15, 6, ROW($1:$11)/SIGN(LEN(ELEC470!M$9:'ELEC470'!M$17)), 1)),"")</f>
        <v/>
      </c>
      <c r="N38" s="83" t="str" cm="1">
        <f t="array" ref="N38">IFERROR(INDEX(ELEC470!$C$9:'ELEC470'!$C$17, _xlfn.AGGREGATE(15, 6, ROW($1:$11)/SIGN(LEN(ELEC470!N$9:'ELEC470'!N$17)), 1)),"")</f>
        <v/>
      </c>
      <c r="O38" s="83" t="str" cm="1">
        <f t="array" ref="O38">IFERROR(INDEX(ELEC470!$C$9:'ELEC470'!$C$17, _xlfn.AGGREGATE(15, 6, ROW($1:$11)/SIGN(LEN(ELEC470!O$9:'ELEC470'!O$17)), 1)),"")</f>
        <v/>
      </c>
      <c r="P38" s="83" t="str" cm="1">
        <f t="array" ref="P38">IFERROR(INDEX(ELEC470!$C$9:'ELEC470'!$C$17, _xlfn.AGGREGATE(15, 6, ROW($1:$11)/SIGN(LEN(ELEC470!P$9:'ELEC470'!P$17)), 1)),"")</f>
        <v/>
      </c>
      <c r="Q38" s="83" t="str" cm="1">
        <f t="array" ref="Q38">IFERROR(INDEX(ELEC470!$C$9:'ELEC470'!$C$17, _xlfn.AGGREGATE(15, 6, ROW($1:$11)/SIGN(LEN(ELEC470!Q$9:'ELEC470'!Q$17)), 1)),"")</f>
        <v/>
      </c>
      <c r="R38" s="83" t="str" cm="1">
        <f t="array" ref="R38">IFERROR(INDEX(ELEC470!$C$9:'ELEC470'!$C$17, _xlfn.AGGREGATE(15, 6, ROW($1:$11)/SIGN(LEN(ELEC470!R$9:'ELEC470'!R$17)), 1)),"")</f>
        <v>CW</v>
      </c>
      <c r="S38" s="83" t="str" cm="1">
        <f t="array" ref="S38">IFERROR(INDEX(ELEC470!$C$9:'ELEC470'!$C$17, _xlfn.AGGREGATE(15, 6, ROW($1:$11)/SIGN(LEN(ELEC470!S$9:'ELEC470'!S$17)), 1)),"")</f>
        <v/>
      </c>
      <c r="T38" s="86" t="str" cm="1">
        <f t="array" ref="T38">IFERROR(INDEX(ELEC470!$C$9:'ELEC470'!$C$17, _xlfn.AGGREGATE(15, 6, ROW($1:$11)/SIGN(LEN(ELEC470!T$9:'ELEC470'!T$17)), 1)),"")</f>
        <v/>
      </c>
    </row>
    <row r="39" spans="7:23" ht="24" customHeight="1" x14ac:dyDescent="0.2">
      <c r="G39" s="82">
        <v>2</v>
      </c>
      <c r="H39" s="161"/>
      <c r="I39" s="84" t="str" cm="1">
        <f t="array" ref="I39">IF(COUNTIFS(ELEC470!I$9:I$17,"Yes")&gt;=$G39, IFERROR(INDEX(ELEC470!$C$9:'ELEC470'!$C$17, _xlfn.AGGREGATE(15, 6, ROW($1:$11)/SIGN(LEN(ELEC470!I$9:'ELEC470'!I$17)), COUNTIFS(ELEC470!I$9:I$17,"Yes"))),""),"")</f>
        <v/>
      </c>
      <c r="J39" s="84" t="str" cm="1">
        <f t="array" ref="J39">IF(COUNTIFS(ELEC470!J$9:J$17,"Yes")&gt;=$G39, IFERROR(INDEX(ELEC470!$C$9:'ELEC470'!$C$17, _xlfn.AGGREGATE(15, 6, ROW($1:$11)/SIGN(LEN(ELEC470!J$9:'ELEC470'!J$17)), COUNTIFS(ELEC470!J$9:J$17,"Yes"))),""),"")</f>
        <v/>
      </c>
      <c r="K39" s="84" t="str" cm="1">
        <f t="array" ref="K39">IF(COUNTIFS(ELEC470!K$9:K$17,"Yes")&gt;=$G39, IFERROR(INDEX(ELEC470!$C$9:'ELEC470'!$C$17, _xlfn.AGGREGATE(15, 6, ROW($1:$11)/SIGN(LEN(ELEC470!K$9:'ELEC470'!K$17)), COUNTIFS(ELEC470!K$9:K$17,"Yes"))),""),"")</f>
        <v/>
      </c>
      <c r="L39" s="84" t="str" cm="1">
        <f t="array" ref="L39">IF(COUNTIFS(ELEC470!L$9:L$17,"Yes")&gt;=$G39, IFERROR(INDEX(ELEC470!$C$9:'ELEC470'!$C$17, _xlfn.AGGREGATE(15, 6, ROW($1:$11)/SIGN(LEN(ELEC470!L$9:'ELEC470'!L$17)), COUNTIFS(ELEC470!L$9:L$17,"Yes"))),""),"")</f>
        <v/>
      </c>
      <c r="M39" s="84" t="str" cm="1">
        <f t="array" ref="M39">IF(COUNTIFS(ELEC470!M$9:M$17,"Yes")&gt;=$G39, IFERROR(INDEX(ELEC470!$C$9:'ELEC470'!$C$17, _xlfn.AGGREGATE(15, 6, ROW($1:$11)/SIGN(LEN(ELEC470!M$9:'ELEC470'!M$17)), COUNTIFS(ELEC470!M$9:M$17,"Yes"))),""),"")</f>
        <v/>
      </c>
      <c r="N39" s="84" t="str" cm="1">
        <f t="array" ref="N39">IF(COUNTIFS(ELEC470!N$9:N$17,"Yes")&gt;=$G39, IFERROR(INDEX(ELEC470!$C$9:'ELEC470'!$C$17, _xlfn.AGGREGATE(15, 6, ROW($1:$11)/SIGN(LEN(ELEC470!N$9:'ELEC470'!N$17)), COUNTIFS(ELEC470!N$9:N$17,"Yes"))),""),"")</f>
        <v/>
      </c>
      <c r="O39" s="84" t="str" cm="1">
        <f t="array" ref="O39">IF(COUNTIFS(ELEC470!O$9:O$17,"Yes")&gt;=$G39, IFERROR(INDEX(ELEC470!$C$9:'ELEC470'!$C$17, _xlfn.AGGREGATE(15, 6, ROW($1:$11)/SIGN(LEN(ELEC470!O$9:'ELEC470'!O$17)), COUNTIFS(ELEC470!O$9:O$17,"Yes"))),""),"")</f>
        <v/>
      </c>
      <c r="P39" s="84" t="str" cm="1">
        <f t="array" ref="P39">IF(COUNTIFS(ELEC470!P$9:P$17,"Yes")&gt;=$G39, IFERROR(INDEX(ELEC470!$C$9:'ELEC470'!$C$17, _xlfn.AGGREGATE(15, 6, ROW($1:$11)/SIGN(LEN(ELEC470!P$9:'ELEC470'!P$17)), COUNTIFS(ELEC470!P$9:P$17,"Yes"))),""),"")</f>
        <v/>
      </c>
      <c r="Q39" s="84" t="str" cm="1">
        <f t="array" ref="Q39">IF(COUNTIFS(ELEC470!Q$9:Q$17,"Yes")&gt;=$G39, IFERROR(INDEX(ELEC470!$C$9:'ELEC470'!$C$17, _xlfn.AGGREGATE(15, 6, ROW($1:$11)/SIGN(LEN(ELEC470!Q$9:'ELEC470'!Q$17)), COUNTIFS(ELEC470!Q$9:Q$17,"Yes"))),""),"")</f>
        <v/>
      </c>
      <c r="R39" s="84" t="str" cm="1">
        <f t="array" ref="R39">IF(COUNTIFS(ELEC470!R$9:R$17,"Yes")&gt;=$G39, IFERROR(INDEX(ELEC470!$C$9:'ELEC470'!$C$17, _xlfn.AGGREGATE(15, 6, ROW($1:$11)/SIGN(LEN(ELEC470!R$9:'ELEC470'!R$17)), COUNTIFS(ELEC470!R$9:R$17,"Yes"))),""),"")</f>
        <v/>
      </c>
      <c r="S39" s="84" t="str" cm="1">
        <f t="array" ref="S39">IF(COUNTIFS(ELEC470!S$9:S$17,"Yes")&gt;=$G39, IFERROR(INDEX(ELEC470!$C$9:'ELEC470'!$C$17, _xlfn.AGGREGATE(15, 6, ROW($1:$11)/SIGN(LEN(ELEC470!S$9:'ELEC470'!S$17)), COUNTIFS(ELEC470!S$9:S$17,"Yes"))),""),"")</f>
        <v/>
      </c>
      <c r="T39" s="87" t="str" cm="1">
        <f t="array" ref="T39">IF(COUNTIFS(ELEC470!T$9:T$17,"Yes")&gt;=$G39, IFERROR(INDEX(ELEC470!$C$9:'ELEC470'!$C$17, _xlfn.AGGREGATE(15, 6, ROW($1:$11)/SIGN(LEN(ELEC470!T$9:'ELEC470'!T$17)), COUNTIFS(ELEC470!T$9:T$17,"Yes"))),""),"")</f>
        <v/>
      </c>
    </row>
    <row r="40" spans="7:23" ht="24" customHeight="1" x14ac:dyDescent="0.2">
      <c r="G40" s="82">
        <v>1</v>
      </c>
      <c r="H40" s="160" t="s">
        <v>264</v>
      </c>
      <c r="I40" s="125" t="str" cm="1">
        <f t="array" ref="I40">IFERROR(INDEX(ELEC423!$C$9:'ELEC423'!$C$17, _xlfn.AGGREGATE(15, 6, ROW($1:$11)/SIGN(LEN(ELEC423!I$9:'ELEC423'!I$17)), 1)),"")</f>
        <v/>
      </c>
      <c r="J40" s="125" t="str" cm="1">
        <f t="array" ref="J40">IFERROR(INDEX(ELEC423!$C$9:'ELEC423'!$C$17, _xlfn.AGGREGATE(15, 6, ROW($1:$11)/SIGN(LEN(ELEC423!J$9:'ELEC423'!J$17)), 1)),"")</f>
        <v/>
      </c>
      <c r="K40" s="125" t="str" cm="1">
        <f t="array" ref="K40">IFERROR(INDEX(ELEC423!$C$9:'ELEC423'!$C$17, _xlfn.AGGREGATE(15, 6, ROW($1:$11)/SIGN(LEN(ELEC423!K$9:'ELEC423'!K$17)), 1)),"")</f>
        <v/>
      </c>
      <c r="L40" s="125" t="str" cm="1">
        <f t="array" ref="L40">IFERROR(INDEX(ELEC423!$C$9:'ELEC423'!$C$17, _xlfn.AGGREGATE(15, 6, ROW($1:$11)/SIGN(LEN(ELEC423!L$9:'ELEC423'!L$17)), 1)),"")</f>
        <v/>
      </c>
      <c r="M40" s="125" t="str" cm="1">
        <f t="array" ref="M40">IFERROR(INDEX(ELEC423!$C$9:'ELEC423'!$C$17, _xlfn.AGGREGATE(15, 6, ROW($1:$11)/SIGN(LEN(ELEC423!M$9:'ELEC423'!M$17)), 1)),"")</f>
        <v/>
      </c>
      <c r="N40" s="125" t="str" cm="1">
        <f t="array" ref="N40">IFERROR(INDEX(ELEC423!$C$9:'ELEC423'!$C$17, _xlfn.AGGREGATE(15, 6, ROW($1:$11)/SIGN(LEN(ELEC423!N$9:'ELEC423'!N$17)), 1)),"")</f>
        <v/>
      </c>
      <c r="O40" s="125" t="str" cm="1">
        <f t="array" ref="O40">IFERROR(INDEX(ELEC423!$C$9:'ELEC423'!$C$17, _xlfn.AGGREGATE(15, 6, ROW($1:$11)/SIGN(LEN(ELEC423!O$9:'ELEC423'!O$17)), 1)),"")</f>
        <v>M2M Implementation</v>
      </c>
      <c r="P40" s="125" t="str" cm="1">
        <f t="array" ref="P40">IFERROR(INDEX(ELEC423!$C$9:'ELEC423'!$C$17, _xlfn.AGGREGATE(15, 6, ROW($1:$11)/SIGN(LEN(ELEC423!P$9:'ELEC423'!P$17)), 1)),"")</f>
        <v/>
      </c>
      <c r="Q40" s="125" t="str" cm="1">
        <f t="array" ref="Q40">IFERROR(INDEX(ELEC423!$C$9:'ELEC423'!$C$17, _xlfn.AGGREGATE(15, 6, ROW($1:$11)/SIGN(LEN(ELEC423!Q$9:'ELEC423'!Q$17)), 1)),"")</f>
        <v/>
      </c>
      <c r="R40" s="125" t="str" cm="1">
        <f t="array" ref="R40">IFERROR(INDEX(ELEC423!$C$9:'ELEC423'!$C$17, _xlfn.AGGREGATE(15, 6, ROW($1:$11)/SIGN(LEN(ELEC423!R$9:'ELEC423'!R$17)), 1)),"")</f>
        <v/>
      </c>
      <c r="S40" s="125" t="str" cm="1">
        <f t="array" ref="S40">IFERROR(INDEX(ELEC423!$C$9:'ELEC423'!$C$17, _xlfn.AGGREGATE(15, 6, ROW($1:$11)/SIGN(LEN(ELEC423!S$9:'ELEC423'!S$17)), 1)),"")</f>
        <v/>
      </c>
      <c r="T40" s="126" t="str" cm="1">
        <f t="array" ref="T40">IFERROR(INDEX(ELEC423!$C$9:'ELEC423'!$C$17, _xlfn.AGGREGATE(15, 6, ROW($1:$11)/SIGN(LEN(ELEC423!T$9:'ELEC423'!T$17)), 1)),"")</f>
        <v>IoT Prototype</v>
      </c>
    </row>
    <row r="41" spans="7:23" ht="25.25" customHeight="1" x14ac:dyDescent="0.2">
      <c r="G41" s="82">
        <v>2</v>
      </c>
      <c r="H41" s="161"/>
      <c r="I41" s="84" t="str" cm="1">
        <f t="array" ref="I41">IF(COUNTIFS(ELEC423!I$9:I$17,"Yes")&gt;=$G41, IFERROR(INDEX(ELEC423!$C$9:'ELEC423'!$C$17, _xlfn.AGGREGATE(15, 6, ROW($1:$11)/SIGN(LEN(ELEC423!I$9:'ELEC423'!I$17)), COUNTIFS(ELEC423!I$9:I$17,"Yes"))),""),"")</f>
        <v/>
      </c>
      <c r="J41" s="84" t="str" cm="1">
        <f t="array" ref="J41">IF(COUNTIFS(ELEC423!J$9:J$17,"Yes")&gt;=$G41, IFERROR(INDEX(ELEC423!$C$9:'ELEC423'!$C$17, _xlfn.AGGREGATE(15, 6, ROW($1:$11)/SIGN(LEN(ELEC423!J$9:'ELEC423'!J$17)), COUNTIFS(ELEC423!J$9:J$17,"Yes"))),""),"")</f>
        <v/>
      </c>
      <c r="K41" s="84" t="str" cm="1">
        <f t="array" ref="K41">IF(COUNTIFS(ELEC423!K$9:K$17,"Yes")&gt;=$G41, IFERROR(INDEX(ELEC423!$C$9:'ELEC423'!$C$17, _xlfn.AGGREGATE(15, 6, ROW($1:$11)/SIGN(LEN(ELEC423!K$9:'ELEC423'!K$17)), COUNTIFS(ELEC423!K$9:K$17,"Yes"))),""),"")</f>
        <v/>
      </c>
      <c r="L41" s="84" t="str" cm="1">
        <f t="array" ref="L41">IF(COUNTIFS(ELEC423!L$9:L$17,"Yes")&gt;=$G41, IFERROR(INDEX(ELEC423!$C$9:'ELEC423'!$C$17, _xlfn.AGGREGATE(15, 6, ROW($1:$11)/SIGN(LEN(ELEC423!L$9:'ELEC423'!L$17)), COUNTIFS(ELEC423!L$9:L$17,"Yes"))),""),"")</f>
        <v/>
      </c>
      <c r="M41" s="84" t="str" cm="1">
        <f t="array" ref="M41">IF(COUNTIFS(ELEC423!M$9:M$17,"Yes")&gt;=$G41, IFERROR(INDEX(ELEC423!$C$9:'ELEC423'!$C$17, _xlfn.AGGREGATE(15, 6, ROW($1:$11)/SIGN(LEN(ELEC423!M$9:'ELEC423'!M$17)), COUNTIFS(ELEC423!M$9:M$17,"Yes"))),""),"")</f>
        <v/>
      </c>
      <c r="N41" s="84" t="str" cm="1">
        <f t="array" ref="N41">IF(COUNTIFS(ELEC423!N$9:N$17,"Yes")&gt;=$G41, IFERROR(INDEX(ELEC423!$C$9:'ELEC423'!$C$17, _xlfn.AGGREGATE(15, 6, ROW($1:$11)/SIGN(LEN(ELEC423!N$9:'ELEC423'!N$17)), COUNTIFS(ELEC423!N$9:N$17,"Yes"))),""),"")</f>
        <v/>
      </c>
      <c r="O41" s="84" t="str" cm="1">
        <f t="array" ref="O41">IF(COUNTIFS(ELEC423!O$9:O$17,"Yes")&gt;=$G41, IFERROR(INDEX(ELEC423!$C$9:'ELEC423'!$C$17, _xlfn.AGGREGATE(15, 6, ROW($1:$11)/SIGN(LEN(ELEC423!O$9:'ELEC423'!O$17)), COUNTIFS(ELEC423!O$9:O$17,"Yes"))),""),"")</f>
        <v/>
      </c>
      <c r="P41" s="84" t="str" cm="1">
        <f t="array" ref="P41">IF(COUNTIFS(ELEC423!P$9:P$17,"Yes")&gt;=$G41, IFERROR(INDEX(ELEC423!$C$9:'ELEC423'!$C$17, _xlfn.AGGREGATE(15, 6, ROW($1:$11)/SIGN(LEN(ELEC423!P$9:'ELEC423'!P$17)), COUNTIFS(ELEC423!P$9:P$17,"Yes"))),""),"")</f>
        <v/>
      </c>
      <c r="Q41" s="84" t="str" cm="1">
        <f t="array" ref="Q41">IF(COUNTIFS(ELEC423!Q$9:Q$17,"Yes")&gt;=$G41, IFERROR(INDEX(ELEC423!$C$9:'ELEC423'!$C$17, _xlfn.AGGREGATE(15, 6, ROW($1:$11)/SIGN(LEN(ELEC423!Q$9:'ELEC423'!Q$17)), COUNTIFS(ELEC423!Q$9:Q$17,"Yes"))),""),"")</f>
        <v/>
      </c>
      <c r="R41" s="84" t="str" cm="1">
        <f t="array" ref="R41">IF(COUNTIFS(ELEC423!R$9:R$17,"Yes")&gt;=$G41, IFERROR(INDEX(ELEC423!$C$9:'ELEC423'!$C$17, _xlfn.AGGREGATE(15, 6, ROW($1:$11)/SIGN(LEN(ELEC423!R$9:'ELEC423'!R$17)), COUNTIFS(ELEC423!R$9:R$17,"Yes"))),""),"")</f>
        <v/>
      </c>
      <c r="S41" s="84" t="str" cm="1">
        <f t="array" ref="S41">IF(COUNTIFS(ELEC423!S$9:S$17,"Yes")&gt;=$G41, IFERROR(INDEX(ELEC423!$C$9:'ELEC423'!$C$17, _xlfn.AGGREGATE(15, 6, ROW($1:$11)/SIGN(LEN(ELEC423!S$9:'ELEC423'!S$17)), COUNTIFS(ELEC423!S$9:S$17,"Yes"))),""),"")</f>
        <v/>
      </c>
      <c r="T41" s="87" t="str" cm="1">
        <f t="array" ref="T41">IF(COUNTIFS(ELEC423!T$9:T$17,"Yes")&gt;=$G41, IFERROR(INDEX(ELEC423!$C$9:'ELEC423'!$C$17, _xlfn.AGGREGATE(15, 6, ROW($1:$11)/SIGN(LEN(ELEC423!T$9:'ELEC423'!T$17)), COUNTIFS(ELEC423!T$9:T$17,"Yes"))),""),"")</f>
        <v/>
      </c>
    </row>
    <row r="42" spans="7:23" ht="23" customHeight="1" x14ac:dyDescent="0.2">
      <c r="G42" s="82">
        <v>1</v>
      </c>
      <c r="H42" s="162" t="s">
        <v>265</v>
      </c>
      <c r="I42" s="83" t="str" cm="1">
        <f t="array" ref="I42">IFERROR(INDEX(ELEC473!$C$9:'ELEC473'!$C$17, _xlfn.AGGREGATE(15, 6, ROW($1:$11)/SIGN(LEN(ELEC473!I$9:'ELEC473'!I$17)), 1)),"")</f>
        <v/>
      </c>
      <c r="J42" s="83" t="str" cm="1">
        <f t="array" ref="J42">IFERROR(INDEX(ELEC473!$C$9:'ELEC473'!$C$17, _xlfn.AGGREGATE(15, 6, ROW($1:$11)/SIGN(LEN(ELEC473!J$9:'ELEC473'!J$17)), 1)),"")</f>
        <v/>
      </c>
      <c r="K42" s="83" t="str" cm="1">
        <f t="array" ref="K42">IFERROR(INDEX(ELEC473!$C$9:'ELEC473'!$C$17, _xlfn.AGGREGATE(15, 6, ROW($1:$11)/SIGN(LEN(ELEC473!K$9:'ELEC473'!K$17)), 1)),"")</f>
        <v/>
      </c>
      <c r="L42" s="83" t="str" cm="1">
        <f t="array" ref="L42">IFERROR(INDEX(ELEC473!$C$9:'ELEC473'!$C$17, _xlfn.AGGREGATE(15, 6, ROW($1:$11)/SIGN(LEN(ELEC473!L$9:'ELEC473'!L$17)), 1)),"")</f>
        <v/>
      </c>
      <c r="M42" s="83" t="str" cm="1">
        <f t="array" ref="M42">IFERROR(INDEX(ELEC473!$C$9:'ELEC473'!$C$17, _xlfn.AGGREGATE(15, 6, ROW($1:$11)/SIGN(LEN(ELEC473!M$9:'ELEC473'!M$17)), 1)),"")</f>
        <v/>
      </c>
      <c r="N42" s="83" t="str" cm="1">
        <f t="array" ref="N42">IFERROR(INDEX(ELEC473!$C$9:'ELEC473'!$C$17, _xlfn.AGGREGATE(15, 6, ROW($1:$11)/SIGN(LEN(ELEC473!N$9:'ELEC473'!N$17)), 1)),"")</f>
        <v/>
      </c>
      <c r="O42" s="83" t="str" cm="1">
        <f t="array" ref="O42">IFERROR(INDEX(ELEC473!$C$9:'ELEC473'!$C$17, _xlfn.AGGREGATE(15, 6, ROW($1:$11)/SIGN(LEN(ELEC473!O$9:'ELEC473'!O$17)), 1)),"")</f>
        <v/>
      </c>
      <c r="P42" s="83" t="str" cm="1">
        <f t="array" ref="P42">IFERROR(INDEX(ELEC473!$C$9:'ELEC473'!$C$17, _xlfn.AGGREGATE(15, 6, ROW($1:$11)/SIGN(LEN(ELEC473!P$9:'ELEC473'!P$17)), 1)),"")</f>
        <v/>
      </c>
      <c r="Q42" s="83" t="str" cm="1">
        <f t="array" ref="Q42">IFERROR(INDEX(ELEC473!$C$9:'ELEC473'!$C$17, _xlfn.AGGREGATE(15, 6, ROW($1:$11)/SIGN(LEN(ELEC473!Q$9:'ELEC473'!Q$17)), 1)),"")</f>
        <v>Design Assignment</v>
      </c>
      <c r="R42" s="83" t="str" cm="1">
        <f t="array" ref="R42">IFERROR(INDEX(ELEC473!$C$9:'ELEC473'!$C$17, _xlfn.AGGREGATE(15, 6, ROW($1:$11)/SIGN(LEN(ELEC473!R$9:'ELEC473'!R$17)), 1)),"")</f>
        <v/>
      </c>
      <c r="S42" s="83" t="str" cm="1">
        <f t="array" ref="S42">IFERROR(INDEX(ELEC473!$C$9:'ELEC473'!$C$17, _xlfn.AGGREGATE(15, 6, ROW($1:$11)/SIGN(LEN(ELEC473!S$9:'ELEC473'!S$17)), 1)),"")</f>
        <v/>
      </c>
      <c r="T42" s="86" t="str" cm="1">
        <f t="array" ref="T42">IFERROR(INDEX(ELEC473!$C$9:'ELEC473'!$C$17, _xlfn.AGGREGATE(15, 6, ROW($1:$11)/SIGN(LEN(ELEC473!T$9:'ELEC473'!T$17)), 1)),"")</f>
        <v/>
      </c>
    </row>
    <row r="43" spans="7:23" ht="21" customHeight="1" thickBot="1" x14ac:dyDescent="0.25">
      <c r="G43" s="82">
        <v>2</v>
      </c>
      <c r="H43" s="163"/>
      <c r="I43" s="88" t="str" cm="1">
        <f t="array" ref="I43">IF(COUNTIFS(ELEC473!I$9:I$17,"Yes")&gt;=$G43, IFERROR(INDEX(ELEC473!$C$9:'ELEC473'!$C$17, _xlfn.AGGREGATE(15, 6, ROW($1:$11)/SIGN(LEN(ELEC473!I$9:'ELEC473'!I$17)), COUNTIFS(ELEC473!I$9:I$17,"Yes"))),""),"")</f>
        <v/>
      </c>
      <c r="J43" s="88" t="str" cm="1">
        <f t="array" ref="J43">IF(COUNTIFS(ELEC473!J$9:J$17,"Yes")&gt;=$G43, IFERROR(INDEX(ELEC473!$C$9:'ELEC473'!$C$17, _xlfn.AGGREGATE(15, 6, ROW($1:$11)/SIGN(LEN(ELEC473!J$9:'ELEC473'!J$17)), COUNTIFS(ELEC473!J$9:J$17,"Yes"))),""),"")</f>
        <v/>
      </c>
      <c r="K43" s="88" t="str" cm="1">
        <f t="array" ref="K43">IF(COUNTIFS(ELEC473!K$9:K$17,"Yes")&gt;=$G43, IFERROR(INDEX(ELEC473!$C$9:'ELEC473'!$C$17, _xlfn.AGGREGATE(15, 6, ROW($1:$11)/SIGN(LEN(ELEC473!K$9:'ELEC473'!K$17)), COUNTIFS(ELEC473!K$9:K$17,"Yes"))),""),"")</f>
        <v/>
      </c>
      <c r="L43" s="88" t="str" cm="1">
        <f t="array" ref="L43">IF(COUNTIFS(ELEC473!L$9:L$17,"Yes")&gt;=$G43, IFERROR(INDEX(ELEC473!$C$9:'ELEC473'!$C$17, _xlfn.AGGREGATE(15, 6, ROW($1:$11)/SIGN(LEN(ELEC473!L$9:'ELEC473'!L$17)), COUNTIFS(ELEC473!L$9:L$17,"Yes"))),""),"")</f>
        <v/>
      </c>
      <c r="M43" s="88" t="str" cm="1">
        <f t="array" ref="M43">IF(COUNTIFS(ELEC473!M$9:M$17,"Yes")&gt;=$G43, IFERROR(INDEX(ELEC473!$C$9:'ELEC473'!$C$17, _xlfn.AGGREGATE(15, 6, ROW($1:$11)/SIGN(LEN(ELEC473!M$9:'ELEC473'!M$17)), COUNTIFS(ELEC473!M$9:M$17,"Yes"))),""),"")</f>
        <v/>
      </c>
      <c r="N43" s="88" t="str" cm="1">
        <f t="array" ref="N43">IF(COUNTIFS(ELEC473!N$9:N$17,"Yes")&gt;=$G43, IFERROR(INDEX(ELEC473!$C$9:'ELEC473'!$C$17, _xlfn.AGGREGATE(15, 6, ROW($1:$11)/SIGN(LEN(ELEC473!N$9:'ELEC473'!N$17)), COUNTIFS(ELEC473!N$9:N$17,"Yes"))),""),"")</f>
        <v/>
      </c>
      <c r="O43" s="88" t="str" cm="1">
        <f t="array" ref="O43">IF(COUNTIFS(ELEC473!O$9:O$17,"Yes")&gt;=$G43, IFERROR(INDEX(ELEC473!$C$9:'ELEC473'!$C$17, _xlfn.AGGREGATE(15, 6, ROW($1:$11)/SIGN(LEN(ELEC473!O$9:'ELEC473'!O$17)), COUNTIFS(ELEC473!O$9:O$17,"Yes"))),""),"")</f>
        <v/>
      </c>
      <c r="P43" s="88" t="str" cm="1">
        <f t="array" ref="P43">IF(COUNTIFS(ELEC473!P$9:P$17,"Yes")&gt;=$G43, IFERROR(INDEX(ELEC473!$C$9:'ELEC473'!$C$17, _xlfn.AGGREGATE(15, 6, ROW($1:$11)/SIGN(LEN(ELEC473!P$9:'ELEC473'!P$17)), COUNTIFS(ELEC473!P$9:P$17,"Yes"))),""),"")</f>
        <v/>
      </c>
      <c r="Q43" s="88" t="str" cm="1">
        <f t="array" ref="Q43">IF(COUNTIFS(ELEC473!Q$9:Q$17,"Yes")&gt;=$G43, IFERROR(INDEX(ELEC473!$C$9:'ELEC473'!$C$17, _xlfn.AGGREGATE(15, 6, ROW($1:$11)/SIGN(LEN(ELEC473!Q$9:'ELEC473'!Q$17)), COUNTIFS(ELEC473!Q$9:Q$17,"Yes"))),""),"")</f>
        <v/>
      </c>
      <c r="R43" s="88" t="str" cm="1">
        <f t="array" ref="R43">IF(COUNTIFS(ELEC473!R$9:R$17,"Yes")&gt;=$G43, IFERROR(INDEX(ELEC473!$C$9:'ELEC473'!$C$17, _xlfn.AGGREGATE(15, 6, ROW($1:$11)/SIGN(LEN(ELEC473!R$9:'ELEC473'!R$17)), COUNTIFS(ELEC473!R$9:R$17,"Yes"))),""),"")</f>
        <v/>
      </c>
      <c r="S43" s="88" t="str" cm="1">
        <f t="array" ref="S43">IF(COUNTIFS(ELEC473!S$9:S$17,"Yes")&gt;=$G43, IFERROR(INDEX(ELEC473!$C$9:'ELEC473'!$C$17, _xlfn.AGGREGATE(15, 6, ROW($1:$11)/SIGN(LEN(ELEC473!S$9:'ELEC473'!S$17)), COUNTIFS(ELEC473!S$9:S$17,"Yes"))),""),"")</f>
        <v/>
      </c>
      <c r="T43" s="89" t="str" cm="1">
        <f t="array" ref="T43">IF(COUNTIFS(ELEC473!T$9:T$17,"Yes")&gt;=$G43, IFERROR(INDEX(ELEC473!$C$9:'ELEC473'!$C$17, _xlfn.AGGREGATE(15, 6, ROW($1:$11)/SIGN(LEN(ELEC473!T$9:'ELEC473'!T$17)), COUNTIFS(ELEC473!T$9:T$17,"Yes"))),""),"")</f>
        <v/>
      </c>
    </row>
    <row r="47" spans="7:23" x14ac:dyDescent="0.2">
      <c r="G47" t="s">
        <v>99</v>
      </c>
      <c r="I47" s="18">
        <f ca="1">I9</f>
        <v>19</v>
      </c>
      <c r="J47" s="18">
        <f t="shared" ref="J47:W47" ca="1" si="2">(J9-I9)*(J9&gt;I9)</f>
        <v>3</v>
      </c>
      <c r="K47" s="18">
        <f t="shared" ca="1" si="2"/>
        <v>4</v>
      </c>
      <c r="L47" s="18">
        <f t="shared" ca="1" si="2"/>
        <v>1</v>
      </c>
      <c r="M47" s="18">
        <f t="shared" ca="1" si="2"/>
        <v>9.1000000000000014</v>
      </c>
      <c r="N47" s="18">
        <f t="shared" ca="1" si="2"/>
        <v>21.5</v>
      </c>
      <c r="O47" s="18">
        <f t="shared" ca="1" si="2"/>
        <v>0</v>
      </c>
      <c r="P47" s="18">
        <f t="shared" ca="1" si="2"/>
        <v>45.599999999999994</v>
      </c>
      <c r="Q47" s="18">
        <f t="shared" ca="1" si="2"/>
        <v>0</v>
      </c>
      <c r="R47" s="18">
        <f t="shared" ca="1" si="2"/>
        <v>0</v>
      </c>
      <c r="S47" s="18">
        <f t="shared" ca="1" si="2"/>
        <v>22</v>
      </c>
      <c r="T47" s="18">
        <f t="shared" ca="1" si="2"/>
        <v>0</v>
      </c>
      <c r="U47" s="18">
        <f t="shared" ca="1" si="2"/>
        <v>0</v>
      </c>
      <c r="V47" s="18">
        <f t="shared" ca="1" si="2"/>
        <v>21.824999999999999</v>
      </c>
      <c r="W47" s="18">
        <f t="shared" ca="1" si="2"/>
        <v>53.375000000000007</v>
      </c>
    </row>
    <row r="48" spans="7:23" x14ac:dyDescent="0.2">
      <c r="G48" t="s">
        <v>101</v>
      </c>
      <c r="I48" s="18">
        <f ca="1">I47^2</f>
        <v>361</v>
      </c>
      <c r="J48" s="18">
        <f t="shared" ref="J48:W48" ca="1" si="3">J47^2</f>
        <v>9</v>
      </c>
      <c r="K48" s="18">
        <f t="shared" ca="1" si="3"/>
        <v>16</v>
      </c>
      <c r="L48" s="18">
        <f t="shared" ca="1" si="3"/>
        <v>1</v>
      </c>
      <c r="M48" s="18">
        <f t="shared" ca="1" si="3"/>
        <v>82.810000000000031</v>
      </c>
      <c r="N48" s="18">
        <f t="shared" ca="1" si="3"/>
        <v>462.25</v>
      </c>
      <c r="O48" s="18">
        <f t="shared" ca="1" si="3"/>
        <v>0</v>
      </c>
      <c r="P48" s="18">
        <f t="shared" ca="1" si="3"/>
        <v>2079.3599999999997</v>
      </c>
      <c r="Q48" s="18">
        <f t="shared" ca="1" si="3"/>
        <v>0</v>
      </c>
      <c r="R48" s="18">
        <f t="shared" ca="1" si="3"/>
        <v>0</v>
      </c>
      <c r="S48" s="18">
        <f t="shared" ca="1" si="3"/>
        <v>484</v>
      </c>
      <c r="T48" s="18">
        <f t="shared" ca="1" si="3"/>
        <v>0</v>
      </c>
      <c r="U48" s="18">
        <f t="shared" ca="1" si="3"/>
        <v>0</v>
      </c>
      <c r="V48" s="18">
        <f t="shared" ca="1" si="3"/>
        <v>476.33062499999994</v>
      </c>
      <c r="W48" s="18">
        <f t="shared" ca="1" si="3"/>
        <v>2848.8906250000009</v>
      </c>
    </row>
  </sheetData>
  <mergeCells count="8">
    <mergeCell ref="H40:H41"/>
    <mergeCell ref="H42:H43"/>
    <mergeCell ref="I1:W1"/>
    <mergeCell ref="H10:L10"/>
    <mergeCell ref="I32:T32"/>
    <mergeCell ref="H34:H35"/>
    <mergeCell ref="H36:H37"/>
    <mergeCell ref="H38:H39"/>
  </mergeCells>
  <conditionalFormatting sqref="I9:W9">
    <cfRule type="cellIs" dxfId="563" priority="9" operator="between">
      <formula>(2/3)*$C$10</formula>
      <formula>(1.2)*$C$10</formula>
    </cfRule>
    <cfRule type="cellIs" dxfId="562" priority="10" operator="lessThan">
      <formula>(2/3)*$C$10</formula>
    </cfRule>
    <cfRule type="cellIs" dxfId="561" priority="11" operator="greaterThanOrEqual">
      <formula>1.2*$C$10</formula>
    </cfRule>
  </conditionalFormatting>
  <conditionalFormatting sqref="H9">
    <cfRule type="cellIs" dxfId="560" priority="7" stopIfTrue="1" operator="equal">
      <formula>$B$7*10</formula>
    </cfRule>
    <cfRule type="cellIs" dxfId="559" priority="8" operator="notEqual">
      <formula>$B$7*10</formula>
    </cfRule>
  </conditionalFormatting>
  <conditionalFormatting sqref="I19:T21">
    <cfRule type="beginsWith" dxfId="558" priority="5" stopIfTrue="1" operator="beginsWith" text="0">
      <formula>LEFT(I19,LEN("0"))="0"</formula>
    </cfRule>
  </conditionalFormatting>
  <conditionalFormatting sqref="N22">
    <cfRule type="beginsWith" dxfId="557" priority="6" stopIfTrue="1" operator="beginsWith" text="0">
      <formula>LEFT(N22,LEN("0"))="0"</formula>
    </cfRule>
  </conditionalFormatting>
  <conditionalFormatting sqref="H10">
    <cfRule type="containsText" dxfId="556" priority="4" operator="containsText" text="OK">
      <formula>NOT(ISERROR(SEARCH("OK",H10)))</formula>
    </cfRule>
  </conditionalFormatting>
  <conditionalFormatting sqref="H10">
    <cfRule type="containsText" dxfId="555" priority="3" operator="containsText" text="don't">
      <formula>NOT(ISERROR(SEARCH("don't",H10)))</formula>
    </cfRule>
  </conditionalFormatting>
  <conditionalFormatting sqref="I34:T41">
    <cfRule type="cellIs" dxfId="554" priority="2" operator="notEqual">
      <formula>$I$34</formula>
    </cfRule>
  </conditionalFormatting>
  <conditionalFormatting sqref="I42:T43">
    <cfRule type="cellIs" dxfId="553" priority="1" operator="notEqual">
      <formula>$I$34</formula>
    </cfRule>
  </conditionalFormatting>
  <conditionalFormatting sqref="H19:H21">
    <cfRule type="expression" dxfId="552" priority="29">
      <formula>ABS($H$9-$C$7&gt;=1)</formula>
    </cfRule>
  </conditionalFormatting>
  <dataValidations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545FA7AC-1959-4947-A20C-F2DD21EDFED3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0FF5C-8DCF-DE49-95BC-2FD0178125E8}">
  <dimension ref="A1:Y47"/>
  <sheetViews>
    <sheetView topLeftCell="A14" zoomScaleNormal="100" workbookViewId="0">
      <selection activeCell="H32" sqref="H32:T42"/>
    </sheetView>
  </sheetViews>
  <sheetFormatPr baseColWidth="10" defaultColWidth="11.5" defaultRowHeight="15" x14ac:dyDescent="0.2"/>
  <cols>
    <col min="1" max="2" width="21.5" customWidth="1"/>
    <col min="3" max="3" width="8.83203125" customWidth="1"/>
    <col min="4" max="4" width="5.6640625" customWidth="1"/>
    <col min="5" max="5" width="9.5" customWidth="1"/>
    <col min="6" max="6" width="7.6640625" customWidth="1"/>
    <col min="7" max="7" width="9" customWidth="1"/>
    <col min="8" max="8" width="9.6640625" customWidth="1"/>
    <col min="9" max="23" width="7.6640625" style="10" customWidth="1"/>
  </cols>
  <sheetData>
    <row r="1" spans="1:25" ht="25" thickBot="1" x14ac:dyDescent="0.35">
      <c r="A1" s="9" t="s">
        <v>116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67" x14ac:dyDescent="0.3">
      <c r="A2" s="75" t="s">
        <v>117</v>
      </c>
      <c r="B2" s="149" t="s">
        <v>267</v>
      </c>
      <c r="C2" s="49" t="s">
        <v>64</v>
      </c>
      <c r="D2" s="49"/>
      <c r="E2" s="49"/>
      <c r="F2" s="49" t="s">
        <v>126</v>
      </c>
      <c r="G2" s="49" t="s">
        <v>125</v>
      </c>
      <c r="H2" s="49" t="s">
        <v>124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74">
        <v>13</v>
      </c>
      <c r="V2" s="74">
        <v>14</v>
      </c>
      <c r="W2" s="74">
        <v>15</v>
      </c>
    </row>
    <row r="3" spans="1:25" ht="16" x14ac:dyDescent="0.2">
      <c r="A3" s="7" t="s">
        <v>118</v>
      </c>
      <c r="B3" s="68" t="s">
        <v>252</v>
      </c>
      <c r="E3" s="11" t="s">
        <v>253</v>
      </c>
      <c r="F3" s="50">
        <f ca="1">ELEC483!$B20</f>
        <v>1347.02</v>
      </c>
      <c r="G3" s="50">
        <f ca="1">ELEC483!$B20*ELEC483!$B6/$B7</f>
        <v>168.3775</v>
      </c>
      <c r="H3" s="69">
        <f ca="1">ELEC483!H30</f>
        <v>85.300000000000011</v>
      </c>
      <c r="I3" s="93">
        <f ca="1">ELEC483!I30</f>
        <v>1</v>
      </c>
      <c r="J3" s="93">
        <f ca="1">ELEC483!J30</f>
        <v>2</v>
      </c>
      <c r="K3" s="93">
        <f ca="1">ELEC483!K30</f>
        <v>2</v>
      </c>
      <c r="L3" s="93">
        <f ca="1">ELEC483!L30</f>
        <v>4</v>
      </c>
      <c r="M3" s="93">
        <f ca="1">ELEC483!M30</f>
        <v>8.1</v>
      </c>
      <c r="N3" s="93">
        <f ca="1">ELEC483!N30</f>
        <v>30.6</v>
      </c>
      <c r="O3" s="93">
        <f ca="1">ELEC483!O30</f>
        <v>2</v>
      </c>
      <c r="P3" s="93">
        <f ca="1">ELEC483!P30</f>
        <v>30.6</v>
      </c>
      <c r="Q3" s="93">
        <f ca="1">ELEC483!Q30</f>
        <v>2</v>
      </c>
      <c r="R3" s="93">
        <f ca="1">ELEC483!R30</f>
        <v>1</v>
      </c>
      <c r="S3" s="93">
        <f ca="1">ELEC483!S30</f>
        <v>1</v>
      </c>
      <c r="T3" s="93">
        <f ca="1">ELEC483!T30</f>
        <v>1</v>
      </c>
      <c r="U3" s="93">
        <f ca="1">ELEC483!U30</f>
        <v>0</v>
      </c>
      <c r="V3" s="93">
        <f ca="1">ELEC483!V30</f>
        <v>0</v>
      </c>
      <c r="W3" s="93">
        <f ca="1">ELEC483!W30</f>
        <v>0</v>
      </c>
    </row>
    <row r="4" spans="1:25" x14ac:dyDescent="0.2">
      <c r="A4" s="7" t="s">
        <v>53</v>
      </c>
      <c r="B4" s="92" t="s">
        <v>241</v>
      </c>
      <c r="E4" s="11" t="s">
        <v>254</v>
      </c>
      <c r="F4" s="50">
        <f ca="1">ELEC431!$B20</f>
        <v>1749.5</v>
      </c>
      <c r="G4" s="50">
        <f ca="1">ELEC431!$B20*ELEC431!$B6/$B7</f>
        <v>437.375</v>
      </c>
      <c r="H4" s="69">
        <f ca="1">ELEC431!H30</f>
        <v>168</v>
      </c>
      <c r="I4" s="93">
        <f ca="1">ELEC431!I30</f>
        <v>7</v>
      </c>
      <c r="J4" s="93">
        <f ca="1">ELEC431!J30</f>
        <v>6</v>
      </c>
      <c r="K4" s="93">
        <f ca="1">ELEC431!K30</f>
        <v>7</v>
      </c>
      <c r="L4" s="93">
        <f ca="1">ELEC431!L30</f>
        <v>9</v>
      </c>
      <c r="M4" s="93">
        <f ca="1">ELEC431!M30</f>
        <v>11</v>
      </c>
      <c r="N4" s="93">
        <f ca="1">ELEC431!N30</f>
        <v>13</v>
      </c>
      <c r="O4" s="93">
        <f ca="1">ELEC431!O30</f>
        <v>16</v>
      </c>
      <c r="P4" s="93">
        <f ca="1">ELEC431!P30</f>
        <v>32.5</v>
      </c>
      <c r="Q4" s="93">
        <f ca="1">ELEC431!Q30</f>
        <v>15</v>
      </c>
      <c r="R4" s="93">
        <f ca="1">ELEC431!R30</f>
        <v>7</v>
      </c>
      <c r="S4" s="93">
        <f ca="1">ELEC431!S30</f>
        <v>44.5</v>
      </c>
      <c r="T4" s="93">
        <f ca="1">ELEC431!T30</f>
        <v>0</v>
      </c>
      <c r="U4" s="93">
        <f ca="1">ELEC431!U30</f>
        <v>0</v>
      </c>
      <c r="V4" s="93">
        <f ca="1">ELEC431!V30</f>
        <v>0</v>
      </c>
      <c r="W4" s="93">
        <f ca="1">ELEC431!W30</f>
        <v>0</v>
      </c>
    </row>
    <row r="5" spans="1:25" ht="16" thickBot="1" x14ac:dyDescent="0.25">
      <c r="A5" t="s">
        <v>50</v>
      </c>
      <c r="B5" s="36">
        <v>1</v>
      </c>
      <c r="E5" s="11" t="s">
        <v>259</v>
      </c>
      <c r="F5" s="50">
        <f ca="1">ELEC477!$B20</f>
        <v>729.23000000000025</v>
      </c>
      <c r="G5" s="50">
        <f ca="1">ELEC477!$B20*ELEC477!$B6/$B7</f>
        <v>182.30750000000006</v>
      </c>
      <c r="H5" s="69">
        <f ca="1">ELEC477!H30</f>
        <v>150</v>
      </c>
      <c r="I5" s="93">
        <f ca="1">ELEC477!I30</f>
        <v>6</v>
      </c>
      <c r="J5" s="93">
        <f ca="1">ELEC477!J30</f>
        <v>6</v>
      </c>
      <c r="K5" s="93">
        <f ca="1">ELEC477!K30</f>
        <v>7</v>
      </c>
      <c r="L5" s="93">
        <f ca="1">ELEC477!L30</f>
        <v>6</v>
      </c>
      <c r="M5" s="93">
        <f ca="1">ELEC477!M30</f>
        <v>3</v>
      </c>
      <c r="N5" s="93">
        <f ca="1">ELEC477!N30</f>
        <v>6</v>
      </c>
      <c r="O5" s="93">
        <f ca="1">ELEC477!O30</f>
        <v>2</v>
      </c>
      <c r="P5" s="93">
        <f ca="1">ELEC477!P30</f>
        <v>6</v>
      </c>
      <c r="Q5" s="93">
        <f ca="1">ELEC477!Q30</f>
        <v>7</v>
      </c>
      <c r="R5" s="93">
        <f ca="1">ELEC477!R30</f>
        <v>6</v>
      </c>
      <c r="S5" s="93">
        <f ca="1">ELEC477!S30</f>
        <v>7</v>
      </c>
      <c r="T5" s="93">
        <f ca="1">ELEC477!T30</f>
        <v>7</v>
      </c>
      <c r="U5" s="93">
        <f ca="1">ELEC477!U30</f>
        <v>11.7</v>
      </c>
      <c r="V5" s="93">
        <f ca="1">ELEC477!V30</f>
        <v>23.4</v>
      </c>
      <c r="W5" s="93">
        <f ca="1">ELEC477!W30</f>
        <v>45.900000000000006</v>
      </c>
    </row>
    <row r="6" spans="1:25" x14ac:dyDescent="0.2">
      <c r="A6" t="s">
        <v>119</v>
      </c>
      <c r="B6" s="72">
        <f>ROUND((ELEC483!B6*ELEC483!B7 + ELEC431!B6*ELEC431!B7 + ELEC477!B6*ELEC477!B7 + ELEC462!B6*ELEC462!B7  + ELEC474!B6*ELEC474!B7)/100,1)</f>
        <v>27.3</v>
      </c>
      <c r="C6">
        <f>B6*10</f>
        <v>273</v>
      </c>
      <c r="E6" s="11" t="s">
        <v>260</v>
      </c>
      <c r="F6" s="50">
        <f ca="1">ELEC462!$B20</f>
        <v>99.890625</v>
      </c>
      <c r="G6" s="50">
        <f ca="1">ELEC462!$B20*ELEC462!$B6/$B7</f>
        <v>12.486328125</v>
      </c>
      <c r="H6" s="69">
        <f ca="1">ELEC462!H30</f>
        <v>75</v>
      </c>
      <c r="I6" s="93">
        <f ca="1">ELEC462!I30</f>
        <v>6</v>
      </c>
      <c r="J6" s="93">
        <f ca="1">ELEC462!J30</f>
        <v>6</v>
      </c>
      <c r="K6" s="93">
        <f ca="1">ELEC462!K30</f>
        <v>7</v>
      </c>
      <c r="L6" s="93">
        <f ca="1">ELEC462!L30</f>
        <v>6</v>
      </c>
      <c r="M6" s="93">
        <f ca="1">ELEC462!M30</f>
        <v>3</v>
      </c>
      <c r="N6" s="93">
        <f ca="1">ELEC462!N30</f>
        <v>6</v>
      </c>
      <c r="O6" s="93">
        <f ca="1">ELEC462!O30</f>
        <v>2</v>
      </c>
      <c r="P6" s="93">
        <f ca="1">ELEC462!P30</f>
        <v>6</v>
      </c>
      <c r="Q6" s="93">
        <f ca="1">ELEC462!Q30</f>
        <v>7</v>
      </c>
      <c r="R6" s="93">
        <f ca="1">ELEC462!R30</f>
        <v>6</v>
      </c>
      <c r="S6" s="93">
        <f ca="1">ELEC462!S30</f>
        <v>7</v>
      </c>
      <c r="T6" s="93">
        <f ca="1">ELEC462!T30</f>
        <v>12.5</v>
      </c>
      <c r="U6" s="93">
        <f ca="1">ELEC462!U30</f>
        <v>-0.375</v>
      </c>
      <c r="V6" s="93">
        <f ca="1">ELEC462!V30</f>
        <v>-0.75</v>
      </c>
      <c r="W6" s="93">
        <f ca="1">ELEC462!W30</f>
        <v>1.625</v>
      </c>
    </row>
    <row r="7" spans="1:25" x14ac:dyDescent="0.2">
      <c r="A7" t="s">
        <v>183</v>
      </c>
      <c r="B7" s="70">
        <f>ROUND(ELEC483!B6+ ELEC431!B6  + ELEC477!B6  + ELEC462!B6 + ELEC474!B6,0)</f>
        <v>60</v>
      </c>
      <c r="C7">
        <f>B7*10</f>
        <v>600</v>
      </c>
      <c r="E7" s="11" t="s">
        <v>261</v>
      </c>
      <c r="F7" s="50">
        <f ca="1">ELEC474!$B20</f>
        <v>796.04187500000012</v>
      </c>
      <c r="G7" s="50">
        <f ca="1">ELEC474!$B20*ELEC474!$B6/$B7</f>
        <v>199.01046875000003</v>
      </c>
      <c r="H7" s="69">
        <f ca="1">ELEC474!H30</f>
        <v>150</v>
      </c>
      <c r="I7" s="93">
        <f ca="1">ELEC474!I30</f>
        <v>6</v>
      </c>
      <c r="J7" s="93">
        <f ca="1">ELEC474!J30</f>
        <v>6</v>
      </c>
      <c r="K7" s="93">
        <f ca="1">ELEC474!K30</f>
        <v>7</v>
      </c>
      <c r="L7" s="93">
        <f ca="1">ELEC474!L30</f>
        <v>6</v>
      </c>
      <c r="M7" s="93">
        <f ca="1">ELEC474!M30</f>
        <v>3</v>
      </c>
      <c r="N7" s="93">
        <f ca="1">ELEC474!N30</f>
        <v>6</v>
      </c>
      <c r="O7" s="93">
        <f ca="1">ELEC474!O30</f>
        <v>2</v>
      </c>
      <c r="P7" s="93">
        <f ca="1">ELEC474!P30</f>
        <v>6</v>
      </c>
      <c r="Q7" s="93">
        <f ca="1">ELEC474!Q30</f>
        <v>7</v>
      </c>
      <c r="R7" s="93">
        <f ca="1">ELEC474!R30</f>
        <v>25.5</v>
      </c>
      <c r="S7" s="93">
        <f ca="1">ELEC474!S30</f>
        <v>7</v>
      </c>
      <c r="T7" s="93">
        <f ca="1">ELEC474!T30</f>
        <v>7</v>
      </c>
      <c r="U7" s="93">
        <f ca="1">ELEC474!U30</f>
        <v>8.7750000000000004</v>
      </c>
      <c r="V7" s="93">
        <f ca="1">ELEC474!V30</f>
        <v>17.55</v>
      </c>
      <c r="W7" s="93">
        <f ca="1">ELEC474!W30</f>
        <v>35.175000000000004</v>
      </c>
    </row>
    <row r="8" spans="1:25" ht="16" thickBot="1" x14ac:dyDescent="0.25">
      <c r="A8" t="s">
        <v>55</v>
      </c>
      <c r="B8" s="71">
        <f>ELEC483!B8+ ELEC431!B8  + ELEC477!B8  + ELEC462!B8 + ELEC474!B8</f>
        <v>9</v>
      </c>
      <c r="E8" s="12" t="s">
        <v>28</v>
      </c>
      <c r="F8" s="112">
        <f ca="1">SUM(F3:F6)</f>
        <v>3925.640625</v>
      </c>
      <c r="G8" s="112">
        <f ca="1">SUM(G3:G6)</f>
        <v>800.54632812500017</v>
      </c>
      <c r="H8" s="21">
        <f ca="1">SUM(I8:W8)</f>
        <v>628.30000000000007</v>
      </c>
      <c r="I8" s="94">
        <f ca="1">SUM(I3:I7)</f>
        <v>26</v>
      </c>
      <c r="J8" s="94">
        <f t="shared" ref="J8:W8" ca="1" si="0">SUM(J3:J7)</f>
        <v>26</v>
      </c>
      <c r="K8" s="94">
        <f t="shared" ca="1" si="0"/>
        <v>30</v>
      </c>
      <c r="L8" s="94">
        <f t="shared" ca="1" si="0"/>
        <v>31</v>
      </c>
      <c r="M8" s="94">
        <f t="shared" ca="1" si="0"/>
        <v>28.1</v>
      </c>
      <c r="N8" s="94">
        <f t="shared" ca="1" si="0"/>
        <v>61.6</v>
      </c>
      <c r="O8" s="94">
        <f t="shared" ca="1" si="0"/>
        <v>24</v>
      </c>
      <c r="P8" s="94">
        <f t="shared" ca="1" si="0"/>
        <v>81.099999999999994</v>
      </c>
      <c r="Q8" s="94">
        <f t="shared" ca="1" si="0"/>
        <v>38</v>
      </c>
      <c r="R8" s="94">
        <f t="shared" ca="1" si="0"/>
        <v>45.5</v>
      </c>
      <c r="S8" s="94">
        <f t="shared" ca="1" si="0"/>
        <v>66.5</v>
      </c>
      <c r="T8" s="94">
        <f t="shared" ca="1" si="0"/>
        <v>27.5</v>
      </c>
      <c r="U8" s="94">
        <f t="shared" ca="1" si="0"/>
        <v>20.100000000000001</v>
      </c>
      <c r="V8" s="94">
        <f t="shared" ca="1" si="0"/>
        <v>40.200000000000003</v>
      </c>
      <c r="W8" s="94">
        <f t="shared" ca="1" si="0"/>
        <v>82.700000000000017</v>
      </c>
    </row>
    <row r="9" spans="1:25" ht="16" thickBot="1" x14ac:dyDescent="0.25">
      <c r="A9" t="s">
        <v>177</v>
      </c>
      <c r="C9">
        <f>C7/15</f>
        <v>40</v>
      </c>
      <c r="H9" s="165" t="str">
        <f ca="1">IF(ROUND(H8,0)=ROUND(C7,0),"Total hours OK","Total hours don't add up correctly!")</f>
        <v>Total hours don't add up correctly!</v>
      </c>
      <c r="I9" s="165"/>
      <c r="J9" s="165"/>
      <c r="K9" s="165"/>
      <c r="L9" s="165"/>
      <c r="U9" s="10" t="s">
        <v>22</v>
      </c>
    </row>
    <row r="10" spans="1:25" ht="34" thickTop="1" thickBot="1" x14ac:dyDescent="0.25">
      <c r="A10" s="63" t="s">
        <v>100</v>
      </c>
      <c r="B10" s="73">
        <f ca="1">SUM(I47:W47)</f>
        <v>7783.170000000001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5" ht="16" thickTop="1" x14ac:dyDescent="0.2"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5" x14ac:dyDescent="0.2">
      <c r="Y12" s="17"/>
    </row>
    <row r="13" spans="1:25" x14ac:dyDescent="0.2">
      <c r="Y13" s="17"/>
    </row>
    <row r="14" spans="1:25" x14ac:dyDescent="0.2">
      <c r="Y14" s="17"/>
    </row>
    <row r="15" spans="1:25" x14ac:dyDescent="0.2">
      <c r="Y15" s="17"/>
    </row>
    <row r="16" spans="1:25" x14ac:dyDescent="0.2">
      <c r="Y16" s="17"/>
    </row>
    <row r="18" spans="7:24" ht="21" customHeight="1" x14ac:dyDescent="0.2">
      <c r="G18" s="17"/>
      <c r="H18" s="50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51"/>
      <c r="V18" s="51"/>
      <c r="W18" s="51"/>
      <c r="X18" s="17"/>
    </row>
    <row r="19" spans="7:24" ht="21" customHeight="1" x14ac:dyDescent="0.2">
      <c r="G19" s="17"/>
      <c r="H19" s="50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51"/>
      <c r="V19" s="51"/>
      <c r="W19" s="51"/>
      <c r="X19" s="17"/>
    </row>
    <row r="20" spans="7:24" ht="21" customHeight="1" x14ac:dyDescent="0.2">
      <c r="G20" s="17"/>
      <c r="H20" s="50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51"/>
      <c r="V20" s="51"/>
      <c r="W20" s="51"/>
      <c r="X20" s="17"/>
    </row>
    <row r="21" spans="7:24" x14ac:dyDescent="0.2">
      <c r="N21" s="25"/>
      <c r="U21" s="18"/>
      <c r="V21" s="18"/>
    </row>
    <row r="22" spans="7:24" x14ac:dyDescent="0.2">
      <c r="G22" s="17"/>
      <c r="H22" s="17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</row>
    <row r="23" spans="7:24" x14ac:dyDescent="0.2">
      <c r="G23" s="20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</row>
    <row r="28" spans="7:24" x14ac:dyDescent="0.2">
      <c r="I28" s="85">
        <f>C9</f>
        <v>40</v>
      </c>
      <c r="J28" s="85">
        <f>I28</f>
        <v>40</v>
      </c>
      <c r="K28" s="85">
        <f t="shared" ref="K28:W28" si="1">J28</f>
        <v>40</v>
      </c>
      <c r="L28" s="85">
        <f t="shared" si="1"/>
        <v>40</v>
      </c>
      <c r="M28" s="85">
        <f t="shared" si="1"/>
        <v>40</v>
      </c>
      <c r="N28" s="85">
        <f t="shared" si="1"/>
        <v>40</v>
      </c>
      <c r="O28" s="85">
        <f t="shared" si="1"/>
        <v>40</v>
      </c>
      <c r="P28" s="85">
        <f t="shared" si="1"/>
        <v>40</v>
      </c>
      <c r="Q28" s="85">
        <f t="shared" si="1"/>
        <v>40</v>
      </c>
      <c r="R28" s="85">
        <f t="shared" si="1"/>
        <v>40</v>
      </c>
      <c r="S28" s="85">
        <f t="shared" si="1"/>
        <v>40</v>
      </c>
      <c r="T28" s="85">
        <f t="shared" si="1"/>
        <v>40</v>
      </c>
      <c r="U28" s="85">
        <f t="shared" si="1"/>
        <v>40</v>
      </c>
      <c r="V28" s="85">
        <f t="shared" si="1"/>
        <v>40</v>
      </c>
      <c r="W28" s="85">
        <f t="shared" si="1"/>
        <v>40</v>
      </c>
    </row>
    <row r="29" spans="7:24" x14ac:dyDescent="0.2">
      <c r="G29" s="90"/>
      <c r="H29" s="91">
        <f>C7-462</f>
        <v>138</v>
      </c>
    </row>
    <row r="30" spans="7:24" ht="33" customHeight="1" x14ac:dyDescent="0.2">
      <c r="I30" s="133" t="s">
        <v>270</v>
      </c>
      <c r="J30" s="132"/>
      <c r="K30" s="132"/>
      <c r="L30" s="132"/>
      <c r="M30" s="132"/>
      <c r="N30" s="132"/>
      <c r="O30" s="132"/>
    </row>
    <row r="31" spans="7:24" ht="15" customHeight="1" thickBot="1" x14ac:dyDescent="0.25">
      <c r="I31" s="164" t="s">
        <v>134</v>
      </c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80"/>
      <c r="V31" s="80"/>
      <c r="W31" s="80"/>
    </row>
    <row r="32" spans="7:24" x14ac:dyDescent="0.2">
      <c r="H32" s="77"/>
      <c r="I32" s="78">
        <v>1</v>
      </c>
      <c r="J32" s="78">
        <v>2</v>
      </c>
      <c r="K32" s="78">
        <v>3</v>
      </c>
      <c r="L32" s="78">
        <v>4</v>
      </c>
      <c r="M32" s="78">
        <v>5</v>
      </c>
      <c r="N32" s="78">
        <v>6</v>
      </c>
      <c r="O32" s="78">
        <v>7</v>
      </c>
      <c r="P32" s="78">
        <v>8</v>
      </c>
      <c r="Q32" s="78">
        <v>9</v>
      </c>
      <c r="R32" s="78">
        <v>10</v>
      </c>
      <c r="S32" s="78">
        <v>11</v>
      </c>
      <c r="T32" s="79">
        <v>12</v>
      </c>
      <c r="U32" s="74">
        <v>13</v>
      </c>
      <c r="V32" s="74">
        <v>14</v>
      </c>
      <c r="W32" s="74">
        <v>15</v>
      </c>
    </row>
    <row r="33" spans="7:23" ht="24" customHeight="1" x14ac:dyDescent="0.2">
      <c r="G33" s="82">
        <v>1</v>
      </c>
      <c r="H33" s="166" t="s">
        <v>253</v>
      </c>
      <c r="I33" s="83" t="str" cm="1">
        <f t="array" ref="I33">IFERROR(INDEX(ELEC483!$C$9:'ELEC483'!$C$17, _xlfn.AGGREGATE(15, 6, ROW($1:$10)/SIGN(LEN(ELEC483!I$9:'ELEC483'!I$17)), 1)),"")</f>
        <v/>
      </c>
      <c r="J33" s="83" t="str" cm="1">
        <f t="array" ref="J33">IFERROR(INDEX(ELEC483!$C$9:'ELEC483'!$C$17, _xlfn.AGGREGATE(15, 6, ROW($1:$10)/SIGN(LEN(ELEC483!J$9:'ELEC483'!J$17)), 1)),"")</f>
        <v/>
      </c>
      <c r="K33" s="83" t="str" cm="1">
        <f t="array" ref="K33">IFERROR(INDEX(ELEC483!$C$9:'ELEC483'!$C$17, _xlfn.AGGREGATE(15, 6, ROW($1:$10)/SIGN(LEN(ELEC483!K$9:'ELEC483'!K$17)), 1)),"")</f>
        <v/>
      </c>
      <c r="L33" s="83" t="str" cm="1">
        <f t="array" ref="L33">IFERROR(INDEX(ELEC483!$C$9:'ELEC483'!$C$17, _xlfn.AGGREGATE(15, 6, ROW($1:$10)/SIGN(LEN(ELEC483!L$9:'ELEC483'!L$17)), 1)),"")</f>
        <v>Graduates First</v>
      </c>
      <c r="M33" s="83" t="str" cm="1">
        <f t="array" ref="M33">IFERROR(INDEX(ELEC483!$C$9:'ELEC483'!$C$17, _xlfn.AGGREGATE(15, 6, ROW($1:$10)/SIGN(LEN(ELEC483!M$9:'ELEC483'!M$17)), 1)),"")</f>
        <v>LinkedIn</v>
      </c>
      <c r="N33" s="83" t="str" cm="1">
        <f t="array" ref="N33">IFERROR(INDEX(ELEC483!$C$9:'ELEC483'!$C$17, _xlfn.AGGREGATE(15, 6, ROW($1:$10)/SIGN(LEN(ELEC483!N$9:'ELEC483'!N$17)), 1)),"")</f>
        <v>Short Pilot Literature Review</v>
      </c>
      <c r="O33" s="83" t="str" cm="1">
        <f t="array" ref="O33">IFERROR(INDEX(ELEC483!$C$9:'ELEC483'!$C$17, _xlfn.AGGREGATE(15, 6, ROW($1:$10)/SIGN(LEN(ELEC483!O$9:'ELEC483'!O$17)), 1)),"")</f>
        <v/>
      </c>
      <c r="P33" s="83" t="str" cm="1">
        <f t="array" ref="P33">IFERROR(INDEX(ELEC483!$C$9:'ELEC483'!$C$17, _xlfn.AGGREGATE(15, 6, ROW($1:$10)/SIGN(LEN(ELEC483!P$9:'ELEC483'!P$17)), 1)),"")</f>
        <v>Oral Presentation</v>
      </c>
      <c r="Q33" s="83" t="str" cm="1">
        <f t="array" ref="Q33">IFERROR(INDEX(ELEC483!$C$9:'ELEC483'!$C$17, _xlfn.AGGREGATE(15, 6, ROW($1:$10)/SIGN(LEN(ELEC483!Q$9:'ELEC483'!Q$17)), 1)),"")</f>
        <v/>
      </c>
      <c r="R33" s="83" t="str" cm="1">
        <f t="array" ref="R33">IFERROR(INDEX(ELEC483!$C$9:'ELEC483'!$C$17, _xlfn.AGGREGATE(15, 6, ROW($1:$10)/SIGN(LEN(ELEC483!R$9:'ELEC483'!R$17)), 1)),"")</f>
        <v/>
      </c>
      <c r="S33" s="83" t="str" cm="1">
        <f t="array" ref="S33">IFERROR(INDEX(ELEC483!$C$9:'ELEC483'!$C$17, _xlfn.AGGREGATE(15, 6, ROW($1:$10)/SIGN(LEN(ELEC483!S$9:'ELEC483'!S$17)), 1)),"")</f>
        <v/>
      </c>
      <c r="T33" s="86" t="str" cm="1">
        <f t="array" ref="T33">IFERROR(INDEX(ELEC483!$C$9:'ELEC483'!$C$17, _xlfn.AGGREGATE(15, 6, ROW($1:$10)/SIGN(LEN(ELEC483!T$9:'ELEC483'!T$17)), 1)),"")</f>
        <v/>
      </c>
    </row>
    <row r="34" spans="7:23" ht="24" customHeight="1" x14ac:dyDescent="0.2">
      <c r="G34" s="82">
        <v>2</v>
      </c>
      <c r="H34" s="167"/>
      <c r="I34" s="84" t="str" cm="1">
        <f t="array" ref="I34">IF(COUNTIFS(ELEC483!I$9:I$17,"Yes")&gt;=$G34, IFERROR(INDEX(ELEC483!$C$9:'ELEC483'!$C$17, _xlfn.AGGREGATE(15, 6, ROW($1:$10)/SIGN(LEN(ELEC483!I$9:'ELEC483'!I$17)), COUNTIFS(ELEC483!I$9:I$17,"Yes"))),""),"")</f>
        <v/>
      </c>
      <c r="J34" s="84" t="str" cm="1">
        <f t="array" ref="J34">IF(COUNTIFS(ELEC483!J$9:J$17,"Yes")&gt;=$G34, IFERROR(INDEX(ELEC483!$C$9:'ELEC483'!$C$17, _xlfn.AGGREGATE(15, 6, ROW($1:$10)/SIGN(LEN(ELEC483!J$9:'ELEC483'!J$17)), COUNTIFS(ELEC483!J$9:J$17,"Yes"))),""),"")</f>
        <v/>
      </c>
      <c r="K34" s="84" t="str" cm="1">
        <f t="array" ref="K34">IF(COUNTIFS(ELEC483!K$9:K$17,"Yes")&gt;=$G34, IFERROR(INDEX(ELEC483!$C$9:'ELEC483'!$C$17, _xlfn.AGGREGATE(15, 6, ROW($1:$10)/SIGN(LEN(ELEC483!K$9:'ELEC483'!K$17)), COUNTIFS(ELEC483!K$9:K$17,"Yes"))),""),"")</f>
        <v/>
      </c>
      <c r="L34" s="84" t="str" cm="1">
        <f t="array" ref="L34">IF(COUNTIFS(ELEC483!L$9:L$17,"Yes")&gt;=$G34, IFERROR(INDEX(ELEC483!$C$9:'ELEC483'!$C$17, _xlfn.AGGREGATE(15, 6, ROW($1:$10)/SIGN(LEN(ELEC483!L$9:'ELEC483'!L$17)), COUNTIFS(ELEC483!L$9:L$17,"Yes"))),""),"")</f>
        <v/>
      </c>
      <c r="M34" s="84" t="str" cm="1">
        <f t="array" ref="M34">IF(COUNTIFS(ELEC483!M$9:M$17,"Yes")&gt;=$G34, IFERROR(INDEX(ELEC483!$C$9:'ELEC483'!$C$17, _xlfn.AGGREGATE(15, 6, ROW($1:$10)/SIGN(LEN(ELEC483!M$9:'ELEC483'!M$17)), COUNTIFS(ELEC483!M$9:M$17,"Yes"))),""),"")</f>
        <v/>
      </c>
      <c r="N34" s="84" t="str" cm="1">
        <f t="array" ref="N34">IF(COUNTIFS(ELEC483!N$9:N$17,"Yes")&gt;=$G34, IFERROR(INDEX(ELEC483!$C$9:'ELEC483'!$C$17, _xlfn.AGGREGATE(15, 6, ROW($1:$10)/SIGN(LEN(ELEC483!N$9:'ELEC483'!N$17)), COUNTIFS(ELEC483!N$9:N$17,"Yes"))),""),"")</f>
        <v/>
      </c>
      <c r="O34" s="84" t="str" cm="1">
        <f t="array" ref="O34">IF(COUNTIFS(ELEC483!O$9:O$17,"Yes")&gt;=$G34, IFERROR(INDEX(ELEC483!$C$9:'ELEC483'!$C$17, _xlfn.AGGREGATE(15, 6, ROW($1:$10)/SIGN(LEN(ELEC483!O$9:'ELEC483'!O$17)), COUNTIFS(ELEC483!O$9:O$17,"Yes"))),""),"")</f>
        <v/>
      </c>
      <c r="P34" s="84" t="str" cm="1">
        <f t="array" ref="P34">IF(COUNTIFS(ELEC483!P$9:P$17,"Yes")&gt;=$G34, IFERROR(INDEX(ELEC483!$C$9:'ELEC483'!$C$17, _xlfn.AGGREGATE(15, 6, ROW($1:$10)/SIGN(LEN(ELEC483!P$9:'ELEC483'!P$17)), COUNTIFS(ELEC483!P$9:P$17,"Yes"))),""),"")</f>
        <v/>
      </c>
      <c r="Q34" s="84" t="str" cm="1">
        <f t="array" ref="Q34">IF(COUNTIFS(ELEC483!Q$9:Q$17,"Yes")&gt;=$G34, IFERROR(INDEX(ELEC483!$C$9:'ELEC483'!$C$17, _xlfn.AGGREGATE(15, 6, ROW($1:$10)/SIGN(LEN(ELEC483!Q$9:'ELEC483'!Q$17)), COUNTIFS(ELEC483!Q$9:Q$17,"Yes"))),""),"")</f>
        <v/>
      </c>
      <c r="R34" s="84" t="str" cm="1">
        <f t="array" ref="R34">IF(COUNTIFS(ELEC483!R$9:R$17,"Yes")&gt;=$G34, IFERROR(INDEX(ELEC483!$C$9:'ELEC483'!$C$17, _xlfn.AGGREGATE(15, 6, ROW($1:$10)/SIGN(LEN(ELEC483!R$9:'ELEC483'!R$17)), COUNTIFS(ELEC483!R$9:R$17,"Yes"))),""),"")</f>
        <v/>
      </c>
      <c r="S34" s="84" t="str" cm="1">
        <f t="array" ref="S34">IF(COUNTIFS(ELEC483!S$9:S$17,"Yes")&gt;=$G34, IFERROR(INDEX(ELEC483!$C$9:'ELEC483'!$C$17, _xlfn.AGGREGATE(15, 6, ROW($1:$10)/SIGN(LEN(ELEC483!S$9:'ELEC483'!S$17)), COUNTIFS(ELEC483!S$9:S$17,"Yes"))),""),"")</f>
        <v/>
      </c>
      <c r="T34" s="87" t="str" cm="1">
        <f t="array" ref="T34">IF(COUNTIFS(ELEC483!T$9:T$17,"Yes")&gt;=$G34, IFERROR(INDEX(ELEC483!$C$9:'ELEC483'!$C$17, _xlfn.AGGREGATE(15, 6, ROW($1:$10)/SIGN(LEN(ELEC483!T$9:'ELEC483'!T$17)), COUNTIFS(ELEC483!T$9:T$17,"Yes"))),""),"")</f>
        <v/>
      </c>
    </row>
    <row r="35" spans="7:23" ht="24" customHeight="1" x14ac:dyDescent="0.2">
      <c r="G35" s="82">
        <v>1</v>
      </c>
      <c r="H35" s="160" t="s">
        <v>254</v>
      </c>
      <c r="I35" s="83" t="str" cm="1">
        <f t="array" ref="I35">IFERROR(INDEX(ELEC431!$C$9:'ELEC431'!$C$17, _xlfn.AGGREGATE(15, 6, ROW(1:10)/SIGN(LEN(ELEC431!I$9:'ELEC431'!I$17)), 1)),"")</f>
        <v/>
      </c>
      <c r="J35" s="83" t="str" cm="1">
        <f t="array" ref="J35">IFERROR(INDEX(ELEC431!$C$9:'ELEC431'!$C$17, _xlfn.AGGREGATE(15, 6, ROW(1:10)/SIGN(LEN(ELEC431!J$9:'ELEC431'!J$17)), 1)),"")</f>
        <v/>
      </c>
      <c r="K35" s="83" t="str" cm="1">
        <f t="array" ref="K35">IFERROR(INDEX(ELEC431!$C$9:'ELEC431'!$C$17, _xlfn.AGGREGATE(15, 6, ROW(1:10)/SIGN(LEN(ELEC431!K$9:'ELEC431'!K$17)), 1)),"")</f>
        <v/>
      </c>
      <c r="L35" s="83" t="str" cm="1">
        <f t="array" ref="L35">IFERROR(INDEX(ELEC431!$C$9:'ELEC431'!$C$17, _xlfn.AGGREGATE(15, 6, ROW(1:10)/SIGN(LEN(ELEC431!L$9:'ELEC431'!L$17)), 1)),"")</f>
        <v/>
      </c>
      <c r="M35" s="83" t="str" cm="1">
        <f t="array" ref="M35">IFERROR(INDEX(ELEC431!$C$9:'ELEC431'!$C$17, _xlfn.AGGREGATE(15, 6, ROW(1:10)/SIGN(LEN(ELEC431!M$9:'ELEC431'!M$17)), 1)),"")</f>
        <v/>
      </c>
      <c r="N35" s="83" t="str" cm="1">
        <f t="array" ref="N35">IFERROR(INDEX(ELEC431!$C$9:'ELEC431'!$C$17, _xlfn.AGGREGATE(15, 6, ROW(1:10)/SIGN(LEN(ELEC431!N$9:'ELEC431'!N$17)), 1)),"")</f>
        <v/>
      </c>
      <c r="O35" s="83" t="str" cm="1">
        <f t="array" ref="O35">IFERROR(INDEX(ELEC431!$C$9:'ELEC431'!$C$17, _xlfn.AGGREGATE(15, 6, ROW(1:10)/SIGN(LEN(ELEC431!O$9:'ELEC431'!O$17)), 1)),"")</f>
        <v/>
      </c>
      <c r="P35" s="83" t="str" cm="1">
        <f t="array" ref="P35">IFERROR(INDEX(ELEC431!$C$9:'ELEC431'!$C$17, _xlfn.AGGREGATE(15, 6, ROW(1:10)/SIGN(LEN(ELEC431!P$9:'ELEC431'!P$17)), 1)),"")</f>
        <v>GUI Design</v>
      </c>
      <c r="Q35" s="83" t="str" cm="1">
        <f t="array" ref="Q35">IFERROR(INDEX(ELEC431!$C$9:'ELEC431'!$C$17, _xlfn.AGGREGATE(15, 6, ROW(1:10)/SIGN(LEN(ELEC431!Q$9:'ELEC431'!Q$17)), 1)),"")</f>
        <v/>
      </c>
      <c r="R35" s="83" t="str" cm="1">
        <f t="array" ref="R35">IFERROR(INDEX(ELEC431!$C$9:'ELEC431'!$C$17, _xlfn.AGGREGATE(15, 6, ROW(1:10)/SIGN(LEN(ELEC431!R$9:'ELEC431'!R$17)), 1)),"")</f>
        <v/>
      </c>
      <c r="S35" s="83" t="str" cm="1">
        <f t="array" ref="S35">IFERROR(INDEX(ELEC431!$C$9:'ELEC431'!$C$17, _xlfn.AGGREGATE(15, 6, ROW(1:10)/SIGN(LEN(ELEC431!S$9:'ELEC431'!S$17)), 1)),"")</f>
        <v>Class Test</v>
      </c>
      <c r="T35" s="86" t="str" cm="1">
        <f t="array" ref="T35">IFERROR(INDEX(ELEC431!$C$9:'ELEC431'!$C$17, _xlfn.AGGREGATE(15, 6, ROW(1:10)/SIGN(LEN(ELEC431!T$9:'ELEC431'!T$17)), 1)),"")</f>
        <v/>
      </c>
    </row>
    <row r="36" spans="7:23" ht="24" customHeight="1" x14ac:dyDescent="0.2">
      <c r="G36" s="82">
        <v>2</v>
      </c>
      <c r="H36" s="161"/>
      <c r="I36" s="84" t="str" cm="1">
        <f t="array" ref="I36">IF(COUNTIFS(ELEC431!I$9:I$17,"Yes")&gt;=$G36, IFERROR(INDEX(ELEC431!$C$9:'ELEC431'!$C$17, _xlfn.AGGREGATE(15, 6, ROW($1:$10)/SIGN(LEN(ELEC431!I$9:'ELEC431'!I$17)), COUNTIFS(ELEC431!I$9:I$17,"Yes"))),""),"")</f>
        <v/>
      </c>
      <c r="J36" s="84" t="str" cm="1">
        <f t="array" ref="J36">IF(COUNTIFS(ELEC431!J$9:J$17,"Yes")&gt;=$G36, IFERROR(INDEX(ELEC431!$C$9:'ELEC431'!$C$17, _xlfn.AGGREGATE(15, 6, ROW($1:$10)/SIGN(LEN(ELEC431!J$9:'ELEC431'!J$17)), COUNTIFS(ELEC431!J$9:J$17,"Yes"))),""),"")</f>
        <v/>
      </c>
      <c r="K36" s="84" t="str" cm="1">
        <f t="array" ref="K36">IF(COUNTIFS(ELEC431!K$9:K$17,"Yes")&gt;=$G36, IFERROR(INDEX(ELEC431!$C$9:'ELEC431'!$C$17, _xlfn.AGGREGATE(15, 6, ROW($1:$10)/SIGN(LEN(ELEC431!K$9:'ELEC431'!K$17)), COUNTIFS(ELEC431!K$9:K$17,"Yes"))),""),"")</f>
        <v/>
      </c>
      <c r="L36" s="84" t="str" cm="1">
        <f t="array" ref="L36">IF(COUNTIFS(ELEC431!L$9:L$17,"Yes")&gt;=$G36, IFERROR(INDEX(ELEC431!$C$9:'ELEC431'!$C$17, _xlfn.AGGREGATE(15, 6, ROW($1:$10)/SIGN(LEN(ELEC431!L$9:'ELEC431'!L$17)), COUNTIFS(ELEC431!L$9:L$17,"Yes"))),""),"")</f>
        <v/>
      </c>
      <c r="M36" s="84" t="str" cm="1">
        <f t="array" ref="M36">IF(COUNTIFS(ELEC431!M$9:M$17,"Yes")&gt;=$G36, IFERROR(INDEX(ELEC431!$C$9:'ELEC431'!$C$17, _xlfn.AGGREGATE(15, 6, ROW($1:$10)/SIGN(LEN(ELEC431!M$9:'ELEC431'!M$17)), COUNTIFS(ELEC431!M$9:M$17,"Yes"))),""),"")</f>
        <v/>
      </c>
      <c r="N36" s="84" t="str" cm="1">
        <f t="array" ref="N36">IF(COUNTIFS(ELEC431!N$9:N$17,"Yes")&gt;=$G36, IFERROR(INDEX(ELEC431!$C$9:'ELEC431'!$C$17, _xlfn.AGGREGATE(15, 6, ROW($1:$10)/SIGN(LEN(ELEC431!N$9:'ELEC431'!N$17)), COUNTIFS(ELEC431!N$9:N$17,"Yes"))),""),"")</f>
        <v/>
      </c>
      <c r="O36" s="84" t="str" cm="1">
        <f t="array" ref="O36">IF(COUNTIFS(ELEC431!O$9:O$17,"Yes")&gt;=$G36, IFERROR(INDEX(ELEC431!$C$9:'ELEC431'!$C$17, _xlfn.AGGREGATE(15, 6, ROW($1:$10)/SIGN(LEN(ELEC431!O$9:'ELEC431'!O$17)), COUNTIFS(ELEC431!O$9:O$17,"Yes"))),""),"")</f>
        <v/>
      </c>
      <c r="P36" s="84" t="str" cm="1">
        <f t="array" ref="P36">IF(COUNTIFS(ELEC431!P$9:P$17,"Yes")&gt;=$G36, IFERROR(INDEX(ELEC431!$C$9:'ELEC431'!$C$17, _xlfn.AGGREGATE(15, 6, ROW($1:$10)/SIGN(LEN(ELEC431!P$9:'ELEC431'!P$17)), COUNTIFS(ELEC431!P$9:P$17,"Yes"))),""),"")</f>
        <v/>
      </c>
      <c r="Q36" s="84" t="str" cm="1">
        <f t="array" ref="Q36">IF(COUNTIFS(ELEC431!Q$9:Q$17,"Yes")&gt;=$G36, IFERROR(INDEX(ELEC431!$C$9:'ELEC431'!$C$17, _xlfn.AGGREGATE(15, 6, ROW($1:$10)/SIGN(LEN(ELEC431!Q$9:'ELEC431'!Q$17)), COUNTIFS(ELEC431!Q$9:Q$17,"Yes"))),""),"")</f>
        <v/>
      </c>
      <c r="R36" s="84" t="str" cm="1">
        <f t="array" ref="R36">IF(COUNTIFS(ELEC431!R$9:R$17,"Yes")&gt;=$G36, IFERROR(INDEX(ELEC431!$C$9:'ELEC431'!$C$17, _xlfn.AGGREGATE(15, 6, ROW($1:$10)/SIGN(LEN(ELEC431!R$9:'ELEC431'!R$17)), COUNTIFS(ELEC431!R$9:R$17,"Yes"))),""),"")</f>
        <v/>
      </c>
      <c r="S36" s="84" t="str" cm="1">
        <f t="array" ref="S36">IF(COUNTIFS(ELEC431!S$9:S$17,"Yes")&gt;=$G36, IFERROR(INDEX(ELEC431!$C$9:'ELEC431'!$C$17, _xlfn.AGGREGATE(15, 6, ROW($1:$10)/SIGN(LEN(ELEC431!S$9:'ELEC431'!S$17)), COUNTIFS(ELEC431!S$9:S$17,"Yes"))),""),"")</f>
        <v/>
      </c>
      <c r="T36" s="87" t="str" cm="1">
        <f t="array" ref="T36">IF(COUNTIFS(ELEC431!T$9:T$17,"Yes")&gt;=$G36, IFERROR(INDEX(ELEC431!$C$9:'ELEC431'!$C$17, _xlfn.AGGREGATE(15, 6, ROW($1:$10)/SIGN(LEN(ELEC431!T$9:'ELEC431'!T$17)), COUNTIFS(ELEC431!T$9:T$17,"Yes"))),""),"")</f>
        <v/>
      </c>
    </row>
    <row r="37" spans="7:23" ht="24" customHeight="1" x14ac:dyDescent="0.2">
      <c r="G37" s="82">
        <v>1</v>
      </c>
      <c r="H37" s="160" t="s">
        <v>259</v>
      </c>
      <c r="I37" s="83" t="str" cm="1">
        <f t="array" ref="I37">IFERROR(INDEX(ELEC477!$C$9:'ELEC477'!$C$17, _xlfn.AGGREGATE(15, 6, ROW($1:$10)/SIGN(LEN(ELEC477!I$9:'ELEC477'!I$17)), 1)),"")</f>
        <v/>
      </c>
      <c r="J37" s="83" t="str" cm="1">
        <f t="array" ref="J37">IFERROR(INDEX(ELEC477!$C$9:'ELEC477'!$C$17, _xlfn.AGGREGATE(15, 6, ROW($1:$10)/SIGN(LEN(ELEC477!J$9:'ELEC477'!J$17)), 1)),"")</f>
        <v/>
      </c>
      <c r="K37" s="83" t="str" cm="1">
        <f t="array" ref="K37">IFERROR(INDEX(ELEC477!$C$9:'ELEC477'!$C$17, _xlfn.AGGREGATE(15, 6, ROW($1:$10)/SIGN(LEN(ELEC477!K$9:'ELEC477'!K$17)), 1)),"")</f>
        <v/>
      </c>
      <c r="L37" s="83" t="str" cm="1">
        <f t="array" ref="L37">IFERROR(INDEX(ELEC477!$C$9:'ELEC477'!$C$17, _xlfn.AGGREGATE(15, 6, ROW($1:$10)/SIGN(LEN(ELEC477!L$9:'ELEC477'!L$17)), 1)),"")</f>
        <v/>
      </c>
      <c r="M37" s="83" t="str" cm="1">
        <f t="array" ref="M37">IFERROR(INDEX(ELEC477!$C$9:'ELEC477'!$C$17, _xlfn.AGGREGATE(15, 6, ROW($1:$10)/SIGN(LEN(ELEC477!M$9:'ELEC477'!M$17)), 1)),"")</f>
        <v/>
      </c>
      <c r="N37" s="83" t="str" cm="1">
        <f t="array" ref="N37">IFERROR(INDEX(ELEC477!$C$9:'ELEC477'!$C$17, _xlfn.AGGREGATE(15, 6, ROW($1:$10)/SIGN(LEN(ELEC477!N$9:'ELEC477'!N$17)), 1)),"")</f>
        <v/>
      </c>
      <c r="O37" s="83" t="str" cm="1">
        <f t="array" ref="O37">IFERROR(INDEX(ELEC477!$C$9:'ELEC477'!$C$17, _xlfn.AGGREGATE(15, 6, ROW($1:$10)/SIGN(LEN(ELEC477!O$9:'ELEC477'!O$17)), 1)),"")</f>
        <v/>
      </c>
      <c r="P37" s="83" t="str" cm="1">
        <f t="array" ref="P37">IFERROR(INDEX(ELEC477!$C$9:'ELEC477'!$C$17, _xlfn.AGGREGATE(15, 6, ROW($1:$10)/SIGN(LEN(ELEC477!P$9:'ELEC477'!P$17)), 1)),"")</f>
        <v/>
      </c>
      <c r="Q37" s="83" t="str" cm="1">
        <f t="array" ref="Q37">IFERROR(INDEX(ELEC477!$C$9:'ELEC477'!$C$17, _xlfn.AGGREGATE(15, 6, ROW($1:$10)/SIGN(LEN(ELEC477!Q$9:'ELEC477'!Q$17)), 1)),"")</f>
        <v/>
      </c>
      <c r="R37" s="83" t="str" cm="1">
        <f t="array" ref="R37">IFERROR(INDEX(ELEC477!$C$9:'ELEC477'!$C$17, _xlfn.AGGREGATE(15, 6, ROW($1:$10)/SIGN(LEN(ELEC477!R$9:'ELEC477'!R$17)), 1)),"")</f>
        <v/>
      </c>
      <c r="S37" s="83" t="str" cm="1">
        <f t="array" ref="S37">IFERROR(INDEX(ELEC477!$C$9:'ELEC477'!$C$17, _xlfn.AGGREGATE(15, 6, ROW($1:$10)/SIGN(LEN(ELEC477!S$9:'ELEC477'!S$17)), 1)),"")</f>
        <v/>
      </c>
      <c r="T37" s="86" t="str" cm="1">
        <f t="array" ref="T37">IFERROR(INDEX(ELEC477!$C$9:'ELEC477'!$C$17, _xlfn.AGGREGATE(15, 6, ROW($1:$10)/SIGN(LEN(ELEC477!T$9:'ELEC477'!T$17)), 1)),"")</f>
        <v/>
      </c>
    </row>
    <row r="38" spans="7:23" ht="24" customHeight="1" x14ac:dyDescent="0.2">
      <c r="G38" s="82">
        <v>2</v>
      </c>
      <c r="H38" s="161"/>
      <c r="I38" s="84" t="str" cm="1">
        <f t="array" ref="I38">IF(COUNTIFS(ELEC477!I$9:I$17,"Yes")&gt;=$G38, IFERROR(INDEX(ELEC477!$C$9:'ELEC477'!$C$17, _xlfn.AGGREGATE(15, 6, ROW($1:$10)/SIGN(LEN(ELEC477!I$9:'ELEC477'!I$17)), COUNTIFS(ELEC477!I$9:I$17,"Yes"))),""),"")</f>
        <v/>
      </c>
      <c r="J38" s="84" t="str" cm="1">
        <f t="array" ref="J38">IF(COUNTIFS(ELEC477!J$9:J$17,"Yes")&gt;=$G38, IFERROR(INDEX(ELEC477!$C$9:'ELEC477'!$C$17, _xlfn.AGGREGATE(15, 6, ROW($1:$10)/SIGN(LEN(ELEC477!J$9:'ELEC477'!J$17)), COUNTIFS(ELEC477!J$9:J$17,"Yes"))),""),"")</f>
        <v/>
      </c>
      <c r="K38" s="84" t="str" cm="1">
        <f t="array" ref="K38">IF(COUNTIFS(ELEC477!K$9:K$17,"Yes")&gt;=$G38, IFERROR(INDEX(ELEC477!$C$9:'ELEC477'!$C$17, _xlfn.AGGREGATE(15, 6, ROW($1:$10)/SIGN(LEN(ELEC477!K$9:'ELEC477'!K$17)), COUNTIFS(ELEC477!K$9:K$17,"Yes"))),""),"")</f>
        <v/>
      </c>
      <c r="L38" s="84" t="str" cm="1">
        <f t="array" ref="L38">IF(COUNTIFS(ELEC477!L$9:L$17,"Yes")&gt;=$G38, IFERROR(INDEX(ELEC477!$C$9:'ELEC477'!$C$17, _xlfn.AGGREGATE(15, 6, ROW($1:$10)/SIGN(LEN(ELEC477!L$9:'ELEC477'!L$17)), COUNTIFS(ELEC477!L$9:L$17,"Yes"))),""),"")</f>
        <v/>
      </c>
      <c r="M38" s="84" t="str" cm="1">
        <f t="array" ref="M38">IF(COUNTIFS(ELEC477!M$9:M$17,"Yes")&gt;=$G38, IFERROR(INDEX(ELEC477!$C$9:'ELEC477'!$C$17, _xlfn.AGGREGATE(15, 6, ROW($1:$10)/SIGN(LEN(ELEC477!M$9:'ELEC477'!M$17)), COUNTIFS(ELEC477!M$9:M$17,"Yes"))),""),"")</f>
        <v/>
      </c>
      <c r="N38" s="84" t="str" cm="1">
        <f t="array" ref="N38">IF(COUNTIFS(ELEC477!N$9:N$17,"Yes")&gt;=$G38, IFERROR(INDEX(ELEC477!$C$9:'ELEC477'!$C$17, _xlfn.AGGREGATE(15, 6, ROW($1:$10)/SIGN(LEN(ELEC477!N$9:'ELEC477'!N$17)), COUNTIFS(ELEC477!N$9:N$17,"Yes"))),""),"")</f>
        <v/>
      </c>
      <c r="O38" s="84" t="str" cm="1">
        <f t="array" ref="O38">IF(COUNTIFS(ELEC477!O$9:O$17,"Yes")&gt;=$G38, IFERROR(INDEX(ELEC477!$C$9:'ELEC477'!$C$17, _xlfn.AGGREGATE(15, 6, ROW($1:$10)/SIGN(LEN(ELEC477!O$9:'ELEC477'!O$17)), COUNTIFS(ELEC477!O$9:O$17,"Yes"))),""),"")</f>
        <v/>
      </c>
      <c r="P38" s="84" t="str" cm="1">
        <f t="array" ref="P38">IF(COUNTIFS(ELEC477!P$9:P$17,"Yes")&gt;=$G38, IFERROR(INDEX(ELEC477!$C$9:'ELEC477'!$C$17, _xlfn.AGGREGATE(15, 6, ROW($1:$10)/SIGN(LEN(ELEC477!P$9:'ELEC477'!P$17)), COUNTIFS(ELEC477!P$9:P$17,"Yes"))),""),"")</f>
        <v/>
      </c>
      <c r="Q38" s="84" t="str" cm="1">
        <f t="array" ref="Q38">IF(COUNTIFS(ELEC477!Q$9:Q$17,"Yes")&gt;=$G38, IFERROR(INDEX(ELEC477!$C$9:'ELEC477'!$C$17, _xlfn.AGGREGATE(15, 6, ROW($1:$10)/SIGN(LEN(ELEC477!Q$9:'ELEC477'!Q$17)), COUNTIFS(ELEC477!Q$9:Q$17,"Yes"))),""),"")</f>
        <v/>
      </c>
      <c r="R38" s="84" t="str" cm="1">
        <f t="array" ref="R38">IF(COUNTIFS(ELEC477!R$9:R$17,"Yes")&gt;=$G38, IFERROR(INDEX(ELEC477!$C$9:'ELEC477'!$C$17, _xlfn.AGGREGATE(15, 6, ROW($1:$10)/SIGN(LEN(ELEC477!R$9:'ELEC477'!R$17)), COUNTIFS(ELEC477!R$9:R$17,"Yes"))),""),"")</f>
        <v/>
      </c>
      <c r="S38" s="84" t="str" cm="1">
        <f t="array" ref="S38">IF(COUNTIFS(ELEC477!S$9:S$17,"Yes")&gt;=$G38, IFERROR(INDEX(ELEC477!$C$9:'ELEC477'!$C$17, _xlfn.AGGREGATE(15, 6, ROW($1:$10)/SIGN(LEN(ELEC477!S$9:'ELEC477'!S$17)), COUNTIFS(ELEC477!S$9:S$17,"Yes"))),""),"")</f>
        <v/>
      </c>
      <c r="T38" s="87" t="str" cm="1">
        <f t="array" ref="T38">IF(COUNTIFS(ELEC477!T$9:T$17,"Yes")&gt;=$G38, IFERROR(INDEX(ELEC477!$C$9:'ELEC477'!$C$17, _xlfn.AGGREGATE(15, 6, ROW($1:$10)/SIGN(LEN(ELEC477!T$9:'ELEC477'!T$17)), COUNTIFS(ELEC477!T$9:T$17,"Yes"))),""),"")</f>
        <v/>
      </c>
    </row>
    <row r="39" spans="7:23" ht="24" customHeight="1" x14ac:dyDescent="0.2">
      <c r="G39" s="82">
        <v>1</v>
      </c>
      <c r="H39" s="160" t="s">
        <v>260</v>
      </c>
      <c r="I39" s="125" t="str" cm="1">
        <f t="array" ref="I39">IFERROR(INDEX(ELEC462!$C$9:'ELEC462'!$C$17, _xlfn.AGGREGATE(15, 6, ROW($1:$10)/SIGN(LEN(ELEC462!I$9:'ELEC462'!I$17)), 1)),"")</f>
        <v/>
      </c>
      <c r="J39" s="125" t="str" cm="1">
        <f t="array" ref="J39">IFERROR(INDEX(ELEC462!$C$9:'ELEC462'!$C$17, _xlfn.AGGREGATE(15, 6, ROW($1:$10)/SIGN(LEN(ELEC462!J$9:'ELEC462'!J$17)), 1)),"")</f>
        <v/>
      </c>
      <c r="K39" s="125" t="str" cm="1">
        <f t="array" ref="K39">IFERROR(INDEX(ELEC462!$C$9:'ELEC462'!$C$17, _xlfn.AGGREGATE(15, 6, ROW($1:$10)/SIGN(LEN(ELEC462!K$9:'ELEC462'!K$17)), 1)),"")</f>
        <v/>
      </c>
      <c r="L39" s="125" t="str" cm="1">
        <f t="array" ref="L39">IFERROR(INDEX(ELEC462!$C$9:'ELEC462'!$C$17, _xlfn.AGGREGATE(15, 6, ROW($1:$10)/SIGN(LEN(ELEC462!L$9:'ELEC462'!L$17)), 1)),"")</f>
        <v/>
      </c>
      <c r="M39" s="125" t="str" cm="1">
        <f t="array" ref="M39">IFERROR(INDEX(ELEC462!$C$9:'ELEC462'!$C$17, _xlfn.AGGREGATE(15, 6, ROW($1:$10)/SIGN(LEN(ELEC462!M$9:'ELEC462'!M$17)), 1)),"")</f>
        <v/>
      </c>
      <c r="N39" s="125" t="str" cm="1">
        <f t="array" ref="N39">IFERROR(INDEX(ELEC462!$C$9:'ELEC462'!$C$17, _xlfn.AGGREGATE(15, 6, ROW($1:$10)/SIGN(LEN(ELEC462!N$9:'ELEC462'!N$17)), 1)),"")</f>
        <v/>
      </c>
      <c r="O39" s="125" t="str" cm="1">
        <f t="array" ref="O39">IFERROR(INDEX(ELEC462!$C$9:'ELEC462'!$C$17, _xlfn.AGGREGATE(15, 6, ROW($1:$10)/SIGN(LEN(ELEC462!O$9:'ELEC462'!O$17)), 1)),"")</f>
        <v/>
      </c>
      <c r="P39" s="125" t="str" cm="1">
        <f t="array" ref="P39">IFERROR(INDEX(ELEC462!$C$9:'ELEC462'!$C$17, _xlfn.AGGREGATE(15, 6, ROW($1:$10)/SIGN(LEN(ELEC462!P$9:'ELEC462'!P$17)), 1)),"")</f>
        <v/>
      </c>
      <c r="Q39" s="125" t="str" cm="1">
        <f t="array" ref="Q39">IFERROR(INDEX(ELEC462!$C$9:'ELEC462'!$C$17, _xlfn.AGGREGATE(15, 6, ROW($1:$10)/SIGN(LEN(ELEC462!Q$9:'ELEC462'!Q$17)), 1)),"")</f>
        <v/>
      </c>
      <c r="R39" s="125" t="str" cm="1">
        <f t="array" ref="R39">IFERROR(INDEX(ELEC462!$C$9:'ELEC462'!$C$17, _xlfn.AGGREGATE(15, 6, ROW($1:$10)/SIGN(LEN(ELEC462!R$9:'ELEC462'!R$17)), 1)),"")</f>
        <v/>
      </c>
      <c r="S39" s="125" t="str" cm="1">
        <f t="array" ref="S39">IFERROR(INDEX(ELEC462!$C$9:'ELEC462'!$C$17, _xlfn.AGGREGATE(15, 6, ROW($1:$10)/SIGN(LEN(ELEC462!S$9:'ELEC462'!S$17)), 1)),"")</f>
        <v/>
      </c>
      <c r="T39" s="126" t="str" cm="1">
        <f t="array" ref="T39">IFERROR(INDEX(ELEC462!$C$9:'ELEC462'!$C$17, _xlfn.AGGREGATE(15, 6, ROW($1:$10)/SIGN(LEN(ELEC462!T$9:'ELEC462'!T$17)), 1)),"")</f>
        <v>CW1</v>
      </c>
    </row>
    <row r="40" spans="7:23" ht="25.25" customHeight="1" x14ac:dyDescent="0.2">
      <c r="G40" s="82">
        <v>2</v>
      </c>
      <c r="H40" s="161"/>
      <c r="I40" s="84" t="str" cm="1">
        <f t="array" ref="I40">IF(COUNTIFS(ELEC462!I$9:I$17,"Yes")&gt;=$G40, IFERROR(INDEX(ELEC462!$C$9:'ELEC462'!$C$17, _xlfn.AGGREGATE(15, 6, ROW($1:$10)/SIGN(LEN(ELEC462!I$9:'ELEC462'!I$17)), COUNTIFS(ELEC462!I$9:I$17,"Yes"))),""),"")</f>
        <v/>
      </c>
      <c r="J40" s="84" t="str" cm="1">
        <f t="array" ref="J40">IF(COUNTIFS(ELEC462!J$9:J$17,"Yes")&gt;=$G40, IFERROR(INDEX(ELEC462!$C$9:'ELEC462'!$C$17, _xlfn.AGGREGATE(15, 6, ROW($1:$10)/SIGN(LEN(ELEC462!J$9:'ELEC462'!J$17)), COUNTIFS(ELEC462!J$9:J$17,"Yes"))),""),"")</f>
        <v/>
      </c>
      <c r="K40" s="84" t="str" cm="1">
        <f t="array" ref="K40">IF(COUNTIFS(ELEC462!K$9:K$17,"Yes")&gt;=$G40, IFERROR(INDEX(ELEC462!$C$9:'ELEC462'!$C$17, _xlfn.AGGREGATE(15, 6, ROW($1:$10)/SIGN(LEN(ELEC462!K$9:'ELEC462'!K$17)), COUNTIFS(ELEC462!K$9:K$17,"Yes"))),""),"")</f>
        <v/>
      </c>
      <c r="L40" s="84" t="str" cm="1">
        <f t="array" ref="L40">IF(COUNTIFS(ELEC462!L$9:L$17,"Yes")&gt;=$G40, IFERROR(INDEX(ELEC462!$C$9:'ELEC462'!$C$17, _xlfn.AGGREGATE(15, 6, ROW($1:$10)/SIGN(LEN(ELEC462!L$9:'ELEC462'!L$17)), COUNTIFS(ELEC462!L$9:L$17,"Yes"))),""),"")</f>
        <v/>
      </c>
      <c r="M40" s="84" t="str" cm="1">
        <f t="array" ref="M40">IF(COUNTIFS(ELEC462!M$9:M$17,"Yes")&gt;=$G40, IFERROR(INDEX(ELEC462!$C$9:'ELEC462'!$C$17, _xlfn.AGGREGATE(15, 6, ROW($1:$10)/SIGN(LEN(ELEC462!M$9:'ELEC462'!M$17)), COUNTIFS(ELEC462!M$9:M$17,"Yes"))),""),"")</f>
        <v/>
      </c>
      <c r="N40" s="84" t="str" cm="1">
        <f t="array" ref="N40">IF(COUNTIFS(ELEC462!N$9:N$17,"Yes")&gt;=$G40, IFERROR(INDEX(ELEC462!$C$9:'ELEC462'!$C$17, _xlfn.AGGREGATE(15, 6, ROW($1:$10)/SIGN(LEN(ELEC462!N$9:'ELEC462'!N$17)), COUNTIFS(ELEC462!N$9:N$17,"Yes"))),""),"")</f>
        <v/>
      </c>
      <c r="O40" s="84" t="str" cm="1">
        <f t="array" ref="O40">IF(COUNTIFS(ELEC462!O$9:O$17,"Yes")&gt;=$G40, IFERROR(INDEX(ELEC462!$C$9:'ELEC462'!$C$17, _xlfn.AGGREGATE(15, 6, ROW($1:$10)/SIGN(LEN(ELEC462!O$9:'ELEC462'!O$17)), COUNTIFS(ELEC462!O$9:O$17,"Yes"))),""),"")</f>
        <v/>
      </c>
      <c r="P40" s="84" t="str" cm="1">
        <f t="array" ref="P40">IF(COUNTIFS(ELEC462!P$9:P$17,"Yes")&gt;=$G40, IFERROR(INDEX(ELEC462!$C$9:'ELEC462'!$C$17, _xlfn.AGGREGATE(15, 6, ROW($1:$10)/SIGN(LEN(ELEC462!P$9:'ELEC462'!P$17)), COUNTIFS(ELEC462!P$9:P$17,"Yes"))),""),"")</f>
        <v/>
      </c>
      <c r="Q40" s="84" t="str" cm="1">
        <f t="array" ref="Q40">IF(COUNTIFS(ELEC462!Q$9:Q$17,"Yes")&gt;=$G40, IFERROR(INDEX(ELEC462!$C$9:'ELEC462'!$C$17, _xlfn.AGGREGATE(15, 6, ROW($1:$10)/SIGN(LEN(ELEC462!Q$9:'ELEC462'!Q$17)), COUNTIFS(ELEC462!Q$9:Q$17,"Yes"))),""),"")</f>
        <v/>
      </c>
      <c r="R40" s="84" t="str" cm="1">
        <f t="array" ref="R40">IF(COUNTIFS(ELEC462!R$9:R$17,"Yes")&gt;=$G40, IFERROR(INDEX(ELEC462!$C$9:'ELEC462'!$C$17, _xlfn.AGGREGATE(15, 6, ROW($1:$10)/SIGN(LEN(ELEC462!R$9:'ELEC462'!R$17)), COUNTIFS(ELEC462!R$9:R$17,"Yes"))),""),"")</f>
        <v/>
      </c>
      <c r="S40" s="84" t="str" cm="1">
        <f t="array" ref="S40">IF(COUNTIFS(ELEC462!S$9:S$17,"Yes")&gt;=$G40, IFERROR(INDEX(ELEC462!$C$9:'ELEC462'!$C$17, _xlfn.AGGREGATE(15, 6, ROW($1:$10)/SIGN(LEN(ELEC462!S$9:'ELEC462'!S$17)), COUNTIFS(ELEC462!S$9:S$17,"Yes"))),""),"")</f>
        <v/>
      </c>
      <c r="T40" s="87" t="str" cm="1">
        <f t="array" ref="T40">IF(COUNTIFS(ELEC462!T$9:T$17,"Yes")&gt;=$G40, IFERROR(INDEX(ELEC462!$C$9:'ELEC462'!$C$17, _xlfn.AGGREGATE(15, 6, ROW($1:$10)/SIGN(LEN(ELEC462!T$9:'ELEC462'!T$17)), COUNTIFS(ELEC462!T$9:T$17,"Yes"))),""),"")</f>
        <v/>
      </c>
    </row>
    <row r="41" spans="7:23" ht="23" customHeight="1" x14ac:dyDescent="0.2">
      <c r="G41" s="82">
        <v>1</v>
      </c>
      <c r="H41" s="162" t="s">
        <v>261</v>
      </c>
      <c r="I41" s="83" t="str" cm="1">
        <f t="array" ref="I41">IFERROR(INDEX(ELEC474!$C$9:'ELEC474'!$C$17, _xlfn.AGGREGATE(15, 6, ROW($1:$10)/SIGN(LEN(ELEC474!I$9:'ELEC474'!I$17)), 1)),"")</f>
        <v/>
      </c>
      <c r="J41" s="83" t="str" cm="1">
        <f t="array" ref="J41">IFERROR(INDEX(ELEC474!$C$9:'ELEC474'!$C$17, _xlfn.AGGREGATE(15, 6, ROW($1:$10)/SIGN(LEN(ELEC474!J$9:'ELEC474'!J$17)), 1)),"")</f>
        <v/>
      </c>
      <c r="K41" s="83" t="str" cm="1">
        <f t="array" ref="K41">IFERROR(INDEX(ELEC474!$C$9:'ELEC474'!$C$17, _xlfn.AGGREGATE(15, 6, ROW($1:$10)/SIGN(LEN(ELEC474!K$9:'ELEC474'!K$17)), 1)),"")</f>
        <v/>
      </c>
      <c r="L41" s="83" t="str" cm="1">
        <f t="array" ref="L41">IFERROR(INDEX(ELEC474!$C$9:'ELEC474'!$C$17, _xlfn.AGGREGATE(15, 6, ROW($1:$10)/SIGN(LEN(ELEC474!L$9:'ELEC474'!L$17)), 1)),"")</f>
        <v/>
      </c>
      <c r="M41" s="83" t="str" cm="1">
        <f t="array" ref="M41">IFERROR(INDEX(ELEC474!$C$9:'ELEC474'!$C$17, _xlfn.AGGREGATE(15, 6, ROW($1:$10)/SIGN(LEN(ELEC474!M$9:'ELEC474'!M$17)), 1)),"")</f>
        <v/>
      </c>
      <c r="N41" s="83" t="str" cm="1">
        <f t="array" ref="N41">IFERROR(INDEX(ELEC474!$C$9:'ELEC474'!$C$17, _xlfn.AGGREGATE(15, 6, ROW($1:$10)/SIGN(LEN(ELEC474!N$9:'ELEC474'!N$17)), 1)),"")</f>
        <v/>
      </c>
      <c r="O41" s="83" t="str" cm="1">
        <f t="array" ref="O41">IFERROR(INDEX(ELEC474!$C$9:'ELEC474'!$C$17, _xlfn.AGGREGATE(15, 6, ROW($1:$10)/SIGN(LEN(ELEC474!O$9:'ELEC474'!O$17)), 1)),"")</f>
        <v/>
      </c>
      <c r="P41" s="83" t="str" cm="1">
        <f t="array" ref="P41">IFERROR(INDEX(ELEC474!$C$9:'ELEC474'!$C$17, _xlfn.AGGREGATE(15, 6, ROW($1:$10)/SIGN(LEN(ELEC474!P$9:'ELEC474'!P$17)), 1)),"")</f>
        <v/>
      </c>
      <c r="Q41" s="83" t="str" cm="1">
        <f t="array" ref="Q41">IFERROR(INDEX(ELEC474!$C$9:'ELEC474'!$C$17, _xlfn.AGGREGATE(15, 6, ROW($1:$10)/SIGN(LEN(ELEC474!Q$9:'ELEC474'!Q$17)), 1)),"")</f>
        <v/>
      </c>
      <c r="R41" s="83" t="str" cm="1">
        <f t="array" ref="R41">IFERROR(INDEX(ELEC474!$C$9:'ELEC474'!$C$17, _xlfn.AGGREGATE(15, 6, ROW($1:$10)/SIGN(LEN(ELEC474!R$9:'ELEC474'!R$17)), 1)),"")</f>
        <v>Class Test</v>
      </c>
      <c r="S41" s="83" t="str" cm="1">
        <f t="array" ref="S41">IFERROR(INDEX(ELEC474!$C$9:'ELEC474'!$C$17, _xlfn.AGGREGATE(15, 6, ROW($1:$10)/SIGN(LEN(ELEC474!S$9:'ELEC474'!S$17)), 1)),"")</f>
        <v/>
      </c>
      <c r="T41" s="86" t="str" cm="1">
        <f t="array" ref="T41">IFERROR(INDEX(ELEC474!$C$9:'ELEC474'!$C$17, _xlfn.AGGREGATE(15, 6, ROW($1:$10)/SIGN(LEN(ELEC474!T$9:'ELEC474'!T$17)), 1)),"")</f>
        <v/>
      </c>
    </row>
    <row r="42" spans="7:23" ht="21" customHeight="1" thickBot="1" x14ac:dyDescent="0.25">
      <c r="G42" s="82">
        <v>2</v>
      </c>
      <c r="H42" s="163"/>
      <c r="I42" s="88" t="str" cm="1">
        <f t="array" ref="I42">IF(COUNTIFS(ELEC474!I$9:I$17,"Yes")&gt;=$G42, IFERROR(INDEX(ELEC474!$C$9:'ELEC474'!$C$17, _xlfn.AGGREGATE(15, 6, ROW($1:$10)/SIGN(LEN(ELEC474!I$9:'ELEC474'!I$17)), COUNTIFS(ELEC474!I$9:I$17,"Yes"))),""),"")</f>
        <v/>
      </c>
      <c r="J42" s="88" t="str" cm="1">
        <f t="array" ref="J42">IF(COUNTIFS(ELEC474!J$9:J$17,"Yes")&gt;=$G42, IFERROR(INDEX(ELEC474!$C$9:'ELEC474'!$C$17, _xlfn.AGGREGATE(15, 6, ROW($1:$10)/SIGN(LEN(ELEC474!J$9:'ELEC474'!J$17)), COUNTIFS(ELEC474!J$9:J$17,"Yes"))),""),"")</f>
        <v/>
      </c>
      <c r="K42" s="88" t="str" cm="1">
        <f t="array" ref="K42">IF(COUNTIFS(ELEC474!K$9:K$17,"Yes")&gt;=$G42, IFERROR(INDEX(ELEC474!$C$9:'ELEC474'!$C$17, _xlfn.AGGREGATE(15, 6, ROW($1:$10)/SIGN(LEN(ELEC474!K$9:'ELEC474'!K$17)), COUNTIFS(ELEC474!K$9:K$17,"Yes"))),""),"")</f>
        <v/>
      </c>
      <c r="L42" s="88" t="str" cm="1">
        <f t="array" ref="L42">IF(COUNTIFS(ELEC474!L$9:L$17,"Yes")&gt;=$G42, IFERROR(INDEX(ELEC474!$C$9:'ELEC474'!$C$17, _xlfn.AGGREGATE(15, 6, ROW($1:$10)/SIGN(LEN(ELEC474!L$9:'ELEC474'!L$17)), COUNTIFS(ELEC474!L$9:L$17,"Yes"))),""),"")</f>
        <v/>
      </c>
      <c r="M42" s="88" t="str" cm="1">
        <f t="array" ref="M42">IF(COUNTIFS(ELEC474!M$9:M$17,"Yes")&gt;=$G42, IFERROR(INDEX(ELEC474!$C$9:'ELEC474'!$C$17, _xlfn.AGGREGATE(15, 6, ROW($1:$10)/SIGN(LEN(ELEC474!M$9:'ELEC474'!M$17)), COUNTIFS(ELEC474!M$9:M$17,"Yes"))),""),"")</f>
        <v/>
      </c>
      <c r="N42" s="88" t="str" cm="1">
        <f t="array" ref="N42">IF(COUNTIFS(ELEC474!N$9:N$17,"Yes")&gt;=$G42, IFERROR(INDEX(ELEC474!$C$9:'ELEC474'!$C$17, _xlfn.AGGREGATE(15, 6, ROW($1:$10)/SIGN(LEN(ELEC474!N$9:'ELEC474'!N$17)), COUNTIFS(ELEC474!N$9:N$17,"Yes"))),""),"")</f>
        <v/>
      </c>
      <c r="O42" s="88" t="str" cm="1">
        <f t="array" ref="O42">IF(COUNTIFS(ELEC474!O$9:O$17,"Yes")&gt;=$G42, IFERROR(INDEX(ELEC474!$C$9:'ELEC474'!$C$17, _xlfn.AGGREGATE(15, 6, ROW($1:$10)/SIGN(LEN(ELEC474!O$9:'ELEC474'!O$17)), COUNTIFS(ELEC474!O$9:O$17,"Yes"))),""),"")</f>
        <v/>
      </c>
      <c r="P42" s="88" t="str" cm="1">
        <f t="array" ref="P42">IF(COUNTIFS(ELEC474!P$9:P$17,"Yes")&gt;=$G42, IFERROR(INDEX(ELEC474!$C$9:'ELEC474'!$C$17, _xlfn.AGGREGATE(15, 6, ROW($1:$10)/SIGN(LEN(ELEC474!P$9:'ELEC474'!P$17)), COUNTIFS(ELEC474!P$9:P$17,"Yes"))),""),"")</f>
        <v/>
      </c>
      <c r="Q42" s="88" t="str" cm="1">
        <f t="array" ref="Q42">IF(COUNTIFS(ELEC474!Q$9:Q$17,"Yes")&gt;=$G42, IFERROR(INDEX(ELEC474!$C$9:'ELEC474'!$C$17, _xlfn.AGGREGATE(15, 6, ROW($1:$10)/SIGN(LEN(ELEC474!Q$9:'ELEC474'!Q$17)), COUNTIFS(ELEC474!Q$9:Q$17,"Yes"))),""),"")</f>
        <v/>
      </c>
      <c r="R42" s="88" t="str" cm="1">
        <f t="array" ref="R42">IF(COUNTIFS(ELEC474!R$9:R$17,"Yes")&gt;=$G42, IFERROR(INDEX(ELEC474!$C$9:'ELEC474'!$C$17, _xlfn.AGGREGATE(15, 6, ROW($1:$10)/SIGN(LEN(ELEC474!R$9:'ELEC474'!R$17)), COUNTIFS(ELEC474!R$9:R$17,"Yes"))),""),"")</f>
        <v/>
      </c>
      <c r="S42" s="88" t="str" cm="1">
        <f t="array" ref="S42">IF(COUNTIFS(ELEC474!S$9:S$17,"Yes")&gt;=$G42, IFERROR(INDEX(ELEC474!$C$9:'ELEC474'!$C$17, _xlfn.AGGREGATE(15, 6, ROW($1:$10)/SIGN(LEN(ELEC474!S$9:'ELEC474'!S$17)), COUNTIFS(ELEC474!S$9:S$17,"Yes"))),""),"")</f>
        <v/>
      </c>
      <c r="T42" s="89" t="str" cm="1">
        <f t="array" ref="T42">IF(COUNTIFS(ELEC474!T$9:T$17,"Yes")&gt;=$G42, IFERROR(INDEX(ELEC474!$C$9:'ELEC474'!$C$17, _xlfn.AGGREGATE(15, 6, ROW($1:$10)/SIGN(LEN(ELEC474!T$9:'ELEC474'!T$17)), COUNTIFS(ELEC474!T$9:T$17,"Yes"))),""),"")</f>
        <v/>
      </c>
    </row>
    <row r="46" spans="7:23" x14ac:dyDescent="0.2">
      <c r="G46" t="s">
        <v>99</v>
      </c>
      <c r="I46" s="18">
        <f ca="1">I8</f>
        <v>26</v>
      </c>
      <c r="J46" s="18">
        <f t="shared" ref="J46:W46" ca="1" si="2">(J8-I8)*(J8&gt;I8)</f>
        <v>0</v>
      </c>
      <c r="K46" s="18">
        <f t="shared" ca="1" si="2"/>
        <v>4</v>
      </c>
      <c r="L46" s="18">
        <f t="shared" ca="1" si="2"/>
        <v>1</v>
      </c>
      <c r="M46" s="18">
        <f t="shared" ca="1" si="2"/>
        <v>0</v>
      </c>
      <c r="N46" s="18">
        <f t="shared" ca="1" si="2"/>
        <v>33.5</v>
      </c>
      <c r="O46" s="18">
        <f t="shared" ca="1" si="2"/>
        <v>0</v>
      </c>
      <c r="P46" s="18">
        <f t="shared" ca="1" si="2"/>
        <v>57.099999999999994</v>
      </c>
      <c r="Q46" s="18">
        <f t="shared" ca="1" si="2"/>
        <v>0</v>
      </c>
      <c r="R46" s="18">
        <f t="shared" ca="1" si="2"/>
        <v>7.5</v>
      </c>
      <c r="S46" s="18">
        <f t="shared" ca="1" si="2"/>
        <v>21</v>
      </c>
      <c r="T46" s="18">
        <f t="shared" ca="1" si="2"/>
        <v>0</v>
      </c>
      <c r="U46" s="18">
        <f t="shared" ca="1" si="2"/>
        <v>0</v>
      </c>
      <c r="V46" s="18">
        <f t="shared" ca="1" si="2"/>
        <v>20.100000000000001</v>
      </c>
      <c r="W46" s="18">
        <f t="shared" ca="1" si="2"/>
        <v>42.500000000000014</v>
      </c>
    </row>
    <row r="47" spans="7:23" x14ac:dyDescent="0.2">
      <c r="G47" t="s">
        <v>101</v>
      </c>
      <c r="I47" s="18">
        <f ca="1">I46^2</f>
        <v>676</v>
      </c>
      <c r="J47" s="18">
        <f t="shared" ref="J47:W47" ca="1" si="3">J46^2</f>
        <v>0</v>
      </c>
      <c r="K47" s="18">
        <f t="shared" ca="1" si="3"/>
        <v>16</v>
      </c>
      <c r="L47" s="18">
        <f t="shared" ca="1" si="3"/>
        <v>1</v>
      </c>
      <c r="M47" s="18">
        <f t="shared" ca="1" si="3"/>
        <v>0</v>
      </c>
      <c r="N47" s="18">
        <f t="shared" ca="1" si="3"/>
        <v>1122.25</v>
      </c>
      <c r="O47" s="18">
        <f t="shared" ca="1" si="3"/>
        <v>0</v>
      </c>
      <c r="P47" s="18">
        <f t="shared" ca="1" si="3"/>
        <v>3260.4099999999994</v>
      </c>
      <c r="Q47" s="18">
        <f t="shared" ca="1" si="3"/>
        <v>0</v>
      </c>
      <c r="R47" s="18">
        <f t="shared" ca="1" si="3"/>
        <v>56.25</v>
      </c>
      <c r="S47" s="18">
        <f t="shared" ca="1" si="3"/>
        <v>441</v>
      </c>
      <c r="T47" s="18">
        <f t="shared" ca="1" si="3"/>
        <v>0</v>
      </c>
      <c r="U47" s="18">
        <f t="shared" ca="1" si="3"/>
        <v>0</v>
      </c>
      <c r="V47" s="18">
        <f t="shared" ca="1" si="3"/>
        <v>404.01000000000005</v>
      </c>
      <c r="W47" s="18">
        <f t="shared" ca="1" si="3"/>
        <v>1806.2500000000011</v>
      </c>
    </row>
  </sheetData>
  <mergeCells count="8">
    <mergeCell ref="H39:H40"/>
    <mergeCell ref="H41:H42"/>
    <mergeCell ref="I1:W1"/>
    <mergeCell ref="H9:L9"/>
    <mergeCell ref="I31:T31"/>
    <mergeCell ref="H33:H34"/>
    <mergeCell ref="H35:H36"/>
    <mergeCell ref="H37:H38"/>
  </mergeCells>
  <conditionalFormatting sqref="I8:W8">
    <cfRule type="cellIs" dxfId="551" priority="9" operator="between">
      <formula>(2/3)*$C$9</formula>
      <formula>(1.2)*$C$9</formula>
    </cfRule>
    <cfRule type="cellIs" dxfId="550" priority="10" operator="lessThan">
      <formula>(2/3)*$C$9</formula>
    </cfRule>
    <cfRule type="cellIs" dxfId="549" priority="11" operator="greaterThanOrEqual">
      <formula>1.2*$C$9</formula>
    </cfRule>
  </conditionalFormatting>
  <conditionalFormatting sqref="H8">
    <cfRule type="cellIs" dxfId="548" priority="7" stopIfTrue="1" operator="equal">
      <formula>$B$7*10</formula>
    </cfRule>
    <cfRule type="cellIs" dxfId="547" priority="8" operator="notEqual">
      <formula>$B$7*10</formula>
    </cfRule>
  </conditionalFormatting>
  <conditionalFormatting sqref="I18:T20">
    <cfRule type="beginsWith" dxfId="546" priority="5" stopIfTrue="1" operator="beginsWith" text="0">
      <formula>LEFT(I18,LEN("0"))="0"</formula>
    </cfRule>
  </conditionalFormatting>
  <conditionalFormatting sqref="N21">
    <cfRule type="beginsWith" dxfId="545" priority="6" stopIfTrue="1" operator="beginsWith" text="0">
      <formula>LEFT(N21,LEN("0"))="0"</formula>
    </cfRule>
  </conditionalFormatting>
  <conditionalFormatting sqref="H18:H20">
    <cfRule type="expression" dxfId="544" priority="12">
      <formula>ABS($H$8-$C$7&gt;=1)</formula>
    </cfRule>
  </conditionalFormatting>
  <conditionalFormatting sqref="H9">
    <cfRule type="containsText" dxfId="543" priority="4" operator="containsText" text="OK">
      <formula>NOT(ISERROR(SEARCH("OK",H9)))</formula>
    </cfRule>
  </conditionalFormatting>
  <conditionalFormatting sqref="H9">
    <cfRule type="containsText" dxfId="542" priority="3" operator="containsText" text="don't">
      <formula>NOT(ISERROR(SEARCH("don't",H9)))</formula>
    </cfRule>
  </conditionalFormatting>
  <conditionalFormatting sqref="I33:T40">
    <cfRule type="cellIs" dxfId="541" priority="2" operator="notEqual">
      <formula>$I$33</formula>
    </cfRule>
  </conditionalFormatting>
  <conditionalFormatting sqref="I41:T42">
    <cfRule type="cellIs" dxfId="540" priority="1" operator="notEqual">
      <formula>$I$33</formula>
    </cfRule>
  </conditionalFormatting>
  <dataValidations count="1"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2B1262F5-EE86-AE40-9363-4A3D88FC0E0A}">
      <formula1>"1,2"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9402-B599-2840-94D4-511439DDDE8C}">
  <sheetPr>
    <pageSetUpPr fitToPage="1"/>
  </sheetPr>
  <dimension ref="B37:B39"/>
  <sheetViews>
    <sheetView topLeftCell="A63" zoomScaleNormal="100" workbookViewId="0">
      <selection activeCell="J64" sqref="J64"/>
    </sheetView>
  </sheetViews>
  <sheetFormatPr baseColWidth="10" defaultColWidth="11.5" defaultRowHeight="15" x14ac:dyDescent="0.2"/>
  <sheetData>
    <row r="37" spans="2:2" x14ac:dyDescent="0.2">
      <c r="B37" t="s">
        <v>105</v>
      </c>
    </row>
    <row r="39" spans="2:2" x14ac:dyDescent="0.2">
      <c r="B39" s="95" t="s">
        <v>146</v>
      </c>
    </row>
  </sheetData>
  <hyperlinks>
    <hyperlink ref="B39" r:id="rId1" display="https://canvas.liverpool.ac.uk/courses/54606/files/6322631?module_item_id=1297402" xr:uid="{B12E7DC5-482F-4096-86D0-D3D2950516E6}"/>
  </hyperlinks>
  <pageMargins left="0.25" right="0.25" top="0.75" bottom="0.75" header="0.3" footer="0.3"/>
  <pageSetup paperSize="9" scale="95" fitToHeight="0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93D6A-EB68-A344-93F4-A9A207CAF44D}">
  <dimension ref="A1:AD53"/>
  <sheetViews>
    <sheetView topLeftCell="A16" zoomScaleNormal="100" workbookViewId="0">
      <selection activeCell="N27" sqref="N27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104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162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1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158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6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C6" t="s">
        <v>153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20</v>
      </c>
      <c r="C7" t="s">
        <v>161</v>
      </c>
      <c r="D7">
        <f>B6*10*B7/100</f>
        <v>15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6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1</v>
      </c>
      <c r="C8" s="123"/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4" x14ac:dyDescent="0.2">
      <c r="A9" t="s">
        <v>58</v>
      </c>
      <c r="B9" s="46">
        <v>20</v>
      </c>
      <c r="C9" s="122" t="s">
        <v>159</v>
      </c>
      <c r="D9">
        <f>B$6*10*B9/100</f>
        <v>15</v>
      </c>
      <c r="E9" s="29">
        <v>6</v>
      </c>
      <c r="F9" s="42"/>
      <c r="G9" s="30">
        <v>6</v>
      </c>
      <c r="H9" t="s">
        <v>160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>Yes</v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32" customHeight="1" x14ac:dyDescent="0.2">
      <c r="A18" s="28" t="s">
        <v>77</v>
      </c>
      <c r="B18" s="28">
        <f>SUM(B9:B17)</f>
        <v>20</v>
      </c>
      <c r="C18" s="113" t="str">
        <f>IF(B18=B7,"% ok","% credits do not add up to stated value")</f>
        <v>% ok</v>
      </c>
      <c r="D18" s="59">
        <f>SUM(D9:D17)</f>
        <v>15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360.54</v>
      </c>
      <c r="G20" s="11" t="s">
        <v>82</v>
      </c>
      <c r="H20" s="21">
        <f>SUM(I20:W20)</f>
        <v>18</v>
      </c>
      <c r="I20" s="14">
        <v>1</v>
      </c>
      <c r="J20" s="14">
        <v>2</v>
      </c>
      <c r="K20" s="14">
        <v>1</v>
      </c>
      <c r="L20" s="14">
        <v>2</v>
      </c>
      <c r="M20" s="14">
        <v>2</v>
      </c>
      <c r="N20" s="14">
        <v>2</v>
      </c>
      <c r="O20" s="105">
        <v>0</v>
      </c>
      <c r="P20" s="14">
        <v>2</v>
      </c>
      <c r="Q20" s="14">
        <v>2</v>
      </c>
      <c r="R20" s="14">
        <v>2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6">SUM(I21:W21)</f>
        <v>36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2.6999999999999997</v>
      </c>
      <c r="V21" s="14">
        <f ca="1">U34*V31</f>
        <v>5.3999999999999995</v>
      </c>
      <c r="W21" s="14">
        <f ca="1">U34*W31</f>
        <v>9.9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6</v>
      </c>
      <c r="I22" s="10">
        <f ca="1">I7</f>
        <v>0</v>
      </c>
      <c r="J22" s="10">
        <f t="shared" ref="J22:W22" ca="1" si="7">J7</f>
        <v>0</v>
      </c>
      <c r="K22" s="10">
        <f t="shared" ca="1" si="7"/>
        <v>0</v>
      </c>
      <c r="L22" s="10">
        <f t="shared" ca="1" si="7"/>
        <v>0</v>
      </c>
      <c r="M22" s="10">
        <f t="shared" ca="1" si="7"/>
        <v>0</v>
      </c>
      <c r="N22" s="10">
        <f t="shared" ca="1" si="7"/>
        <v>6</v>
      </c>
      <c r="O22" s="10">
        <f t="shared" ca="1" si="7"/>
        <v>0</v>
      </c>
      <c r="P22" s="10">
        <f t="shared" ca="1" si="7"/>
        <v>0</v>
      </c>
      <c r="Q22" s="10">
        <f t="shared" ca="1" si="7"/>
        <v>0</v>
      </c>
      <c r="R22" s="10">
        <f t="shared" ca="1" si="7"/>
        <v>0</v>
      </c>
      <c r="S22" s="10">
        <f t="shared" ca="1" si="7"/>
        <v>0</v>
      </c>
      <c r="T22" s="10">
        <f t="shared" ca="1" si="7"/>
        <v>0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2</v>
      </c>
      <c r="J23" s="61">
        <f ca="1">MIN(6*$B$6/15,12/$B$8 + 1,I23+SUM(J20:J22))</f>
        <v>3</v>
      </c>
      <c r="K23" s="61">
        <f t="shared" ref="K23:T23" ca="1" si="8">MIN(6*$B$6/15,12/$B$8 + 1,J23+SUM(K20:K22))</f>
        <v>3</v>
      </c>
      <c r="L23" s="61">
        <f t="shared" ca="1" si="8"/>
        <v>3</v>
      </c>
      <c r="M23" s="61">
        <f t="shared" ca="1" si="8"/>
        <v>3</v>
      </c>
      <c r="N23" s="61">
        <f t="shared" ca="1" si="8"/>
        <v>3</v>
      </c>
      <c r="O23" s="61">
        <f t="shared" ca="1" si="8"/>
        <v>3</v>
      </c>
      <c r="P23" s="61">
        <f t="shared" ca="1" si="8"/>
        <v>3</v>
      </c>
      <c r="Q23" s="61">
        <f t="shared" ca="1" si="8"/>
        <v>3</v>
      </c>
      <c r="R23" s="61">
        <f t="shared" ca="1" si="8"/>
        <v>3</v>
      </c>
      <c r="S23" s="61">
        <f t="shared" ca="1" si="8"/>
        <v>3</v>
      </c>
      <c r="T23" s="61">
        <f t="shared" ca="1" si="8"/>
        <v>3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0</v>
      </c>
      <c r="N24" s="24">
        <f>(IFERROR(_xlfn.XMATCH("Yes",N$9:N$17),0)&gt;0)*1</f>
        <v>1</v>
      </c>
      <c r="O24" s="107">
        <f t="shared" ref="O24:W24" si="10">(IFERROR(_xlfn.XMATCH("Yes",O$9:O$17),0)&gt;0)*1</f>
        <v>0</v>
      </c>
      <c r="P24" s="24">
        <f t="shared" si="10"/>
        <v>0</v>
      </c>
      <c r="Q24" s="24">
        <f t="shared" si="10"/>
        <v>0</v>
      </c>
      <c r="R24" s="24">
        <f t="shared" si="10"/>
        <v>0</v>
      </c>
      <c r="S24" s="24">
        <f t="shared" si="10"/>
        <v>0</v>
      </c>
      <c r="T24" s="26">
        <f t="shared" si="10"/>
        <v>0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15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1">-H23*I24</f>
        <v>0</v>
      </c>
      <c r="J26" s="22">
        <f t="shared" ca="1" si="11"/>
        <v>0</v>
      </c>
      <c r="K26" s="22">
        <f t="shared" ca="1" si="11"/>
        <v>0</v>
      </c>
      <c r="L26" s="22">
        <f t="shared" ca="1" si="11"/>
        <v>0</v>
      </c>
      <c r="M26" s="22">
        <f t="shared" ca="1" si="11"/>
        <v>0</v>
      </c>
      <c r="N26" s="22">
        <f ca="1">-M23*N24</f>
        <v>-3</v>
      </c>
      <c r="O26" s="108">
        <f t="shared" ca="1" si="11"/>
        <v>0</v>
      </c>
      <c r="P26" s="22">
        <f t="shared" ca="1" si="11"/>
        <v>0</v>
      </c>
      <c r="Q26" s="22">
        <f t="shared" ca="1" si="11"/>
        <v>0</v>
      </c>
      <c r="R26" s="22">
        <f t="shared" ca="1" si="11"/>
        <v>0</v>
      </c>
      <c r="S26" s="22">
        <f t="shared" ca="1" si="11"/>
        <v>0</v>
      </c>
      <c r="T26" s="22">
        <f t="shared" ca="1" si="11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12</v>
      </c>
      <c r="I27" s="25">
        <f>(I25+I26)</f>
        <v>0</v>
      </c>
      <c r="J27" s="25">
        <f ca="1">(J25+J26)</f>
        <v>0</v>
      </c>
      <c r="K27" s="25">
        <f ca="1">(K25+K26)</f>
        <v>0</v>
      </c>
      <c r="L27" s="25">
        <f ca="1">(L25+L26)</f>
        <v>0</v>
      </c>
      <c r="M27" s="25">
        <f ca="1">(M25+M26)</f>
        <v>0</v>
      </c>
      <c r="N27" s="25">
        <f ca="1">(N$25+N$26)</f>
        <v>12</v>
      </c>
      <c r="O27" s="109">
        <f t="shared" ref="O27:W27" ca="1" si="12">(O25+O26)</f>
        <v>0</v>
      </c>
      <c r="P27" s="25">
        <f t="shared" ca="1" si="12"/>
        <v>0</v>
      </c>
      <c r="Q27" s="25">
        <f t="shared" ca="1" si="12"/>
        <v>0</v>
      </c>
      <c r="R27" s="25">
        <f t="shared" ca="1" si="12"/>
        <v>0</v>
      </c>
      <c r="S27" s="25">
        <f t="shared" ca="1" si="12"/>
        <v>0</v>
      </c>
      <c r="T27" s="27">
        <f t="shared" ca="1" si="12"/>
        <v>0</v>
      </c>
      <c r="U27" s="25">
        <f t="shared" ca="1" si="12"/>
        <v>0</v>
      </c>
      <c r="V27" s="25">
        <f t="shared" ca="1" si="12"/>
        <v>0</v>
      </c>
      <c r="W27" s="25">
        <f t="shared" ca="1" si="12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3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4">SUM(I30:W30)</f>
        <v>75</v>
      </c>
      <c r="I30" s="16">
        <f t="shared" ref="I30:W30" ca="1" si="15">I20+I21+I22+I27+I28+I29</f>
        <v>2</v>
      </c>
      <c r="J30" s="16">
        <f t="shared" ca="1" si="15"/>
        <v>3</v>
      </c>
      <c r="K30" s="16">
        <f t="shared" ca="1" si="15"/>
        <v>3</v>
      </c>
      <c r="L30" s="16">
        <f t="shared" ca="1" si="15"/>
        <v>3</v>
      </c>
      <c r="M30" s="16">
        <f t="shared" ca="1" si="15"/>
        <v>4</v>
      </c>
      <c r="N30" s="16">
        <f t="shared" ca="1" si="15"/>
        <v>21</v>
      </c>
      <c r="O30" s="110">
        <f t="shared" ca="1" si="15"/>
        <v>2</v>
      </c>
      <c r="P30" s="16">
        <f t="shared" ca="1" si="15"/>
        <v>3</v>
      </c>
      <c r="Q30" s="16">
        <f t="shared" ca="1" si="15"/>
        <v>4</v>
      </c>
      <c r="R30" s="16">
        <f t="shared" ca="1" si="15"/>
        <v>3</v>
      </c>
      <c r="S30" s="16">
        <f t="shared" ca="1" si="15"/>
        <v>3</v>
      </c>
      <c r="T30" s="16">
        <f t="shared" ca="1" si="15"/>
        <v>3</v>
      </c>
      <c r="U30" s="65">
        <f t="shared" ca="1" si="15"/>
        <v>2.6999999999999997</v>
      </c>
      <c r="V30" s="16">
        <f t="shared" ca="1" si="15"/>
        <v>5.3999999999999995</v>
      </c>
      <c r="W30" s="16">
        <f t="shared" ca="1" si="15"/>
        <v>12.9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0</v>
      </c>
      <c r="L31" s="22">
        <f t="shared" si="16"/>
        <v>0</v>
      </c>
      <c r="M31" s="22">
        <f t="shared" si="16"/>
        <v>0</v>
      </c>
      <c r="N31" s="22">
        <f>(IFERROR(-N$21-MAX(MAX(0,1*MIN(6,N$2))),0)+N$25)*(1*N$24&gt;0)</f>
        <v>8</v>
      </c>
      <c r="O31" s="108">
        <f t="shared" ref="O31:T31" si="17">(IFERROR(-O$21-MAX(MAX(0,1*MIN(6,O$2))),0)+O$25)*(1*O$24&gt;0)</f>
        <v>0</v>
      </c>
      <c r="P31" s="22">
        <f t="shared" si="17"/>
        <v>0</v>
      </c>
      <c r="Q31" s="22">
        <f t="shared" si="17"/>
        <v>0</v>
      </c>
      <c r="R31" s="22">
        <f t="shared" si="17"/>
        <v>0</v>
      </c>
      <c r="S31" s="22">
        <f t="shared" si="17"/>
        <v>0</v>
      </c>
      <c r="T31" s="22">
        <f t="shared" si="17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18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8">IFERROR(_xlfn.XMATCH("Yes",J$9:J$17,1),T(1))</f>
        <v/>
      </c>
      <c r="K35" s="18" t="str">
        <f t="shared" si="18"/>
        <v/>
      </c>
      <c r="L35" s="18" t="str">
        <f t="shared" si="18"/>
        <v/>
      </c>
      <c r="M35" s="18" t="str">
        <f t="shared" si="18"/>
        <v/>
      </c>
      <c r="N35" s="18">
        <f t="shared" si="18"/>
        <v>1</v>
      </c>
      <c r="O35" s="18" t="str">
        <f t="shared" si="18"/>
        <v/>
      </c>
      <c r="P35" s="18" t="str">
        <f t="shared" si="18"/>
        <v/>
      </c>
      <c r="Q35" s="18" t="str">
        <f t="shared" si="18"/>
        <v/>
      </c>
      <c r="R35" s="18" t="str">
        <f t="shared" si="18"/>
        <v/>
      </c>
      <c r="S35" s="18" t="str">
        <f t="shared" si="18"/>
        <v/>
      </c>
      <c r="T35" s="18" t="str">
        <f t="shared" si="18"/>
        <v/>
      </c>
      <c r="U35" s="18" t="str">
        <f t="shared" si="18"/>
        <v/>
      </c>
      <c r="V35" s="18" t="str">
        <f t="shared" si="18"/>
        <v/>
      </c>
      <c r="W35" s="18" t="str">
        <f t="shared" si="18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19">(K30-J30)*(K30&gt;J30)</f>
        <v>0</v>
      </c>
      <c r="L52" s="18">
        <f t="shared" ca="1" si="19"/>
        <v>0</v>
      </c>
      <c r="M52" s="18">
        <f t="shared" ca="1" si="19"/>
        <v>1</v>
      </c>
      <c r="N52" s="18">
        <f t="shared" ca="1" si="19"/>
        <v>17</v>
      </c>
      <c r="O52" s="18">
        <f t="shared" ca="1" si="19"/>
        <v>0</v>
      </c>
      <c r="P52" s="18">
        <f t="shared" ca="1" si="19"/>
        <v>1</v>
      </c>
      <c r="Q52" s="18">
        <f t="shared" ca="1" si="19"/>
        <v>1</v>
      </c>
      <c r="R52" s="18">
        <f t="shared" ca="1" si="19"/>
        <v>0</v>
      </c>
      <c r="S52" s="18">
        <f t="shared" ca="1" si="19"/>
        <v>0</v>
      </c>
      <c r="T52" s="18">
        <f t="shared" ca="1" si="19"/>
        <v>0</v>
      </c>
      <c r="U52" s="18">
        <f t="shared" ca="1" si="19"/>
        <v>0</v>
      </c>
      <c r="V52" s="18">
        <f t="shared" ca="1" si="19"/>
        <v>2.6999999999999997</v>
      </c>
      <c r="W52" s="18">
        <f t="shared" ca="1" si="19"/>
        <v>7.5000000000000009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0">J52^2</f>
        <v>1</v>
      </c>
      <c r="K53" s="18">
        <f t="shared" ca="1" si="20"/>
        <v>0</v>
      </c>
      <c r="L53" s="18">
        <f t="shared" ca="1" si="20"/>
        <v>0</v>
      </c>
      <c r="M53" s="18">
        <f t="shared" ca="1" si="20"/>
        <v>1</v>
      </c>
      <c r="N53" s="18">
        <f t="shared" ca="1" si="20"/>
        <v>289</v>
      </c>
      <c r="O53" s="18">
        <f t="shared" ca="1" si="20"/>
        <v>0</v>
      </c>
      <c r="P53" s="18">
        <f t="shared" ca="1" si="20"/>
        <v>1</v>
      </c>
      <c r="Q53" s="18">
        <f t="shared" ca="1" si="20"/>
        <v>1</v>
      </c>
      <c r="R53" s="18">
        <f t="shared" ca="1" si="20"/>
        <v>0</v>
      </c>
      <c r="S53" s="18">
        <f t="shared" ca="1" si="20"/>
        <v>0</v>
      </c>
      <c r="T53" s="18">
        <f t="shared" ca="1" si="20"/>
        <v>0</v>
      </c>
      <c r="U53" s="18">
        <f t="shared" ca="1" si="20"/>
        <v>0</v>
      </c>
      <c r="V53" s="18">
        <f t="shared" ca="1" si="20"/>
        <v>7.2899999999999983</v>
      </c>
      <c r="W53" s="18">
        <f t="shared" ca="1" si="20"/>
        <v>56.250000000000014</v>
      </c>
    </row>
  </sheetData>
  <mergeCells count="2">
    <mergeCell ref="I1:W1"/>
    <mergeCell ref="F3:F7"/>
  </mergeCells>
  <conditionalFormatting sqref="I30:W30">
    <cfRule type="cellIs" dxfId="539" priority="11" operator="between">
      <formula>(2/3)*$D$19</formula>
      <formula>(3/2)*$D$19</formula>
    </cfRule>
    <cfRule type="cellIs" dxfId="538" priority="12" operator="lessThan">
      <formula>(2/3)*$D$19</formula>
    </cfRule>
    <cfRule type="cellIs" dxfId="537" priority="13" operator="greaterThanOrEqual">
      <formula>1.5*$D$19</formula>
    </cfRule>
  </conditionalFormatting>
  <conditionalFormatting sqref="H30">
    <cfRule type="cellIs" dxfId="536" priority="9" stopIfTrue="1" operator="equal">
      <formula>$B$6*10</formula>
    </cfRule>
    <cfRule type="cellIs" dxfId="535" priority="10" operator="notEqual">
      <formula>$B$6*10</formula>
    </cfRule>
  </conditionalFormatting>
  <conditionalFormatting sqref="I20:W29">
    <cfRule type="beginsWith" dxfId="534" priority="8" stopIfTrue="1" operator="beginsWith" text="0">
      <formula>LEFT(I20,LEN("0"))="0"</formula>
    </cfRule>
  </conditionalFormatting>
  <conditionalFormatting sqref="B18">
    <cfRule type="expression" dxfId="533" priority="7">
      <formula>B18&lt;&gt;$B$7</formula>
    </cfRule>
  </conditionalFormatting>
  <conditionalFormatting sqref="C18">
    <cfRule type="expression" dxfId="532" priority="6">
      <formula>$B$18&lt;&gt;$B$7</formula>
    </cfRule>
  </conditionalFormatting>
  <conditionalFormatting sqref="H31:H33">
    <cfRule type="expression" dxfId="531" priority="5">
      <formula>ABS($H$30-$D$6&gt;=1)</formula>
    </cfRule>
  </conditionalFormatting>
  <conditionalFormatting sqref="B7">
    <cfRule type="expression" dxfId="530" priority="4">
      <formula>($B$7&lt;&gt;SUM($B$9:$B$17))</formula>
    </cfRule>
  </conditionalFormatting>
  <conditionalFormatting sqref="I31:T33">
    <cfRule type="beginsWith" dxfId="529" priority="2" stopIfTrue="1" operator="beginsWith" text="0">
      <formula>LEFT(I31,LEN("0"))="0"</formula>
    </cfRule>
  </conditionalFormatting>
  <conditionalFormatting sqref="N34">
    <cfRule type="beginsWith" dxfId="528" priority="3" stopIfTrue="1" operator="beginsWith" text="0">
      <formula>LEFT(N34,LEN("0"))="0"</formula>
    </cfRule>
  </conditionalFormatting>
  <conditionalFormatting sqref="D9:D17">
    <cfRule type="cellIs" dxfId="527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72BA7CF-3CC3-9B40-8C55-0AD00DB388AD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33368F2F-3934-E945-855F-CE951AC79C25}">
      <formula1>"1,2"</formula1>
    </dataValidation>
    <dataValidation type="list" errorStyle="warning" allowBlank="1" showInputMessage="1" showErrorMessage="1" errorTitle="Non-standard credit weighting" promptTitle="Credit value" sqref="B6" xr:uid="{4AE4962F-BCD1-2648-996C-09FB23CDF4EF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5A061B50-DB18-8C49-A08F-E9A514E9827F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986633F9-A4B9-0149-98BB-B048E7F8BFDA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F7EE7ECF-E0C6-1D44-8B82-FE5DBD1EC444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F16E-8DEB-5D4E-AA54-7599EFCE6120}">
  <dimension ref="A1:AD53"/>
  <sheetViews>
    <sheetView topLeftCell="A2" zoomScaleNormal="100" workbookViewId="0">
      <selection activeCell="G9" sqref="G9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3.3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142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32" x14ac:dyDescent="0.2">
      <c r="A3" s="7" t="s">
        <v>52</v>
      </c>
      <c r="B3" s="48" t="s">
        <v>164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1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163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/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1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C6" t="s">
        <v>153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20</v>
      </c>
      <c r="C7" t="s">
        <v>161</v>
      </c>
      <c r="D7">
        <f>B6*10*B7/100</f>
        <v>15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1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1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4" x14ac:dyDescent="0.2">
      <c r="A9" t="s">
        <v>58</v>
      </c>
      <c r="B9" s="46">
        <v>20</v>
      </c>
      <c r="C9" s="40" t="s">
        <v>78</v>
      </c>
      <c r="D9">
        <f>B$6*10*B9/100</f>
        <v>15</v>
      </c>
      <c r="E9" s="29">
        <v>1</v>
      </c>
      <c r="F9" s="42"/>
      <c r="G9" s="30">
        <v>8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>Yes</v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20</v>
      </c>
      <c r="C18" s="59" t="str">
        <f>IF(B18=B7,"% ok","% credits do not add up to stated value")</f>
        <v>% ok</v>
      </c>
      <c r="D18" s="59">
        <f>SUM(D9:D17)</f>
        <v>15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278.1875</v>
      </c>
      <c r="G20" s="11" t="s">
        <v>82</v>
      </c>
      <c r="H20" s="21">
        <f>SUM(I20:W20)</f>
        <v>16</v>
      </c>
      <c r="I20" s="14">
        <v>1</v>
      </c>
      <c r="J20" s="14">
        <v>2</v>
      </c>
      <c r="K20" s="14">
        <v>1</v>
      </c>
      <c r="L20" s="14">
        <v>2</v>
      </c>
      <c r="M20" s="14">
        <v>1</v>
      </c>
      <c r="N20" s="14">
        <v>2</v>
      </c>
      <c r="O20" s="105">
        <v>0</v>
      </c>
      <c r="P20" s="14">
        <v>1</v>
      </c>
      <c r="Q20" s="14">
        <v>2</v>
      </c>
      <c r="R20" s="14">
        <v>1</v>
      </c>
      <c r="S20" s="14">
        <v>2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6">SUM(I21:W21)</f>
        <v>43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3.75</v>
      </c>
      <c r="V21" s="14">
        <f ca="1">U34*V31</f>
        <v>7.5</v>
      </c>
      <c r="W21" s="14">
        <f ca="1">U34*W31</f>
        <v>13.750000000000002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1</v>
      </c>
      <c r="I22" s="10">
        <f ca="1">I7</f>
        <v>0</v>
      </c>
      <c r="J22" s="10">
        <f t="shared" ref="J22:W22" ca="1" si="7">J7</f>
        <v>0</v>
      </c>
      <c r="K22" s="10">
        <f t="shared" ca="1" si="7"/>
        <v>0</v>
      </c>
      <c r="L22" s="10">
        <f t="shared" ca="1" si="7"/>
        <v>0</v>
      </c>
      <c r="M22" s="10">
        <f t="shared" ca="1" si="7"/>
        <v>0</v>
      </c>
      <c r="N22" s="10">
        <f t="shared" ca="1" si="7"/>
        <v>0</v>
      </c>
      <c r="O22" s="10">
        <f t="shared" ca="1" si="7"/>
        <v>0</v>
      </c>
      <c r="P22" s="10">
        <f t="shared" ca="1" si="7"/>
        <v>1</v>
      </c>
      <c r="Q22" s="10">
        <f t="shared" ca="1" si="7"/>
        <v>0</v>
      </c>
      <c r="R22" s="10">
        <f t="shared" ca="1" si="7"/>
        <v>0</v>
      </c>
      <c r="S22" s="10">
        <f t="shared" ca="1" si="7"/>
        <v>0</v>
      </c>
      <c r="T22" s="10">
        <f t="shared" ca="1" si="7"/>
        <v>0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2</v>
      </c>
      <c r="J23" s="61">
        <f ca="1">MIN(6*$B$6/15, 12/$B$8 + 1,I23+SUM(J20:J22))</f>
        <v>3</v>
      </c>
      <c r="K23" s="61">
        <f t="shared" ref="K23:T23" ca="1" si="8">MIN(6*$B$6/15, 12/$B$8 + 1,J23+SUM(K20:K22))</f>
        <v>3</v>
      </c>
      <c r="L23" s="61">
        <f t="shared" ca="1" si="8"/>
        <v>3</v>
      </c>
      <c r="M23" s="61">
        <f t="shared" ca="1" si="8"/>
        <v>3</v>
      </c>
      <c r="N23" s="61">
        <f t="shared" ca="1" si="8"/>
        <v>3</v>
      </c>
      <c r="O23" s="61">
        <f t="shared" ca="1" si="8"/>
        <v>3</v>
      </c>
      <c r="P23" s="61">
        <f t="shared" ca="1" si="8"/>
        <v>3</v>
      </c>
      <c r="Q23" s="61">
        <f t="shared" ca="1" si="8"/>
        <v>3</v>
      </c>
      <c r="R23" s="61">
        <f t="shared" ca="1" si="8"/>
        <v>3</v>
      </c>
      <c r="S23" s="61">
        <f t="shared" ca="1" si="8"/>
        <v>3</v>
      </c>
      <c r="T23" s="61">
        <f t="shared" ca="1" si="8"/>
        <v>3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0</v>
      </c>
      <c r="N24" s="24">
        <f>(IFERROR(_xlfn.XMATCH("Yes",N$9:N$17),0)&gt;0)*1</f>
        <v>0</v>
      </c>
      <c r="O24" s="107">
        <f t="shared" ref="O24:W24" si="10">(IFERROR(_xlfn.XMATCH("Yes",O$9:O$17),0)&gt;0)*1</f>
        <v>0</v>
      </c>
      <c r="P24" s="24">
        <f t="shared" si="10"/>
        <v>1</v>
      </c>
      <c r="Q24" s="24">
        <f t="shared" si="10"/>
        <v>0</v>
      </c>
      <c r="R24" s="24">
        <f t="shared" si="10"/>
        <v>0</v>
      </c>
      <c r="S24" s="24">
        <f t="shared" si="10"/>
        <v>0</v>
      </c>
      <c r="T24" s="26">
        <f t="shared" si="10"/>
        <v>0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15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1">-H23*I24</f>
        <v>0</v>
      </c>
      <c r="J26" s="22">
        <f t="shared" ca="1" si="11"/>
        <v>0</v>
      </c>
      <c r="K26" s="22">
        <f t="shared" ca="1" si="11"/>
        <v>0</v>
      </c>
      <c r="L26" s="22">
        <f t="shared" ca="1" si="11"/>
        <v>0</v>
      </c>
      <c r="M26" s="22">
        <f t="shared" ca="1" si="11"/>
        <v>0</v>
      </c>
      <c r="N26" s="22">
        <f ca="1">-M23*N24</f>
        <v>0</v>
      </c>
      <c r="O26" s="108">
        <f t="shared" ca="1" si="11"/>
        <v>0</v>
      </c>
      <c r="P26" s="22">
        <f t="shared" ca="1" si="11"/>
        <v>-3</v>
      </c>
      <c r="Q26" s="22">
        <f t="shared" ca="1" si="11"/>
        <v>0</v>
      </c>
      <c r="R26" s="22">
        <f t="shared" ca="1" si="11"/>
        <v>0</v>
      </c>
      <c r="S26" s="22">
        <f t="shared" ca="1" si="11"/>
        <v>0</v>
      </c>
      <c r="T26" s="22">
        <f t="shared" ca="1" si="11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12</v>
      </c>
      <c r="I27" s="25">
        <f>(I25+I26)</f>
        <v>0</v>
      </c>
      <c r="J27" s="25">
        <f ca="1">(J25+J26)</f>
        <v>0</v>
      </c>
      <c r="K27" s="25">
        <f ca="1">(K25+K26)</f>
        <v>0</v>
      </c>
      <c r="L27" s="25">
        <f ca="1">(L25+L26)</f>
        <v>0</v>
      </c>
      <c r="M27" s="25">
        <f ca="1">(M25+M26)</f>
        <v>0</v>
      </c>
      <c r="N27" s="25">
        <f ca="1">(N$25+N$26)</f>
        <v>0</v>
      </c>
      <c r="O27" s="109">
        <f t="shared" ref="O27:W27" ca="1" si="12">(O25+O26)</f>
        <v>0</v>
      </c>
      <c r="P27" s="25">
        <f t="shared" ca="1" si="12"/>
        <v>12</v>
      </c>
      <c r="Q27" s="25">
        <f t="shared" ca="1" si="12"/>
        <v>0</v>
      </c>
      <c r="R27" s="25">
        <f t="shared" ca="1" si="12"/>
        <v>0</v>
      </c>
      <c r="S27" s="25">
        <f t="shared" ca="1" si="12"/>
        <v>0</v>
      </c>
      <c r="T27" s="27">
        <f t="shared" ca="1" si="12"/>
        <v>0</v>
      </c>
      <c r="U27" s="25">
        <f t="shared" ca="1" si="12"/>
        <v>0</v>
      </c>
      <c r="V27" s="25">
        <f t="shared" ca="1" si="12"/>
        <v>0</v>
      </c>
      <c r="W27" s="25">
        <f t="shared" ca="1" si="12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3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4">SUM(I30:W30)</f>
        <v>75</v>
      </c>
      <c r="I30" s="16">
        <f t="shared" ref="I30:W30" ca="1" si="15">I20+I21+I22+I27+I28+I29</f>
        <v>2</v>
      </c>
      <c r="J30" s="16">
        <f t="shared" ca="1" si="15"/>
        <v>3</v>
      </c>
      <c r="K30" s="16">
        <f t="shared" ca="1" si="15"/>
        <v>3</v>
      </c>
      <c r="L30" s="16">
        <f t="shared" ca="1" si="15"/>
        <v>3</v>
      </c>
      <c r="M30" s="16">
        <f t="shared" ca="1" si="15"/>
        <v>3</v>
      </c>
      <c r="N30" s="16">
        <f t="shared" ca="1" si="15"/>
        <v>3</v>
      </c>
      <c r="O30" s="110">
        <f t="shared" ca="1" si="15"/>
        <v>2</v>
      </c>
      <c r="P30" s="16">
        <f t="shared" ca="1" si="15"/>
        <v>15</v>
      </c>
      <c r="Q30" s="16">
        <f t="shared" ca="1" si="15"/>
        <v>4</v>
      </c>
      <c r="R30" s="16">
        <f t="shared" ca="1" si="15"/>
        <v>2</v>
      </c>
      <c r="S30" s="16">
        <f t="shared" ca="1" si="15"/>
        <v>4</v>
      </c>
      <c r="T30" s="16">
        <f t="shared" ca="1" si="15"/>
        <v>3</v>
      </c>
      <c r="U30" s="65">
        <f t="shared" ca="1" si="15"/>
        <v>3.75</v>
      </c>
      <c r="V30" s="16">
        <f t="shared" ca="1" si="15"/>
        <v>7.5</v>
      </c>
      <c r="W30" s="16">
        <f t="shared" ca="1" si="15"/>
        <v>16.75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0</v>
      </c>
      <c r="L31" s="22">
        <f t="shared" si="16"/>
        <v>0</v>
      </c>
      <c r="M31" s="22">
        <f t="shared" si="16"/>
        <v>0</v>
      </c>
      <c r="N31" s="22">
        <f>(IFERROR(-N$21-MAX(MAX(0,1*MIN(6,N$2))),0)+N$25)*(1*N$24&gt;0)</f>
        <v>0</v>
      </c>
      <c r="O31" s="108">
        <f t="shared" ref="O31:T31" si="17">(IFERROR(-O$21-MAX(MAX(0,1*MIN(6,O$2))),0)+O$25)*(1*O$24&gt;0)</f>
        <v>0</v>
      </c>
      <c r="P31" s="22">
        <f t="shared" si="17"/>
        <v>8</v>
      </c>
      <c r="Q31" s="22">
        <f t="shared" si="17"/>
        <v>0</v>
      </c>
      <c r="R31" s="22">
        <f t="shared" si="17"/>
        <v>0</v>
      </c>
      <c r="S31" s="22">
        <f t="shared" si="17"/>
        <v>0</v>
      </c>
      <c r="T31" s="22">
        <f t="shared" si="17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25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8">IFERROR(_xlfn.XMATCH("Yes",J$9:J$17,1),T(1))</f>
        <v/>
      </c>
      <c r="K35" s="18" t="str">
        <f t="shared" si="18"/>
        <v/>
      </c>
      <c r="L35" s="18" t="str">
        <f t="shared" si="18"/>
        <v/>
      </c>
      <c r="M35" s="18" t="str">
        <f t="shared" si="18"/>
        <v/>
      </c>
      <c r="N35" s="18" t="str">
        <f t="shared" si="18"/>
        <v/>
      </c>
      <c r="O35" s="18" t="str">
        <f t="shared" si="18"/>
        <v/>
      </c>
      <c r="P35" s="18">
        <f t="shared" si="18"/>
        <v>1</v>
      </c>
      <c r="Q35" s="18" t="str">
        <f t="shared" si="18"/>
        <v/>
      </c>
      <c r="R35" s="18" t="str">
        <f t="shared" si="18"/>
        <v/>
      </c>
      <c r="S35" s="18" t="str">
        <f t="shared" si="18"/>
        <v/>
      </c>
      <c r="T35" s="18" t="str">
        <f t="shared" si="18"/>
        <v/>
      </c>
      <c r="U35" s="18" t="str">
        <f t="shared" si="18"/>
        <v/>
      </c>
      <c r="V35" s="18" t="str">
        <f t="shared" si="18"/>
        <v/>
      </c>
      <c r="W35" s="18" t="str">
        <f t="shared" si="18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19">(K30-J30)*(K30&gt;J30)</f>
        <v>0</v>
      </c>
      <c r="L52" s="18">
        <f t="shared" ca="1" si="19"/>
        <v>0</v>
      </c>
      <c r="M52" s="18">
        <f t="shared" ca="1" si="19"/>
        <v>0</v>
      </c>
      <c r="N52" s="18">
        <f t="shared" ca="1" si="19"/>
        <v>0</v>
      </c>
      <c r="O52" s="18">
        <f t="shared" ca="1" si="19"/>
        <v>0</v>
      </c>
      <c r="P52" s="18">
        <f t="shared" ca="1" si="19"/>
        <v>13</v>
      </c>
      <c r="Q52" s="18">
        <f t="shared" ca="1" si="19"/>
        <v>0</v>
      </c>
      <c r="R52" s="18">
        <f t="shared" ca="1" si="19"/>
        <v>0</v>
      </c>
      <c r="S52" s="18">
        <f t="shared" ca="1" si="19"/>
        <v>2</v>
      </c>
      <c r="T52" s="18">
        <f t="shared" ca="1" si="19"/>
        <v>0</v>
      </c>
      <c r="U52" s="18">
        <f t="shared" ca="1" si="19"/>
        <v>0.75</v>
      </c>
      <c r="V52" s="18">
        <f t="shared" ca="1" si="19"/>
        <v>3.75</v>
      </c>
      <c r="W52" s="18">
        <f t="shared" ca="1" si="19"/>
        <v>9.25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0">J52^2</f>
        <v>1</v>
      </c>
      <c r="K53" s="18">
        <f t="shared" ca="1" si="20"/>
        <v>0</v>
      </c>
      <c r="L53" s="18">
        <f t="shared" ca="1" si="20"/>
        <v>0</v>
      </c>
      <c r="M53" s="18">
        <f t="shared" ca="1" si="20"/>
        <v>0</v>
      </c>
      <c r="N53" s="18">
        <f t="shared" ca="1" si="20"/>
        <v>0</v>
      </c>
      <c r="O53" s="18">
        <f t="shared" ca="1" si="20"/>
        <v>0</v>
      </c>
      <c r="P53" s="18">
        <f t="shared" ca="1" si="20"/>
        <v>169</v>
      </c>
      <c r="Q53" s="18">
        <f t="shared" ca="1" si="20"/>
        <v>0</v>
      </c>
      <c r="R53" s="18">
        <f t="shared" ca="1" si="20"/>
        <v>0</v>
      </c>
      <c r="S53" s="18">
        <f t="shared" ca="1" si="20"/>
        <v>4</v>
      </c>
      <c r="T53" s="18">
        <f t="shared" ca="1" si="20"/>
        <v>0</v>
      </c>
      <c r="U53" s="18">
        <f t="shared" ca="1" si="20"/>
        <v>0.5625</v>
      </c>
      <c r="V53" s="18">
        <f t="shared" ca="1" si="20"/>
        <v>14.0625</v>
      </c>
      <c r="W53" s="18">
        <f t="shared" ca="1" si="20"/>
        <v>85.5625</v>
      </c>
    </row>
  </sheetData>
  <mergeCells count="2">
    <mergeCell ref="I1:W1"/>
    <mergeCell ref="F3:F7"/>
  </mergeCells>
  <conditionalFormatting sqref="I30:W30">
    <cfRule type="cellIs" dxfId="526" priority="11" operator="between">
      <formula>(2/3)*$D$19</formula>
      <formula>(3/2)*$D$19</formula>
    </cfRule>
    <cfRule type="cellIs" dxfId="525" priority="12" operator="lessThan">
      <formula>(2/3)*$D$19</formula>
    </cfRule>
    <cfRule type="cellIs" dxfId="524" priority="13" operator="greaterThanOrEqual">
      <formula>1.5*$D$19</formula>
    </cfRule>
  </conditionalFormatting>
  <conditionalFormatting sqref="H30">
    <cfRule type="cellIs" dxfId="523" priority="9" stopIfTrue="1" operator="equal">
      <formula>$B$6*10</formula>
    </cfRule>
    <cfRule type="cellIs" dxfId="522" priority="10" operator="notEqual">
      <formula>$B$6*10</formula>
    </cfRule>
  </conditionalFormatting>
  <conditionalFormatting sqref="I20:W29">
    <cfRule type="beginsWith" dxfId="521" priority="8" stopIfTrue="1" operator="beginsWith" text="0">
      <formula>LEFT(I20,LEN("0"))="0"</formula>
    </cfRule>
  </conditionalFormatting>
  <conditionalFormatting sqref="B18">
    <cfRule type="expression" dxfId="520" priority="7">
      <formula>B18&lt;&gt;$B$7</formula>
    </cfRule>
  </conditionalFormatting>
  <conditionalFormatting sqref="C18">
    <cfRule type="expression" dxfId="519" priority="6">
      <formula>$B$18&lt;&gt;$B$7</formula>
    </cfRule>
  </conditionalFormatting>
  <conditionalFormatting sqref="H31:H33">
    <cfRule type="expression" dxfId="518" priority="5">
      <formula>ABS($H$30-$D$6&gt;=1)</formula>
    </cfRule>
  </conditionalFormatting>
  <conditionalFormatting sqref="B7">
    <cfRule type="expression" dxfId="517" priority="4">
      <formula>($B$7&lt;&gt;SUM($B$9:$B$17))</formula>
    </cfRule>
  </conditionalFormatting>
  <conditionalFormatting sqref="I31:T33">
    <cfRule type="beginsWith" dxfId="516" priority="2" stopIfTrue="1" operator="beginsWith" text="0">
      <formula>LEFT(I31,LEN("0"))="0"</formula>
    </cfRule>
  </conditionalFormatting>
  <conditionalFormatting sqref="N34">
    <cfRule type="beginsWith" dxfId="515" priority="3" stopIfTrue="1" operator="beginsWith" text="0">
      <formula>LEFT(N34,LEN("0"))="0"</formula>
    </cfRule>
  </conditionalFormatting>
  <conditionalFormatting sqref="D9:D17">
    <cfRule type="cellIs" dxfId="514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E217238A-98A7-204C-AEE2-FEACBAD6B057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D7B4A4B9-C870-E54C-BA0A-7B0BEC285810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59A2159E-E4C4-384C-B7E6-9398C9211AE5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B20CE7A2-62E7-FE46-B65A-0DB4D03B50B1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F7A5C548-887B-7747-878F-E28B5082CF54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ED8D20BA-A671-0A4B-BD78-1027529E221E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BD5C3-4FCB-B546-9B1C-971C0E995B98}">
  <dimension ref="A1:AD53"/>
  <sheetViews>
    <sheetView topLeftCell="A13" zoomScaleNormal="100" workbookViewId="0">
      <selection activeCell="K22" sqref="K22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191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154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1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2</v>
      </c>
      <c r="P3" s="137">
        <f t="shared" si="0"/>
        <v>0</v>
      </c>
      <c r="Q3" s="137">
        <f t="shared" si="0"/>
        <v>3</v>
      </c>
      <c r="R3" s="137">
        <f t="shared" si="0"/>
        <v>0</v>
      </c>
      <c r="S3" s="137">
        <f t="shared" si="0"/>
        <v>0</v>
      </c>
      <c r="T3" s="137">
        <f t="shared" si="0"/>
        <v>4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155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1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1</v>
      </c>
      <c r="P5" s="85">
        <f t="shared" ca="1" si="1"/>
        <v>0</v>
      </c>
      <c r="Q5" s="85">
        <f t="shared" ca="1" si="1"/>
        <v>1</v>
      </c>
      <c r="R5" s="85">
        <f t="shared" ca="1" si="1"/>
        <v>0</v>
      </c>
      <c r="S5" s="85">
        <f t="shared" ca="1" si="1"/>
        <v>0</v>
      </c>
      <c r="T5" s="85">
        <f t="shared" ca="1" si="1"/>
        <v>1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40</v>
      </c>
      <c r="D7">
        <f>B6*10*B7/100</f>
        <v>60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1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1</v>
      </c>
      <c r="P7" s="85">
        <f t="shared" ca="1" si="2"/>
        <v>0</v>
      </c>
      <c r="Q7" s="85">
        <f t="shared" ca="1" si="2"/>
        <v>1</v>
      </c>
      <c r="R7" s="85">
        <f t="shared" ca="1" si="2"/>
        <v>0</v>
      </c>
      <c r="S7" s="85">
        <f t="shared" ca="1" si="2"/>
        <v>0</v>
      </c>
      <c r="T7" s="85">
        <f t="shared" ca="1" si="2"/>
        <v>1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37" thickBot="1" x14ac:dyDescent="0.25">
      <c r="A8" t="s">
        <v>55</v>
      </c>
      <c r="B8" s="45">
        <v>4</v>
      </c>
      <c r="C8" s="123"/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>Online Class Test 1</v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>Online Class Test 2</v>
      </c>
      <c r="P8" s="81"/>
      <c r="Q8" s="81" t="str" cm="1">
        <f t="array" ref="Q8">IFERROR(INDEX($C9:$C17,MATCH(TRUE,Q9:Q17&lt;&gt;"",0)),"")</f>
        <v>Online Class Test 3</v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4" x14ac:dyDescent="0.2">
      <c r="A9" t="s">
        <v>58</v>
      </c>
      <c r="B9" s="46">
        <v>10</v>
      </c>
      <c r="C9" s="122" t="s">
        <v>305</v>
      </c>
      <c r="D9">
        <f>B$6*10*B9/100</f>
        <v>15</v>
      </c>
      <c r="E9" s="29">
        <v>1</v>
      </c>
      <c r="F9" s="42"/>
      <c r="G9" s="30">
        <v>3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>Yes</v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10</v>
      </c>
      <c r="C10" s="40" t="s">
        <v>306</v>
      </c>
      <c r="D10">
        <f>B$6*10*B10/100</f>
        <v>15</v>
      </c>
      <c r="E10" s="31">
        <v>1</v>
      </c>
      <c r="F10" s="43"/>
      <c r="G10" s="32">
        <v>7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>Yes</v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10</v>
      </c>
      <c r="C11" s="40" t="s">
        <v>307</v>
      </c>
      <c r="D11">
        <f t="shared" ref="D11:D17" si="5">B$6*10*B11/100</f>
        <v>15</v>
      </c>
      <c r="E11" s="31">
        <v>1</v>
      </c>
      <c r="F11" s="43"/>
      <c r="G11" s="32">
        <v>9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>Yes</v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10</v>
      </c>
      <c r="C12" s="40" t="s">
        <v>308</v>
      </c>
      <c r="D12">
        <f t="shared" si="5"/>
        <v>15</v>
      </c>
      <c r="E12" s="31">
        <v>1</v>
      </c>
      <c r="F12" s="43"/>
      <c r="G12" s="32">
        <v>12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>Yes</v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40</v>
      </c>
      <c r="C18" s="59" t="str">
        <f>IF(B18=B7,"% ok","% credits do not add up to stated value")</f>
        <v>% ok</v>
      </c>
      <c r="D18" s="59">
        <f>SUM(D9:D17)</f>
        <v>60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864.84</v>
      </c>
      <c r="G20" s="11" t="s">
        <v>82</v>
      </c>
      <c r="H20" s="21">
        <f>SUM(I20:W20)</f>
        <v>29</v>
      </c>
      <c r="I20" s="14">
        <v>3</v>
      </c>
      <c r="J20" s="14">
        <v>3</v>
      </c>
      <c r="K20" s="14">
        <v>2</v>
      </c>
      <c r="L20" s="14">
        <v>3</v>
      </c>
      <c r="M20" s="14">
        <v>3</v>
      </c>
      <c r="N20" s="14">
        <v>2</v>
      </c>
      <c r="O20" s="105">
        <v>0</v>
      </c>
      <c r="P20" s="14">
        <v>3</v>
      </c>
      <c r="Q20" s="14">
        <v>2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6">SUM(I21:W21)</f>
        <v>70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7.8</v>
      </c>
      <c r="V21" s="14">
        <f ca="1">U34*V31</f>
        <v>15.6</v>
      </c>
      <c r="W21" s="14">
        <f ca="1">U34*W31</f>
        <v>28.6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4</v>
      </c>
      <c r="I22" s="10">
        <f ca="1">I7</f>
        <v>0</v>
      </c>
      <c r="J22" s="10">
        <f t="shared" ref="J22:W22" ca="1" si="7">J7</f>
        <v>0</v>
      </c>
      <c r="K22" s="10">
        <f t="shared" ca="1" si="7"/>
        <v>1</v>
      </c>
      <c r="L22" s="10">
        <f t="shared" ca="1" si="7"/>
        <v>0</v>
      </c>
      <c r="M22" s="10">
        <f t="shared" ca="1" si="7"/>
        <v>0</v>
      </c>
      <c r="N22" s="10">
        <f t="shared" ca="1" si="7"/>
        <v>0</v>
      </c>
      <c r="O22" s="10">
        <f t="shared" ca="1" si="7"/>
        <v>1</v>
      </c>
      <c r="P22" s="10">
        <f t="shared" ca="1" si="7"/>
        <v>0</v>
      </c>
      <c r="Q22" s="10">
        <f t="shared" ca="1" si="7"/>
        <v>1</v>
      </c>
      <c r="R22" s="10">
        <f t="shared" ca="1" si="7"/>
        <v>0</v>
      </c>
      <c r="S22" s="10">
        <f t="shared" ca="1" si="7"/>
        <v>0</v>
      </c>
      <c r="T22" s="10">
        <f t="shared" ca="1" si="7"/>
        <v>1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4</v>
      </c>
      <c r="J23" s="61">
        <f ca="1">MIN(6*$B$6/15,12/$B$8 + 1,I23+SUM(J20:J22))</f>
        <v>4</v>
      </c>
      <c r="K23" s="61">
        <f t="shared" ref="K23:T23" ca="1" si="8">MIN(6*$B$6/15,12/$B$8 + 1,J23+SUM(K20:K22))</f>
        <v>4</v>
      </c>
      <c r="L23" s="61">
        <f t="shared" ca="1" si="8"/>
        <v>4</v>
      </c>
      <c r="M23" s="61">
        <f t="shared" ca="1" si="8"/>
        <v>4</v>
      </c>
      <c r="N23" s="61">
        <f t="shared" ca="1" si="8"/>
        <v>4</v>
      </c>
      <c r="O23" s="61">
        <f t="shared" ca="1" si="8"/>
        <v>4</v>
      </c>
      <c r="P23" s="61">
        <f t="shared" ca="1" si="8"/>
        <v>4</v>
      </c>
      <c r="Q23" s="61">
        <f t="shared" ca="1" si="8"/>
        <v>4</v>
      </c>
      <c r="R23" s="61">
        <f t="shared" ca="1" si="8"/>
        <v>4</v>
      </c>
      <c r="S23" s="61">
        <f t="shared" ca="1" si="8"/>
        <v>4</v>
      </c>
      <c r="T23" s="61">
        <f t="shared" ca="1" si="8"/>
        <v>4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1</v>
      </c>
      <c r="L24" s="24">
        <f t="shared" si="9"/>
        <v>0</v>
      </c>
      <c r="M24" s="24">
        <f t="shared" si="9"/>
        <v>0</v>
      </c>
      <c r="N24" s="24">
        <f>(IFERROR(_xlfn.XMATCH("Yes",N$9:N$17),0)&gt;0)*1</f>
        <v>0</v>
      </c>
      <c r="O24" s="107">
        <f t="shared" ref="O24:W24" si="10">(IFERROR(_xlfn.XMATCH("Yes",O$9:O$17),0)&gt;0)*1</f>
        <v>1</v>
      </c>
      <c r="P24" s="24">
        <f t="shared" si="10"/>
        <v>0</v>
      </c>
      <c r="Q24" s="24">
        <f t="shared" si="10"/>
        <v>1</v>
      </c>
      <c r="R24" s="24">
        <f t="shared" si="10"/>
        <v>0</v>
      </c>
      <c r="S24" s="24">
        <f t="shared" si="10"/>
        <v>0</v>
      </c>
      <c r="T24" s="26">
        <f t="shared" si="10"/>
        <v>1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15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15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15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15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1">-H23*I24</f>
        <v>0</v>
      </c>
      <c r="J26" s="22">
        <f t="shared" ca="1" si="11"/>
        <v>0</v>
      </c>
      <c r="K26" s="22">
        <f t="shared" ca="1" si="11"/>
        <v>-4</v>
      </c>
      <c r="L26" s="22">
        <f t="shared" ca="1" si="11"/>
        <v>0</v>
      </c>
      <c r="M26" s="22">
        <f t="shared" ca="1" si="11"/>
        <v>0</v>
      </c>
      <c r="N26" s="22">
        <f ca="1">-M23*N24</f>
        <v>0</v>
      </c>
      <c r="O26" s="108">
        <f t="shared" ca="1" si="11"/>
        <v>-4</v>
      </c>
      <c r="P26" s="22">
        <f t="shared" ca="1" si="11"/>
        <v>0</v>
      </c>
      <c r="Q26" s="22">
        <f t="shared" ca="1" si="11"/>
        <v>-4</v>
      </c>
      <c r="R26" s="22">
        <f t="shared" ca="1" si="11"/>
        <v>0</v>
      </c>
      <c r="S26" s="22">
        <f t="shared" ca="1" si="11"/>
        <v>0</v>
      </c>
      <c r="T26" s="22">
        <f t="shared" ca="1" si="11"/>
        <v>-4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44</v>
      </c>
      <c r="I27" s="25">
        <f>(I25+I26)</f>
        <v>0</v>
      </c>
      <c r="J27" s="25">
        <f ca="1">(J25+J26)</f>
        <v>0</v>
      </c>
      <c r="K27" s="25">
        <f ca="1">(K25+K26)</f>
        <v>11</v>
      </c>
      <c r="L27" s="25">
        <f ca="1">(L25+L26)</f>
        <v>0</v>
      </c>
      <c r="M27" s="25">
        <f ca="1">(M25+M26)</f>
        <v>0</v>
      </c>
      <c r="N27" s="25">
        <f ca="1">(N$25+N$26)</f>
        <v>0</v>
      </c>
      <c r="O27" s="109">
        <f t="shared" ref="O27:W27" ca="1" si="12">(O25+O26)</f>
        <v>11</v>
      </c>
      <c r="P27" s="25">
        <f t="shared" ca="1" si="12"/>
        <v>0</v>
      </c>
      <c r="Q27" s="25">
        <f t="shared" ca="1" si="12"/>
        <v>11</v>
      </c>
      <c r="R27" s="25">
        <f t="shared" ca="1" si="12"/>
        <v>0</v>
      </c>
      <c r="S27" s="25">
        <f t="shared" ca="1" si="12"/>
        <v>0</v>
      </c>
      <c r="T27" s="27">
        <f t="shared" ca="1" si="12"/>
        <v>11</v>
      </c>
      <c r="U27" s="25">
        <f t="shared" ca="1" si="12"/>
        <v>0</v>
      </c>
      <c r="V27" s="25">
        <f t="shared" ca="1" si="12"/>
        <v>0</v>
      </c>
      <c r="W27" s="25">
        <f t="shared" ca="1" si="12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3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4">SUM(I30:W30)</f>
        <v>150</v>
      </c>
      <c r="I30" s="16">
        <f t="shared" ref="I30:W30" ca="1" si="15">I20+I21+I22+I27+I28+I29</f>
        <v>4</v>
      </c>
      <c r="J30" s="16">
        <f t="shared" ca="1" si="15"/>
        <v>4</v>
      </c>
      <c r="K30" s="16">
        <f t="shared" ca="1" si="15"/>
        <v>16</v>
      </c>
      <c r="L30" s="16">
        <f t="shared" ca="1" si="15"/>
        <v>4</v>
      </c>
      <c r="M30" s="16">
        <f t="shared" ca="1" si="15"/>
        <v>5</v>
      </c>
      <c r="N30" s="16">
        <f t="shared" ca="1" si="15"/>
        <v>3</v>
      </c>
      <c r="O30" s="110">
        <f t="shared" ca="1" si="15"/>
        <v>14</v>
      </c>
      <c r="P30" s="16">
        <f t="shared" ca="1" si="15"/>
        <v>4</v>
      </c>
      <c r="Q30" s="16">
        <f t="shared" ca="1" si="15"/>
        <v>16</v>
      </c>
      <c r="R30" s="16">
        <f t="shared" ca="1" si="15"/>
        <v>4</v>
      </c>
      <c r="S30" s="16">
        <f t="shared" ca="1" si="15"/>
        <v>5</v>
      </c>
      <c r="T30" s="16">
        <f t="shared" ca="1" si="15"/>
        <v>16</v>
      </c>
      <c r="U30" s="65">
        <f t="shared" ca="1" si="15"/>
        <v>7.8</v>
      </c>
      <c r="V30" s="16">
        <f t="shared" ca="1" si="15"/>
        <v>15.6</v>
      </c>
      <c r="W30" s="16">
        <f t="shared" ca="1" si="15"/>
        <v>31.6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10</v>
      </c>
      <c r="L31" s="22">
        <f t="shared" si="16"/>
        <v>0</v>
      </c>
      <c r="M31" s="22">
        <f t="shared" si="16"/>
        <v>0</v>
      </c>
      <c r="N31" s="22">
        <f>(IFERROR(-N$21-MAX(MAX(0,1*MIN(6,N$2))),0)+N$25)*(1*N$24&gt;0)</f>
        <v>0</v>
      </c>
      <c r="O31" s="108">
        <f t="shared" ref="O31:T31" si="17">(IFERROR(-O$21-MAX(MAX(0,1*MIN(6,O$2))),0)+O$25)*(1*O$24&gt;0)</f>
        <v>7</v>
      </c>
      <c r="P31" s="22">
        <f t="shared" si="17"/>
        <v>0</v>
      </c>
      <c r="Q31" s="22">
        <f t="shared" si="17"/>
        <v>7</v>
      </c>
      <c r="R31" s="22">
        <f t="shared" si="17"/>
        <v>0</v>
      </c>
      <c r="S31" s="22">
        <f t="shared" si="17"/>
        <v>0</v>
      </c>
      <c r="T31" s="22">
        <f t="shared" si="17"/>
        <v>7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52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8">IFERROR(_xlfn.XMATCH("Yes",J$9:J$17,1),T(1))</f>
        <v/>
      </c>
      <c r="K35" s="18">
        <f t="shared" si="18"/>
        <v>1</v>
      </c>
      <c r="L35" s="18" t="str">
        <f t="shared" si="18"/>
        <v/>
      </c>
      <c r="M35" s="18" t="str">
        <f t="shared" si="18"/>
        <v/>
      </c>
      <c r="N35" s="18" t="str">
        <f t="shared" si="18"/>
        <v/>
      </c>
      <c r="O35" s="18">
        <f t="shared" si="18"/>
        <v>2</v>
      </c>
      <c r="P35" s="18" t="str">
        <f t="shared" si="18"/>
        <v/>
      </c>
      <c r="Q35" s="18">
        <f t="shared" si="18"/>
        <v>3</v>
      </c>
      <c r="R35" s="18" t="str">
        <f t="shared" si="18"/>
        <v/>
      </c>
      <c r="S35" s="18" t="str">
        <f t="shared" si="18"/>
        <v/>
      </c>
      <c r="T35" s="18">
        <f t="shared" si="18"/>
        <v>4</v>
      </c>
      <c r="U35" s="18" t="str">
        <f t="shared" si="18"/>
        <v/>
      </c>
      <c r="V35" s="18" t="str">
        <f t="shared" si="18"/>
        <v/>
      </c>
      <c r="W35" s="18" t="str">
        <f t="shared" si="18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4</v>
      </c>
      <c r="J52" s="18">
        <f ca="1">(J30-I30)*(J30&gt;I30)</f>
        <v>0</v>
      </c>
      <c r="K52" s="18">
        <f t="shared" ref="K52:W52" ca="1" si="19">(K30-J30)*(K30&gt;J30)</f>
        <v>12</v>
      </c>
      <c r="L52" s="18">
        <f t="shared" ca="1" si="19"/>
        <v>0</v>
      </c>
      <c r="M52" s="18">
        <f t="shared" ca="1" si="19"/>
        <v>1</v>
      </c>
      <c r="N52" s="18">
        <f t="shared" ca="1" si="19"/>
        <v>0</v>
      </c>
      <c r="O52" s="18">
        <f t="shared" ca="1" si="19"/>
        <v>11</v>
      </c>
      <c r="P52" s="18">
        <f t="shared" ca="1" si="19"/>
        <v>0</v>
      </c>
      <c r="Q52" s="18">
        <f t="shared" ca="1" si="19"/>
        <v>12</v>
      </c>
      <c r="R52" s="18">
        <f t="shared" ca="1" si="19"/>
        <v>0</v>
      </c>
      <c r="S52" s="18">
        <f t="shared" ca="1" si="19"/>
        <v>1</v>
      </c>
      <c r="T52" s="18">
        <f t="shared" ca="1" si="19"/>
        <v>11</v>
      </c>
      <c r="U52" s="18">
        <f t="shared" ca="1" si="19"/>
        <v>0</v>
      </c>
      <c r="V52" s="18">
        <f t="shared" ca="1" si="19"/>
        <v>7.8</v>
      </c>
      <c r="W52" s="18">
        <f t="shared" ca="1" si="19"/>
        <v>16</v>
      </c>
    </row>
    <row r="53" spans="7:23" x14ac:dyDescent="0.2">
      <c r="G53" t="s">
        <v>101</v>
      </c>
      <c r="I53" s="18">
        <f ca="1">I52^2</f>
        <v>16</v>
      </c>
      <c r="J53" s="18">
        <f t="shared" ref="J53:W53" ca="1" si="20">J52^2</f>
        <v>0</v>
      </c>
      <c r="K53" s="18">
        <f t="shared" ca="1" si="20"/>
        <v>144</v>
      </c>
      <c r="L53" s="18">
        <f t="shared" ca="1" si="20"/>
        <v>0</v>
      </c>
      <c r="M53" s="18">
        <f t="shared" ca="1" si="20"/>
        <v>1</v>
      </c>
      <c r="N53" s="18">
        <f t="shared" ca="1" si="20"/>
        <v>0</v>
      </c>
      <c r="O53" s="18">
        <f t="shared" ca="1" si="20"/>
        <v>121</v>
      </c>
      <c r="P53" s="18">
        <f t="shared" ca="1" si="20"/>
        <v>0</v>
      </c>
      <c r="Q53" s="18">
        <f t="shared" ca="1" si="20"/>
        <v>144</v>
      </c>
      <c r="R53" s="18">
        <f t="shared" ca="1" si="20"/>
        <v>0</v>
      </c>
      <c r="S53" s="18">
        <f t="shared" ca="1" si="20"/>
        <v>1</v>
      </c>
      <c r="T53" s="18">
        <f t="shared" ca="1" si="20"/>
        <v>121</v>
      </c>
      <c r="U53" s="18">
        <f t="shared" ca="1" si="20"/>
        <v>0</v>
      </c>
      <c r="V53" s="18">
        <f t="shared" ca="1" si="20"/>
        <v>60.839999999999996</v>
      </c>
      <c r="W53" s="18">
        <f t="shared" ca="1" si="20"/>
        <v>256</v>
      </c>
    </row>
  </sheetData>
  <mergeCells count="2">
    <mergeCell ref="I1:W1"/>
    <mergeCell ref="F3:F7"/>
  </mergeCells>
  <conditionalFormatting sqref="I30:W30">
    <cfRule type="cellIs" dxfId="513" priority="11" operator="between">
      <formula>(2/3)*$D$19</formula>
      <formula>(3/2)*$D$19</formula>
    </cfRule>
    <cfRule type="cellIs" dxfId="512" priority="12" operator="lessThan">
      <formula>(2/3)*$D$19</formula>
    </cfRule>
    <cfRule type="cellIs" dxfId="511" priority="13" operator="greaterThanOrEqual">
      <formula>1.5*$D$19</formula>
    </cfRule>
  </conditionalFormatting>
  <conditionalFormatting sqref="H30">
    <cfRule type="cellIs" dxfId="510" priority="9" stopIfTrue="1" operator="equal">
      <formula>$B$6*10</formula>
    </cfRule>
    <cfRule type="cellIs" dxfId="509" priority="10" operator="notEqual">
      <formula>$B$6*10</formula>
    </cfRule>
  </conditionalFormatting>
  <conditionalFormatting sqref="I20:W29">
    <cfRule type="beginsWith" dxfId="508" priority="8" stopIfTrue="1" operator="beginsWith" text="0">
      <formula>LEFT(I20,LEN("0"))="0"</formula>
    </cfRule>
  </conditionalFormatting>
  <conditionalFormatting sqref="B18">
    <cfRule type="expression" dxfId="507" priority="7">
      <formula>B18&lt;&gt;$B$7</formula>
    </cfRule>
  </conditionalFormatting>
  <conditionalFormatting sqref="C18">
    <cfRule type="expression" dxfId="506" priority="6">
      <formula>$B$18&lt;&gt;$B$7</formula>
    </cfRule>
  </conditionalFormatting>
  <conditionalFormatting sqref="H31:H33">
    <cfRule type="expression" dxfId="505" priority="5">
      <formula>ABS($H$30-$D$6&gt;=1)</formula>
    </cfRule>
  </conditionalFormatting>
  <conditionalFormatting sqref="B7">
    <cfRule type="expression" dxfId="504" priority="4">
      <formula>($B$7&lt;&gt;SUM($B$9:$B$17))</formula>
    </cfRule>
  </conditionalFormatting>
  <conditionalFormatting sqref="I31:T33">
    <cfRule type="beginsWith" dxfId="503" priority="2" stopIfTrue="1" operator="beginsWith" text="0">
      <formula>LEFT(I31,LEN("0"))="0"</formula>
    </cfRule>
  </conditionalFormatting>
  <conditionalFormatting sqref="N34">
    <cfRule type="beginsWith" dxfId="502" priority="3" stopIfTrue="1" operator="beginsWith" text="0">
      <formula>LEFT(N34,LEN("0"))="0"</formula>
    </cfRule>
  </conditionalFormatting>
  <conditionalFormatting sqref="D9:D17">
    <cfRule type="cellIs" dxfId="501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681A4AC8-FA7E-0D46-906D-6FC7532DE9C5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4DFD5F80-551D-5B4B-B957-7B1FAD73A1B0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3AE13E51-B2B8-9B40-AB4A-585DDFB8A2EC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23AF70B1-2790-A94F-B3D6-E1ABA9BA699C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11F264C2-7CFC-9B45-BBC1-48096013A967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E7EB4DEC-35CB-CF4B-8A8F-86C2661B1282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2C4D-DC25-3A48-9741-7F8C4439420D}">
  <dimension ref="A1:AD53"/>
  <sheetViews>
    <sheetView topLeftCell="C1" zoomScale="110" zoomScaleNormal="110" workbookViewId="0">
      <selection activeCell="C9" sqref="C9"/>
    </sheetView>
  </sheetViews>
  <sheetFormatPr baseColWidth="10" defaultColWidth="11.5" defaultRowHeight="15" x14ac:dyDescent="0.2"/>
  <cols>
    <col min="1" max="1" width="16.33203125" customWidth="1"/>
    <col min="2" max="2" width="16.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129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156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1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2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3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157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6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6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6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150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6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6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6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3</v>
      </c>
    </row>
    <row r="9" spans="1:24" ht="16" thickTop="1" x14ac:dyDescent="0.2">
      <c r="A9" t="s">
        <v>58</v>
      </c>
      <c r="B9" s="46">
        <v>15</v>
      </c>
      <c r="C9" s="39" t="s">
        <v>319</v>
      </c>
      <c r="D9">
        <f>B$6*10*B9/100</f>
        <v>22.5</v>
      </c>
      <c r="E9" s="29">
        <v>6</v>
      </c>
      <c r="F9" s="42"/>
      <c r="G9" s="30">
        <v>5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>Yes</v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35</v>
      </c>
      <c r="C10" s="40" t="s">
        <v>165</v>
      </c>
      <c r="D10">
        <f>B$6*10*B10/100</f>
        <v>52.5</v>
      </c>
      <c r="E10" s="31">
        <v>6</v>
      </c>
      <c r="F10" s="43"/>
      <c r="G10" s="32">
        <v>9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>Yes</v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50</v>
      </c>
      <c r="C11" s="40" t="s">
        <v>166</v>
      </c>
      <c r="D11">
        <f t="shared" ref="D11:D17" si="5">B$6*10*B11/100</f>
        <v>75</v>
      </c>
      <c r="E11" s="31">
        <v>6</v>
      </c>
      <c r="F11" s="43"/>
      <c r="G11" s="32">
        <v>13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>Yes</v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100</v>
      </c>
      <c r="C18" s="59" t="str">
        <f>IF(B18=B7," % ok","% credits do not add up to stated value")</f>
        <v xml:space="preserve"> % ok</v>
      </c>
      <c r="D18" s="59">
        <f>SUM(D9:D17)</f>
        <v>150</v>
      </c>
      <c r="E18" s="59"/>
      <c r="T18" s="10">
        <f>B9/100*SUM(I21:T21)</f>
        <v>2.4</v>
      </c>
    </row>
    <row r="19" spans="1:30" ht="16" thickBot="1" x14ac:dyDescent="0.25">
      <c r="A19" t="s">
        <v>180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13521.18</v>
      </c>
      <c r="G20" s="11" t="s">
        <v>82</v>
      </c>
      <c r="H20" s="21">
        <f>SUM(I20:W20)</f>
        <v>48</v>
      </c>
      <c r="I20" s="14">
        <v>6</v>
      </c>
      <c r="J20" s="14">
        <v>6</v>
      </c>
      <c r="K20" s="14">
        <v>6</v>
      </c>
      <c r="L20" s="14">
        <v>6</v>
      </c>
      <c r="M20" s="14">
        <v>0</v>
      </c>
      <c r="N20" s="14">
        <v>6</v>
      </c>
      <c r="O20" s="105">
        <v>0</v>
      </c>
      <c r="P20" s="14">
        <v>6</v>
      </c>
      <c r="Q20" s="14">
        <v>0</v>
      </c>
      <c r="R20" s="14">
        <v>6</v>
      </c>
      <c r="S20" s="14">
        <v>6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si="6">SUM(I21:W21)</f>
        <v>16</v>
      </c>
      <c r="I21" s="14">
        <v>1</v>
      </c>
      <c r="J21" s="14">
        <v>2</v>
      </c>
      <c r="K21" s="14">
        <v>1</v>
      </c>
      <c r="L21" s="14">
        <v>2</v>
      </c>
      <c r="M21" s="14">
        <v>1</v>
      </c>
      <c r="N21" s="14">
        <v>2</v>
      </c>
      <c r="O21" s="105">
        <v>1</v>
      </c>
      <c r="P21" s="14">
        <v>1</v>
      </c>
      <c r="Q21" s="14">
        <v>2</v>
      </c>
      <c r="R21" s="14">
        <v>1</v>
      </c>
      <c r="S21" s="14">
        <v>1</v>
      </c>
      <c r="T21" s="15">
        <v>1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18</v>
      </c>
      <c r="I22" s="10">
        <f ca="1">I7</f>
        <v>0</v>
      </c>
      <c r="J22" s="10">
        <f t="shared" ref="J22:W22" ca="1" si="7">J7</f>
        <v>0</v>
      </c>
      <c r="K22" s="10">
        <f t="shared" ca="1" si="7"/>
        <v>0</v>
      </c>
      <c r="L22" s="10">
        <f t="shared" ca="1" si="7"/>
        <v>0</v>
      </c>
      <c r="M22" s="10">
        <f t="shared" ca="1" si="7"/>
        <v>6</v>
      </c>
      <c r="N22" s="10">
        <f t="shared" ca="1" si="7"/>
        <v>0</v>
      </c>
      <c r="O22" s="10">
        <f t="shared" ca="1" si="7"/>
        <v>0</v>
      </c>
      <c r="P22" s="10">
        <f t="shared" ca="1" si="7"/>
        <v>0</v>
      </c>
      <c r="Q22" s="10">
        <f t="shared" ca="1" si="7"/>
        <v>6</v>
      </c>
      <c r="R22" s="10">
        <f t="shared" ca="1" si="7"/>
        <v>0</v>
      </c>
      <c r="S22" s="10">
        <f t="shared" ca="1" si="7"/>
        <v>0</v>
      </c>
      <c r="T22" s="10">
        <f t="shared" ca="1" si="7"/>
        <v>0</v>
      </c>
      <c r="U22" s="10">
        <f t="shared" ca="1" si="7"/>
        <v>6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v>3</v>
      </c>
      <c r="J23" s="61">
        <f ca="1">MIN(10,I23+SUM(J20:J22))</f>
        <v>10</v>
      </c>
      <c r="K23" s="61">
        <f ca="1">MIN(11,J23+SUM(K20:K22))</f>
        <v>11</v>
      </c>
      <c r="L23" s="61">
        <f ca="1">MIN(12,K23+SUM(L20:L22))</f>
        <v>12</v>
      </c>
      <c r="M23" s="61">
        <f ca="1">MIN(13,L23+SUM(M20:M22))</f>
        <v>13</v>
      </c>
      <c r="N23" s="61">
        <f ca="1">MIN(14,M23+SUM(N20:N22))</f>
        <v>14</v>
      </c>
      <c r="O23" s="106">
        <f ca="1">MIN(14,N23+SUM(O20:O22))</f>
        <v>14</v>
      </c>
      <c r="P23" s="61">
        <f ca="1">MIN(15,O23+SUM(P20:P22))</f>
        <v>15</v>
      </c>
      <c r="Q23" s="61">
        <f ca="1">MIN(16,P23+SUM(Q20:Q22))</f>
        <v>16</v>
      </c>
      <c r="R23" s="61">
        <f t="shared" ref="R23:T23" ca="1" si="8">MIN(16,Q23+SUM(R20:R22))</f>
        <v>16</v>
      </c>
      <c r="S23" s="61">
        <f t="shared" ca="1" si="8"/>
        <v>16</v>
      </c>
      <c r="T23" s="61">
        <f t="shared" ca="1" si="8"/>
        <v>16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1</v>
      </c>
      <c r="N24" s="24">
        <f>(IFERROR(_xlfn.XMATCH("Yes",N$9:N$17),0)&gt;0)*1</f>
        <v>0</v>
      </c>
      <c r="O24" s="107">
        <f t="shared" ref="O24:W24" si="10">(IFERROR(_xlfn.XMATCH("Yes",O$9:O$17),0)&gt;0)*1</f>
        <v>0</v>
      </c>
      <c r="P24" s="24">
        <f t="shared" si="10"/>
        <v>0</v>
      </c>
      <c r="Q24" s="24">
        <f t="shared" si="10"/>
        <v>1</v>
      </c>
      <c r="R24" s="24">
        <f t="shared" si="10"/>
        <v>0</v>
      </c>
      <c r="S24" s="24">
        <f t="shared" si="10"/>
        <v>0</v>
      </c>
      <c r="T24" s="26">
        <f t="shared" si="10"/>
        <v>0</v>
      </c>
      <c r="U24" s="24">
        <f t="shared" si="10"/>
        <v>1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22.5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52.5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75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1">-H23*I24-I22</f>
        <v>0</v>
      </c>
      <c r="J26" s="22">
        <f t="shared" ca="1" si="11"/>
        <v>0</v>
      </c>
      <c r="K26" s="22">
        <f t="shared" ref="K26:P26" ca="1" si="12">-J23*K24-K22-J28-I28</f>
        <v>0</v>
      </c>
      <c r="L26" s="22">
        <f t="shared" ca="1" si="12"/>
        <v>0</v>
      </c>
      <c r="M26" s="22">
        <f t="shared" ca="1" si="12"/>
        <v>-22</v>
      </c>
      <c r="N26" s="22">
        <f t="shared" ca="1" si="12"/>
        <v>-4</v>
      </c>
      <c r="O26" s="22">
        <f t="shared" ca="1" si="12"/>
        <v>0</v>
      </c>
      <c r="P26" s="22">
        <f t="shared" ca="1" si="12"/>
        <v>-6</v>
      </c>
      <c r="Q26" s="22">
        <f ca="1">-P23*Q24-Q22-P28-O28</f>
        <v>-35</v>
      </c>
      <c r="R26" s="22">
        <f t="shared" ref="R26:T26" ca="1" si="13">-Q23*R24-R22-Q28-P28</f>
        <v>-8</v>
      </c>
      <c r="S26" s="22">
        <f t="shared" ca="1" si="13"/>
        <v>-8</v>
      </c>
      <c r="T26" s="22">
        <f t="shared" ca="1" si="13"/>
        <v>-22</v>
      </c>
      <c r="U26" s="62">
        <f>(IFERROR(-U$21-MAX(MAX(0,1*MIN(6,U$2))),0)-T28)*(1*U24&gt;0)</f>
        <v>-6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87</v>
      </c>
      <c r="I27" s="25">
        <f ca="1">MAX(0,(I25+I26))</f>
        <v>0</v>
      </c>
      <c r="J27" s="25">
        <f t="shared" ref="J27:T27" ca="1" si="14">MAX(0,(J25+J26))</f>
        <v>0</v>
      </c>
      <c r="K27" s="25">
        <f t="shared" ca="1" si="14"/>
        <v>0</v>
      </c>
      <c r="L27" s="25">
        <f t="shared" ca="1" si="14"/>
        <v>0</v>
      </c>
      <c r="M27" s="25">
        <f t="shared" ca="1" si="14"/>
        <v>0.5</v>
      </c>
      <c r="N27" s="25">
        <f t="shared" ca="1" si="14"/>
        <v>0</v>
      </c>
      <c r="O27" s="109">
        <f t="shared" ca="1" si="14"/>
        <v>0</v>
      </c>
      <c r="P27" s="25">
        <f t="shared" ca="1" si="14"/>
        <v>0</v>
      </c>
      <c r="Q27" s="25">
        <f t="shared" ca="1" si="14"/>
        <v>17.5</v>
      </c>
      <c r="R27" s="25">
        <f t="shared" ca="1" si="14"/>
        <v>0</v>
      </c>
      <c r="S27" s="25">
        <f t="shared" ca="1" si="14"/>
        <v>0</v>
      </c>
      <c r="T27" s="25">
        <f t="shared" ca="1" si="14"/>
        <v>0</v>
      </c>
      <c r="U27" s="127">
        <f t="shared" ref="U27:W27" si="15">(U25+U26)</f>
        <v>69</v>
      </c>
      <c r="V27" s="25">
        <f t="shared" si="15"/>
        <v>0</v>
      </c>
      <c r="W27" s="25">
        <f t="shared" si="15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6">SUM(I28:W28)</f>
        <v>40</v>
      </c>
      <c r="I28" s="10">
        <v>0</v>
      </c>
      <c r="J28" s="10">
        <v>0</v>
      </c>
      <c r="K28" s="10">
        <v>0</v>
      </c>
      <c r="L28" s="10">
        <v>4</v>
      </c>
      <c r="M28" s="10">
        <v>0</v>
      </c>
      <c r="N28" s="10">
        <v>0</v>
      </c>
      <c r="O28" s="103">
        <v>6</v>
      </c>
      <c r="P28" s="10">
        <v>8</v>
      </c>
      <c r="Q28" s="10">
        <v>0</v>
      </c>
      <c r="R28" s="10">
        <v>8</v>
      </c>
      <c r="S28" s="10">
        <v>14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179</v>
      </c>
      <c r="H29" s="21">
        <f ca="1">SUM(I29:W29)</f>
        <v>-59</v>
      </c>
      <c r="I29" s="128">
        <v>0</v>
      </c>
      <c r="J29" s="128">
        <v>0</v>
      </c>
      <c r="K29" s="128">
        <v>0</v>
      </c>
      <c r="L29" s="128">
        <v>0</v>
      </c>
      <c r="M29" s="128">
        <v>0</v>
      </c>
      <c r="N29" s="128">
        <v>0</v>
      </c>
      <c r="O29" s="129">
        <v>0</v>
      </c>
      <c r="P29" s="128">
        <v>0</v>
      </c>
      <c r="Q29" s="130">
        <f ca="1">($D$6-SUM($H$20:$H$28))*0.3</f>
        <v>-17.7</v>
      </c>
      <c r="R29" s="128">
        <v>0</v>
      </c>
      <c r="S29" s="128">
        <v>0</v>
      </c>
      <c r="T29" s="131">
        <f ca="1">($D$6-SUM($H$20:$H$28))*0.7</f>
        <v>-41.3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7">SUM(I30:W30)</f>
        <v>150</v>
      </c>
      <c r="I30" s="16">
        <f t="shared" ref="I30:W30" ca="1" si="18">I20+I21+I22+I27+I28+I29</f>
        <v>7</v>
      </c>
      <c r="J30" s="16">
        <f t="shared" ca="1" si="18"/>
        <v>8</v>
      </c>
      <c r="K30" s="16">
        <f t="shared" ca="1" si="18"/>
        <v>7</v>
      </c>
      <c r="L30" s="16">
        <f t="shared" ca="1" si="18"/>
        <v>12</v>
      </c>
      <c r="M30" s="16">
        <f t="shared" ca="1" si="18"/>
        <v>7.5</v>
      </c>
      <c r="N30" s="16">
        <f t="shared" ca="1" si="18"/>
        <v>8</v>
      </c>
      <c r="O30" s="110">
        <f t="shared" ca="1" si="18"/>
        <v>7</v>
      </c>
      <c r="P30" s="16">
        <f t="shared" ca="1" si="18"/>
        <v>15</v>
      </c>
      <c r="Q30" s="16">
        <f t="shared" ca="1" si="18"/>
        <v>7.8000000000000007</v>
      </c>
      <c r="R30" s="16">
        <f t="shared" ca="1" si="18"/>
        <v>15</v>
      </c>
      <c r="S30" s="16">
        <f t="shared" ca="1" si="18"/>
        <v>21</v>
      </c>
      <c r="T30" s="16">
        <f t="shared" ca="1" si="18"/>
        <v>-40.299999999999997</v>
      </c>
      <c r="U30" s="65">
        <f t="shared" ca="1" si="18"/>
        <v>75</v>
      </c>
      <c r="V30" s="16">
        <f t="shared" ca="1" si="18"/>
        <v>0</v>
      </c>
      <c r="W30" s="16">
        <f t="shared" ca="1" si="18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/>
      </c>
      <c r="I31" s="22">
        <f t="shared" ref="I31:T31" si="19">(IFERROR(-I$21-MAX(MAX(0,1*MIN(6,I$2))),0)+I$25)*(1*I$24&gt;0)</f>
        <v>0</v>
      </c>
      <c r="J31" s="22">
        <f t="shared" si="19"/>
        <v>0</v>
      </c>
      <c r="K31" s="22">
        <f t="shared" si="19"/>
        <v>0</v>
      </c>
      <c r="L31" s="22">
        <f t="shared" si="19"/>
        <v>0</v>
      </c>
      <c r="M31" s="22">
        <f t="shared" si="19"/>
        <v>16.5</v>
      </c>
      <c r="N31" s="22">
        <f t="shared" si="19"/>
        <v>0</v>
      </c>
      <c r="O31" s="108">
        <f t="shared" si="19"/>
        <v>0</v>
      </c>
      <c r="P31" s="22">
        <f t="shared" si="19"/>
        <v>0</v>
      </c>
      <c r="Q31" s="22">
        <f t="shared" si="19"/>
        <v>44.5</v>
      </c>
      <c r="R31" s="22">
        <f t="shared" si="19"/>
        <v>0</v>
      </c>
      <c r="S31" s="22">
        <f t="shared" si="19"/>
        <v>0</v>
      </c>
      <c r="T31" s="22">
        <f t="shared" si="19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0">IFERROR(_xlfn.XMATCH("Yes",J$9:J$17,1),T(1))</f>
        <v/>
      </c>
      <c r="K35" s="18" t="str">
        <f t="shared" si="20"/>
        <v/>
      </c>
      <c r="L35" s="18" t="str">
        <f t="shared" si="20"/>
        <v/>
      </c>
      <c r="M35" s="18">
        <f t="shared" si="20"/>
        <v>1</v>
      </c>
      <c r="N35" s="18" t="str">
        <f t="shared" si="20"/>
        <v/>
      </c>
      <c r="O35" s="18" t="str">
        <f t="shared" si="20"/>
        <v/>
      </c>
      <c r="P35" s="18" t="str">
        <f t="shared" si="20"/>
        <v/>
      </c>
      <c r="Q35" s="18">
        <f t="shared" si="20"/>
        <v>2</v>
      </c>
      <c r="R35" s="18" t="str">
        <f t="shared" si="20"/>
        <v/>
      </c>
      <c r="S35" s="18" t="str">
        <f t="shared" si="20"/>
        <v/>
      </c>
      <c r="T35" s="18" t="str">
        <f t="shared" si="20"/>
        <v/>
      </c>
      <c r="U35" s="18">
        <f t="shared" si="20"/>
        <v>3</v>
      </c>
      <c r="V35" s="18" t="str">
        <f t="shared" si="20"/>
        <v/>
      </c>
      <c r="W35" s="18" t="str">
        <f t="shared" si="20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cm="1">
        <f t="array" ref="U36">IFERROR(INDEX( $G$9:$G$17, _xlfn.XMATCH("Yes", (U$9:U$17),1)),T(1))</f>
        <v>13</v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7</v>
      </c>
      <c r="J52" s="18">
        <f ca="1">(J30-I30)*(J30&gt;I30)</f>
        <v>1</v>
      </c>
      <c r="K52" s="18">
        <f t="shared" ref="K52:W52" ca="1" si="21">(K30-J30)*(K30&gt;J30)</f>
        <v>0</v>
      </c>
      <c r="L52" s="18">
        <f t="shared" ca="1" si="21"/>
        <v>5</v>
      </c>
      <c r="M52" s="18">
        <f t="shared" ca="1" si="21"/>
        <v>0</v>
      </c>
      <c r="N52" s="18">
        <f t="shared" ca="1" si="21"/>
        <v>0.5</v>
      </c>
      <c r="O52" s="18">
        <f t="shared" ca="1" si="21"/>
        <v>0</v>
      </c>
      <c r="P52" s="18">
        <f t="shared" ca="1" si="21"/>
        <v>8</v>
      </c>
      <c r="Q52" s="18">
        <f t="shared" ca="1" si="21"/>
        <v>0</v>
      </c>
      <c r="R52" s="18">
        <f t="shared" ca="1" si="21"/>
        <v>7.1999999999999993</v>
      </c>
      <c r="S52" s="18">
        <f t="shared" ca="1" si="21"/>
        <v>6</v>
      </c>
      <c r="T52" s="18">
        <f t="shared" ca="1" si="21"/>
        <v>0</v>
      </c>
      <c r="U52" s="18">
        <f t="shared" ca="1" si="21"/>
        <v>115.3</v>
      </c>
      <c r="V52" s="18">
        <f t="shared" ca="1" si="21"/>
        <v>0</v>
      </c>
      <c r="W52" s="18">
        <f t="shared" ca="1" si="21"/>
        <v>0</v>
      </c>
    </row>
    <row r="53" spans="7:23" x14ac:dyDescent="0.2">
      <c r="G53" t="s">
        <v>101</v>
      </c>
      <c r="I53" s="18">
        <f ca="1">I52^2</f>
        <v>49</v>
      </c>
      <c r="J53" s="18">
        <f t="shared" ref="J53:W53" ca="1" si="22">J52^2</f>
        <v>1</v>
      </c>
      <c r="K53" s="18">
        <f t="shared" ca="1" si="22"/>
        <v>0</v>
      </c>
      <c r="L53" s="18">
        <f t="shared" ca="1" si="22"/>
        <v>25</v>
      </c>
      <c r="M53" s="18">
        <f t="shared" ca="1" si="22"/>
        <v>0</v>
      </c>
      <c r="N53" s="18">
        <f t="shared" ca="1" si="22"/>
        <v>0.25</v>
      </c>
      <c r="O53" s="18">
        <f t="shared" ca="1" si="22"/>
        <v>0</v>
      </c>
      <c r="P53" s="18">
        <f t="shared" ca="1" si="22"/>
        <v>64</v>
      </c>
      <c r="Q53" s="18">
        <f t="shared" ca="1" si="22"/>
        <v>0</v>
      </c>
      <c r="R53" s="18">
        <f t="shared" ca="1" si="22"/>
        <v>51.839999999999989</v>
      </c>
      <c r="S53" s="18">
        <f t="shared" ca="1" si="22"/>
        <v>36</v>
      </c>
      <c r="T53" s="18">
        <f t="shared" ca="1" si="22"/>
        <v>0</v>
      </c>
      <c r="U53" s="18">
        <f t="shared" ca="1" si="22"/>
        <v>13294.09</v>
      </c>
      <c r="V53" s="18">
        <f t="shared" ca="1" si="22"/>
        <v>0</v>
      </c>
      <c r="W53" s="18">
        <f t="shared" ca="1" si="22"/>
        <v>0</v>
      </c>
    </row>
  </sheetData>
  <mergeCells count="3">
    <mergeCell ref="I1:W1"/>
    <mergeCell ref="F3:F7"/>
    <mergeCell ref="H31:H33"/>
  </mergeCells>
  <conditionalFormatting sqref="I30:W30">
    <cfRule type="cellIs" dxfId="500" priority="11" operator="between">
      <formula>(2/3)*$D$19</formula>
      <formula>(3/2)*$D$19</formula>
    </cfRule>
    <cfRule type="cellIs" dxfId="499" priority="12" operator="lessThan">
      <formula>(2/3)*$D$19</formula>
    </cfRule>
    <cfRule type="cellIs" dxfId="498" priority="13" operator="greaterThanOrEqual">
      <formula>1.5*$D$19</formula>
    </cfRule>
  </conditionalFormatting>
  <conditionalFormatting sqref="H30">
    <cfRule type="cellIs" dxfId="497" priority="9" stopIfTrue="1" operator="equal">
      <formula>$B$6*10</formula>
    </cfRule>
    <cfRule type="cellIs" dxfId="496" priority="10" operator="notEqual">
      <formula>$B$6*10</formula>
    </cfRule>
  </conditionalFormatting>
  <conditionalFormatting sqref="I20:W29">
    <cfRule type="beginsWith" dxfId="495" priority="8" stopIfTrue="1" operator="beginsWith" text="0">
      <formula>LEFT(I20,LEN("0"))="0"</formula>
    </cfRule>
  </conditionalFormatting>
  <conditionalFormatting sqref="B18">
    <cfRule type="expression" dxfId="494" priority="7">
      <formula>B18&lt;&gt;$B$7</formula>
    </cfRule>
  </conditionalFormatting>
  <conditionalFormatting sqref="C18">
    <cfRule type="expression" dxfId="493" priority="6">
      <formula>$B$18&lt;&gt;$B$7</formula>
    </cfRule>
  </conditionalFormatting>
  <conditionalFormatting sqref="H31">
    <cfRule type="expression" dxfId="492" priority="5">
      <formula>ABS($H$30-$D$6&gt;=1)</formula>
    </cfRule>
  </conditionalFormatting>
  <conditionalFormatting sqref="B7">
    <cfRule type="expression" dxfId="491" priority="4">
      <formula>($B$7&lt;&gt;SUM($B$9:$B$17))</formula>
    </cfRule>
  </conditionalFormatting>
  <conditionalFormatting sqref="I31:T33">
    <cfRule type="beginsWith" dxfId="490" priority="2" stopIfTrue="1" operator="beginsWith" text="0">
      <formula>LEFT(I31,LEN("0"))="0"</formula>
    </cfRule>
  </conditionalFormatting>
  <conditionalFormatting sqref="N34">
    <cfRule type="beginsWith" dxfId="489" priority="3" stopIfTrue="1" operator="beginsWith" text="0">
      <formula>LEFT(N34,LEN("0"))="0"</formula>
    </cfRule>
  </conditionalFormatting>
  <conditionalFormatting sqref="D9:D17">
    <cfRule type="cellIs" dxfId="488" priority="1" operator="equal">
      <formula>0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164D6CD8-65D0-D942-B56A-C7EB33955B03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12BF808A-25FA-014D-8259-6F882FFB5E8C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47848931-02EF-AA43-A635-BC25842CDAC6}">
      <formula1>0</formula1>
      <formula2>100</formula2>
    </dataValidation>
    <dataValidation errorStyle="warning" allowBlank="1" showInputMessage="1" showErrorMessage="1" errorTitle="Non-standard credit weighting" promptTitle="Credit value" sqref="B6" xr:uid="{769B9100-FE1E-304B-9AB9-CEDEF91B9346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1E6DB55D-CE4D-B14F-B45D-047D674E73DA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CAC00A2D-8DAA-254D-A42E-5F726E67A8C1}">
      <formula1>"0,1,2,3"</formula1>
    </dataValidation>
    <dataValidation type="list" errorStyle="warning" allowBlank="1" showInputMessage="1" showErrorMessage="1" errorTitle="Non-standard credit weighting" promptTitle="Credit value" sqref="D5" xr:uid="{9D423AA0-3621-6E40-93F3-84F3A961426E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0052A-474E-BC4C-BF5E-7CEEBBF56625}">
  <dimension ref="A1:AD53"/>
  <sheetViews>
    <sheetView topLeftCell="A19" zoomScale="108" zoomScaleNormal="90" workbookViewId="0">
      <selection activeCell="D25" sqref="D2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171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113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1</v>
      </c>
      <c r="L3" s="137">
        <f t="shared" si="0"/>
        <v>0</v>
      </c>
      <c r="M3" s="137">
        <f t="shared" si="0"/>
        <v>2</v>
      </c>
      <c r="N3" s="137">
        <f t="shared" si="0"/>
        <v>3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4</v>
      </c>
      <c r="S3" s="137">
        <f t="shared" si="0"/>
        <v>0</v>
      </c>
      <c r="T3" s="137">
        <f t="shared" si="0"/>
        <v>5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ht="16" thickBot="1" x14ac:dyDescent="0.25">
      <c r="A4" s="7" t="s">
        <v>53</v>
      </c>
      <c r="B4" s="38" t="s">
        <v>167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ht="16" thickBot="1" x14ac:dyDescent="0.25">
      <c r="A5" t="s">
        <v>50</v>
      </c>
      <c r="B5" s="45">
        <v>1</v>
      </c>
      <c r="C5" t="s">
        <v>131</v>
      </c>
      <c r="D5" s="124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2</v>
      </c>
      <c r="L5" s="85">
        <f t="shared" ca="1" si="1"/>
        <v>0</v>
      </c>
      <c r="M5" s="85">
        <f t="shared" ca="1" si="1"/>
        <v>18</v>
      </c>
      <c r="N5" s="85">
        <f t="shared" ca="1" si="1"/>
        <v>3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12</v>
      </c>
      <c r="S5" s="85">
        <f t="shared" ca="1" si="1"/>
        <v>0</v>
      </c>
      <c r="T5" s="85">
        <f t="shared" ca="1" si="1"/>
        <v>6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f>D18/D6*100</f>
        <v>50</v>
      </c>
      <c r="C7" t="s">
        <v>130</v>
      </c>
      <c r="D7">
        <f>B6*10*B7/100</f>
        <v>75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2</v>
      </c>
      <c r="L7" s="85">
        <f t="shared" ca="1" si="2"/>
        <v>0</v>
      </c>
      <c r="M7" s="85">
        <f t="shared" ca="1" si="2"/>
        <v>18</v>
      </c>
      <c r="N7" s="85">
        <f t="shared" ca="1" si="2"/>
        <v>3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12</v>
      </c>
      <c r="S7" s="85">
        <f t="shared" ca="1" si="2"/>
        <v>0</v>
      </c>
      <c r="T7" s="85">
        <f t="shared" ca="1" si="2"/>
        <v>6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5</v>
      </c>
    </row>
    <row r="9" spans="1:24" ht="16" thickTop="1" x14ac:dyDescent="0.2">
      <c r="A9" t="s">
        <v>58</v>
      </c>
      <c r="B9" s="46">
        <v>5</v>
      </c>
      <c r="C9" s="39" t="s">
        <v>169</v>
      </c>
      <c r="D9">
        <f>B$6*10*B9/100</f>
        <v>7.5</v>
      </c>
      <c r="E9" s="29">
        <v>2</v>
      </c>
      <c r="F9" s="42"/>
      <c r="G9" s="30">
        <v>3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>Yes</v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10</v>
      </c>
      <c r="C10" s="40" t="s">
        <v>170</v>
      </c>
      <c r="D10">
        <f>B$6*10*B10/100</f>
        <v>15</v>
      </c>
      <c r="E10" s="31">
        <v>18</v>
      </c>
      <c r="F10" s="43"/>
      <c r="G10" s="32">
        <v>5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>Yes</v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13</v>
      </c>
      <c r="C11" s="40" t="s">
        <v>178</v>
      </c>
      <c r="D11">
        <f t="shared" ref="D11:D17" si="5">B$6*10*B11/100</f>
        <v>19.5</v>
      </c>
      <c r="E11" s="31">
        <v>3</v>
      </c>
      <c r="F11" s="43"/>
      <c r="G11" s="32">
        <v>6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>Yes</v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10</v>
      </c>
      <c r="C12" s="40" t="s">
        <v>171</v>
      </c>
      <c r="D12">
        <f t="shared" si="5"/>
        <v>15</v>
      </c>
      <c r="E12" s="31">
        <v>12</v>
      </c>
      <c r="F12" s="43"/>
      <c r="G12" s="32">
        <v>10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>Yes</v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>
        <v>12</v>
      </c>
      <c r="C13" s="40" t="s">
        <v>168</v>
      </c>
      <c r="D13">
        <f t="shared" si="5"/>
        <v>18</v>
      </c>
      <c r="E13" s="31">
        <v>6</v>
      </c>
      <c r="F13" s="43"/>
      <c r="G13" s="32">
        <v>12</v>
      </c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>Yes</v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50</v>
      </c>
      <c r="C18" s="59" t="str">
        <f>IF(B18=B7," % ok","% credits do not add up to stated value")</f>
        <v xml:space="preserve"> % ok</v>
      </c>
      <c r="D18" s="59">
        <f>SUM(D9:D17)</f>
        <v>75</v>
      </c>
      <c r="E18" s="59"/>
      <c r="T18" s="10">
        <f>B9/100*SUM(I21:T21)</f>
        <v>0</v>
      </c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775.91</v>
      </c>
      <c r="G20" s="11" t="s">
        <v>82</v>
      </c>
      <c r="H20" s="21">
        <f>SUM(I20:W20)</f>
        <v>11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0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si="6">SUM(I21:W21)</f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05">
        <v>0</v>
      </c>
      <c r="P21" s="14">
        <v>0</v>
      </c>
      <c r="Q21" s="14">
        <v>0</v>
      </c>
      <c r="R21" s="14">
        <v>0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41</v>
      </c>
      <c r="I22" s="10">
        <f ca="1">I7</f>
        <v>0</v>
      </c>
      <c r="J22" s="10">
        <f t="shared" ref="J22:W22" ca="1" si="7">J7</f>
        <v>0</v>
      </c>
      <c r="K22" s="10">
        <f t="shared" ca="1" si="7"/>
        <v>2</v>
      </c>
      <c r="L22" s="10">
        <f t="shared" ca="1" si="7"/>
        <v>0</v>
      </c>
      <c r="M22" s="10">
        <f t="shared" ca="1" si="7"/>
        <v>18</v>
      </c>
      <c r="N22" s="10">
        <f t="shared" ca="1" si="7"/>
        <v>3</v>
      </c>
      <c r="O22" s="10">
        <f t="shared" ca="1" si="7"/>
        <v>0</v>
      </c>
      <c r="P22" s="10">
        <f t="shared" ca="1" si="7"/>
        <v>0</v>
      </c>
      <c r="Q22" s="10">
        <f t="shared" ca="1" si="7"/>
        <v>0</v>
      </c>
      <c r="R22" s="10">
        <f t="shared" ca="1" si="7"/>
        <v>12</v>
      </c>
      <c r="S22" s="10">
        <f t="shared" ca="1" si="7"/>
        <v>0</v>
      </c>
      <c r="T22" s="10">
        <f t="shared" ca="1" si="7"/>
        <v>6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1</v>
      </c>
      <c r="J23" s="61">
        <f ca="1">MIN(12/$B$8 + 1,I23+SUM(J20:J22))</f>
        <v>2</v>
      </c>
      <c r="K23" s="61">
        <f t="shared" ref="K23:T23" ca="1" si="8">MIN(12/$B$8 + 1,J23+SUM(K20:K22))</f>
        <v>3.4</v>
      </c>
      <c r="L23" s="61">
        <f t="shared" ca="1" si="8"/>
        <v>3.4</v>
      </c>
      <c r="M23" s="61">
        <f t="shared" ca="1" si="8"/>
        <v>3.4</v>
      </c>
      <c r="N23" s="61">
        <f t="shared" ca="1" si="8"/>
        <v>3.4</v>
      </c>
      <c r="O23" s="106">
        <f t="shared" ca="1" si="8"/>
        <v>3.4</v>
      </c>
      <c r="P23" s="61">
        <f t="shared" ca="1" si="8"/>
        <v>3.4</v>
      </c>
      <c r="Q23" s="61">
        <f t="shared" ca="1" si="8"/>
        <v>3.4</v>
      </c>
      <c r="R23" s="61">
        <f t="shared" ca="1" si="8"/>
        <v>3.4</v>
      </c>
      <c r="S23" s="61">
        <f t="shared" ca="1" si="8"/>
        <v>3.4</v>
      </c>
      <c r="T23" s="61">
        <f t="shared" ca="1" si="8"/>
        <v>3.4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1</v>
      </c>
      <c r="L24" s="24">
        <f t="shared" si="9"/>
        <v>0</v>
      </c>
      <c r="M24" s="24">
        <f t="shared" si="9"/>
        <v>1</v>
      </c>
      <c r="N24" s="24">
        <f>(IFERROR(_xlfn.XMATCH("Yes",N$9:N$17),0)&gt;0)*1</f>
        <v>1</v>
      </c>
      <c r="O24" s="107">
        <f t="shared" ref="O24:W24" si="10">(IFERROR(_xlfn.XMATCH("Yes",O$9:O$17),0)&gt;0)*1</f>
        <v>0</v>
      </c>
      <c r="P24" s="24">
        <f t="shared" si="10"/>
        <v>0</v>
      </c>
      <c r="Q24" s="24">
        <f t="shared" si="10"/>
        <v>0</v>
      </c>
      <c r="R24" s="24">
        <f t="shared" si="10"/>
        <v>1</v>
      </c>
      <c r="S24" s="24">
        <f t="shared" si="10"/>
        <v>0</v>
      </c>
      <c r="T24" s="26">
        <f t="shared" si="10"/>
        <v>1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7.5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15</v>
      </c>
      <c r="N25" s="22" cm="1">
        <f t="array" ref="N25">IFERROR((1+N$24)/(1+N$24)*(INDEX($D$9:$D$17,N$35)),0)</f>
        <v>19.5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15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18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1">-H23*I24-I22</f>
        <v>0</v>
      </c>
      <c r="J26" s="22">
        <f t="shared" ca="1" si="11"/>
        <v>0</v>
      </c>
      <c r="K26" s="22">
        <f ca="1">-J23*K24-K22</f>
        <v>-4</v>
      </c>
      <c r="L26" s="22">
        <f t="shared" ref="L26:T26" ca="1" si="12">-K23*L24-L22</f>
        <v>0</v>
      </c>
      <c r="M26" s="22">
        <f t="shared" ca="1" si="12"/>
        <v>-21.4</v>
      </c>
      <c r="N26" s="22">
        <f t="shared" ca="1" si="12"/>
        <v>-6.4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-15.4</v>
      </c>
      <c r="S26" s="22">
        <f t="shared" ca="1" si="12"/>
        <v>0</v>
      </c>
      <c r="T26" s="22">
        <f t="shared" ca="1" si="12"/>
        <v>-9.4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25.200000000000003</v>
      </c>
      <c r="I27" s="25">
        <f ca="1">MAX(0,(I25+I26))</f>
        <v>0</v>
      </c>
      <c r="J27" s="25">
        <f t="shared" ref="J27:T27" ca="1" si="13">MAX(0,(J25+J26))</f>
        <v>0</v>
      </c>
      <c r="K27" s="25">
        <f t="shared" ca="1" si="13"/>
        <v>3.5</v>
      </c>
      <c r="L27" s="25">
        <f t="shared" ca="1" si="13"/>
        <v>0</v>
      </c>
      <c r="M27" s="25">
        <f t="shared" ca="1" si="13"/>
        <v>0</v>
      </c>
      <c r="N27" s="25">
        <f t="shared" ca="1" si="13"/>
        <v>13.1</v>
      </c>
      <c r="O27" s="109">
        <f t="shared" ca="1" si="13"/>
        <v>0</v>
      </c>
      <c r="P27" s="25">
        <f t="shared" ca="1" si="13"/>
        <v>0</v>
      </c>
      <c r="Q27" s="25">
        <f t="shared" ca="1" si="13"/>
        <v>0</v>
      </c>
      <c r="R27" s="25">
        <f t="shared" ca="1" si="13"/>
        <v>0</v>
      </c>
      <c r="S27" s="25">
        <f t="shared" ca="1" si="13"/>
        <v>0</v>
      </c>
      <c r="T27" s="25">
        <f t="shared" ca="1" si="13"/>
        <v>8.6</v>
      </c>
      <c r="U27" s="25">
        <f t="shared" ref="U27:W27" si="14">(U25+U26)</f>
        <v>0</v>
      </c>
      <c r="V27" s="25">
        <f t="shared" si="14"/>
        <v>0</v>
      </c>
      <c r="W27" s="25">
        <f t="shared" si="14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5">SUM(I28:W28)</f>
        <v>5</v>
      </c>
      <c r="I28" s="10">
        <v>0</v>
      </c>
      <c r="J28" s="10">
        <v>0</v>
      </c>
      <c r="K28" s="10">
        <v>1</v>
      </c>
      <c r="L28" s="10">
        <v>0</v>
      </c>
      <c r="M28" s="10">
        <v>1</v>
      </c>
      <c r="N28" s="10">
        <v>1</v>
      </c>
      <c r="O28" s="103">
        <v>0</v>
      </c>
      <c r="P28" s="10">
        <v>0.5</v>
      </c>
      <c r="Q28" s="10">
        <v>0.5</v>
      </c>
      <c r="R28" s="10">
        <v>1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6">SUM(I30:W30)</f>
        <v>82.199999999999989</v>
      </c>
      <c r="I30" s="16">
        <f t="shared" ref="I30:W30" ca="1" si="17">I20+I21+I22+I27+I28+I29</f>
        <v>1</v>
      </c>
      <c r="J30" s="16">
        <f t="shared" ca="1" si="17"/>
        <v>1</v>
      </c>
      <c r="K30" s="16">
        <f t="shared" ca="1" si="17"/>
        <v>7.5</v>
      </c>
      <c r="L30" s="16">
        <f t="shared" ca="1" si="17"/>
        <v>1</v>
      </c>
      <c r="M30" s="16">
        <f t="shared" ca="1" si="17"/>
        <v>20</v>
      </c>
      <c r="N30" s="16">
        <f t="shared" ca="1" si="17"/>
        <v>18.100000000000001</v>
      </c>
      <c r="O30" s="110">
        <f t="shared" ca="1" si="17"/>
        <v>0</v>
      </c>
      <c r="P30" s="16">
        <f t="shared" ca="1" si="17"/>
        <v>1.5</v>
      </c>
      <c r="Q30" s="16">
        <f t="shared" ca="1" si="17"/>
        <v>1.5</v>
      </c>
      <c r="R30" s="16">
        <f t="shared" ca="1" si="17"/>
        <v>14</v>
      </c>
      <c r="S30" s="16">
        <f t="shared" ca="1" si="17"/>
        <v>1</v>
      </c>
      <c r="T30" s="16">
        <f t="shared" ca="1" si="17"/>
        <v>15.6</v>
      </c>
      <c r="U30" s="65">
        <f t="shared" ca="1" si="17"/>
        <v>0</v>
      </c>
      <c r="V30" s="16">
        <f t="shared" ca="1" si="17"/>
        <v>0</v>
      </c>
      <c r="W30" s="16">
        <f t="shared" ca="1" si="17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18">(IFERROR(-I$21-MAX(MAX(0,1*MIN(6,I$2))),0)+I$25)*(1*I$24&gt;0)</f>
        <v>0</v>
      </c>
      <c r="J31" s="22">
        <f t="shared" si="18"/>
        <v>0</v>
      </c>
      <c r="K31" s="22">
        <f t="shared" si="18"/>
        <v>4.5</v>
      </c>
      <c r="L31" s="22">
        <f t="shared" si="18"/>
        <v>0</v>
      </c>
      <c r="M31" s="22">
        <f t="shared" si="18"/>
        <v>10</v>
      </c>
      <c r="N31" s="22">
        <f t="shared" si="18"/>
        <v>13.5</v>
      </c>
      <c r="O31" s="108">
        <f t="shared" si="18"/>
        <v>0</v>
      </c>
      <c r="P31" s="22">
        <f t="shared" si="18"/>
        <v>0</v>
      </c>
      <c r="Q31" s="22">
        <f t="shared" si="18"/>
        <v>0</v>
      </c>
      <c r="R31" s="22">
        <f t="shared" si="18"/>
        <v>9</v>
      </c>
      <c r="S31" s="22">
        <f t="shared" si="18"/>
        <v>0</v>
      </c>
      <c r="T31" s="22">
        <f t="shared" si="18"/>
        <v>12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67.800000000000011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>
        <f t="shared" si="19"/>
        <v>1</v>
      </c>
      <c r="L35" s="18" t="str">
        <f t="shared" si="19"/>
        <v/>
      </c>
      <c r="M35" s="18">
        <f t="shared" si="19"/>
        <v>2</v>
      </c>
      <c r="N35" s="18">
        <f t="shared" si="19"/>
        <v>3</v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>
        <f t="shared" si="19"/>
        <v>4</v>
      </c>
      <c r="S35" s="18" t="str">
        <f t="shared" si="19"/>
        <v/>
      </c>
      <c r="T35" s="18">
        <f t="shared" si="19"/>
        <v>5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1</v>
      </c>
      <c r="J52" s="18">
        <f ca="1">(J30-I30)*(J30&gt;I30)</f>
        <v>0</v>
      </c>
      <c r="K52" s="18">
        <f t="shared" ref="K52:W52" ca="1" si="20">(K30-J30)*(K30&gt;J30)</f>
        <v>6.5</v>
      </c>
      <c r="L52" s="18">
        <f t="shared" ca="1" si="20"/>
        <v>0</v>
      </c>
      <c r="M52" s="18">
        <f t="shared" ca="1" si="20"/>
        <v>19</v>
      </c>
      <c r="N52" s="18">
        <f t="shared" ca="1" si="20"/>
        <v>0</v>
      </c>
      <c r="O52" s="18">
        <f t="shared" ca="1" si="20"/>
        <v>0</v>
      </c>
      <c r="P52" s="18">
        <f t="shared" ca="1" si="20"/>
        <v>1.5</v>
      </c>
      <c r="Q52" s="18">
        <f t="shared" ca="1" si="20"/>
        <v>0</v>
      </c>
      <c r="R52" s="18">
        <f t="shared" ca="1" si="20"/>
        <v>12.5</v>
      </c>
      <c r="S52" s="18">
        <f t="shared" ca="1" si="20"/>
        <v>0</v>
      </c>
      <c r="T52" s="18">
        <f t="shared" ca="1" si="20"/>
        <v>14.6</v>
      </c>
      <c r="U52" s="18">
        <f t="shared" ca="1" si="20"/>
        <v>0</v>
      </c>
      <c r="V52" s="18">
        <f t="shared" ca="1" si="20"/>
        <v>0</v>
      </c>
      <c r="W52" s="18">
        <f t="shared" ca="1" si="20"/>
        <v>0</v>
      </c>
    </row>
    <row r="53" spans="7:23" x14ac:dyDescent="0.2">
      <c r="G53" t="s">
        <v>101</v>
      </c>
      <c r="I53" s="18">
        <f ca="1">I52^2</f>
        <v>1</v>
      </c>
      <c r="J53" s="18">
        <f t="shared" ref="J53:W53" ca="1" si="21">J52^2</f>
        <v>0</v>
      </c>
      <c r="K53" s="18">
        <f t="shared" ca="1" si="21"/>
        <v>42.25</v>
      </c>
      <c r="L53" s="18">
        <f t="shared" ca="1" si="21"/>
        <v>0</v>
      </c>
      <c r="M53" s="18">
        <f t="shared" ca="1" si="21"/>
        <v>361</v>
      </c>
      <c r="N53" s="18">
        <f t="shared" ca="1" si="21"/>
        <v>0</v>
      </c>
      <c r="O53" s="18">
        <f t="shared" ca="1" si="21"/>
        <v>0</v>
      </c>
      <c r="P53" s="18">
        <f t="shared" ca="1" si="21"/>
        <v>2.25</v>
      </c>
      <c r="Q53" s="18">
        <f t="shared" ca="1" si="21"/>
        <v>0</v>
      </c>
      <c r="R53" s="18">
        <f t="shared" ca="1" si="21"/>
        <v>156.25</v>
      </c>
      <c r="S53" s="18">
        <f t="shared" ca="1" si="21"/>
        <v>0</v>
      </c>
      <c r="T53" s="18">
        <f t="shared" ca="1" si="21"/>
        <v>213.16</v>
      </c>
      <c r="U53" s="18">
        <f t="shared" ca="1" si="21"/>
        <v>0</v>
      </c>
      <c r="V53" s="18">
        <f t="shared" ca="1" si="21"/>
        <v>0</v>
      </c>
      <c r="W53" s="18">
        <f t="shared" ca="1" si="21"/>
        <v>0</v>
      </c>
    </row>
  </sheetData>
  <mergeCells count="3">
    <mergeCell ref="I1:W1"/>
    <mergeCell ref="F3:F7"/>
    <mergeCell ref="H31:H33"/>
  </mergeCells>
  <conditionalFormatting sqref="I30:W30">
    <cfRule type="cellIs" dxfId="487" priority="11" operator="between">
      <formula>(2/3)*$D$19</formula>
      <formula>(3/2)*$D$19</formula>
    </cfRule>
    <cfRule type="cellIs" dxfId="486" priority="12" operator="lessThan">
      <formula>(2/3)*$D$19</formula>
    </cfRule>
    <cfRule type="cellIs" dxfId="485" priority="13" operator="greaterThanOrEqual">
      <formula>1.5*$D$19</formula>
    </cfRule>
  </conditionalFormatting>
  <conditionalFormatting sqref="H30">
    <cfRule type="cellIs" dxfId="484" priority="9" stopIfTrue="1" operator="equal">
      <formula>$B$6*10</formula>
    </cfRule>
    <cfRule type="cellIs" dxfId="483" priority="10" operator="notEqual">
      <formula>$B$6*10</formula>
    </cfRule>
  </conditionalFormatting>
  <conditionalFormatting sqref="I20:W29">
    <cfRule type="beginsWith" dxfId="482" priority="8" stopIfTrue="1" operator="beginsWith" text="0">
      <formula>LEFT(I20,LEN("0"))="0"</formula>
    </cfRule>
  </conditionalFormatting>
  <conditionalFormatting sqref="B18">
    <cfRule type="expression" dxfId="481" priority="7">
      <formula>B18&lt;&gt;$B$7</formula>
    </cfRule>
  </conditionalFormatting>
  <conditionalFormatting sqref="C18">
    <cfRule type="expression" dxfId="480" priority="6">
      <formula>$B$18&lt;&gt;$B$7</formula>
    </cfRule>
  </conditionalFormatting>
  <conditionalFormatting sqref="H31">
    <cfRule type="expression" dxfId="479" priority="5">
      <formula>ABS($H$30-$D$6&gt;=1)</formula>
    </cfRule>
  </conditionalFormatting>
  <conditionalFormatting sqref="B7">
    <cfRule type="expression" dxfId="478" priority="4">
      <formula>($B$7&lt;&gt;SUM($B$9:$B$17))</formula>
    </cfRule>
  </conditionalFormatting>
  <conditionalFormatting sqref="I31:T33">
    <cfRule type="beginsWith" dxfId="477" priority="2" stopIfTrue="1" operator="beginsWith" text="0">
      <formula>LEFT(I31,LEN("0"))="0"</formula>
    </cfRule>
  </conditionalFormatting>
  <conditionalFormatting sqref="N34">
    <cfRule type="beginsWith" dxfId="476" priority="3" stopIfTrue="1" operator="beginsWith" text="0">
      <formula>LEFT(N34,LEN("0"))="0"</formula>
    </cfRule>
  </conditionalFormatting>
  <conditionalFormatting sqref="D9:D17">
    <cfRule type="cellIs" dxfId="475" priority="1" operator="equal">
      <formula>0</formula>
    </cfRule>
  </conditionalFormatting>
  <dataValidations disablePrompts="1" count="7">
    <dataValidation type="list" errorStyle="warning" allowBlank="1" showInputMessage="1" showErrorMessage="1" errorTitle="Non-standard credit weighting" promptTitle="Credit value" sqref="D5" xr:uid="{000320A4-890A-B242-85F3-0AC239515C8A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63768F94-C6E6-5E40-B77C-054A9A58BE8E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111FF3F4-95A7-F249-990A-BA619F66D2DC}">
      <formula1>"1,2"</formula1>
    </dataValidation>
    <dataValidation errorStyle="warning" allowBlank="1" showInputMessage="1" showErrorMessage="1" errorTitle="Non-standard credit weighting" promptTitle="Credit value" sqref="B6" xr:uid="{162BF18C-E5FB-7145-AEDD-D6EDD676E9D1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4391CAAF-DF65-AC4E-8F56-0E41B2C44397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4E5E251D-93C1-9647-A1A0-C793C8E120F4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D046C493-ADF8-2C44-A33A-489D7AA7346F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49D8-F5FF-42EA-992A-3173943250AC}">
  <dimension ref="A1:AD53"/>
  <sheetViews>
    <sheetView zoomScaleNormal="100" workbookViewId="0">
      <selection activeCell="J33" sqref="J3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3.33203125" customWidth="1"/>
    <col min="4" max="4" width="8.83203125" customWidth="1"/>
    <col min="5" max="5" width="10.5" customWidth="1"/>
    <col min="6" max="6" width="9.83203125" customWidth="1"/>
    <col min="7" max="7" width="13.1640625" customWidth="1"/>
    <col min="8" max="8" width="9.664062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184</v>
      </c>
      <c r="B2" s="37">
        <v>110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32" x14ac:dyDescent="0.2">
      <c r="A3" s="7" t="s">
        <v>52</v>
      </c>
      <c r="B3" s="48" t="s">
        <v>185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2</v>
      </c>
      <c r="P3" s="137">
        <f t="shared" si="0"/>
        <v>0</v>
      </c>
      <c r="Q3" s="137">
        <f t="shared" si="0"/>
        <v>0</v>
      </c>
      <c r="R3" s="137">
        <f t="shared" si="0"/>
        <v>1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186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/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1</v>
      </c>
      <c r="P5" s="85">
        <f t="shared" ca="1" si="1"/>
        <v>0</v>
      </c>
      <c r="Q5" s="85">
        <f t="shared" ca="1" si="1"/>
        <v>0</v>
      </c>
      <c r="R5" s="85">
        <f t="shared" ca="1" si="1"/>
        <v>1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30</v>
      </c>
      <c r="D7">
        <f>B6*10*B7/100</f>
        <v>22.5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1</v>
      </c>
      <c r="P7" s="85">
        <f t="shared" ca="1" si="2"/>
        <v>0</v>
      </c>
      <c r="Q7" s="85">
        <f t="shared" ca="1" si="2"/>
        <v>0</v>
      </c>
      <c r="R7" s="85">
        <f t="shared" ca="1" si="2"/>
        <v>1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25" thickBot="1" x14ac:dyDescent="0.25">
      <c r="A8" t="s">
        <v>55</v>
      </c>
      <c r="B8" s="45">
        <v>2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>Class Test</v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4" x14ac:dyDescent="0.2">
      <c r="A9" t="s">
        <v>58</v>
      </c>
      <c r="B9" s="46">
        <v>10</v>
      </c>
      <c r="C9" s="40" t="s">
        <v>187</v>
      </c>
      <c r="D9">
        <f>B$6*10*B9/100</f>
        <v>7.5</v>
      </c>
      <c r="E9" s="29">
        <v>1</v>
      </c>
      <c r="F9" s="42"/>
      <c r="G9" s="30">
        <v>10</v>
      </c>
      <c r="H9" t="s">
        <v>189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>Yes</v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20</v>
      </c>
      <c r="C10" s="40" t="s">
        <v>188</v>
      </c>
      <c r="D10">
        <f>B$6*10*B10/100</f>
        <v>15</v>
      </c>
      <c r="E10" s="31">
        <v>1</v>
      </c>
      <c r="F10" s="43"/>
      <c r="G10" s="32">
        <v>7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>Yes</v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30</v>
      </c>
      <c r="C18" s="59" t="str">
        <f>IF(B18=B7,"% ok","% credits do not add up to stated value")</f>
        <v>% ok</v>
      </c>
      <c r="D18" s="59">
        <f>SUM(D9:D17)</f>
        <v>22.5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235.82125000000002</v>
      </c>
      <c r="G20" s="11" t="s">
        <v>82</v>
      </c>
      <c r="H20" s="21">
        <f>SUM(I20:W20)</f>
        <v>16</v>
      </c>
      <c r="I20" s="14">
        <v>1</v>
      </c>
      <c r="J20" s="14">
        <v>2</v>
      </c>
      <c r="K20" s="14">
        <v>1</v>
      </c>
      <c r="L20" s="14">
        <v>2</v>
      </c>
      <c r="M20" s="14">
        <v>1</v>
      </c>
      <c r="N20" s="14">
        <v>2</v>
      </c>
      <c r="O20" s="105">
        <v>0</v>
      </c>
      <c r="P20" s="14">
        <v>1</v>
      </c>
      <c r="Q20" s="14">
        <v>2</v>
      </c>
      <c r="R20" s="14">
        <v>1</v>
      </c>
      <c r="S20" s="14">
        <v>2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6">SUM(I21:W21)</f>
        <v>37.5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2.9249999999999998</v>
      </c>
      <c r="V21" s="14">
        <f ca="1">U34*V31</f>
        <v>5.85</v>
      </c>
      <c r="W21" s="14">
        <f ca="1">U34*W31</f>
        <v>10.725000000000001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2</v>
      </c>
      <c r="I22" s="10">
        <f ca="1">I7</f>
        <v>0</v>
      </c>
      <c r="J22" s="10">
        <f t="shared" ref="J22:W22" ca="1" si="7">J7</f>
        <v>0</v>
      </c>
      <c r="K22" s="10">
        <f t="shared" ca="1" si="7"/>
        <v>0</v>
      </c>
      <c r="L22" s="10">
        <f t="shared" ca="1" si="7"/>
        <v>0</v>
      </c>
      <c r="M22" s="10">
        <f t="shared" ca="1" si="7"/>
        <v>0</v>
      </c>
      <c r="N22" s="10">
        <f t="shared" ca="1" si="7"/>
        <v>0</v>
      </c>
      <c r="O22" s="10">
        <f t="shared" ca="1" si="7"/>
        <v>1</v>
      </c>
      <c r="P22" s="10">
        <f t="shared" ca="1" si="7"/>
        <v>0</v>
      </c>
      <c r="Q22" s="10">
        <f t="shared" ca="1" si="7"/>
        <v>0</v>
      </c>
      <c r="R22" s="10">
        <f t="shared" ca="1" si="7"/>
        <v>1</v>
      </c>
      <c r="S22" s="10">
        <f t="shared" ca="1" si="7"/>
        <v>0</v>
      </c>
      <c r="T22" s="10">
        <f t="shared" ca="1" si="7"/>
        <v>0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2</v>
      </c>
      <c r="J23" s="61">
        <f ca="1">MIN(6*$B$6/15, 12/$B$8 + 1,I23+SUM(J20:J22))</f>
        <v>3</v>
      </c>
      <c r="K23" s="61">
        <f t="shared" ref="K23:W23" ca="1" si="8">MIN(6*$B$6/15, 12/$B$8 + 1,J23+SUM(K20:K22))</f>
        <v>3</v>
      </c>
      <c r="L23" s="61">
        <f t="shared" ca="1" si="8"/>
        <v>3</v>
      </c>
      <c r="M23" s="61">
        <f t="shared" ca="1" si="8"/>
        <v>3</v>
      </c>
      <c r="N23" s="61">
        <f t="shared" ca="1" si="8"/>
        <v>3</v>
      </c>
      <c r="O23" s="61">
        <f t="shared" ca="1" si="8"/>
        <v>3</v>
      </c>
      <c r="P23" s="61">
        <f t="shared" ca="1" si="8"/>
        <v>3</v>
      </c>
      <c r="Q23" s="61">
        <f t="shared" ca="1" si="8"/>
        <v>3</v>
      </c>
      <c r="R23" s="61">
        <f t="shared" ca="1" si="8"/>
        <v>3</v>
      </c>
      <c r="S23" s="61">
        <f t="shared" ca="1" si="8"/>
        <v>3</v>
      </c>
      <c r="T23" s="61">
        <f t="shared" ca="1" si="8"/>
        <v>3</v>
      </c>
      <c r="U23" s="61">
        <f t="shared" ca="1" si="8"/>
        <v>3</v>
      </c>
      <c r="V23" s="61">
        <f t="shared" ca="1" si="8"/>
        <v>3</v>
      </c>
      <c r="W23" s="61">
        <f t="shared" ca="1" si="8"/>
        <v>3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0</v>
      </c>
      <c r="N24" s="24">
        <f>(IFERROR(_xlfn.XMATCH("Yes",N$9:N$17),0)&gt;0)*1</f>
        <v>0</v>
      </c>
      <c r="O24" s="107">
        <f t="shared" ref="O24:W24" si="10">(IFERROR(_xlfn.XMATCH("Yes",O$9:O$17),0)&gt;0)*1</f>
        <v>1</v>
      </c>
      <c r="P24" s="24">
        <f t="shared" si="10"/>
        <v>0</v>
      </c>
      <c r="Q24" s="24">
        <f t="shared" si="10"/>
        <v>0</v>
      </c>
      <c r="R24" s="24">
        <f t="shared" si="10"/>
        <v>1</v>
      </c>
      <c r="S24" s="24">
        <f t="shared" si="10"/>
        <v>0</v>
      </c>
      <c r="T24" s="26">
        <f t="shared" si="10"/>
        <v>0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15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7.5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1">-H23*I24</f>
        <v>0</v>
      </c>
      <c r="J26" s="22">
        <f t="shared" ca="1" si="11"/>
        <v>0</v>
      </c>
      <c r="K26" s="22">
        <f t="shared" ca="1" si="11"/>
        <v>0</v>
      </c>
      <c r="L26" s="22">
        <f t="shared" ca="1" si="11"/>
        <v>0</v>
      </c>
      <c r="M26" s="22">
        <f t="shared" ca="1" si="11"/>
        <v>0</v>
      </c>
      <c r="N26" s="22">
        <f ca="1">-M23*N24</f>
        <v>0</v>
      </c>
      <c r="O26" s="108">
        <f t="shared" ca="1" si="11"/>
        <v>-3</v>
      </c>
      <c r="P26" s="22">
        <f t="shared" ca="1" si="11"/>
        <v>0</v>
      </c>
      <c r="Q26" s="22">
        <f t="shared" ca="1" si="11"/>
        <v>0</v>
      </c>
      <c r="R26" s="22">
        <f t="shared" ca="1" si="11"/>
        <v>-3</v>
      </c>
      <c r="S26" s="22">
        <f t="shared" ca="1" si="11"/>
        <v>0</v>
      </c>
      <c r="T26" s="22">
        <f t="shared" ca="1" si="11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16.5</v>
      </c>
      <c r="I27" s="25">
        <f>(I25+I26)</f>
        <v>0</v>
      </c>
      <c r="J27" s="25">
        <f ca="1">(J25+J26)</f>
        <v>0</v>
      </c>
      <c r="K27" s="25">
        <f ca="1">(K25+K26)</f>
        <v>0</v>
      </c>
      <c r="L27" s="25">
        <f ca="1">(L25+L26)</f>
        <v>0</v>
      </c>
      <c r="M27" s="25">
        <f ca="1">(M25+M26)</f>
        <v>0</v>
      </c>
      <c r="N27" s="25">
        <f ca="1">(N$25+N$26)</f>
        <v>0</v>
      </c>
      <c r="O27" s="109">
        <f t="shared" ref="O27:W27" ca="1" si="12">(O25+O26)</f>
        <v>12</v>
      </c>
      <c r="P27" s="25">
        <f t="shared" ca="1" si="12"/>
        <v>0</v>
      </c>
      <c r="Q27" s="25">
        <f t="shared" ca="1" si="12"/>
        <v>0</v>
      </c>
      <c r="R27" s="25">
        <f t="shared" ca="1" si="12"/>
        <v>4.5</v>
      </c>
      <c r="S27" s="25">
        <f t="shared" ca="1" si="12"/>
        <v>0</v>
      </c>
      <c r="T27" s="27">
        <f t="shared" ca="1" si="12"/>
        <v>0</v>
      </c>
      <c r="U27" s="25">
        <f t="shared" ca="1" si="12"/>
        <v>0</v>
      </c>
      <c r="V27" s="25">
        <f t="shared" ca="1" si="12"/>
        <v>0</v>
      </c>
      <c r="W27" s="25">
        <f t="shared" ca="1" si="12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3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4">SUM(I30:W30)</f>
        <v>75</v>
      </c>
      <c r="I30" s="16">
        <f t="shared" ref="I30:W30" ca="1" si="15">I20+I21+I22+I27+I28+I29</f>
        <v>2</v>
      </c>
      <c r="J30" s="16">
        <f t="shared" ca="1" si="15"/>
        <v>3</v>
      </c>
      <c r="K30" s="16">
        <f t="shared" ca="1" si="15"/>
        <v>3</v>
      </c>
      <c r="L30" s="16">
        <f t="shared" ca="1" si="15"/>
        <v>3</v>
      </c>
      <c r="M30" s="16">
        <f t="shared" ca="1" si="15"/>
        <v>3</v>
      </c>
      <c r="N30" s="16">
        <f t="shared" ca="1" si="15"/>
        <v>3</v>
      </c>
      <c r="O30" s="110">
        <f t="shared" ca="1" si="15"/>
        <v>15</v>
      </c>
      <c r="P30" s="16">
        <f t="shared" ca="1" si="15"/>
        <v>2</v>
      </c>
      <c r="Q30" s="16">
        <f t="shared" ca="1" si="15"/>
        <v>4</v>
      </c>
      <c r="R30" s="16">
        <f t="shared" ca="1" si="15"/>
        <v>7.5</v>
      </c>
      <c r="S30" s="16">
        <f t="shared" ca="1" si="15"/>
        <v>4</v>
      </c>
      <c r="T30" s="16">
        <f t="shared" ca="1" si="15"/>
        <v>3</v>
      </c>
      <c r="U30" s="65">
        <f t="shared" ca="1" si="15"/>
        <v>2.9249999999999998</v>
      </c>
      <c r="V30" s="16">
        <f t="shared" ca="1" si="15"/>
        <v>5.85</v>
      </c>
      <c r="W30" s="16">
        <f t="shared" ca="1" si="15"/>
        <v>13.725000000000001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0</v>
      </c>
      <c r="L31" s="22">
        <f t="shared" si="16"/>
        <v>0</v>
      </c>
      <c r="M31" s="22">
        <f t="shared" si="16"/>
        <v>0</v>
      </c>
      <c r="N31" s="22">
        <f>(IFERROR(-N$21-MAX(MAX(0,1*MIN(6,N$2))),0)+N$25)*(1*N$24&gt;0)</f>
        <v>0</v>
      </c>
      <c r="O31" s="108">
        <f t="shared" ref="O31:T31" si="17">(IFERROR(-O$21-MAX(MAX(0,1*MIN(6,O$2))),0)+O$25)*(1*O$24&gt;0)</f>
        <v>7</v>
      </c>
      <c r="P31" s="22">
        <f t="shared" si="17"/>
        <v>0</v>
      </c>
      <c r="Q31" s="22">
        <f t="shared" si="17"/>
        <v>0</v>
      </c>
      <c r="R31" s="22">
        <f t="shared" si="17"/>
        <v>0.5</v>
      </c>
      <c r="S31" s="22">
        <f t="shared" si="17"/>
        <v>0</v>
      </c>
      <c r="T31" s="22">
        <f t="shared" si="17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19.5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8">IFERROR(_xlfn.XMATCH("Yes",J$9:J$17,1),T(1))</f>
        <v/>
      </c>
      <c r="K35" s="18" t="str">
        <f t="shared" si="18"/>
        <v/>
      </c>
      <c r="L35" s="18" t="str">
        <f t="shared" si="18"/>
        <v/>
      </c>
      <c r="M35" s="18" t="str">
        <f t="shared" si="18"/>
        <v/>
      </c>
      <c r="N35" s="18" t="str">
        <f t="shared" si="18"/>
        <v/>
      </c>
      <c r="O35" s="18">
        <f t="shared" si="18"/>
        <v>2</v>
      </c>
      <c r="P35" s="18" t="str">
        <f t="shared" si="18"/>
        <v/>
      </c>
      <c r="Q35" s="18" t="str">
        <f t="shared" si="18"/>
        <v/>
      </c>
      <c r="R35" s="18">
        <f t="shared" si="18"/>
        <v>1</v>
      </c>
      <c r="S35" s="18" t="str">
        <f t="shared" si="18"/>
        <v/>
      </c>
      <c r="T35" s="18" t="str">
        <f t="shared" si="18"/>
        <v/>
      </c>
      <c r="U35" s="18" t="str">
        <f t="shared" si="18"/>
        <v/>
      </c>
      <c r="V35" s="18" t="str">
        <f t="shared" si="18"/>
        <v/>
      </c>
      <c r="W35" s="18" t="str">
        <f t="shared" si="18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19">(K30-J30)*(K30&gt;J30)</f>
        <v>0</v>
      </c>
      <c r="L52" s="18">
        <f t="shared" ca="1" si="19"/>
        <v>0</v>
      </c>
      <c r="M52" s="18">
        <f t="shared" ca="1" si="19"/>
        <v>0</v>
      </c>
      <c r="N52" s="18">
        <f t="shared" ca="1" si="19"/>
        <v>0</v>
      </c>
      <c r="O52" s="18">
        <f t="shared" ca="1" si="19"/>
        <v>12</v>
      </c>
      <c r="P52" s="18">
        <f t="shared" ca="1" si="19"/>
        <v>0</v>
      </c>
      <c r="Q52" s="18">
        <f t="shared" ca="1" si="19"/>
        <v>2</v>
      </c>
      <c r="R52" s="18">
        <f t="shared" ca="1" si="19"/>
        <v>3.5</v>
      </c>
      <c r="S52" s="18">
        <f t="shared" ca="1" si="19"/>
        <v>0</v>
      </c>
      <c r="T52" s="18">
        <f t="shared" ca="1" si="19"/>
        <v>0</v>
      </c>
      <c r="U52" s="18">
        <f t="shared" ca="1" si="19"/>
        <v>0</v>
      </c>
      <c r="V52" s="18">
        <f t="shared" ca="1" si="19"/>
        <v>2.9249999999999998</v>
      </c>
      <c r="W52" s="18">
        <f t="shared" ca="1" si="19"/>
        <v>7.8750000000000018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0">J52^2</f>
        <v>1</v>
      </c>
      <c r="K53" s="18">
        <f t="shared" ca="1" si="20"/>
        <v>0</v>
      </c>
      <c r="L53" s="18">
        <f t="shared" ca="1" si="20"/>
        <v>0</v>
      </c>
      <c r="M53" s="18">
        <f t="shared" ca="1" si="20"/>
        <v>0</v>
      </c>
      <c r="N53" s="18">
        <f t="shared" ca="1" si="20"/>
        <v>0</v>
      </c>
      <c r="O53" s="18">
        <f t="shared" ca="1" si="20"/>
        <v>144</v>
      </c>
      <c r="P53" s="18">
        <f t="shared" ca="1" si="20"/>
        <v>0</v>
      </c>
      <c r="Q53" s="18">
        <f t="shared" ca="1" si="20"/>
        <v>4</v>
      </c>
      <c r="R53" s="18">
        <f t="shared" ca="1" si="20"/>
        <v>12.25</v>
      </c>
      <c r="S53" s="18">
        <f t="shared" ca="1" si="20"/>
        <v>0</v>
      </c>
      <c r="T53" s="18">
        <f t="shared" ca="1" si="20"/>
        <v>0</v>
      </c>
      <c r="U53" s="18">
        <f t="shared" ca="1" si="20"/>
        <v>0</v>
      </c>
      <c r="V53" s="18">
        <f t="shared" ca="1" si="20"/>
        <v>8.5556249999999991</v>
      </c>
      <c r="W53" s="18">
        <f t="shared" ca="1" si="20"/>
        <v>62.015625000000028</v>
      </c>
    </row>
  </sheetData>
  <mergeCells count="2">
    <mergeCell ref="I1:W1"/>
    <mergeCell ref="F3:F7"/>
  </mergeCells>
  <conditionalFormatting sqref="I30:W30">
    <cfRule type="cellIs" dxfId="474" priority="11" operator="between">
      <formula>(2/3)*$D$19</formula>
      <formula>(3/2)*$D$19</formula>
    </cfRule>
    <cfRule type="cellIs" dxfId="473" priority="12" operator="lessThan">
      <formula>(2/3)*$D$19</formula>
    </cfRule>
    <cfRule type="cellIs" dxfId="472" priority="13" operator="greaterThanOrEqual">
      <formula>1.5*$D$19</formula>
    </cfRule>
  </conditionalFormatting>
  <conditionalFormatting sqref="H30">
    <cfRule type="cellIs" dxfId="471" priority="9" stopIfTrue="1" operator="equal">
      <formula>$B$6*10</formula>
    </cfRule>
    <cfRule type="cellIs" dxfId="470" priority="10" operator="notEqual">
      <formula>$B$6*10</formula>
    </cfRule>
  </conditionalFormatting>
  <conditionalFormatting sqref="I20:W29">
    <cfRule type="beginsWith" dxfId="469" priority="8" stopIfTrue="1" operator="beginsWith" text="0">
      <formula>LEFT(I20,LEN("0"))="0"</formula>
    </cfRule>
  </conditionalFormatting>
  <conditionalFormatting sqref="B18">
    <cfRule type="expression" dxfId="468" priority="7">
      <formula>B18&lt;&gt;$B$7</formula>
    </cfRule>
  </conditionalFormatting>
  <conditionalFormatting sqref="C18">
    <cfRule type="expression" dxfId="467" priority="6">
      <formula>$B$18&lt;&gt;$B$7</formula>
    </cfRule>
  </conditionalFormatting>
  <conditionalFormatting sqref="H31:H33">
    <cfRule type="expression" dxfId="466" priority="5">
      <formula>ABS($H$30-$D$6&gt;=1)</formula>
    </cfRule>
  </conditionalFormatting>
  <conditionalFormatting sqref="B7">
    <cfRule type="expression" dxfId="465" priority="4">
      <formula>($B$7&lt;&gt;SUM($B$9:$B$17))</formula>
    </cfRule>
  </conditionalFormatting>
  <conditionalFormatting sqref="I31:T33">
    <cfRule type="beginsWith" dxfId="464" priority="2" stopIfTrue="1" operator="beginsWith" text="0">
      <formula>LEFT(I31,LEN("0"))="0"</formula>
    </cfRule>
  </conditionalFormatting>
  <conditionalFormatting sqref="N34">
    <cfRule type="beginsWith" dxfId="463" priority="3" stopIfTrue="1" operator="beginsWith" text="0">
      <formula>LEFT(N34,LEN("0"))="0"</formula>
    </cfRule>
  </conditionalFormatting>
  <conditionalFormatting sqref="D9:D17">
    <cfRule type="cellIs" dxfId="462" priority="1" operator="equal">
      <formula>0</formula>
    </cfRule>
  </conditionalFormatting>
  <dataValidations disablePrompts="1"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6DC2298F-9CEB-4596-BE37-7900073A3B05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7509DED9-8923-4D81-B701-973B35059395}">
      <formula1>"1,2"</formula1>
    </dataValidation>
    <dataValidation type="list" errorStyle="warning" allowBlank="1" showInputMessage="1" showErrorMessage="1" errorTitle="Non-standard credit weighting" promptTitle="Credit value" sqref="B6" xr:uid="{133F6D2E-2EC9-4074-AB2E-9631A03B12EB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9AD387BA-360D-49C8-A8A0-B107468D440E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30DB450C-6E8C-4912-B5F9-4ECB05B135D1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7792B2FB-351A-4C32-BB9E-24A8E543BD61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27C13-4CFE-724C-B0C6-E3F4BE040D45}">
  <dimension ref="A1:AD53"/>
  <sheetViews>
    <sheetView topLeftCell="A3" zoomScale="121" zoomScaleNormal="90" workbookViewId="0">
      <selection activeCell="J33" sqref="J3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207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32" x14ac:dyDescent="0.2">
      <c r="A3" s="7" t="s">
        <v>52</v>
      </c>
      <c r="B3" s="48" t="s">
        <v>110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111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0</v>
      </c>
      <c r="C7" t="s">
        <v>130</v>
      </c>
      <c r="D7">
        <f>B6*10*B7/100</f>
        <v>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1</v>
      </c>
    </row>
    <row r="9" spans="1:24" ht="16" thickTop="1" x14ac:dyDescent="0.2">
      <c r="A9" t="s">
        <v>58</v>
      </c>
      <c r="B9" s="46"/>
      <c r="C9" s="39"/>
      <c r="D9">
        <f>B$6*10*B9/100</f>
        <v>0</v>
      </c>
      <c r="E9" s="29"/>
      <c r="F9" s="42"/>
      <c r="G9" s="30"/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ref="D13:D16" si="6">B$6*10*B13/100</f>
        <v>0</v>
      </c>
      <c r="E13" s="31"/>
      <c r="F13" s="43"/>
      <c r="G13" s="32"/>
      <c r="I13" s="19"/>
      <c r="J13" s="19"/>
      <c r="K13" s="19"/>
      <c r="L13" s="19"/>
      <c r="M13" s="19"/>
      <c r="N13" s="19"/>
      <c r="O13" s="104"/>
      <c r="P13" s="19"/>
      <c r="Q13" s="19"/>
      <c r="R13" s="19"/>
      <c r="S13" s="19"/>
      <c r="T13" s="19"/>
      <c r="U13" s="19"/>
      <c r="V13" s="19"/>
      <c r="W13" s="19"/>
    </row>
    <row r="14" spans="1:24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/>
      <c r="J14" s="19"/>
      <c r="K14" s="19"/>
      <c r="L14" s="19"/>
      <c r="M14" s="19"/>
      <c r="N14" s="19"/>
      <c r="O14" s="104"/>
      <c r="P14" s="19"/>
      <c r="Q14" s="19"/>
      <c r="R14" s="19"/>
      <c r="S14" s="19"/>
      <c r="T14" s="19"/>
      <c r="U14" s="19"/>
      <c r="V14" s="19"/>
      <c r="W14" s="19"/>
    </row>
    <row r="15" spans="1:24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/>
      <c r="J15" s="19"/>
      <c r="K15" s="19"/>
      <c r="L15" s="19"/>
      <c r="M15" s="19"/>
      <c r="N15" s="19"/>
      <c r="O15" s="104"/>
      <c r="P15" s="19"/>
      <c r="Q15" s="19"/>
      <c r="R15" s="19"/>
      <c r="S15" s="19"/>
      <c r="T15" s="19"/>
      <c r="U15" s="19"/>
      <c r="V15" s="19"/>
      <c r="W15" s="19"/>
    </row>
    <row r="16" spans="1:24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0</v>
      </c>
      <c r="C18" s="172" t="str">
        <f>IF(B18=B7,"ok","Credits do not add up to stated value")</f>
        <v>ok</v>
      </c>
      <c r="D18" s="172"/>
      <c r="E18" s="172"/>
      <c r="T18" s="10">
        <f>B9/100*SUM(I21:T21)</f>
        <v>0</v>
      </c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194.36750000000006</v>
      </c>
      <c r="G20" s="11" t="s">
        <v>82</v>
      </c>
      <c r="H20" s="21">
        <f>SUM(I20:W20)</f>
        <v>17</v>
      </c>
      <c r="I20" s="14">
        <v>1</v>
      </c>
      <c r="J20" s="14">
        <v>2</v>
      </c>
      <c r="K20" s="14">
        <v>1</v>
      </c>
      <c r="L20" s="14">
        <v>2</v>
      </c>
      <c r="M20" s="14">
        <v>1</v>
      </c>
      <c r="N20" s="14">
        <v>2</v>
      </c>
      <c r="O20" s="105">
        <v>0</v>
      </c>
      <c r="P20" s="14">
        <v>2</v>
      </c>
      <c r="Q20" s="14">
        <v>1</v>
      </c>
      <c r="R20" s="14">
        <v>2</v>
      </c>
      <c r="S20" s="14">
        <v>2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30" ca="1" si="7">SUM(I21:W21)</f>
        <v>55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5.55</v>
      </c>
      <c r="V21" s="14">
        <f ca="1">U34*V31</f>
        <v>11.1</v>
      </c>
      <c r="W21" s="14">
        <f ca="1">U34*W31</f>
        <v>20.350000000000001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0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0</v>
      </c>
      <c r="U22" s="1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61">
        <f ca="1">SUM(I20:I22)</f>
        <v>2</v>
      </c>
      <c r="J23" s="61">
        <f ca="1">MIN(6*$B$6/15, 12/$B$8 + 1,I23+SUM(J20:J22))</f>
        <v>3</v>
      </c>
      <c r="K23" s="61">
        <f t="shared" ref="K23:T23" ca="1" si="9">MIN(6*$B$6/15, 12/$B$8 + 1,J23+SUM(K20:K22))</f>
        <v>3</v>
      </c>
      <c r="L23" s="61">
        <f t="shared" ca="1" si="9"/>
        <v>3</v>
      </c>
      <c r="M23" s="61">
        <f t="shared" ca="1" si="9"/>
        <v>3</v>
      </c>
      <c r="N23" s="61">
        <f t="shared" ca="1" si="9"/>
        <v>3</v>
      </c>
      <c r="O23" s="61">
        <f t="shared" ca="1" si="9"/>
        <v>3</v>
      </c>
      <c r="P23" s="61">
        <f t="shared" ca="1" si="9"/>
        <v>3</v>
      </c>
      <c r="Q23" s="61">
        <f t="shared" ca="1" si="9"/>
        <v>3</v>
      </c>
      <c r="R23" s="61">
        <f t="shared" ca="1" si="9"/>
        <v>3</v>
      </c>
      <c r="S23" s="61">
        <f t="shared" ca="1" si="9"/>
        <v>3</v>
      </c>
      <c r="T23" s="61">
        <f t="shared" ca="1" si="9"/>
        <v>3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0</v>
      </c>
      <c r="I27" s="25">
        <f>(I25+I26)</f>
        <v>0</v>
      </c>
      <c r="J27" s="25">
        <f ca="1">(J25+J26)</f>
        <v>0</v>
      </c>
      <c r="K27" s="25">
        <f ca="1">(K25+K26)</f>
        <v>0</v>
      </c>
      <c r="L27" s="25">
        <f ca="1">(L25+L26)</f>
        <v>0</v>
      </c>
      <c r="M27" s="25">
        <f ca="1">(M25+M26)</f>
        <v>0</v>
      </c>
      <c r="N27" s="25">
        <f ca="1">(N$25+N$26)</f>
        <v>0</v>
      </c>
      <c r="O27" s="109">
        <f t="shared" ref="O27:W27" ca="1" si="13">(O25+O26)</f>
        <v>0</v>
      </c>
      <c r="P27" s="25">
        <f t="shared" ca="1" si="13"/>
        <v>0</v>
      </c>
      <c r="Q27" s="25">
        <f t="shared" ca="1" si="13"/>
        <v>0</v>
      </c>
      <c r="R27" s="25">
        <f t="shared" ca="1" si="13"/>
        <v>0</v>
      </c>
      <c r="S27" s="25">
        <f t="shared" ca="1" si="13"/>
        <v>0</v>
      </c>
      <c r="T27" s="27">
        <f t="shared" ca="1" si="13"/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ca="1" si="7"/>
        <v>75</v>
      </c>
      <c r="I30" s="16">
        <f t="shared" ref="I30:W30" ca="1" si="15">I20+I21+I22+I27+I28+I29</f>
        <v>2</v>
      </c>
      <c r="J30" s="16">
        <f t="shared" ca="1" si="15"/>
        <v>3</v>
      </c>
      <c r="K30" s="16">
        <f t="shared" ca="1" si="15"/>
        <v>3</v>
      </c>
      <c r="L30" s="16">
        <f t="shared" ca="1" si="15"/>
        <v>3</v>
      </c>
      <c r="M30" s="16">
        <f t="shared" ca="1" si="15"/>
        <v>3</v>
      </c>
      <c r="N30" s="16">
        <f t="shared" ca="1" si="15"/>
        <v>3</v>
      </c>
      <c r="O30" s="110">
        <f t="shared" ca="1" si="15"/>
        <v>2</v>
      </c>
      <c r="P30" s="16">
        <f t="shared" ca="1" si="15"/>
        <v>3</v>
      </c>
      <c r="Q30" s="16">
        <f t="shared" ca="1" si="15"/>
        <v>3</v>
      </c>
      <c r="R30" s="16">
        <f t="shared" ca="1" si="15"/>
        <v>3</v>
      </c>
      <c r="S30" s="16">
        <f t="shared" ca="1" si="15"/>
        <v>4</v>
      </c>
      <c r="T30" s="16">
        <f t="shared" ca="1" si="15"/>
        <v>3</v>
      </c>
      <c r="U30" s="65">
        <f t="shared" ca="1" si="15"/>
        <v>5.55</v>
      </c>
      <c r="V30" s="16">
        <f t="shared" ca="1" si="15"/>
        <v>11.1</v>
      </c>
      <c r="W30" s="16">
        <f t="shared" ca="1" si="15"/>
        <v>23.35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0</v>
      </c>
      <c r="L31" s="22">
        <f t="shared" si="16"/>
        <v>0</v>
      </c>
      <c r="M31" s="22">
        <f t="shared" si="16"/>
        <v>0</v>
      </c>
      <c r="N31" s="22">
        <f>(IFERROR(-N$21-MAX(MAX(0,1*MIN(6,N$2))),0)+N$25)*(1*N$24&gt;0)</f>
        <v>0</v>
      </c>
      <c r="O31" s="108">
        <f t="shared" ref="O31:T31" si="17">(IFERROR(-O$21-MAX(MAX(0,1*MIN(6,O$2))),0)+O$25)*(1*O$24&gt;0)</f>
        <v>0</v>
      </c>
      <c r="P31" s="22">
        <f t="shared" si="17"/>
        <v>0</v>
      </c>
      <c r="Q31" s="22">
        <f t="shared" si="17"/>
        <v>0</v>
      </c>
      <c r="R31" s="22">
        <f t="shared" si="17"/>
        <v>0</v>
      </c>
      <c r="S31" s="22">
        <f t="shared" si="17"/>
        <v>0</v>
      </c>
      <c r="T31" s="22">
        <f t="shared" si="17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O34" s="103"/>
      <c r="U34" s="67">
        <f ca="1">D6-SUM(I30:T30)-W29</f>
        <v>37</v>
      </c>
      <c r="V34" s="18" t="s">
        <v>85</v>
      </c>
    </row>
    <row r="35" spans="2:24" x14ac:dyDescent="0.2">
      <c r="G35" s="17" t="s">
        <v>71</v>
      </c>
      <c r="H35" s="17"/>
      <c r="I35" s="18">
        <f>IFERROR(_xlfn.XMATCH("Yes",I$9:I$17,1),T(1))</f>
        <v>5</v>
      </c>
      <c r="J35" s="18">
        <f t="shared" ref="J35:W35" si="18">IFERROR(_xlfn.XMATCH("Yes",J$9:J$17,1),T(1))</f>
        <v>5</v>
      </c>
      <c r="K35" s="18">
        <f t="shared" si="18"/>
        <v>5</v>
      </c>
      <c r="L35" s="18">
        <f t="shared" si="18"/>
        <v>5</v>
      </c>
      <c r="M35" s="18">
        <f t="shared" si="18"/>
        <v>5</v>
      </c>
      <c r="N35" s="18">
        <f t="shared" si="18"/>
        <v>5</v>
      </c>
      <c r="O35" s="111">
        <f t="shared" si="18"/>
        <v>5</v>
      </c>
      <c r="P35" s="18">
        <f t="shared" si="18"/>
        <v>5</v>
      </c>
      <c r="Q35" s="18">
        <f t="shared" si="18"/>
        <v>5</v>
      </c>
      <c r="R35" s="18">
        <f t="shared" si="18"/>
        <v>5</v>
      </c>
      <c r="S35" s="18">
        <f t="shared" si="18"/>
        <v>5</v>
      </c>
      <c r="T35" s="18">
        <f t="shared" si="18"/>
        <v>5</v>
      </c>
      <c r="U35" s="18">
        <f t="shared" si="18"/>
        <v>5</v>
      </c>
      <c r="V35" s="18">
        <f t="shared" si="18"/>
        <v>5</v>
      </c>
      <c r="W35" s="18">
        <f t="shared" si="18"/>
        <v>5</v>
      </c>
    </row>
    <row r="36" spans="2:24" x14ac:dyDescent="0.2">
      <c r="B36" t="str">
        <f>T(1)</f>
        <v/>
      </c>
      <c r="G36" s="20" t="s">
        <v>74</v>
      </c>
      <c r="I36" s="18" cm="1">
        <f t="array" ref="I36">IFERROR(INDEX( $G$9:$G$17, _xlfn.XMATCH("Yes", (I$9:I$17),1)),T(1))</f>
        <v>0</v>
      </c>
      <c r="J36" s="18" cm="1">
        <f t="array" ref="J36">IFERROR(INDEX( $G$9:$G$17, _xlfn.XMATCH("Yes", (J$9:J$17),1)),T(1))</f>
        <v>0</v>
      </c>
      <c r="K36" s="18" cm="1">
        <f t="array" ref="K36">IFERROR(INDEX( $G$9:$G$17, _xlfn.XMATCH("Yes", (K$9:K$17),1)),T(1))</f>
        <v>0</v>
      </c>
      <c r="L36" s="18" cm="1">
        <f t="array" ref="L36">IFERROR(INDEX( $G$9:$G$17, _xlfn.XMATCH("Yes", (L$9:L$17),1)),T(1))</f>
        <v>0</v>
      </c>
      <c r="M36" s="18" cm="1">
        <f t="array" ref="M36">IFERROR(INDEX( $G$9:$G$17, _xlfn.XMATCH("Yes", (M$9:M$17),1)),T(1))</f>
        <v>0</v>
      </c>
      <c r="N36" s="18" cm="1">
        <f t="array" ref="N36">IFERROR(INDEX( $G$9:$G$17, _xlfn.XMATCH("Yes", (N$9:N$17),1)),T(1))</f>
        <v>0</v>
      </c>
      <c r="O36" s="111" cm="1">
        <f t="array" ref="O36">IFERROR(INDEX( $G$9:$G$17, _xlfn.XMATCH("Yes", (O$9:O$17),1)),T(1))</f>
        <v>0</v>
      </c>
      <c r="P36" s="18" cm="1">
        <f t="array" ref="P36">IFERROR(INDEX( $G$9:$G$17, _xlfn.XMATCH("Yes", (P$9:P$17),1)),T(1))</f>
        <v>0</v>
      </c>
      <c r="Q36" s="18" cm="1">
        <f t="array" ref="Q36">IFERROR(INDEX( $G$9:$G$17, _xlfn.XMATCH("Yes", (Q$9:Q$17),1)),T(1))</f>
        <v>0</v>
      </c>
      <c r="R36" s="18" cm="1">
        <f t="array" ref="R36">IFERROR(INDEX( $G$9:$G$17, _xlfn.XMATCH("Yes", (R$9:R$17),1)),T(1))</f>
        <v>0</v>
      </c>
      <c r="S36" s="18" cm="1">
        <f t="array" ref="S36">IFERROR(INDEX( $G$9:$G$17, _xlfn.XMATCH("Yes", (S$9:S$17),1)),T(1))</f>
        <v>0</v>
      </c>
      <c r="T36" s="18" cm="1">
        <f t="array" ref="T36">IFERROR(INDEX( $G$9:$G$17, _xlfn.XMATCH("Yes", (T$9:T$17),1)),T(1))</f>
        <v>0</v>
      </c>
      <c r="U36" s="18" cm="1">
        <f t="array" ref="U36">IFERROR(INDEX( $G$9:$G$17, _xlfn.XMATCH("Yes", (U$9:U$17),1)),T(1))</f>
        <v>0</v>
      </c>
      <c r="V36" s="18" cm="1">
        <f t="array" ref="V36">IFERROR(INDEX( $G$9:$G$17, _xlfn.XMATCH("Yes", (V$9:V$17),1)),T(1))</f>
        <v>0</v>
      </c>
      <c r="W36" s="18" cm="1">
        <f t="array" ref="W36">IFERROR(INDEX( $G$9:$G$17, _xlfn.XMATCH("Yes", (W$9:W$17),1)),T(1))</f>
        <v>0</v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19">(K30-J30)*(K30&gt;J30)</f>
        <v>0</v>
      </c>
      <c r="L52" s="18">
        <f t="shared" ca="1" si="19"/>
        <v>0</v>
      </c>
      <c r="M52" s="18">
        <f t="shared" ca="1" si="19"/>
        <v>0</v>
      </c>
      <c r="N52" s="18">
        <f t="shared" ca="1" si="19"/>
        <v>0</v>
      </c>
      <c r="O52" s="18">
        <f t="shared" ca="1" si="19"/>
        <v>0</v>
      </c>
      <c r="P52" s="18">
        <f t="shared" ca="1" si="19"/>
        <v>1</v>
      </c>
      <c r="Q52" s="18">
        <f t="shared" ca="1" si="19"/>
        <v>0</v>
      </c>
      <c r="R52" s="18">
        <f t="shared" ca="1" si="19"/>
        <v>0</v>
      </c>
      <c r="S52" s="18">
        <f t="shared" ca="1" si="19"/>
        <v>1</v>
      </c>
      <c r="T52" s="18">
        <f t="shared" ca="1" si="19"/>
        <v>0</v>
      </c>
      <c r="U52" s="18">
        <f t="shared" ca="1" si="19"/>
        <v>2.5499999999999998</v>
      </c>
      <c r="V52" s="18">
        <f t="shared" ca="1" si="19"/>
        <v>5.55</v>
      </c>
      <c r="W52" s="18">
        <f t="shared" ca="1" si="19"/>
        <v>12.250000000000002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0">J52^2</f>
        <v>1</v>
      </c>
      <c r="K53" s="18">
        <f t="shared" ca="1" si="20"/>
        <v>0</v>
      </c>
      <c r="L53" s="18">
        <f t="shared" ca="1" si="20"/>
        <v>0</v>
      </c>
      <c r="M53" s="18">
        <f t="shared" ca="1" si="20"/>
        <v>0</v>
      </c>
      <c r="N53" s="18">
        <f t="shared" ca="1" si="20"/>
        <v>0</v>
      </c>
      <c r="O53" s="18">
        <f t="shared" ca="1" si="20"/>
        <v>0</v>
      </c>
      <c r="P53" s="18">
        <f t="shared" ca="1" si="20"/>
        <v>1</v>
      </c>
      <c r="Q53" s="18">
        <f t="shared" ca="1" si="20"/>
        <v>0</v>
      </c>
      <c r="R53" s="18">
        <f t="shared" ca="1" si="20"/>
        <v>0</v>
      </c>
      <c r="S53" s="18">
        <f t="shared" ca="1" si="20"/>
        <v>1</v>
      </c>
      <c r="T53" s="18">
        <f t="shared" ca="1" si="20"/>
        <v>0</v>
      </c>
      <c r="U53" s="18">
        <f t="shared" ca="1" si="20"/>
        <v>6.5024999999999995</v>
      </c>
      <c r="V53" s="18">
        <f t="shared" ca="1" si="20"/>
        <v>30.802499999999998</v>
      </c>
      <c r="W53" s="18">
        <f t="shared" ca="1" si="20"/>
        <v>150.06250000000006</v>
      </c>
    </row>
  </sheetData>
  <mergeCells count="3">
    <mergeCell ref="C18:E18"/>
    <mergeCell ref="F3:F7"/>
    <mergeCell ref="I1:W1"/>
  </mergeCells>
  <conditionalFormatting sqref="I30:W30">
    <cfRule type="cellIs" dxfId="461" priority="16" operator="between">
      <formula>(2/3)*$D$19</formula>
      <formula>(3/2)*$D$19</formula>
    </cfRule>
    <cfRule type="cellIs" dxfId="460" priority="17" operator="lessThan">
      <formula>(2/3)*$D$19</formula>
    </cfRule>
    <cfRule type="cellIs" dxfId="459" priority="18" operator="greaterThanOrEqual">
      <formula>1.5*$D$19</formula>
    </cfRule>
  </conditionalFormatting>
  <conditionalFormatting sqref="H30">
    <cfRule type="cellIs" dxfId="458" priority="13" stopIfTrue="1" operator="equal">
      <formula>$B$6*10</formula>
    </cfRule>
    <cfRule type="cellIs" dxfId="457" priority="14" operator="notEqual">
      <formula>$B$6*10</formula>
    </cfRule>
  </conditionalFormatting>
  <conditionalFormatting sqref="I20:W29">
    <cfRule type="beginsWith" dxfId="456" priority="12" stopIfTrue="1" operator="beginsWith" text="0">
      <formula>LEFT(I20,LEN("0"))="0"</formula>
    </cfRule>
  </conditionalFormatting>
  <conditionalFormatting sqref="B18">
    <cfRule type="expression" dxfId="455" priority="11">
      <formula>B18&lt;&gt;$B$7</formula>
    </cfRule>
  </conditionalFormatting>
  <conditionalFormatting sqref="C18">
    <cfRule type="expression" dxfId="454" priority="10">
      <formula>$B$18&lt;&gt;$B$7</formula>
    </cfRule>
  </conditionalFormatting>
  <conditionalFormatting sqref="H31:H33">
    <cfRule type="expression" dxfId="453" priority="9">
      <formula>ABS($H$30-$D$6&gt;=1)</formula>
    </cfRule>
  </conditionalFormatting>
  <conditionalFormatting sqref="B7">
    <cfRule type="expression" dxfId="452" priority="8">
      <formula>($B$7&lt;&gt;SUM($B$9:$B$17))</formula>
    </cfRule>
  </conditionalFormatting>
  <conditionalFormatting sqref="I31:T33">
    <cfRule type="beginsWith" dxfId="451" priority="6" stopIfTrue="1" operator="beginsWith" text="0">
      <formula>LEFT(I31,LEN("0"))="0"</formula>
    </cfRule>
  </conditionalFormatting>
  <conditionalFormatting sqref="N34">
    <cfRule type="beginsWith" dxfId="450" priority="7" stopIfTrue="1" operator="beginsWith" text="0">
      <formula>LEFT(N34,LEN("0"))="0"</formula>
    </cfRule>
  </conditionalFormatting>
  <conditionalFormatting sqref="D9:D17">
    <cfRule type="cellIs" dxfId="449" priority="1" operator="equal">
      <formula>0</formula>
    </cfRule>
  </conditionalFormatting>
  <dataValidations disablePrompts="1"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A4FDD3DD-8D5F-D046-BF9B-418D9E7A5442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B0242ACB-2F17-A14D-96C7-71679DDB57CF}">
      <formula1>"1,2"</formula1>
    </dataValidation>
    <dataValidation type="list" errorStyle="warning" allowBlank="1" showInputMessage="1" showErrorMessage="1" errorTitle="Non-standard credit weighting" promptTitle="Credit value" sqref="B6" xr:uid="{2FD7CACF-2DC4-9743-AC62-F9596BD10D56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8BBEA7C3-2041-FB4C-A72F-1DE0958F2CE5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115ABF2F-7C45-3F44-A737-D99D9317B2C1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A99F7F9F-E65C-5D4D-B5B6-1348596F0780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25D2A-63B2-A54B-97EA-31E39B056D1A}">
  <dimension ref="A1:AD53"/>
  <sheetViews>
    <sheetView topLeftCell="C8" zoomScaleNormal="80" workbookViewId="0">
      <selection activeCell="J33" sqref="J3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209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133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1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2</v>
      </c>
      <c r="Q3" s="137">
        <f t="shared" si="0"/>
        <v>0</v>
      </c>
      <c r="R3" s="137">
        <f t="shared" si="0"/>
        <v>0</v>
      </c>
      <c r="S3" s="137">
        <f t="shared" si="0"/>
        <v>3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112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1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1</v>
      </c>
      <c r="Q5" s="85">
        <f t="shared" ca="1" si="1"/>
        <v>0</v>
      </c>
      <c r="R5" s="85">
        <f t="shared" ca="1" si="1"/>
        <v>0</v>
      </c>
      <c r="S5" s="85">
        <f t="shared" ca="1" si="1"/>
        <v>2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30</v>
      </c>
      <c r="D7">
        <f>B6*10*B7/100</f>
        <v>45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1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1</v>
      </c>
      <c r="Q7" s="85">
        <f t="shared" ca="1" si="2"/>
        <v>0</v>
      </c>
      <c r="R7" s="85">
        <f t="shared" ca="1" si="2"/>
        <v>0</v>
      </c>
      <c r="S7" s="85">
        <f t="shared" ca="1" si="2"/>
        <v>2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10</v>
      </c>
      <c r="C9" s="39" t="s">
        <v>78</v>
      </c>
      <c r="D9">
        <f>B$6*10*B9/100</f>
        <v>15</v>
      </c>
      <c r="E9" s="29">
        <v>1</v>
      </c>
      <c r="F9" s="42"/>
      <c r="G9" s="30">
        <v>4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>Yes</v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10</v>
      </c>
      <c r="C10" s="40" t="s">
        <v>79</v>
      </c>
      <c r="D10">
        <f>B$6*10*B10/100</f>
        <v>15</v>
      </c>
      <c r="E10" s="31">
        <v>1</v>
      </c>
      <c r="F10" s="43"/>
      <c r="G10" s="32">
        <v>8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>Yes</v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10</v>
      </c>
      <c r="C11" s="40" t="s">
        <v>127</v>
      </c>
      <c r="D11">
        <f t="shared" ref="D11:D17" si="5">B$6*10*B11/100</f>
        <v>15</v>
      </c>
      <c r="E11" s="31">
        <v>2</v>
      </c>
      <c r="F11" s="43"/>
      <c r="G11" s="32">
        <v>11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>Yes</v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/>
      <c r="J13" s="19"/>
      <c r="K13" s="19"/>
      <c r="L13" s="19"/>
      <c r="M13" s="19"/>
      <c r="N13" s="19"/>
      <c r="O13" s="104"/>
      <c r="P13" s="19"/>
      <c r="Q13" s="19"/>
      <c r="R13" s="19"/>
      <c r="S13" s="19"/>
      <c r="T13" s="19"/>
      <c r="U13" s="19"/>
      <c r="V13" s="19"/>
      <c r="W13" s="19"/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/>
      <c r="J14" s="19"/>
      <c r="K14" s="19"/>
      <c r="L14" s="19"/>
      <c r="M14" s="19"/>
      <c r="N14" s="19"/>
      <c r="O14" s="104"/>
      <c r="P14" s="19"/>
      <c r="Q14" s="19"/>
      <c r="R14" s="19"/>
      <c r="S14" s="19"/>
      <c r="T14" s="19"/>
      <c r="U14" s="19"/>
      <c r="V14" s="19"/>
      <c r="W14" s="19"/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/>
      <c r="J15" s="19"/>
      <c r="K15" s="19"/>
      <c r="L15" s="19"/>
      <c r="M15" s="19"/>
      <c r="N15" s="19"/>
      <c r="O15" s="104"/>
      <c r="P15" s="19"/>
      <c r="Q15" s="19"/>
      <c r="R15" s="19"/>
      <c r="S15" s="19"/>
      <c r="T15" s="19"/>
      <c r="U15" s="19"/>
      <c r="V15" s="19"/>
      <c r="W15" s="19"/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30</v>
      </c>
      <c r="C18" s="172" t="str">
        <f>IF(B18=B7,"ok","Credits do not add up to stated value")</f>
        <v>ok</v>
      </c>
      <c r="D18" s="172"/>
      <c r="E18" s="172"/>
      <c r="T18" s="10">
        <f>B9/100*SUM(I21:T21)</f>
        <v>1.8</v>
      </c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899.48000000000025</v>
      </c>
      <c r="G20" s="11" t="s">
        <v>82</v>
      </c>
      <c r="H20" s="21">
        <f>SUM(I20:W20)</f>
        <v>30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2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6">SUM(I21:W21)</f>
        <v>86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10.199999999999999</v>
      </c>
      <c r="V21" s="14">
        <f ca="1">U34*V31</f>
        <v>20.399999999999999</v>
      </c>
      <c r="W21" s="14">
        <f ca="1">U34*W31</f>
        <v>37.400000000000006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6"/>
        <v>4</v>
      </c>
      <c r="I22" s="10">
        <f ca="1">I7</f>
        <v>0</v>
      </c>
      <c r="J22" s="10">
        <f t="shared" ref="J22:W22" ca="1" si="7">J7</f>
        <v>0</v>
      </c>
      <c r="K22" s="10">
        <f t="shared" ca="1" si="7"/>
        <v>0</v>
      </c>
      <c r="L22" s="10">
        <f t="shared" ca="1" si="7"/>
        <v>1</v>
      </c>
      <c r="M22" s="10">
        <f t="shared" ca="1" si="7"/>
        <v>0</v>
      </c>
      <c r="N22" s="10">
        <f t="shared" ca="1" si="7"/>
        <v>0</v>
      </c>
      <c r="O22" s="10">
        <f t="shared" ca="1" si="7"/>
        <v>0</v>
      </c>
      <c r="P22" s="10">
        <f t="shared" ca="1" si="7"/>
        <v>1</v>
      </c>
      <c r="Q22" s="10">
        <f t="shared" ca="1" si="7"/>
        <v>0</v>
      </c>
      <c r="R22" s="10">
        <f t="shared" ca="1" si="7"/>
        <v>0</v>
      </c>
      <c r="S22" s="10">
        <f t="shared" ca="1" si="7"/>
        <v>2</v>
      </c>
      <c r="T22" s="10">
        <f t="shared" ca="1" si="7"/>
        <v>0</v>
      </c>
      <c r="U22" s="10">
        <f t="shared" ca="1" si="7"/>
        <v>0</v>
      </c>
      <c r="V22" s="10">
        <f t="shared" ca="1" si="7"/>
        <v>0</v>
      </c>
      <c r="W22" s="10">
        <f t="shared" ca="1" si="7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MIN(6*$B$6/15,12/$B$8 + 1,I23+SUM(J20:J22))</f>
        <v>6</v>
      </c>
      <c r="K23" s="61">
        <f t="shared" ref="K23:T23" ca="1" si="8">MIN(6*$B$6/15,12/$B$8 + 1,J23+SUM(K20:K22))</f>
        <v>6</v>
      </c>
      <c r="L23" s="61">
        <f t="shared" ca="1" si="8"/>
        <v>6</v>
      </c>
      <c r="M23" s="61">
        <f t="shared" ca="1" si="8"/>
        <v>6</v>
      </c>
      <c r="N23" s="61">
        <f t="shared" ca="1" si="8"/>
        <v>6</v>
      </c>
      <c r="O23" s="61">
        <f t="shared" ca="1" si="8"/>
        <v>6</v>
      </c>
      <c r="P23" s="61">
        <f t="shared" ca="1" si="8"/>
        <v>6</v>
      </c>
      <c r="Q23" s="61">
        <f t="shared" ca="1" si="8"/>
        <v>6</v>
      </c>
      <c r="R23" s="61">
        <f t="shared" ca="1" si="8"/>
        <v>6</v>
      </c>
      <c r="S23" s="61">
        <f t="shared" ca="1" si="8"/>
        <v>6</v>
      </c>
      <c r="T23" s="61">
        <f t="shared" ca="1" si="8"/>
        <v>6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1</v>
      </c>
      <c r="M24" s="24">
        <f t="shared" si="9"/>
        <v>0</v>
      </c>
      <c r="N24" s="24">
        <f>(IFERROR(_xlfn.XMATCH("Yes",N$9:N$17),0)&gt;0)*1</f>
        <v>0</v>
      </c>
      <c r="O24" s="107">
        <f t="shared" ref="O24:W24" si="10">(IFERROR(_xlfn.XMATCH("Yes",O$9:O$17),0)&gt;0)*1</f>
        <v>0</v>
      </c>
      <c r="P24" s="24">
        <f t="shared" si="10"/>
        <v>1</v>
      </c>
      <c r="Q24" s="24">
        <f t="shared" si="10"/>
        <v>0</v>
      </c>
      <c r="R24" s="24">
        <f t="shared" si="10"/>
        <v>0</v>
      </c>
      <c r="S24" s="24">
        <f t="shared" si="10"/>
        <v>1</v>
      </c>
      <c r="T24" s="26">
        <f t="shared" si="10"/>
        <v>0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15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15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15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1">-H23*I24</f>
        <v>0</v>
      </c>
      <c r="J26" s="22">
        <f t="shared" ca="1" si="11"/>
        <v>0</v>
      </c>
      <c r="K26" s="22">
        <f t="shared" ca="1" si="11"/>
        <v>0</v>
      </c>
      <c r="L26" s="22">
        <f t="shared" ca="1" si="11"/>
        <v>-6</v>
      </c>
      <c r="M26" s="22">
        <f t="shared" ca="1" si="11"/>
        <v>0</v>
      </c>
      <c r="N26" s="22">
        <f ca="1">-M23*N24</f>
        <v>0</v>
      </c>
      <c r="O26" s="108">
        <f t="shared" ca="1" si="11"/>
        <v>0</v>
      </c>
      <c r="P26" s="22">
        <f t="shared" ca="1" si="11"/>
        <v>-6</v>
      </c>
      <c r="Q26" s="22">
        <f t="shared" ca="1" si="11"/>
        <v>0</v>
      </c>
      <c r="R26" s="22">
        <f t="shared" ca="1" si="11"/>
        <v>0</v>
      </c>
      <c r="S26" s="22">
        <f t="shared" ca="1" si="11"/>
        <v>-6</v>
      </c>
      <c r="T26" s="22">
        <f t="shared" ca="1" si="11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27</v>
      </c>
      <c r="I27" s="25">
        <f>(I25+I26)</f>
        <v>0</v>
      </c>
      <c r="J27" s="25">
        <f ca="1">(J25+J26)</f>
        <v>0</v>
      </c>
      <c r="K27" s="25">
        <f ca="1">(K25+K26)</f>
        <v>0</v>
      </c>
      <c r="L27" s="25">
        <f ca="1">(L25+L26)</f>
        <v>9</v>
      </c>
      <c r="M27" s="25">
        <f ca="1">(M25+M26)</f>
        <v>0</v>
      </c>
      <c r="N27" s="25">
        <f ca="1">(N$25+N$26)</f>
        <v>0</v>
      </c>
      <c r="O27" s="109">
        <f t="shared" ref="O27:W27" ca="1" si="12">(O25+O26)</f>
        <v>0</v>
      </c>
      <c r="P27" s="25">
        <f t="shared" ca="1" si="12"/>
        <v>9</v>
      </c>
      <c r="Q27" s="25">
        <f t="shared" ca="1" si="12"/>
        <v>0</v>
      </c>
      <c r="R27" s="25">
        <f t="shared" ca="1" si="12"/>
        <v>0</v>
      </c>
      <c r="S27" s="25">
        <f t="shared" ca="1" si="12"/>
        <v>9</v>
      </c>
      <c r="T27" s="27">
        <f t="shared" ca="1" si="12"/>
        <v>0</v>
      </c>
      <c r="U27" s="25">
        <f t="shared" ca="1" si="12"/>
        <v>0</v>
      </c>
      <c r="V27" s="25">
        <f t="shared" ca="1" si="12"/>
        <v>0</v>
      </c>
      <c r="W27" s="25">
        <f t="shared" ca="1" si="12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3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4">SUM(I30:W30)</f>
        <v>150</v>
      </c>
      <c r="I30" s="16">
        <f t="shared" ref="I30:W30" ca="1" si="15">I20+I21+I22+I27+I28+I29</f>
        <v>3</v>
      </c>
      <c r="J30" s="16">
        <f t="shared" ca="1" si="15"/>
        <v>4</v>
      </c>
      <c r="K30" s="16">
        <f t="shared" ca="1" si="15"/>
        <v>5</v>
      </c>
      <c r="L30" s="16">
        <f t="shared" ca="1" si="15"/>
        <v>14</v>
      </c>
      <c r="M30" s="16">
        <f t="shared" ca="1" si="15"/>
        <v>5</v>
      </c>
      <c r="N30" s="16">
        <f t="shared" ca="1" si="15"/>
        <v>4</v>
      </c>
      <c r="O30" s="110">
        <f t="shared" ca="1" si="15"/>
        <v>2</v>
      </c>
      <c r="P30" s="16">
        <f t="shared" ca="1" si="15"/>
        <v>14</v>
      </c>
      <c r="Q30" s="16">
        <f t="shared" ca="1" si="15"/>
        <v>5</v>
      </c>
      <c r="R30" s="16">
        <f t="shared" ca="1" si="15"/>
        <v>4</v>
      </c>
      <c r="S30" s="16">
        <f t="shared" ca="1" si="15"/>
        <v>15</v>
      </c>
      <c r="T30" s="16">
        <f t="shared" ca="1" si="15"/>
        <v>4</v>
      </c>
      <c r="U30" s="65">
        <f t="shared" ca="1" si="15"/>
        <v>10.199999999999999</v>
      </c>
      <c r="V30" s="16">
        <f t="shared" ca="1" si="15"/>
        <v>20.399999999999999</v>
      </c>
      <c r="W30" s="16">
        <f t="shared" ca="1" si="15"/>
        <v>40.400000000000006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6">(IFERROR(-I$21-MAX(MAX(0,1*MIN(6,I$2))),0)+I$25)*(1*I$24&gt;0)</f>
        <v>0</v>
      </c>
      <c r="J31" s="22">
        <f t="shared" si="16"/>
        <v>0</v>
      </c>
      <c r="K31" s="22">
        <f t="shared" si="16"/>
        <v>0</v>
      </c>
      <c r="L31" s="22">
        <f t="shared" si="16"/>
        <v>10</v>
      </c>
      <c r="M31" s="22">
        <f t="shared" si="16"/>
        <v>0</v>
      </c>
      <c r="N31" s="22">
        <f>(IFERROR(-N$21-MAX(MAX(0,1*MIN(6,N$2))),0)+N$25)*(1*N$24&gt;0)</f>
        <v>0</v>
      </c>
      <c r="O31" s="108">
        <f t="shared" ref="O31:T31" si="17">(IFERROR(-O$21-MAX(MAX(0,1*MIN(6,O$2))),0)+O$25)*(1*O$24&gt;0)</f>
        <v>0</v>
      </c>
      <c r="P31" s="22">
        <f t="shared" si="17"/>
        <v>8</v>
      </c>
      <c r="Q31" s="22">
        <f t="shared" si="17"/>
        <v>0</v>
      </c>
      <c r="R31" s="22">
        <f t="shared" si="17"/>
        <v>0</v>
      </c>
      <c r="S31" s="22">
        <f t="shared" si="17"/>
        <v>7</v>
      </c>
      <c r="T31" s="22">
        <f t="shared" si="17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68</v>
      </c>
      <c r="V34" s="18" t="s">
        <v>85</v>
      </c>
    </row>
    <row r="35" spans="2:24" x14ac:dyDescent="0.2">
      <c r="G35" s="17" t="s">
        <v>71</v>
      </c>
      <c r="H35" s="17"/>
      <c r="I35" s="18">
        <f>IFERROR(_xlfn.XMATCH("Yes",I$9:I$17,1),T(1))</f>
        <v>5</v>
      </c>
      <c r="J35" s="18">
        <f t="shared" ref="J35:W35" si="18">IFERROR(_xlfn.XMATCH("Yes",J$9:J$17,1),T(1))</f>
        <v>5</v>
      </c>
      <c r="K35" s="18">
        <f t="shared" si="18"/>
        <v>5</v>
      </c>
      <c r="L35" s="18">
        <f t="shared" si="18"/>
        <v>1</v>
      </c>
      <c r="M35" s="18">
        <f t="shared" si="18"/>
        <v>5</v>
      </c>
      <c r="N35" s="18">
        <f t="shared" si="18"/>
        <v>5</v>
      </c>
      <c r="O35" s="18">
        <f t="shared" si="18"/>
        <v>5</v>
      </c>
      <c r="P35" s="18">
        <f t="shared" si="18"/>
        <v>2</v>
      </c>
      <c r="Q35" s="18">
        <f t="shared" si="18"/>
        <v>5</v>
      </c>
      <c r="R35" s="18">
        <f t="shared" si="18"/>
        <v>5</v>
      </c>
      <c r="S35" s="18">
        <f t="shared" si="18"/>
        <v>3</v>
      </c>
      <c r="T35" s="18">
        <f t="shared" si="18"/>
        <v>5</v>
      </c>
      <c r="U35" s="18">
        <f t="shared" si="18"/>
        <v>5</v>
      </c>
      <c r="V35" s="18">
        <f t="shared" si="18"/>
        <v>5</v>
      </c>
      <c r="W35" s="18">
        <f t="shared" si="18"/>
        <v>5</v>
      </c>
    </row>
    <row r="36" spans="2:24" x14ac:dyDescent="0.2">
      <c r="B36" t="str">
        <f>T(1)</f>
        <v/>
      </c>
      <c r="G36" s="20" t="s">
        <v>74</v>
      </c>
      <c r="I36" s="18" cm="1">
        <f t="array" ref="I36">IFERROR(INDEX( $G$9:$G$17, _xlfn.XMATCH("Yes", (I$9:I$17),1)),T(1))</f>
        <v>0</v>
      </c>
      <c r="J36" s="18" cm="1">
        <f t="array" ref="J36">IFERROR(INDEX( $G$9:$G$17, _xlfn.XMATCH("Yes", (J$9:J$17),1)),T(1))</f>
        <v>0</v>
      </c>
      <c r="K36" s="18" cm="1">
        <f t="array" ref="K36">IFERROR(INDEX( $G$9:$G$17, _xlfn.XMATCH("Yes", (K$9:K$17),1)),T(1))</f>
        <v>0</v>
      </c>
      <c r="L36" s="18" cm="1">
        <f t="array" ref="L36">IFERROR(INDEX( $G$9:$G$17, _xlfn.XMATCH("Yes", (L$9:L$17),1)),T(1))</f>
        <v>4</v>
      </c>
      <c r="M36" s="18" cm="1">
        <f t="array" ref="M36">IFERROR(INDEX( $G$9:$G$17, _xlfn.XMATCH("Yes", (M$9:M$17),1)),T(1))</f>
        <v>0</v>
      </c>
      <c r="N36" s="18" cm="1">
        <f t="array" ref="N36">IFERROR(INDEX( $G$9:$G$17, _xlfn.XMATCH("Yes", (N$9:N$17),1)),T(1))</f>
        <v>0</v>
      </c>
      <c r="O36" s="18" cm="1">
        <f t="array" ref="O36">IFERROR(INDEX( $G$9:$G$17, _xlfn.XMATCH("Yes", (O$9:O$17),1)),T(1))</f>
        <v>0</v>
      </c>
      <c r="P36" s="18" cm="1">
        <f t="array" ref="P36">IFERROR(INDEX( $G$9:$G$17, _xlfn.XMATCH("Yes", (P$9:P$17),1)),T(1))</f>
        <v>8</v>
      </c>
      <c r="Q36" s="18" cm="1">
        <f t="array" ref="Q36">IFERROR(INDEX( $G$9:$G$17, _xlfn.XMATCH("Yes", (Q$9:Q$17),1)),T(1))</f>
        <v>0</v>
      </c>
      <c r="R36" s="18" cm="1">
        <f t="array" ref="R36">IFERROR(INDEX( $G$9:$G$17, _xlfn.XMATCH("Yes", (R$9:R$17),1)),T(1))</f>
        <v>0</v>
      </c>
      <c r="S36" s="18" cm="1">
        <f t="array" ref="S36">IFERROR(INDEX( $G$9:$G$17, _xlfn.XMATCH("Yes", (S$9:S$17),1)),T(1))</f>
        <v>11</v>
      </c>
      <c r="T36" s="18" cm="1">
        <f t="array" ref="T36">IFERROR(INDEX( $G$9:$G$17, _xlfn.XMATCH("Yes", (T$9:T$17),1)),T(1))</f>
        <v>0</v>
      </c>
      <c r="U36" s="18" cm="1">
        <f t="array" ref="U36">IFERROR(INDEX( $G$9:$G$17, _xlfn.XMATCH("Yes", (U$9:U$17),1)),T(1))</f>
        <v>0</v>
      </c>
      <c r="V36" s="18" cm="1">
        <f t="array" ref="V36">IFERROR(INDEX( $G$9:$G$17, _xlfn.XMATCH("Yes", (V$9:V$17),1)),T(1))</f>
        <v>0</v>
      </c>
      <c r="W36" s="18" cm="1">
        <f t="array" ref="W36">IFERROR(INDEX( $G$9:$G$17, _xlfn.XMATCH("Yes", (W$9:W$17),1)),T(1))</f>
        <v>0</v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19">(K30-J30)*(K30&gt;J30)</f>
        <v>1</v>
      </c>
      <c r="L52" s="18">
        <f t="shared" ca="1" si="19"/>
        <v>9</v>
      </c>
      <c r="M52" s="18">
        <f t="shared" ca="1" si="19"/>
        <v>0</v>
      </c>
      <c r="N52" s="18">
        <f t="shared" ca="1" si="19"/>
        <v>0</v>
      </c>
      <c r="O52" s="18">
        <f t="shared" ca="1" si="19"/>
        <v>0</v>
      </c>
      <c r="P52" s="18">
        <f t="shared" ca="1" si="19"/>
        <v>12</v>
      </c>
      <c r="Q52" s="18">
        <f t="shared" ca="1" si="19"/>
        <v>0</v>
      </c>
      <c r="R52" s="18">
        <f t="shared" ca="1" si="19"/>
        <v>0</v>
      </c>
      <c r="S52" s="18">
        <f t="shared" ca="1" si="19"/>
        <v>11</v>
      </c>
      <c r="T52" s="18">
        <f t="shared" ca="1" si="19"/>
        <v>0</v>
      </c>
      <c r="U52" s="18">
        <f t="shared" ca="1" si="19"/>
        <v>6.1999999999999993</v>
      </c>
      <c r="V52" s="18">
        <f t="shared" ca="1" si="19"/>
        <v>10.199999999999999</v>
      </c>
      <c r="W52" s="18">
        <f t="shared" ca="1" si="19"/>
        <v>20.000000000000007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0">J52^2</f>
        <v>1</v>
      </c>
      <c r="K53" s="18">
        <f t="shared" ca="1" si="20"/>
        <v>1</v>
      </c>
      <c r="L53" s="18">
        <f t="shared" ca="1" si="20"/>
        <v>81</v>
      </c>
      <c r="M53" s="18">
        <f t="shared" ca="1" si="20"/>
        <v>0</v>
      </c>
      <c r="N53" s="18">
        <f t="shared" ca="1" si="20"/>
        <v>0</v>
      </c>
      <c r="O53" s="18">
        <f t="shared" ca="1" si="20"/>
        <v>0</v>
      </c>
      <c r="P53" s="18">
        <f t="shared" ca="1" si="20"/>
        <v>144</v>
      </c>
      <c r="Q53" s="18">
        <f t="shared" ca="1" si="20"/>
        <v>0</v>
      </c>
      <c r="R53" s="18">
        <f t="shared" ca="1" si="20"/>
        <v>0</v>
      </c>
      <c r="S53" s="18">
        <f t="shared" ca="1" si="20"/>
        <v>121</v>
      </c>
      <c r="T53" s="18">
        <f t="shared" ca="1" si="20"/>
        <v>0</v>
      </c>
      <c r="U53" s="18">
        <f t="shared" ca="1" si="20"/>
        <v>38.439999999999991</v>
      </c>
      <c r="V53" s="18">
        <f t="shared" ca="1" si="20"/>
        <v>104.03999999999999</v>
      </c>
      <c r="W53" s="18">
        <f t="shared" ca="1" si="20"/>
        <v>400.00000000000028</v>
      </c>
    </row>
  </sheetData>
  <mergeCells count="3">
    <mergeCell ref="I1:W1"/>
    <mergeCell ref="F3:F7"/>
    <mergeCell ref="C18:E18"/>
  </mergeCells>
  <conditionalFormatting sqref="I30:W30">
    <cfRule type="cellIs" dxfId="448" priority="11" operator="between">
      <formula>(2/3)*$D$19</formula>
      <formula>(3/2)*$D$19</formula>
    </cfRule>
    <cfRule type="cellIs" dxfId="447" priority="12" operator="lessThan">
      <formula>(2/3)*$D$19</formula>
    </cfRule>
    <cfRule type="cellIs" dxfId="446" priority="13" operator="greaterThanOrEqual">
      <formula>1.5*$D$19</formula>
    </cfRule>
  </conditionalFormatting>
  <conditionalFormatting sqref="H30">
    <cfRule type="cellIs" dxfId="445" priority="9" stopIfTrue="1" operator="equal">
      <formula>$B$6*10</formula>
    </cfRule>
    <cfRule type="cellIs" dxfId="444" priority="10" operator="notEqual">
      <formula>$B$6*10</formula>
    </cfRule>
  </conditionalFormatting>
  <conditionalFormatting sqref="I20:W29">
    <cfRule type="beginsWith" dxfId="443" priority="8" stopIfTrue="1" operator="beginsWith" text="0">
      <formula>LEFT(I20,LEN("0"))="0"</formula>
    </cfRule>
  </conditionalFormatting>
  <conditionalFormatting sqref="B18">
    <cfRule type="expression" dxfId="442" priority="7">
      <formula>B18&lt;&gt;$B$7</formula>
    </cfRule>
  </conditionalFormatting>
  <conditionalFormatting sqref="C18">
    <cfRule type="expression" dxfId="441" priority="6">
      <formula>$B$18&lt;&gt;$B$7</formula>
    </cfRule>
  </conditionalFormatting>
  <conditionalFormatting sqref="H31:H33">
    <cfRule type="expression" dxfId="440" priority="5">
      <formula>ABS($H$30-$D$6&gt;=1)</formula>
    </cfRule>
  </conditionalFormatting>
  <conditionalFormatting sqref="B7">
    <cfRule type="expression" dxfId="439" priority="4">
      <formula>($B$7&lt;&gt;SUM($B$9:$B$17))</formula>
    </cfRule>
  </conditionalFormatting>
  <conditionalFormatting sqref="I31:T33">
    <cfRule type="beginsWith" dxfId="438" priority="2" stopIfTrue="1" operator="beginsWith" text="0">
      <formula>LEFT(I31,LEN("0"))="0"</formula>
    </cfRule>
  </conditionalFormatting>
  <conditionalFormatting sqref="N34">
    <cfRule type="beginsWith" dxfId="437" priority="3" stopIfTrue="1" operator="beginsWith" text="0">
      <formula>LEFT(N34,LEN("0"))="0"</formula>
    </cfRule>
  </conditionalFormatting>
  <conditionalFormatting sqref="D9:D17">
    <cfRule type="cellIs" dxfId="436" priority="1" operator="equal">
      <formula>0</formula>
    </cfRule>
  </conditionalFormatting>
  <dataValidations disablePrompts="1" count="6">
    <dataValidation type="whole" allowBlank="1" showInputMessage="1" showErrorMessage="1" promptTitle="When is this CA due?" prompt="Enter the week where the deadline for this CA is due." sqref="G9:G17" xr:uid="{657399B0-192C-394A-B557-552897D5D650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37FE83D1-AC44-5F43-9613-24B3D6DDE0FE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39D4C624-9239-9C4C-B587-3BF117C4E673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FAEB448E-9820-1F4E-868F-EF89345D250E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262E4C16-174A-8E4D-98C4-2426780D45FC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1999D97D-B672-F94C-9AAA-D82DDB87E201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FD19-4F83-4E41-9A08-D13675CFF46B}">
  <dimension ref="A1:AD53"/>
  <sheetViews>
    <sheetView zoomScaleNormal="100" workbookViewId="0">
      <selection activeCell="C14" sqref="C14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270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106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1</v>
      </c>
      <c r="L3" s="137">
        <f t="shared" si="0"/>
        <v>0</v>
      </c>
      <c r="M3" s="137">
        <f t="shared" si="0"/>
        <v>2</v>
      </c>
      <c r="N3" s="137">
        <f t="shared" si="0"/>
        <v>0</v>
      </c>
      <c r="O3" s="137">
        <f t="shared" si="0"/>
        <v>0</v>
      </c>
      <c r="P3" s="137">
        <f t="shared" si="0"/>
        <v>3</v>
      </c>
      <c r="Q3" s="137">
        <f t="shared" si="0"/>
        <v>0</v>
      </c>
      <c r="R3" s="137">
        <f t="shared" si="0"/>
        <v>4</v>
      </c>
      <c r="S3" s="137">
        <f t="shared" si="0"/>
        <v>0</v>
      </c>
      <c r="T3" s="137">
        <f t="shared" si="0"/>
        <v>5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54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6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5" ca="1" si="1">OFFSET($E$9,J3-1,0)</f>
        <v>0</v>
      </c>
      <c r="K5" s="85">
        <f t="shared" ca="1" si="1"/>
        <v>1</v>
      </c>
      <c r="L5" s="85">
        <f t="shared" ca="1" si="1"/>
        <v>0</v>
      </c>
      <c r="M5" s="85">
        <f t="shared" ca="1" si="1"/>
        <v>1</v>
      </c>
      <c r="N5" s="85">
        <f t="shared" ca="1" si="1"/>
        <v>0</v>
      </c>
      <c r="O5" s="85">
        <f t="shared" ca="1" si="1"/>
        <v>0</v>
      </c>
      <c r="P5" s="85">
        <f t="shared" ca="1" si="1"/>
        <v>1</v>
      </c>
      <c r="Q5" s="85">
        <f t="shared" ca="1" si="1"/>
        <v>0</v>
      </c>
      <c r="R5" s="85">
        <f t="shared" ca="1" si="1"/>
        <v>1</v>
      </c>
      <c r="S5" s="85">
        <f t="shared" ca="1" si="1"/>
        <v>0</v>
      </c>
      <c r="T5" s="85">
        <f t="shared" ca="1" si="1"/>
        <v>1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ref="J6:W6" ca="1" si="2">OFFSET($E$9,J4-1,0)</f>
        <v>0</v>
      </c>
      <c r="K6" s="85">
        <f t="shared" ca="1" si="2"/>
        <v>0</v>
      </c>
      <c r="L6" s="85">
        <f t="shared" ca="1" si="2"/>
        <v>0</v>
      </c>
      <c r="M6" s="85">
        <f t="shared" ca="1" si="2"/>
        <v>6</v>
      </c>
      <c r="N6" s="85">
        <f t="shared" ca="1" si="2"/>
        <v>0</v>
      </c>
      <c r="O6" s="85">
        <f t="shared" ca="1" si="2"/>
        <v>0</v>
      </c>
      <c r="P6" s="85">
        <f t="shared" ca="1" si="2"/>
        <v>0</v>
      </c>
      <c r="Q6" s="85">
        <f t="shared" ca="1" si="2"/>
        <v>0</v>
      </c>
      <c r="R6" s="85">
        <f t="shared" ca="1" si="2"/>
        <v>0</v>
      </c>
      <c r="S6" s="85">
        <f t="shared" ca="1" si="2"/>
        <v>0</v>
      </c>
      <c r="T6" s="85">
        <f t="shared" ca="1" si="2"/>
        <v>0</v>
      </c>
      <c r="U6" s="85">
        <f t="shared" ca="1" si="2"/>
        <v>0</v>
      </c>
      <c r="V6" s="85">
        <f t="shared" ca="1" si="2"/>
        <v>0</v>
      </c>
      <c r="W6" s="85">
        <f t="shared" ca="1" si="2"/>
        <v>0</v>
      </c>
      <c r="X6" s="91" t="s">
        <v>193</v>
      </c>
    </row>
    <row r="7" spans="1:25" x14ac:dyDescent="0.2">
      <c r="A7" t="s">
        <v>59</v>
      </c>
      <c r="B7" s="45">
        <v>50</v>
      </c>
      <c r="D7">
        <f>B6*10*B7/100</f>
        <v>75</v>
      </c>
      <c r="F7" s="170"/>
      <c r="I7" s="85">
        <f ca="1">SUM(I5:I6)</f>
        <v>0</v>
      </c>
      <c r="J7" s="85">
        <f t="shared" ref="J7:W7" ca="1" si="3">SUM(J5:J6)</f>
        <v>0</v>
      </c>
      <c r="K7" s="85">
        <f t="shared" ca="1" si="3"/>
        <v>1</v>
      </c>
      <c r="L7" s="85">
        <f t="shared" ca="1" si="3"/>
        <v>0</v>
      </c>
      <c r="M7" s="85">
        <f t="shared" ca="1" si="3"/>
        <v>7</v>
      </c>
      <c r="N7" s="85">
        <f t="shared" ca="1" si="3"/>
        <v>0</v>
      </c>
      <c r="O7" s="85">
        <f t="shared" ca="1" si="3"/>
        <v>0</v>
      </c>
      <c r="P7" s="85">
        <f t="shared" ca="1" si="3"/>
        <v>1</v>
      </c>
      <c r="Q7" s="85">
        <f t="shared" ca="1" si="3"/>
        <v>0</v>
      </c>
      <c r="R7" s="85">
        <f t="shared" ca="1" si="3"/>
        <v>1</v>
      </c>
      <c r="S7" s="85">
        <f t="shared" ca="1" si="3"/>
        <v>0</v>
      </c>
      <c r="T7" s="85">
        <f t="shared" ca="1" si="3"/>
        <v>1</v>
      </c>
      <c r="U7" s="85">
        <f t="shared" ca="1" si="3"/>
        <v>0</v>
      </c>
      <c r="V7" s="85">
        <f t="shared" ca="1" si="3"/>
        <v>0</v>
      </c>
      <c r="W7" s="85">
        <f t="shared" ca="1" si="3"/>
        <v>0</v>
      </c>
      <c r="X7" s="91" t="s">
        <v>194</v>
      </c>
    </row>
    <row r="8" spans="1:25" ht="25" thickBot="1" x14ac:dyDescent="0.25">
      <c r="A8" t="s">
        <v>55</v>
      </c>
      <c r="B8" s="45">
        <v>6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>Class Test 1</v>
      </c>
      <c r="L8" s="81"/>
      <c r="M8" s="81" t="str" cm="1">
        <f t="array" ref="M8">IFERROR(INDEX($C9:$C17,MATCH(TRUE,M9:M17&lt;&gt;"",0)),"")</f>
        <v>Class Test 2</v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8</v>
      </c>
      <c r="C9" s="40" t="s">
        <v>78</v>
      </c>
      <c r="D9">
        <f>B$6*10*B9/100</f>
        <v>12</v>
      </c>
      <c r="E9" s="29">
        <v>1</v>
      </c>
      <c r="F9" s="42"/>
      <c r="G9" s="30">
        <v>3</v>
      </c>
      <c r="I9" s="19" t="str">
        <f>IF(I$2=$G9,"Yes",T(1))</f>
        <v/>
      </c>
      <c r="J9" s="19" t="str">
        <f>IF(J$2=$G9,"Yes",T(1))</f>
        <v/>
      </c>
      <c r="K9" s="19" t="str">
        <f t="shared" ref="J9:W17" si="4">IF(K$2=$G9,"Yes",T(1))</f>
        <v>Yes</v>
      </c>
      <c r="L9" s="19" t="str">
        <f t="shared" si="4"/>
        <v/>
      </c>
      <c r="M9" s="19" t="str">
        <f t="shared" si="4"/>
        <v/>
      </c>
      <c r="N9" s="19" t="str">
        <f t="shared" si="4"/>
        <v/>
      </c>
      <c r="O9" s="104" t="str">
        <f t="shared" si="4"/>
        <v/>
      </c>
      <c r="P9" s="19" t="str">
        <f t="shared" si="4"/>
        <v/>
      </c>
      <c r="Q9" s="19" t="str">
        <f t="shared" si="4"/>
        <v/>
      </c>
      <c r="R9" s="19" t="str">
        <f t="shared" si="4"/>
        <v/>
      </c>
      <c r="S9" s="19" t="str">
        <f>IF(S$2=$G9,"Yes",T(1))</f>
        <v/>
      </c>
      <c r="T9" s="19" t="str">
        <f t="shared" si="4"/>
        <v/>
      </c>
      <c r="U9" s="19" t="str">
        <f t="shared" si="4"/>
        <v/>
      </c>
      <c r="V9" s="19" t="str">
        <f t="shared" si="4"/>
        <v/>
      </c>
      <c r="W9" s="19" t="str">
        <f t="shared" si="4"/>
        <v/>
      </c>
      <c r="X9" s="135">
        <f>E9</f>
        <v>1</v>
      </c>
    </row>
    <row r="10" spans="1:25" x14ac:dyDescent="0.2">
      <c r="A10" t="s">
        <v>57</v>
      </c>
      <c r="B10" s="46">
        <v>8</v>
      </c>
      <c r="C10" s="40" t="s">
        <v>79</v>
      </c>
      <c r="D10">
        <f>B$6*10*B10/100</f>
        <v>12</v>
      </c>
      <c r="E10" s="31">
        <v>1</v>
      </c>
      <c r="F10" s="43"/>
      <c r="G10" s="32">
        <v>5</v>
      </c>
      <c r="I10" s="19" t="str">
        <f t="shared" ref="I10:I17" si="5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>Yes</v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6">E10</f>
        <v>1</v>
      </c>
      <c r="Y10" t="s">
        <v>190</v>
      </c>
    </row>
    <row r="11" spans="1:25" x14ac:dyDescent="0.2">
      <c r="A11" t="s">
        <v>56</v>
      </c>
      <c r="B11" s="46">
        <v>8</v>
      </c>
      <c r="C11" s="40" t="s">
        <v>107</v>
      </c>
      <c r="D11">
        <f t="shared" ref="D11:D17" si="7">B$6*10*B11/100</f>
        <v>12</v>
      </c>
      <c r="E11" s="31">
        <v>1</v>
      </c>
      <c r="F11" s="43"/>
      <c r="G11" s="32">
        <v>8</v>
      </c>
      <c r="I11" s="19" t="str">
        <f t="shared" si="5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>Yes</v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6"/>
        <v>1</v>
      </c>
    </row>
    <row r="12" spans="1:25" x14ac:dyDescent="0.2">
      <c r="A12" t="s">
        <v>60</v>
      </c>
      <c r="B12" s="46">
        <v>8</v>
      </c>
      <c r="C12" s="40" t="s">
        <v>108</v>
      </c>
      <c r="D12">
        <f t="shared" si="7"/>
        <v>12</v>
      </c>
      <c r="E12" s="31">
        <v>1</v>
      </c>
      <c r="F12" s="43"/>
      <c r="G12" s="32">
        <v>10</v>
      </c>
      <c r="I12" s="19" t="str">
        <f t="shared" si="5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>Yes</v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6"/>
        <v>1</v>
      </c>
    </row>
    <row r="13" spans="1:25" x14ac:dyDescent="0.2">
      <c r="A13" t="s">
        <v>61</v>
      </c>
      <c r="B13" s="46">
        <v>8</v>
      </c>
      <c r="C13" s="40" t="s">
        <v>109</v>
      </c>
      <c r="D13">
        <f t="shared" si="7"/>
        <v>12</v>
      </c>
      <c r="E13" s="31">
        <v>1</v>
      </c>
      <c r="F13" s="43"/>
      <c r="G13" s="32">
        <v>12</v>
      </c>
      <c r="I13" s="19" t="str">
        <f t="shared" si="5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>Yes</v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6"/>
        <v>1</v>
      </c>
    </row>
    <row r="14" spans="1:25" x14ac:dyDescent="0.2">
      <c r="A14" t="s">
        <v>62</v>
      </c>
      <c r="B14" s="46">
        <v>10</v>
      </c>
      <c r="C14" s="40" t="s">
        <v>313</v>
      </c>
      <c r="D14">
        <f t="shared" si="7"/>
        <v>15</v>
      </c>
      <c r="E14" s="31">
        <v>6</v>
      </c>
      <c r="F14" s="43"/>
      <c r="G14" s="32">
        <v>5</v>
      </c>
      <c r="I14" s="19" t="str">
        <f t="shared" si="5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>Yes</v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6"/>
        <v>6</v>
      </c>
    </row>
    <row r="15" spans="1:25" x14ac:dyDescent="0.2">
      <c r="A15" t="s">
        <v>102</v>
      </c>
      <c r="B15" s="46"/>
      <c r="C15" s="40"/>
      <c r="E15" s="31"/>
      <c r="F15" s="43"/>
      <c r="G15" s="32"/>
      <c r="I15" s="19" t="str">
        <f t="shared" si="5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6"/>
        <v>0</v>
      </c>
    </row>
    <row r="16" spans="1:25" x14ac:dyDescent="0.2">
      <c r="A16" t="s">
        <v>103</v>
      </c>
      <c r="B16" s="46"/>
      <c r="C16" s="40"/>
      <c r="D16">
        <f t="shared" si="7"/>
        <v>0</v>
      </c>
      <c r="E16" s="31"/>
      <c r="F16" s="43"/>
      <c r="G16" s="32"/>
      <c r="I16" s="19" t="str">
        <f t="shared" si="5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6"/>
        <v>0</v>
      </c>
    </row>
    <row r="17" spans="1:30" ht="16" thickBot="1" x14ac:dyDescent="0.25">
      <c r="A17" t="s">
        <v>104</v>
      </c>
      <c r="B17" s="47"/>
      <c r="C17" s="41"/>
      <c r="D17">
        <f t="shared" si="7"/>
        <v>0</v>
      </c>
      <c r="E17" s="33"/>
      <c r="F17" s="44"/>
      <c r="G17" s="34"/>
      <c r="I17" s="19" t="str">
        <f t="shared" si="5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6"/>
        <v>0</v>
      </c>
    </row>
    <row r="18" spans="1:30" ht="16" customHeight="1" x14ac:dyDescent="0.2">
      <c r="A18" s="28" t="s">
        <v>77</v>
      </c>
      <c r="B18" s="28">
        <f>SUM(B9:B17)</f>
        <v>50</v>
      </c>
      <c r="C18" s="59" t="str">
        <f>IF(B18=B7,"% ok","% credits do not add up to stated value")</f>
        <v>% ok</v>
      </c>
      <c r="D18" s="59">
        <f>SUM(D9:D17)</f>
        <v>75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1027.585</v>
      </c>
      <c r="G20" s="11" t="s">
        <v>82</v>
      </c>
      <c r="H20" s="21">
        <f>SUM(I20:W20)</f>
        <v>22</v>
      </c>
      <c r="I20" s="14">
        <v>2</v>
      </c>
      <c r="J20" s="14">
        <v>2</v>
      </c>
      <c r="K20" s="14">
        <v>2</v>
      </c>
      <c r="L20" s="14">
        <v>2</v>
      </c>
      <c r="M20" s="14">
        <v>2</v>
      </c>
      <c r="N20" s="14">
        <v>2</v>
      </c>
      <c r="O20" s="105">
        <v>0</v>
      </c>
      <c r="P20" s="14">
        <v>2</v>
      </c>
      <c r="Q20" s="14">
        <v>2</v>
      </c>
      <c r="R20" s="14">
        <v>2</v>
      </c>
      <c r="S20" s="14">
        <v>2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8">SUM(I21:W21)</f>
        <v>69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7.6499999999999995</v>
      </c>
      <c r="V21" s="14">
        <f ca="1">U34*V31</f>
        <v>15.299999999999999</v>
      </c>
      <c r="W21" s="14">
        <f ca="1">U34*W31</f>
        <v>28.05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8"/>
        <v>11</v>
      </c>
      <c r="I22" s="10">
        <f ca="1">I7</f>
        <v>0</v>
      </c>
      <c r="J22" s="10">
        <f t="shared" ref="J22:W22" ca="1" si="9">J7</f>
        <v>0</v>
      </c>
      <c r="K22" s="10">
        <f t="shared" ca="1" si="9"/>
        <v>1</v>
      </c>
      <c r="L22" s="10">
        <f t="shared" ca="1" si="9"/>
        <v>0</v>
      </c>
      <c r="M22" s="10">
        <f t="shared" ca="1" si="9"/>
        <v>7</v>
      </c>
      <c r="N22" s="10">
        <f t="shared" ca="1" si="9"/>
        <v>0</v>
      </c>
      <c r="O22" s="103">
        <f t="shared" ca="1" si="9"/>
        <v>0</v>
      </c>
      <c r="P22" s="10">
        <f t="shared" ca="1" si="9"/>
        <v>1</v>
      </c>
      <c r="Q22" s="10">
        <f t="shared" ca="1" si="9"/>
        <v>0</v>
      </c>
      <c r="R22" s="10">
        <f t="shared" ca="1" si="9"/>
        <v>1</v>
      </c>
      <c r="S22" s="10">
        <f t="shared" ca="1" si="9"/>
        <v>0</v>
      </c>
      <c r="T22" s="10">
        <f t="shared" ca="1" si="9"/>
        <v>1</v>
      </c>
      <c r="U22" s="60">
        <f t="shared" ca="1" si="9"/>
        <v>0</v>
      </c>
      <c r="V22" s="10">
        <f t="shared" ca="1" si="9"/>
        <v>0</v>
      </c>
      <c r="W22" s="10">
        <f t="shared" ca="1" si="9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MIN(12/$B$8 + 1,I23+SUM(J20:J22))</f>
        <v>3</v>
      </c>
      <c r="K23" s="114">
        <f t="shared" ref="K23:T23" ca="1" si="10">MIN(12/$B$8 + 1,J23+SUM(K20:K22))</f>
        <v>3</v>
      </c>
      <c r="L23" s="114">
        <f t="shared" ca="1" si="10"/>
        <v>3</v>
      </c>
      <c r="M23" s="114">
        <f t="shared" ca="1" si="10"/>
        <v>3</v>
      </c>
      <c r="N23" s="114">
        <f t="shared" ca="1" si="10"/>
        <v>3</v>
      </c>
      <c r="O23" s="115">
        <f t="shared" ca="1" si="10"/>
        <v>3</v>
      </c>
      <c r="P23" s="114">
        <f t="shared" ca="1" si="10"/>
        <v>3</v>
      </c>
      <c r="Q23" s="114">
        <f t="shared" ca="1" si="10"/>
        <v>3</v>
      </c>
      <c r="R23" s="114">
        <f t="shared" ca="1" si="10"/>
        <v>3</v>
      </c>
      <c r="S23" s="114">
        <f t="shared" ca="1" si="10"/>
        <v>3</v>
      </c>
      <c r="T23" s="114">
        <f t="shared" ca="1" si="10"/>
        <v>3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1">(IFERROR(_xlfn.XMATCH("Yes",I$9:I$17),0)&gt;0)*1</f>
        <v>0</v>
      </c>
      <c r="J24" s="24">
        <f t="shared" si="11"/>
        <v>0</v>
      </c>
      <c r="K24" s="24">
        <f t="shared" si="11"/>
        <v>1</v>
      </c>
      <c r="L24" s="24">
        <f t="shared" si="11"/>
        <v>0</v>
      </c>
      <c r="M24" s="24">
        <f t="shared" si="11"/>
        <v>1</v>
      </c>
      <c r="N24" s="24">
        <f>(IFERROR(_xlfn.XMATCH("Yes",N$9:N$17),0)&gt;0)*1</f>
        <v>0</v>
      </c>
      <c r="O24" s="107">
        <f t="shared" ref="O24:W24" si="12">(IFERROR(_xlfn.XMATCH("Yes",O$9:O$17),0)&gt;0)*1</f>
        <v>0</v>
      </c>
      <c r="P24" s="24">
        <f t="shared" si="12"/>
        <v>1</v>
      </c>
      <c r="Q24" s="24">
        <f t="shared" si="12"/>
        <v>0</v>
      </c>
      <c r="R24" s="24">
        <f t="shared" si="12"/>
        <v>1</v>
      </c>
      <c r="S24" s="24">
        <f t="shared" si="12"/>
        <v>0</v>
      </c>
      <c r="T24" s="26">
        <f t="shared" si="12"/>
        <v>1</v>
      </c>
      <c r="U24" s="24">
        <f t="shared" si="12"/>
        <v>0</v>
      </c>
      <c r="V24" s="24">
        <f t="shared" si="12"/>
        <v>0</v>
      </c>
      <c r="W24" s="24">
        <f t="shared" si="12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12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12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12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12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12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3">-H23*I24</f>
        <v>0</v>
      </c>
      <c r="J26" s="22">
        <f t="shared" ca="1" si="13"/>
        <v>0</v>
      </c>
      <c r="K26" s="22">
        <f t="shared" ca="1" si="13"/>
        <v>-3</v>
      </c>
      <c r="L26" s="22">
        <f t="shared" ca="1" si="13"/>
        <v>0</v>
      </c>
      <c r="M26" s="22">
        <f t="shared" ca="1" si="13"/>
        <v>-3</v>
      </c>
      <c r="N26" s="22">
        <f ca="1">-M23*N24</f>
        <v>0</v>
      </c>
      <c r="O26" s="108">
        <f t="shared" ca="1" si="13"/>
        <v>0</v>
      </c>
      <c r="P26" s="22">
        <f t="shared" ca="1" si="13"/>
        <v>-3</v>
      </c>
      <c r="Q26" s="22">
        <f t="shared" ca="1" si="13"/>
        <v>0</v>
      </c>
      <c r="R26" s="22">
        <f t="shared" ca="1" si="13"/>
        <v>-3</v>
      </c>
      <c r="S26" s="22">
        <f t="shared" ca="1" si="13"/>
        <v>0</v>
      </c>
      <c r="T26" s="22">
        <f t="shared" ca="1" si="13"/>
        <v>-3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45</v>
      </c>
      <c r="I27" s="116">
        <f>(I25+I26)</f>
        <v>0</v>
      </c>
      <c r="J27" s="116">
        <f ca="1">(J25+J26)</f>
        <v>0</v>
      </c>
      <c r="K27" s="116">
        <f ca="1">(K25+K26)</f>
        <v>9</v>
      </c>
      <c r="L27" s="116">
        <f ca="1">(L25+L26)</f>
        <v>0</v>
      </c>
      <c r="M27" s="116">
        <f ca="1">(M25+M26)</f>
        <v>9</v>
      </c>
      <c r="N27" s="116">
        <f ca="1">(N$25+N$26)</f>
        <v>0</v>
      </c>
      <c r="O27" s="117">
        <f t="shared" ref="O27:W27" ca="1" si="14">(O25+O26)</f>
        <v>0</v>
      </c>
      <c r="P27" s="116">
        <f t="shared" ca="1" si="14"/>
        <v>9</v>
      </c>
      <c r="Q27" s="116">
        <f t="shared" ca="1" si="14"/>
        <v>0</v>
      </c>
      <c r="R27" s="116">
        <f t="shared" ca="1" si="14"/>
        <v>9</v>
      </c>
      <c r="S27" s="116">
        <f t="shared" ca="1" si="14"/>
        <v>0</v>
      </c>
      <c r="T27" s="118">
        <f t="shared" ca="1" si="14"/>
        <v>9</v>
      </c>
      <c r="U27" s="25">
        <f t="shared" ca="1" si="14"/>
        <v>0</v>
      </c>
      <c r="V27" s="25">
        <f t="shared" ca="1" si="14"/>
        <v>0</v>
      </c>
      <c r="W27" s="25">
        <f t="shared" ca="1" si="14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5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6">SUM(I30:W30)</f>
        <v>150</v>
      </c>
      <c r="I30" s="119">
        <f t="shared" ref="I30:W30" ca="1" si="17">I20+I21+I22+I27+I28+I29</f>
        <v>3</v>
      </c>
      <c r="J30" s="119">
        <f t="shared" ca="1" si="17"/>
        <v>3</v>
      </c>
      <c r="K30" s="119">
        <f t="shared" ca="1" si="17"/>
        <v>14</v>
      </c>
      <c r="L30" s="119">
        <f t="shared" ca="1" si="17"/>
        <v>3</v>
      </c>
      <c r="M30" s="119">
        <f t="shared" ca="1" si="17"/>
        <v>20</v>
      </c>
      <c r="N30" s="119">
        <f t="shared" ca="1" si="17"/>
        <v>3</v>
      </c>
      <c r="O30" s="120">
        <f t="shared" ca="1" si="17"/>
        <v>2</v>
      </c>
      <c r="P30" s="119">
        <f t="shared" ca="1" si="17"/>
        <v>13</v>
      </c>
      <c r="Q30" s="119">
        <f t="shared" ca="1" si="17"/>
        <v>4</v>
      </c>
      <c r="R30" s="119">
        <f t="shared" ca="1" si="17"/>
        <v>13</v>
      </c>
      <c r="S30" s="119">
        <f t="shared" ca="1" si="17"/>
        <v>4</v>
      </c>
      <c r="T30" s="119">
        <f t="shared" ca="1" si="17"/>
        <v>14</v>
      </c>
      <c r="U30" s="121">
        <f t="shared" ca="1" si="17"/>
        <v>7.6499999999999995</v>
      </c>
      <c r="V30" s="119">
        <f t="shared" ca="1" si="17"/>
        <v>15.299999999999999</v>
      </c>
      <c r="W30" s="119">
        <f t="shared" ca="1" si="17"/>
        <v>31.05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8">(IFERROR(-I$21-MAX(MAX(0,1*MIN(6,I$2))),0)+I$25)*(1*I$24&gt;0)</f>
        <v>0</v>
      </c>
      <c r="J31" s="22">
        <f t="shared" si="18"/>
        <v>0</v>
      </c>
      <c r="K31" s="22">
        <f t="shared" si="18"/>
        <v>7</v>
      </c>
      <c r="L31" s="22">
        <f t="shared" si="18"/>
        <v>0</v>
      </c>
      <c r="M31" s="22">
        <f t="shared" si="18"/>
        <v>5</v>
      </c>
      <c r="N31" s="22">
        <f>(IFERROR(-N$21-MAX(MAX(0,1*MIN(6,N$2))),0)+N$25)*(1*N$24&gt;0)</f>
        <v>0</v>
      </c>
      <c r="O31" s="108">
        <f t="shared" ref="O31:T31" si="19">(IFERROR(-O$21-MAX(MAX(0,1*MIN(6,O$2))),0)+O$25)*(1*O$24&gt;0)</f>
        <v>0</v>
      </c>
      <c r="P31" s="22">
        <f t="shared" si="19"/>
        <v>5</v>
      </c>
      <c r="Q31" s="22">
        <f t="shared" si="19"/>
        <v>0</v>
      </c>
      <c r="R31" s="22">
        <f t="shared" si="19"/>
        <v>5</v>
      </c>
      <c r="S31" s="22">
        <f t="shared" si="19"/>
        <v>0</v>
      </c>
      <c r="T31" s="22">
        <f t="shared" si="19"/>
        <v>4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51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0">IFERROR(_xlfn.XMATCH("Yes",J$9:J$17,1),T(1))</f>
        <v/>
      </c>
      <c r="K35" s="18">
        <f t="shared" si="20"/>
        <v>1</v>
      </c>
      <c r="L35" s="18" t="str">
        <f t="shared" si="20"/>
        <v/>
      </c>
      <c r="M35" s="18">
        <f t="shared" si="20"/>
        <v>2</v>
      </c>
      <c r="N35" s="18" t="str">
        <f t="shared" si="20"/>
        <v/>
      </c>
      <c r="O35" s="18" t="str">
        <f t="shared" si="20"/>
        <v/>
      </c>
      <c r="P35" s="18">
        <f t="shared" si="20"/>
        <v>3</v>
      </c>
      <c r="Q35" s="18" t="str">
        <f t="shared" si="20"/>
        <v/>
      </c>
      <c r="R35" s="18">
        <f t="shared" si="20"/>
        <v>4</v>
      </c>
      <c r="S35" s="18" t="str">
        <f t="shared" si="20"/>
        <v/>
      </c>
      <c r="T35" s="18">
        <f t="shared" si="20"/>
        <v>5</v>
      </c>
      <c r="U35" s="18" t="str">
        <f t="shared" si="20"/>
        <v/>
      </c>
      <c r="V35" s="18" t="str">
        <f t="shared" si="20"/>
        <v/>
      </c>
      <c r="W35" s="18" t="str">
        <f t="shared" si="20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0</v>
      </c>
      <c r="K52" s="18">
        <f t="shared" ref="K52:W52" ca="1" si="21">(K30-J30)*(K30&gt;J30)</f>
        <v>11</v>
      </c>
      <c r="L52" s="18">
        <f t="shared" ca="1" si="21"/>
        <v>0</v>
      </c>
      <c r="M52" s="18">
        <f t="shared" ca="1" si="21"/>
        <v>17</v>
      </c>
      <c r="N52" s="18">
        <f t="shared" ca="1" si="21"/>
        <v>0</v>
      </c>
      <c r="O52" s="18">
        <f t="shared" ca="1" si="21"/>
        <v>0</v>
      </c>
      <c r="P52" s="18">
        <f t="shared" ca="1" si="21"/>
        <v>11</v>
      </c>
      <c r="Q52" s="18">
        <f t="shared" ca="1" si="21"/>
        <v>0</v>
      </c>
      <c r="R52" s="18">
        <f t="shared" ca="1" si="21"/>
        <v>9</v>
      </c>
      <c r="S52" s="18">
        <f t="shared" ca="1" si="21"/>
        <v>0</v>
      </c>
      <c r="T52" s="18">
        <f t="shared" ca="1" si="21"/>
        <v>10</v>
      </c>
      <c r="U52" s="18">
        <f t="shared" ca="1" si="21"/>
        <v>0</v>
      </c>
      <c r="V52" s="18">
        <f t="shared" ca="1" si="21"/>
        <v>7.6499999999999995</v>
      </c>
      <c r="W52" s="18">
        <f t="shared" ca="1" si="21"/>
        <v>15.750000000000002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2">J52^2</f>
        <v>0</v>
      </c>
      <c r="K53" s="18">
        <f t="shared" ca="1" si="22"/>
        <v>121</v>
      </c>
      <c r="L53" s="18">
        <f t="shared" ca="1" si="22"/>
        <v>0</v>
      </c>
      <c r="M53" s="18">
        <f t="shared" ca="1" si="22"/>
        <v>289</v>
      </c>
      <c r="N53" s="18">
        <f t="shared" ca="1" si="22"/>
        <v>0</v>
      </c>
      <c r="O53" s="18">
        <f t="shared" ca="1" si="22"/>
        <v>0</v>
      </c>
      <c r="P53" s="18">
        <f t="shared" ca="1" si="22"/>
        <v>121</v>
      </c>
      <c r="Q53" s="18">
        <f t="shared" ca="1" si="22"/>
        <v>0</v>
      </c>
      <c r="R53" s="18">
        <f t="shared" ca="1" si="22"/>
        <v>81</v>
      </c>
      <c r="S53" s="18">
        <f t="shared" ca="1" si="22"/>
        <v>0</v>
      </c>
      <c r="T53" s="18">
        <f t="shared" ca="1" si="22"/>
        <v>100</v>
      </c>
      <c r="U53" s="18">
        <f t="shared" ca="1" si="22"/>
        <v>0</v>
      </c>
      <c r="V53" s="18">
        <f t="shared" ca="1" si="22"/>
        <v>58.522499999999994</v>
      </c>
      <c r="W53" s="18">
        <f t="shared" ca="1" si="22"/>
        <v>248.06250000000006</v>
      </c>
    </row>
  </sheetData>
  <mergeCells count="2">
    <mergeCell ref="I1:W1"/>
    <mergeCell ref="F3:F7"/>
  </mergeCells>
  <phoneticPr fontId="18" type="noConversion"/>
  <conditionalFormatting sqref="I30:W30">
    <cfRule type="cellIs" dxfId="435" priority="11" operator="between">
      <formula>(2/3)*$D$19</formula>
      <formula>(3/2)*$D$19</formula>
    </cfRule>
    <cfRule type="cellIs" dxfId="434" priority="12" operator="lessThan">
      <formula>(2/3)*$D$19</formula>
    </cfRule>
    <cfRule type="cellIs" dxfId="433" priority="13" operator="greaterThanOrEqual">
      <formula>1.5*$D$19</formula>
    </cfRule>
  </conditionalFormatting>
  <conditionalFormatting sqref="H30">
    <cfRule type="cellIs" dxfId="432" priority="9" stopIfTrue="1" operator="equal">
      <formula>$B$6*10</formula>
    </cfRule>
    <cfRule type="cellIs" dxfId="431" priority="10" operator="notEqual">
      <formula>$B$6*10</formula>
    </cfRule>
  </conditionalFormatting>
  <conditionalFormatting sqref="I20:W29">
    <cfRule type="beginsWith" dxfId="430" priority="8" stopIfTrue="1" operator="beginsWith" text="0">
      <formula>LEFT(I20,LEN("0"))="0"</formula>
    </cfRule>
  </conditionalFormatting>
  <conditionalFormatting sqref="B18">
    <cfRule type="expression" dxfId="429" priority="7">
      <formula>B18&lt;&gt;$B$7</formula>
    </cfRule>
  </conditionalFormatting>
  <conditionalFormatting sqref="C18">
    <cfRule type="expression" dxfId="428" priority="6">
      <formula>$B$18&lt;&gt;$B$7</formula>
    </cfRule>
  </conditionalFormatting>
  <conditionalFormatting sqref="H31:H33">
    <cfRule type="expression" dxfId="427" priority="5">
      <formula>ABS($H$30-$D$6&gt;=1)</formula>
    </cfRule>
  </conditionalFormatting>
  <conditionalFormatting sqref="B7">
    <cfRule type="expression" dxfId="426" priority="4">
      <formula>($B$7&lt;&gt;SUM($B$9:$B$17))</formula>
    </cfRule>
  </conditionalFormatting>
  <conditionalFormatting sqref="I31:T33">
    <cfRule type="beginsWith" dxfId="425" priority="2" stopIfTrue="1" operator="beginsWith" text="0">
      <formula>LEFT(I31,LEN("0"))="0"</formula>
    </cfRule>
  </conditionalFormatting>
  <conditionalFormatting sqref="N34">
    <cfRule type="beginsWith" dxfId="424" priority="3" stopIfTrue="1" operator="beginsWith" text="0">
      <formula>LEFT(N34,LEN("0"))="0"</formula>
    </cfRule>
  </conditionalFormatting>
  <conditionalFormatting sqref="D9:D17">
    <cfRule type="cellIs" dxfId="423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82FBE857-76CC-6441-A012-E90ECAF3B4C2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E0403351-C24A-C84E-8BFC-0E881E6A2042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80539EAB-9A13-7C47-88A6-CBE8BF2F674D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403C2FC5-AEBF-844C-9074-FFDF553F348C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08E050A1-A406-1140-9DB9-2E2BB05A353A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9232AF42-C3F1-CB46-90BE-0AEA851E1831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D229-9CEC-644A-9588-3A1BED2E9E19}">
  <dimension ref="A1:AD53"/>
  <sheetViews>
    <sheetView topLeftCell="B1" zoomScale="125" zoomScaleNormal="161" workbookViewId="0">
      <selection activeCell="B5" sqref="B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273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113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1</v>
      </c>
      <c r="K3" s="137">
        <f t="shared" si="0"/>
        <v>0</v>
      </c>
      <c r="L3" s="137">
        <f t="shared" si="0"/>
        <v>2</v>
      </c>
      <c r="M3" s="137">
        <f t="shared" si="0"/>
        <v>0</v>
      </c>
      <c r="N3" s="137">
        <f t="shared" si="0"/>
        <v>3</v>
      </c>
      <c r="O3" s="137">
        <f t="shared" si="0"/>
        <v>5</v>
      </c>
      <c r="P3" s="137">
        <f t="shared" si="0"/>
        <v>4</v>
      </c>
      <c r="Q3" s="137">
        <f t="shared" si="0"/>
        <v>0</v>
      </c>
      <c r="R3" s="137">
        <f t="shared" si="0"/>
        <v>6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114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7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4</v>
      </c>
      <c r="K5" s="85">
        <f t="shared" ca="1" si="1"/>
        <v>0</v>
      </c>
      <c r="L5" s="85">
        <f t="shared" ca="1" si="1"/>
        <v>6</v>
      </c>
      <c r="M5" s="85">
        <f t="shared" ca="1" si="1"/>
        <v>0</v>
      </c>
      <c r="N5" s="85">
        <f t="shared" ca="1" si="1"/>
        <v>1</v>
      </c>
      <c r="O5" s="85">
        <f t="shared" ca="1" si="1"/>
        <v>1</v>
      </c>
      <c r="P5" s="85">
        <f t="shared" ca="1" si="1"/>
        <v>1</v>
      </c>
      <c r="Q5" s="85">
        <f t="shared" ca="1" si="1"/>
        <v>0</v>
      </c>
      <c r="R5" s="85">
        <f t="shared" ca="1" si="1"/>
        <v>6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6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57</v>
      </c>
      <c r="C7" t="s">
        <v>130</v>
      </c>
      <c r="D7">
        <f>B6*10*B7/100</f>
        <v>85.5</v>
      </c>
      <c r="F7" s="170"/>
      <c r="I7" s="85">
        <f ca="1">SUM(I5:I6)</f>
        <v>0</v>
      </c>
      <c r="J7" s="85">
        <f t="shared" ref="J7:W7" ca="1" si="2">SUM(J5:J6)</f>
        <v>4</v>
      </c>
      <c r="K7" s="85">
        <f t="shared" ca="1" si="2"/>
        <v>0</v>
      </c>
      <c r="L7" s="85">
        <f t="shared" ca="1" si="2"/>
        <v>12</v>
      </c>
      <c r="M7" s="85">
        <f t="shared" ca="1" si="2"/>
        <v>0</v>
      </c>
      <c r="N7" s="85">
        <f t="shared" ca="1" si="2"/>
        <v>1</v>
      </c>
      <c r="O7" s="85">
        <f t="shared" ca="1" si="2"/>
        <v>1</v>
      </c>
      <c r="P7" s="85">
        <f t="shared" ca="1" si="2"/>
        <v>1</v>
      </c>
      <c r="Q7" s="85">
        <f t="shared" ca="1" si="2"/>
        <v>0</v>
      </c>
      <c r="R7" s="85">
        <f t="shared" ca="1" si="2"/>
        <v>6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7</v>
      </c>
    </row>
    <row r="9" spans="1:24" ht="16" thickTop="1" x14ac:dyDescent="0.2">
      <c r="A9" t="s">
        <v>58</v>
      </c>
      <c r="B9" s="46">
        <v>8</v>
      </c>
      <c r="C9" s="39" t="s">
        <v>312</v>
      </c>
      <c r="D9">
        <f>B$6*10*B9/100</f>
        <v>12</v>
      </c>
      <c r="E9" s="29">
        <v>4</v>
      </c>
      <c r="F9" s="42"/>
      <c r="G9" s="30">
        <v>2</v>
      </c>
      <c r="H9" t="s">
        <v>212</v>
      </c>
      <c r="I9" s="19" t="str">
        <f>IF(I$2=$G9,"Yes",T(1))</f>
        <v/>
      </c>
      <c r="J9" s="19" t="str">
        <f t="shared" ref="J9:W17" si="3">IF(J$2=$G9,"Yes",T(1))</f>
        <v>Yes</v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13</v>
      </c>
      <c r="C10" s="40" t="s">
        <v>311</v>
      </c>
      <c r="D10">
        <f>B$6*10*B10/100</f>
        <v>19.5</v>
      </c>
      <c r="E10" s="31">
        <v>6</v>
      </c>
      <c r="F10" s="43"/>
      <c r="G10" s="32">
        <v>4</v>
      </c>
      <c r="H10" t="s">
        <v>213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>Yes</v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5</v>
      </c>
      <c r="C11" s="40" t="s">
        <v>214</v>
      </c>
      <c r="D11">
        <f t="shared" ref="D11:D17" si="5">B$6*10*B11/100</f>
        <v>7.5</v>
      </c>
      <c r="E11" s="31">
        <v>1</v>
      </c>
      <c r="F11" s="43"/>
      <c r="G11" s="32">
        <v>6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>Yes</v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5</v>
      </c>
      <c r="C12" s="40" t="s">
        <v>128</v>
      </c>
      <c r="D12">
        <f t="shared" si="5"/>
        <v>7.5</v>
      </c>
      <c r="E12" s="31">
        <v>1</v>
      </c>
      <c r="F12" s="43"/>
      <c r="G12" s="32">
        <v>8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>Yes</v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>
        <v>5</v>
      </c>
      <c r="C13" s="40" t="s">
        <v>129</v>
      </c>
      <c r="D13">
        <f t="shared" si="5"/>
        <v>7.5</v>
      </c>
      <c r="E13" s="31">
        <v>1</v>
      </c>
      <c r="F13" s="43"/>
      <c r="G13" s="32">
        <v>7</v>
      </c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>Yes</v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>
        <v>8</v>
      </c>
      <c r="C14" s="40" t="s">
        <v>310</v>
      </c>
      <c r="D14">
        <f t="shared" si="5"/>
        <v>12</v>
      </c>
      <c r="E14" s="31">
        <v>6</v>
      </c>
      <c r="F14" s="43"/>
      <c r="G14" s="32">
        <v>10</v>
      </c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>Yes</v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>
        <v>8</v>
      </c>
      <c r="C15" s="40" t="s">
        <v>309</v>
      </c>
      <c r="D15">
        <f t="shared" ref="D15" si="6">B$6*10*B15/100</f>
        <v>12</v>
      </c>
      <c r="E15" s="31">
        <v>6</v>
      </c>
      <c r="F15" s="43"/>
      <c r="G15" s="32">
        <v>4</v>
      </c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>Yes</v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52</v>
      </c>
      <c r="C18" s="59" t="str">
        <f>IF(B18=B7," % ok","% credits do not add up to stated value")</f>
        <v>% credits do not add up to stated value</v>
      </c>
      <c r="D18" s="59">
        <f>SUM(D9:D17)</f>
        <v>78</v>
      </c>
      <c r="E18" s="134">
        <f>D18/B6/10*100</f>
        <v>52</v>
      </c>
      <c r="T18" s="10">
        <f>B9/100*SUM(I21:T21)</f>
        <v>0.4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25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582.03061224489795</v>
      </c>
      <c r="G20" s="11" t="s">
        <v>82</v>
      </c>
      <c r="H20" s="21">
        <f>SUM(I20:W20)</f>
        <v>12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1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7">SUM(I21:W21)</f>
        <v>5</v>
      </c>
      <c r="I21" s="14">
        <v>0</v>
      </c>
      <c r="J21" s="14">
        <v>1</v>
      </c>
      <c r="K21" s="14">
        <v>0</v>
      </c>
      <c r="L21" s="14">
        <v>1</v>
      </c>
      <c r="M21" s="14">
        <v>0</v>
      </c>
      <c r="N21" s="14">
        <v>1</v>
      </c>
      <c r="O21" s="105">
        <v>1</v>
      </c>
      <c r="P21" s="14">
        <v>1</v>
      </c>
      <c r="Q21" s="14">
        <v>0</v>
      </c>
      <c r="R21" s="14">
        <v>0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8">SUM(I22:W22)</f>
        <v>25</v>
      </c>
      <c r="I22" s="10">
        <f ca="1">I7</f>
        <v>0</v>
      </c>
      <c r="J22" s="10">
        <f t="shared" ref="J22:W22" ca="1" si="9">J7</f>
        <v>4</v>
      </c>
      <c r="K22" s="10">
        <f t="shared" ca="1" si="9"/>
        <v>0</v>
      </c>
      <c r="L22" s="10">
        <f t="shared" ca="1" si="9"/>
        <v>12</v>
      </c>
      <c r="M22" s="10">
        <f t="shared" ca="1" si="9"/>
        <v>0</v>
      </c>
      <c r="N22" s="10">
        <f t="shared" ca="1" si="9"/>
        <v>1</v>
      </c>
      <c r="O22" s="103">
        <f t="shared" ca="1" si="9"/>
        <v>1</v>
      </c>
      <c r="P22" s="10">
        <f t="shared" ca="1" si="9"/>
        <v>1</v>
      </c>
      <c r="Q22" s="10">
        <f t="shared" ca="1" si="9"/>
        <v>0</v>
      </c>
      <c r="R22" s="10">
        <f t="shared" ca="1" si="9"/>
        <v>6</v>
      </c>
      <c r="S22" s="10">
        <f t="shared" ca="1" si="9"/>
        <v>0</v>
      </c>
      <c r="T22" s="10">
        <f t="shared" ca="1" si="9"/>
        <v>0</v>
      </c>
      <c r="U22" s="60">
        <f t="shared" ca="1" si="9"/>
        <v>0</v>
      </c>
      <c r="V22" s="10">
        <f t="shared" ca="1" si="9"/>
        <v>0</v>
      </c>
      <c r="W22" s="10">
        <f t="shared" ca="1" si="9"/>
        <v>0</v>
      </c>
      <c r="X22" s="10" t="str">
        <f t="shared" ref="X22:Y22" si="10">X7</f>
        <v>&lt;-- total timetabled CA</v>
      </c>
      <c r="Y22" s="10">
        <f t="shared" si="10"/>
        <v>0</v>
      </c>
    </row>
    <row r="23" spans="1:30" x14ac:dyDescent="0.2">
      <c r="G23" s="11" t="s">
        <v>98</v>
      </c>
      <c r="H23" s="21"/>
      <c r="I23" s="61">
        <f ca="1">SUM(I20:I22)</f>
        <v>1</v>
      </c>
      <c r="J23" s="61">
        <f ca="1">MIN(6,12/$B$8 + 1,I23+SUM(J20:J22))</f>
        <v>2.7142857142857144</v>
      </c>
      <c r="K23" s="61">
        <f t="shared" ref="K23:T23" ca="1" si="11">MIN(6,12/$B$8 + 1,J23+SUM(K20:K22))</f>
        <v>2.7142857142857144</v>
      </c>
      <c r="L23" s="61">
        <f t="shared" ca="1" si="11"/>
        <v>2.7142857142857144</v>
      </c>
      <c r="M23" s="61">
        <f t="shared" ca="1" si="11"/>
        <v>2.7142857142857144</v>
      </c>
      <c r="N23" s="61">
        <f t="shared" ca="1" si="11"/>
        <v>2.7142857142857144</v>
      </c>
      <c r="O23" s="106">
        <f t="shared" ca="1" si="11"/>
        <v>2.7142857142857144</v>
      </c>
      <c r="P23" s="61">
        <f t="shared" ca="1" si="11"/>
        <v>2.7142857142857144</v>
      </c>
      <c r="Q23" s="61">
        <f t="shared" ca="1" si="11"/>
        <v>2.7142857142857144</v>
      </c>
      <c r="R23" s="61">
        <f t="shared" ca="1" si="11"/>
        <v>2.7142857142857144</v>
      </c>
      <c r="S23" s="61">
        <f t="shared" ca="1" si="11"/>
        <v>2.7142857142857144</v>
      </c>
      <c r="T23" s="61">
        <f t="shared" ca="1" si="11"/>
        <v>2.7142857142857144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2">(IFERROR(_xlfn.XMATCH("Yes",I$9:I$17),0)&gt;0)*1</f>
        <v>0</v>
      </c>
      <c r="J24" s="24">
        <f t="shared" si="12"/>
        <v>1</v>
      </c>
      <c r="K24" s="24">
        <f t="shared" si="12"/>
        <v>0</v>
      </c>
      <c r="L24" s="24">
        <f t="shared" si="12"/>
        <v>1</v>
      </c>
      <c r="M24" s="24">
        <f t="shared" si="12"/>
        <v>0</v>
      </c>
      <c r="N24" s="24">
        <f>(IFERROR(_xlfn.XMATCH("Yes",N$9:N$17),0)&gt;0)*1</f>
        <v>1</v>
      </c>
      <c r="O24" s="107">
        <f t="shared" ref="O24:W24" si="13">(IFERROR(_xlfn.XMATCH("Yes",O$9:O$17),0)&gt;0)*1</f>
        <v>1</v>
      </c>
      <c r="P24" s="24">
        <f t="shared" si="13"/>
        <v>1</v>
      </c>
      <c r="Q24" s="24">
        <f t="shared" si="13"/>
        <v>0</v>
      </c>
      <c r="R24" s="24">
        <f t="shared" si="13"/>
        <v>1</v>
      </c>
      <c r="S24" s="24">
        <f t="shared" si="13"/>
        <v>0</v>
      </c>
      <c r="T24" s="26">
        <f t="shared" si="13"/>
        <v>0</v>
      </c>
      <c r="U24" s="24">
        <f t="shared" si="13"/>
        <v>0</v>
      </c>
      <c r="V24" s="24">
        <f t="shared" si="13"/>
        <v>0</v>
      </c>
      <c r="W24" s="24">
        <f t="shared" si="13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12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19.5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7.5</v>
      </c>
      <c r="O25" s="108" cm="1">
        <f t="array" ref="O25">IFERROR((1+O$24)/(1+O$24)*(INDEX($D$9:$D$17,O$35)),0)</f>
        <v>7.5</v>
      </c>
      <c r="P25" s="22" cm="1">
        <f t="array" ref="P25">IFERROR((1+P$24)/(1+P$24)*(INDEX($D$9:$D$17,P$35)),0)</f>
        <v>7.5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12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4">-H23*I24-I22</f>
        <v>0</v>
      </c>
      <c r="J26" s="22">
        <f t="shared" ca="1" si="14"/>
        <v>-5</v>
      </c>
      <c r="K26" s="22">
        <f ca="1">-J23*K24-K22</f>
        <v>0</v>
      </c>
      <c r="L26" s="22">
        <f t="shared" ref="L26:T26" ca="1" si="15">-K23*L24-L22</f>
        <v>-14.714285714285715</v>
      </c>
      <c r="M26" s="22">
        <f t="shared" ca="1" si="15"/>
        <v>0</v>
      </c>
      <c r="N26" s="22">
        <f t="shared" ca="1" si="15"/>
        <v>-3.7142857142857144</v>
      </c>
      <c r="O26" s="108">
        <f t="shared" ca="1" si="15"/>
        <v>-3.7142857142857144</v>
      </c>
      <c r="P26" s="22">
        <f t="shared" ca="1" si="15"/>
        <v>-3.7142857142857144</v>
      </c>
      <c r="Q26" s="22">
        <f t="shared" ca="1" si="15"/>
        <v>0</v>
      </c>
      <c r="R26" s="22">
        <f t="shared" ca="1" si="15"/>
        <v>-8.7142857142857153</v>
      </c>
      <c r="S26" s="22">
        <f t="shared" ca="1" si="15"/>
        <v>0</v>
      </c>
      <c r="T26" s="22">
        <f t="shared" ca="1" si="15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26.428571428571423</v>
      </c>
      <c r="I27" s="25">
        <f ca="1">MAX(0,(I25+I26))</f>
        <v>0</v>
      </c>
      <c r="J27" s="25">
        <f t="shared" ref="J27:T27" ca="1" si="16">MAX(0,(J25+J26))</f>
        <v>7</v>
      </c>
      <c r="K27" s="25">
        <f t="shared" ca="1" si="16"/>
        <v>0</v>
      </c>
      <c r="L27" s="25">
        <f t="shared" ca="1" si="16"/>
        <v>4.7857142857142847</v>
      </c>
      <c r="M27" s="25">
        <f t="shared" ca="1" si="16"/>
        <v>0</v>
      </c>
      <c r="N27" s="25">
        <f t="shared" ca="1" si="16"/>
        <v>3.7857142857142856</v>
      </c>
      <c r="O27" s="109">
        <f t="shared" ca="1" si="16"/>
        <v>3.7857142857142856</v>
      </c>
      <c r="P27" s="25">
        <f t="shared" ca="1" si="16"/>
        <v>3.7857142857142856</v>
      </c>
      <c r="Q27" s="25">
        <f t="shared" ca="1" si="16"/>
        <v>0</v>
      </c>
      <c r="R27" s="25">
        <f t="shared" ca="1" si="16"/>
        <v>3.2857142857142847</v>
      </c>
      <c r="S27" s="25">
        <f t="shared" ca="1" si="16"/>
        <v>0</v>
      </c>
      <c r="T27" s="25">
        <f t="shared" ca="1" si="16"/>
        <v>0</v>
      </c>
      <c r="U27" s="25">
        <f t="shared" ref="U27:W27" si="17">(U25+U26)</f>
        <v>0</v>
      </c>
      <c r="V27" s="25">
        <f t="shared" si="17"/>
        <v>0</v>
      </c>
      <c r="W27" s="25">
        <f t="shared" si="17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8">SUM(I28:W28)</f>
        <v>15</v>
      </c>
      <c r="I28" s="10">
        <v>0</v>
      </c>
      <c r="J28" s="10">
        <v>0</v>
      </c>
      <c r="K28" s="10">
        <v>2</v>
      </c>
      <c r="L28" s="10">
        <v>2</v>
      </c>
      <c r="M28" s="10">
        <v>2</v>
      </c>
      <c r="N28" s="10">
        <v>2</v>
      </c>
      <c r="O28" s="103">
        <v>1</v>
      </c>
      <c r="P28" s="10">
        <v>2</v>
      </c>
      <c r="Q28" s="10">
        <v>2</v>
      </c>
      <c r="R28" s="10">
        <v>2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9">SUM(I30:W30)</f>
        <v>83.428571428571416</v>
      </c>
      <c r="I30" s="16">
        <f t="shared" ref="I30:W30" ca="1" si="20">I20+I21+I22+I27+I28+I29</f>
        <v>1</v>
      </c>
      <c r="J30" s="16">
        <f t="shared" ca="1" si="20"/>
        <v>13</v>
      </c>
      <c r="K30" s="16">
        <f t="shared" ca="1" si="20"/>
        <v>3</v>
      </c>
      <c r="L30" s="16">
        <f t="shared" ca="1" si="20"/>
        <v>20.785714285714285</v>
      </c>
      <c r="M30" s="16">
        <f t="shared" ca="1" si="20"/>
        <v>3</v>
      </c>
      <c r="N30" s="16">
        <f t="shared" ca="1" si="20"/>
        <v>8.7857142857142847</v>
      </c>
      <c r="O30" s="110">
        <f t="shared" ca="1" si="20"/>
        <v>7.7857142857142856</v>
      </c>
      <c r="P30" s="16">
        <f t="shared" ca="1" si="20"/>
        <v>8.7857142857142847</v>
      </c>
      <c r="Q30" s="16">
        <f t="shared" ca="1" si="20"/>
        <v>3</v>
      </c>
      <c r="R30" s="16">
        <f t="shared" ca="1" si="20"/>
        <v>12.285714285714285</v>
      </c>
      <c r="S30" s="16">
        <f t="shared" ca="1" si="20"/>
        <v>1</v>
      </c>
      <c r="T30" s="16">
        <f t="shared" ca="1" si="20"/>
        <v>1</v>
      </c>
      <c r="U30" s="65">
        <f t="shared" ca="1" si="20"/>
        <v>0</v>
      </c>
      <c r="V30" s="16">
        <f t="shared" ca="1" si="20"/>
        <v>0</v>
      </c>
      <c r="W30" s="16">
        <f t="shared" ca="1" si="20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1">(IFERROR(-I$21-MAX(MAX(0,1*MIN(6,I$2))),0)+I$25)*(1*I$24&gt;0)</f>
        <v>0</v>
      </c>
      <c r="J31" s="22">
        <f t="shared" si="21"/>
        <v>9</v>
      </c>
      <c r="K31" s="22">
        <f t="shared" si="21"/>
        <v>0</v>
      </c>
      <c r="L31" s="22">
        <f t="shared" si="21"/>
        <v>14.5</v>
      </c>
      <c r="M31" s="22">
        <f t="shared" si="21"/>
        <v>0</v>
      </c>
      <c r="N31" s="22">
        <f t="shared" si="21"/>
        <v>0.5</v>
      </c>
      <c r="O31" s="108">
        <f t="shared" si="21"/>
        <v>0.5</v>
      </c>
      <c r="P31" s="22">
        <f t="shared" si="21"/>
        <v>0.5</v>
      </c>
      <c r="Q31" s="22">
        <f t="shared" si="21"/>
        <v>0</v>
      </c>
      <c r="R31" s="22">
        <f t="shared" si="21"/>
        <v>6</v>
      </c>
      <c r="S31" s="22">
        <f t="shared" si="21"/>
        <v>0</v>
      </c>
      <c r="T31" s="22">
        <f t="shared" si="21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66.571428571428584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>
        <f t="shared" ref="J35:W35" si="22">IFERROR(_xlfn.XMATCH("Yes",J$9:J$17,1),T(1))</f>
        <v>1</v>
      </c>
      <c r="K35" s="18" t="str">
        <f t="shared" si="22"/>
        <v/>
      </c>
      <c r="L35" s="18">
        <f t="shared" si="22"/>
        <v>2</v>
      </c>
      <c r="M35" s="18" t="str">
        <f t="shared" si="22"/>
        <v/>
      </c>
      <c r="N35" s="18">
        <f t="shared" si="22"/>
        <v>3</v>
      </c>
      <c r="O35" s="18">
        <f t="shared" si="22"/>
        <v>5</v>
      </c>
      <c r="P35" s="18">
        <f t="shared" si="22"/>
        <v>4</v>
      </c>
      <c r="Q35" s="18" t="str">
        <f t="shared" si="22"/>
        <v/>
      </c>
      <c r="R35" s="18">
        <f t="shared" si="22"/>
        <v>6</v>
      </c>
      <c r="S35" s="18" t="str">
        <f t="shared" si="22"/>
        <v/>
      </c>
      <c r="T35" s="18" t="str">
        <f t="shared" si="22"/>
        <v/>
      </c>
      <c r="U35" s="18" t="str">
        <f t="shared" si="22"/>
        <v/>
      </c>
      <c r="V35" s="18" t="str">
        <f t="shared" si="22"/>
        <v/>
      </c>
      <c r="W35" s="18" t="str">
        <f t="shared" si="22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cm="1">
        <f t="array" ref="J36">IFERROR(INDEX( $G$9:$G$17, _xlfn.XMATCH("Yes", (J$9:J$17),1)),T(1))</f>
        <v>2</v>
      </c>
      <c r="K36" s="18" t="str" cm="1">
        <f t="array" ref="K36">IFERROR(INDEX( $G$9:$G$17, _xlfn.XMATCH("Yes", (K$9:K$17),1)),T(1))</f>
        <v/>
      </c>
      <c r="L36" s="18" cm="1">
        <f t="array" ref="L36">IFERROR(INDEX( $G$9:$G$17, _xlfn.XMATCH("Yes", (L$9:L$17),1)),T(1))</f>
        <v>4</v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cm="1">
        <f t="array" ref="O36">IFERROR(INDEX( $G$9:$G$17, _xlfn.XMATCH("Yes", (O$9:O$17),1)),T(1))</f>
        <v>7</v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1</v>
      </c>
      <c r="J52" s="18">
        <f ca="1">(J30-I30)*(J30&gt;I30)</f>
        <v>12</v>
      </c>
      <c r="K52" s="18">
        <f t="shared" ref="K52:W52" ca="1" si="23">(K30-J30)*(K30&gt;J30)</f>
        <v>0</v>
      </c>
      <c r="L52" s="18">
        <f t="shared" ca="1" si="23"/>
        <v>17.785714285714285</v>
      </c>
      <c r="M52" s="18">
        <f t="shared" ca="1" si="23"/>
        <v>0</v>
      </c>
      <c r="N52" s="18">
        <f t="shared" ca="1" si="23"/>
        <v>5.7857142857142847</v>
      </c>
      <c r="O52" s="18">
        <f t="shared" ca="1" si="23"/>
        <v>0</v>
      </c>
      <c r="P52" s="18">
        <f t="shared" ca="1" si="23"/>
        <v>0.99999999999999911</v>
      </c>
      <c r="Q52" s="18">
        <f t="shared" ca="1" si="23"/>
        <v>0</v>
      </c>
      <c r="R52" s="18">
        <f t="shared" ca="1" si="23"/>
        <v>9.2857142857142847</v>
      </c>
      <c r="S52" s="18">
        <f t="shared" ca="1" si="23"/>
        <v>0</v>
      </c>
      <c r="T52" s="18">
        <f t="shared" ca="1" si="23"/>
        <v>0</v>
      </c>
      <c r="U52" s="18">
        <f t="shared" ca="1" si="23"/>
        <v>0</v>
      </c>
      <c r="V52" s="18">
        <f t="shared" ca="1" si="23"/>
        <v>0</v>
      </c>
      <c r="W52" s="18">
        <f t="shared" ca="1" si="23"/>
        <v>0</v>
      </c>
    </row>
    <row r="53" spans="7:23" x14ac:dyDescent="0.2">
      <c r="G53" t="s">
        <v>101</v>
      </c>
      <c r="I53" s="18">
        <f ca="1">I52^2</f>
        <v>1</v>
      </c>
      <c r="J53" s="18">
        <f t="shared" ref="J53:W53" ca="1" si="24">J52^2</f>
        <v>144</v>
      </c>
      <c r="K53" s="18">
        <f t="shared" ca="1" si="24"/>
        <v>0</v>
      </c>
      <c r="L53" s="18">
        <f t="shared" ca="1" si="24"/>
        <v>316.33163265306121</v>
      </c>
      <c r="M53" s="18">
        <f t="shared" ca="1" si="24"/>
        <v>0</v>
      </c>
      <c r="N53" s="18">
        <f t="shared" ca="1" si="24"/>
        <v>33.474489795918359</v>
      </c>
      <c r="O53" s="18">
        <f t="shared" ca="1" si="24"/>
        <v>0</v>
      </c>
      <c r="P53" s="18">
        <f t="shared" ca="1" si="24"/>
        <v>0.99999999999999822</v>
      </c>
      <c r="Q53" s="18">
        <f t="shared" ca="1" si="24"/>
        <v>0</v>
      </c>
      <c r="R53" s="18">
        <f t="shared" ca="1" si="24"/>
        <v>86.224489795918345</v>
      </c>
      <c r="S53" s="18">
        <f t="shared" ca="1" si="24"/>
        <v>0</v>
      </c>
      <c r="T53" s="18">
        <f t="shared" ca="1" si="24"/>
        <v>0</v>
      </c>
      <c r="U53" s="18">
        <f t="shared" ca="1" si="24"/>
        <v>0</v>
      </c>
      <c r="V53" s="18">
        <f t="shared" ca="1" si="24"/>
        <v>0</v>
      </c>
      <c r="W53" s="18">
        <f t="shared" ca="1" si="24"/>
        <v>0</v>
      </c>
    </row>
  </sheetData>
  <mergeCells count="3">
    <mergeCell ref="I1:W1"/>
    <mergeCell ref="F3:F7"/>
    <mergeCell ref="H31:H33"/>
  </mergeCells>
  <conditionalFormatting sqref="I30:W30">
    <cfRule type="cellIs" dxfId="422" priority="14" operator="between">
      <formula>(2/3)*$D$19</formula>
      <formula>(3/2)*$D$19</formula>
    </cfRule>
    <cfRule type="cellIs" dxfId="421" priority="15" operator="lessThan">
      <formula>(2/3)*$D$19</formula>
    </cfRule>
    <cfRule type="cellIs" dxfId="420" priority="16" operator="greaterThanOrEqual">
      <formula>1.5*$D$19</formula>
    </cfRule>
  </conditionalFormatting>
  <conditionalFormatting sqref="H30">
    <cfRule type="cellIs" dxfId="419" priority="12" stopIfTrue="1" operator="equal">
      <formula>$B$6*10</formula>
    </cfRule>
    <cfRule type="cellIs" dxfId="418" priority="13" operator="notEqual">
      <formula>$B$6*10</formula>
    </cfRule>
  </conditionalFormatting>
  <conditionalFormatting sqref="I20:W21 I23:W29">
    <cfRule type="beginsWith" dxfId="417" priority="11" stopIfTrue="1" operator="beginsWith" text="0">
      <formula>LEFT(I20,LEN("0"))="0"</formula>
    </cfRule>
  </conditionalFormatting>
  <conditionalFormatting sqref="B18">
    <cfRule type="expression" dxfId="416" priority="10">
      <formula>B18&lt;&gt;$B$7</formula>
    </cfRule>
  </conditionalFormatting>
  <conditionalFormatting sqref="C18">
    <cfRule type="expression" dxfId="415" priority="9">
      <formula>$B$18&lt;&gt;$B$7</formula>
    </cfRule>
  </conditionalFormatting>
  <conditionalFormatting sqref="H31">
    <cfRule type="expression" dxfId="414" priority="8">
      <formula>ABS($H$30-$D$6&gt;=1)</formula>
    </cfRule>
  </conditionalFormatting>
  <conditionalFormatting sqref="B7">
    <cfRule type="expression" dxfId="413" priority="7">
      <formula>($B$7&lt;&gt;SUM($B$9:$B$17))</formula>
    </cfRule>
  </conditionalFormatting>
  <conditionalFormatting sqref="I31:T33">
    <cfRule type="beginsWith" dxfId="412" priority="5" stopIfTrue="1" operator="beginsWith" text="0">
      <formula>LEFT(I31,LEN("0"))="0"</formula>
    </cfRule>
  </conditionalFormatting>
  <conditionalFormatting sqref="N34">
    <cfRule type="beginsWith" dxfId="411" priority="6" stopIfTrue="1" operator="beginsWith" text="0">
      <formula>LEFT(N34,LEN("0"))="0"</formula>
    </cfRule>
  </conditionalFormatting>
  <conditionalFormatting sqref="D9:D14 D16:D17">
    <cfRule type="cellIs" dxfId="410" priority="4" operator="equal">
      <formula>0</formula>
    </cfRule>
  </conditionalFormatting>
  <conditionalFormatting sqref="X22:Y22">
    <cfRule type="beginsWith" dxfId="409" priority="3" stopIfTrue="1" operator="beginsWith" text="0">
      <formula>LEFT(X22,LEN("0"))="0"</formula>
    </cfRule>
  </conditionalFormatting>
  <conditionalFormatting sqref="I22:W22">
    <cfRule type="beginsWith" dxfId="408" priority="2" stopIfTrue="1" operator="beginsWith" text="0">
      <formula>LEFT(I22,LEN("0"))="0"</formula>
    </cfRule>
  </conditionalFormatting>
  <conditionalFormatting sqref="D15">
    <cfRule type="cellIs" dxfId="407" priority="1" operator="equal">
      <formula>0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8E21BEA7-BB33-8043-B90E-AFCA4793910D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9F29ECCE-84C9-774F-9A3E-2E87C8673EAF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9AB12FF2-1AFC-3540-9BF3-6020E96535A9}">
      <formula1>0</formula1>
      <formula2>100</formula2>
    </dataValidation>
    <dataValidation errorStyle="warning" allowBlank="1" showInputMessage="1" showErrorMessage="1" errorTitle="Non-standard credit weighting" promptTitle="Credit value" sqref="B6" xr:uid="{718F37B2-BE13-CB4F-B6C0-C3622C4513FF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8F4EB4C8-D29B-B742-8A8B-ADEFAD31B260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DE6512F6-8D6B-9746-A9FF-E21390F8768D}">
      <formula1>"0,1,2,3"</formula1>
    </dataValidation>
    <dataValidation type="list" errorStyle="warning" allowBlank="1" showInputMessage="1" showErrorMessage="1" errorTitle="Non-standard credit weighting" promptTitle="Credit value" sqref="D5" xr:uid="{BE575740-4CD3-3542-A4AC-5A6BFBF302F1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FFE5C-4D91-B74D-9B25-B7542D95E5A8}">
  <dimension ref="A1:AD53"/>
  <sheetViews>
    <sheetView tabSelected="1" zoomScale="125" zoomScaleNormal="161" workbookViewId="0">
      <selection activeCell="G28" sqref="G28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8.66406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230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113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1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2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3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114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4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4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6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75</v>
      </c>
      <c r="F7" s="170"/>
      <c r="I7" s="85">
        <f ca="1">SUM(I5:I6)</f>
        <v>0</v>
      </c>
      <c r="J7" s="85">
        <f t="shared" ref="J7:W7" ca="1" si="2">SUM(J5:J6)</f>
        <v>4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4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6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3</v>
      </c>
    </row>
    <row r="9" spans="1:24" ht="16" thickTop="1" x14ac:dyDescent="0.2">
      <c r="A9" t="s">
        <v>58</v>
      </c>
      <c r="B9" s="46">
        <v>30</v>
      </c>
      <c r="C9" s="39" t="s">
        <v>320</v>
      </c>
      <c r="D9">
        <f>B$6*10*B9/100</f>
        <v>22.5</v>
      </c>
      <c r="E9" s="29">
        <v>4</v>
      </c>
      <c r="F9" s="42"/>
      <c r="G9" s="30">
        <v>2</v>
      </c>
      <c r="I9" s="19" t="str">
        <f>IF(I$2=$G9,"Yes",T(1))</f>
        <v/>
      </c>
      <c r="J9" s="19" t="str">
        <f t="shared" ref="J9:W17" si="3">IF(J$2=$G9,"Yes",T(1))</f>
        <v>Yes</v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30</v>
      </c>
      <c r="C10" s="40" t="s">
        <v>321</v>
      </c>
      <c r="D10">
        <f>B$6*10*B10/100</f>
        <v>22.5</v>
      </c>
      <c r="E10" s="31">
        <v>4</v>
      </c>
      <c r="F10" s="43"/>
      <c r="G10" s="32">
        <v>7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>Yes</v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50</v>
      </c>
      <c r="C11" s="40" t="s">
        <v>322</v>
      </c>
      <c r="D11">
        <f t="shared" ref="D11:D17" si="5">B$6*10*B11/100</f>
        <v>37.5</v>
      </c>
      <c r="E11" s="31">
        <v>6</v>
      </c>
      <c r="F11" s="43"/>
      <c r="G11" s="32">
        <v>11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>Yes</v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110</v>
      </c>
      <c r="C18" s="59" t="str">
        <f>IF(B18=B7," % ok","% credits do not add up to stated value")</f>
        <v>% credits do not add up to stated value</v>
      </c>
      <c r="D18" s="59">
        <f>SUM(D9:D17)</f>
        <v>82.5</v>
      </c>
      <c r="E18" s="134">
        <f>D18/B6/10*100</f>
        <v>110.00000000000001</v>
      </c>
      <c r="T18" s="10">
        <f>B9/100*SUM(I21:T21)</f>
        <v>1.5</v>
      </c>
    </row>
    <row r="19" spans="1:30" ht="16" thickBot="1" x14ac:dyDescent="0.25">
      <c r="A19" t="s">
        <v>68</v>
      </c>
      <c r="D19">
        <f>D6/15</f>
        <v>5</v>
      </c>
      <c r="E19" s="134">
        <f>SUM(E9:E16)</f>
        <v>14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1871.75</v>
      </c>
      <c r="G20" s="11" t="s">
        <v>82</v>
      </c>
      <c r="H20" s="21">
        <f>SUM(I20:W20)</f>
        <v>12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1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5</v>
      </c>
      <c r="I21" s="14">
        <v>0</v>
      </c>
      <c r="J21" s="14">
        <v>1</v>
      </c>
      <c r="K21" s="14">
        <v>0</v>
      </c>
      <c r="L21" s="14">
        <v>1</v>
      </c>
      <c r="M21" s="14">
        <v>0</v>
      </c>
      <c r="N21" s="14">
        <v>1</v>
      </c>
      <c r="O21" s="105">
        <v>1</v>
      </c>
      <c r="P21" s="14">
        <v>1</v>
      </c>
      <c r="Q21" s="14">
        <v>0</v>
      </c>
      <c r="R21" s="14">
        <v>0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14</v>
      </c>
      <c r="I22" s="10">
        <f ca="1">I7</f>
        <v>0</v>
      </c>
      <c r="J22" s="10">
        <f t="shared" ref="J22:Y22" ca="1" si="8">J7</f>
        <v>4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4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6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1</v>
      </c>
      <c r="J23" s="61">
        <f ca="1">MIN(6,12/$B$8 + 1,I23+SUM(J20:J22))</f>
        <v>5</v>
      </c>
      <c r="K23" s="61">
        <f t="shared" ref="K23:T23" ca="1" si="9">MIN(6,12/$B$8 + 1,J23+SUM(K20:K22))</f>
        <v>5</v>
      </c>
      <c r="L23" s="61">
        <f t="shared" ca="1" si="9"/>
        <v>5</v>
      </c>
      <c r="M23" s="61">
        <f t="shared" ca="1" si="9"/>
        <v>5</v>
      </c>
      <c r="N23" s="61">
        <f t="shared" ca="1" si="9"/>
        <v>5</v>
      </c>
      <c r="O23" s="106">
        <f t="shared" ca="1" si="9"/>
        <v>5</v>
      </c>
      <c r="P23" s="61">
        <f t="shared" ca="1" si="9"/>
        <v>5</v>
      </c>
      <c r="Q23" s="61">
        <f t="shared" ca="1" si="9"/>
        <v>5</v>
      </c>
      <c r="R23" s="61">
        <f t="shared" ca="1" si="9"/>
        <v>5</v>
      </c>
      <c r="S23" s="61">
        <f t="shared" ca="1" si="9"/>
        <v>5</v>
      </c>
      <c r="T23" s="61">
        <f t="shared" ca="1" si="9"/>
        <v>5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1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1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22.5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22.5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37.5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-5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-9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-11</v>
      </c>
      <c r="T26" s="22">
        <f t="shared" ca="1" si="13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57.5</v>
      </c>
      <c r="I27" s="25">
        <f ca="1">MAX(0,(I25+I26))</f>
        <v>0</v>
      </c>
      <c r="J27" s="25">
        <f t="shared" ref="J27:T27" ca="1" si="14">MAX(0,(J25+J26))</f>
        <v>17.5</v>
      </c>
      <c r="K27" s="25">
        <f t="shared" ca="1" si="14"/>
        <v>0</v>
      </c>
      <c r="L27" s="25">
        <f t="shared" ca="1" si="14"/>
        <v>0</v>
      </c>
      <c r="M27" s="25">
        <f t="shared" ca="1" si="14"/>
        <v>0</v>
      </c>
      <c r="N27" s="25">
        <f t="shared" ca="1" si="14"/>
        <v>0</v>
      </c>
      <c r="O27" s="109">
        <f t="shared" ca="1" si="14"/>
        <v>13.5</v>
      </c>
      <c r="P27" s="25">
        <f t="shared" ca="1" si="14"/>
        <v>0</v>
      </c>
      <c r="Q27" s="25">
        <f t="shared" ca="1" si="14"/>
        <v>0</v>
      </c>
      <c r="R27" s="25">
        <f t="shared" ca="1" si="14"/>
        <v>0</v>
      </c>
      <c r="S27" s="25">
        <f t="shared" ca="1" si="14"/>
        <v>26.5</v>
      </c>
      <c r="T27" s="25">
        <f t="shared" ca="1" si="14"/>
        <v>0</v>
      </c>
      <c r="U27" s="25">
        <f t="shared" ref="U27:W27" si="15">(U25+U26)</f>
        <v>0</v>
      </c>
      <c r="V27" s="25">
        <f t="shared" si="15"/>
        <v>0</v>
      </c>
      <c r="W27" s="25">
        <f t="shared" si="15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6">SUM(I28:W28)</f>
        <v>0</v>
      </c>
      <c r="I28" s="10">
        <v>0</v>
      </c>
      <c r="J28" s="10">
        <v>0</v>
      </c>
      <c r="O28" s="103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7">SUM(I30:W30)</f>
        <v>88.5</v>
      </c>
      <c r="I30" s="16">
        <f t="shared" ref="I30:W30" ca="1" si="18">I20+I21+I22+I27+I28+I29</f>
        <v>1</v>
      </c>
      <c r="J30" s="16">
        <f t="shared" ca="1" si="18"/>
        <v>23.5</v>
      </c>
      <c r="K30" s="16">
        <f t="shared" ca="1" si="18"/>
        <v>1</v>
      </c>
      <c r="L30" s="16">
        <f t="shared" ca="1" si="18"/>
        <v>2</v>
      </c>
      <c r="M30" s="16">
        <f t="shared" ca="1" si="18"/>
        <v>1</v>
      </c>
      <c r="N30" s="16">
        <f t="shared" ca="1" si="18"/>
        <v>2</v>
      </c>
      <c r="O30" s="110">
        <f t="shared" ca="1" si="18"/>
        <v>19.5</v>
      </c>
      <c r="P30" s="16">
        <f t="shared" ca="1" si="18"/>
        <v>2</v>
      </c>
      <c r="Q30" s="16">
        <f t="shared" ca="1" si="18"/>
        <v>1</v>
      </c>
      <c r="R30" s="16">
        <f t="shared" ca="1" si="18"/>
        <v>1</v>
      </c>
      <c r="S30" s="16">
        <f t="shared" ca="1" si="18"/>
        <v>33.5</v>
      </c>
      <c r="T30" s="16">
        <f t="shared" ca="1" si="18"/>
        <v>1</v>
      </c>
      <c r="U30" s="65">
        <f t="shared" ca="1" si="18"/>
        <v>0</v>
      </c>
      <c r="V30" s="16">
        <f t="shared" ca="1" si="18"/>
        <v>0</v>
      </c>
      <c r="W30" s="16">
        <f t="shared" ca="1" si="18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19">(IFERROR(-I$21-MAX(MAX(0,1*MIN(6,I$2))),0)+I$25)*(1*I$24&gt;0)</f>
        <v>0</v>
      </c>
      <c r="J31" s="22">
        <f t="shared" si="19"/>
        <v>19.5</v>
      </c>
      <c r="K31" s="22">
        <f t="shared" si="19"/>
        <v>0</v>
      </c>
      <c r="L31" s="22">
        <f t="shared" si="19"/>
        <v>0</v>
      </c>
      <c r="M31" s="22">
        <f t="shared" si="19"/>
        <v>0</v>
      </c>
      <c r="N31" s="22">
        <f t="shared" si="19"/>
        <v>0</v>
      </c>
      <c r="O31" s="108">
        <f t="shared" si="19"/>
        <v>15.5</v>
      </c>
      <c r="P31" s="22">
        <f t="shared" si="19"/>
        <v>0</v>
      </c>
      <c r="Q31" s="22">
        <f t="shared" si="19"/>
        <v>0</v>
      </c>
      <c r="R31" s="22">
        <f t="shared" si="19"/>
        <v>0</v>
      </c>
      <c r="S31" s="22">
        <f t="shared" si="19"/>
        <v>31.5</v>
      </c>
      <c r="T31" s="22">
        <f t="shared" si="19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-13.5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>
        <f t="shared" ref="J35:W35" si="20">IFERROR(_xlfn.XMATCH("Yes",J$9:J$17,1),T(1))</f>
        <v>1</v>
      </c>
      <c r="K35" s="18" t="str">
        <f t="shared" si="20"/>
        <v/>
      </c>
      <c r="L35" s="18" t="str">
        <f t="shared" si="20"/>
        <v/>
      </c>
      <c r="M35" s="18" t="str">
        <f t="shared" si="20"/>
        <v/>
      </c>
      <c r="N35" s="18" t="str">
        <f t="shared" si="20"/>
        <v/>
      </c>
      <c r="O35" s="18">
        <f t="shared" si="20"/>
        <v>2</v>
      </c>
      <c r="P35" s="18" t="str">
        <f t="shared" si="20"/>
        <v/>
      </c>
      <c r="Q35" s="18" t="str">
        <f t="shared" si="20"/>
        <v/>
      </c>
      <c r="R35" s="18" t="str">
        <f t="shared" si="20"/>
        <v/>
      </c>
      <c r="S35" s="18">
        <f t="shared" si="20"/>
        <v>3</v>
      </c>
      <c r="T35" s="18" t="str">
        <f t="shared" si="20"/>
        <v/>
      </c>
      <c r="U35" s="18" t="str">
        <f t="shared" si="20"/>
        <v/>
      </c>
      <c r="V35" s="18" t="str">
        <f t="shared" si="20"/>
        <v/>
      </c>
      <c r="W35" s="18" t="str">
        <f t="shared" si="20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cm="1">
        <f t="array" ref="J36">IFERROR(INDEX( $G$9:$G$17, _xlfn.XMATCH("Yes", (J$9:J$17),1)),T(1))</f>
        <v>2</v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1</v>
      </c>
      <c r="J52" s="18">
        <f ca="1">(J30-I30)*(J30&gt;I30)</f>
        <v>22.5</v>
      </c>
      <c r="K52" s="18">
        <f t="shared" ref="K52:W52" ca="1" si="21">(K30-J30)*(K30&gt;J30)</f>
        <v>0</v>
      </c>
      <c r="L52" s="18">
        <f t="shared" ca="1" si="21"/>
        <v>1</v>
      </c>
      <c r="M52" s="18">
        <f t="shared" ca="1" si="21"/>
        <v>0</v>
      </c>
      <c r="N52" s="18">
        <f t="shared" ca="1" si="21"/>
        <v>1</v>
      </c>
      <c r="O52" s="18">
        <f t="shared" ca="1" si="21"/>
        <v>17.5</v>
      </c>
      <c r="P52" s="18">
        <f t="shared" ca="1" si="21"/>
        <v>0</v>
      </c>
      <c r="Q52" s="18">
        <f t="shared" ca="1" si="21"/>
        <v>0</v>
      </c>
      <c r="R52" s="18">
        <f t="shared" ca="1" si="21"/>
        <v>0</v>
      </c>
      <c r="S52" s="18">
        <f t="shared" ca="1" si="21"/>
        <v>32.5</v>
      </c>
      <c r="T52" s="18">
        <f t="shared" ca="1" si="21"/>
        <v>0</v>
      </c>
      <c r="U52" s="18">
        <f t="shared" ca="1" si="21"/>
        <v>0</v>
      </c>
      <c r="V52" s="18">
        <f t="shared" ca="1" si="21"/>
        <v>0</v>
      </c>
      <c r="W52" s="18">
        <f t="shared" ca="1" si="21"/>
        <v>0</v>
      </c>
    </row>
    <row r="53" spans="7:23" x14ac:dyDescent="0.2">
      <c r="G53" t="s">
        <v>101</v>
      </c>
      <c r="I53" s="18">
        <f ca="1">I52^2</f>
        <v>1</v>
      </c>
      <c r="J53" s="18">
        <f t="shared" ref="J53:W53" ca="1" si="22">J52^2</f>
        <v>506.25</v>
      </c>
      <c r="K53" s="18">
        <f t="shared" ca="1" si="22"/>
        <v>0</v>
      </c>
      <c r="L53" s="18">
        <f t="shared" ca="1" si="22"/>
        <v>1</v>
      </c>
      <c r="M53" s="18">
        <f t="shared" ca="1" si="22"/>
        <v>0</v>
      </c>
      <c r="N53" s="18">
        <f t="shared" ca="1" si="22"/>
        <v>1</v>
      </c>
      <c r="O53" s="18">
        <f t="shared" ca="1" si="22"/>
        <v>306.25</v>
      </c>
      <c r="P53" s="18">
        <f t="shared" ca="1" si="22"/>
        <v>0</v>
      </c>
      <c r="Q53" s="18">
        <f t="shared" ca="1" si="22"/>
        <v>0</v>
      </c>
      <c r="R53" s="18">
        <f t="shared" ca="1" si="22"/>
        <v>0</v>
      </c>
      <c r="S53" s="18">
        <f t="shared" ca="1" si="22"/>
        <v>1056.25</v>
      </c>
      <c r="T53" s="18">
        <f t="shared" ca="1" si="22"/>
        <v>0</v>
      </c>
      <c r="U53" s="18">
        <f t="shared" ca="1" si="22"/>
        <v>0</v>
      </c>
      <c r="V53" s="18">
        <f t="shared" ca="1" si="22"/>
        <v>0</v>
      </c>
      <c r="W53" s="18">
        <f t="shared" ca="1" si="22"/>
        <v>0</v>
      </c>
    </row>
  </sheetData>
  <mergeCells count="3">
    <mergeCell ref="I1:W1"/>
    <mergeCell ref="F3:F7"/>
    <mergeCell ref="H31:H33"/>
  </mergeCells>
  <conditionalFormatting sqref="I30:W30">
    <cfRule type="cellIs" dxfId="15" priority="14" operator="between">
      <formula>(2/3)*$D$19</formula>
      <formula>(3/2)*$D$19</formula>
    </cfRule>
    <cfRule type="cellIs" dxfId="14" priority="15" operator="lessThan">
      <formula>(2/3)*$D$19</formula>
    </cfRule>
    <cfRule type="cellIs" dxfId="13" priority="16" operator="greaterThanOrEqual">
      <formula>1.5*$D$19</formula>
    </cfRule>
  </conditionalFormatting>
  <conditionalFormatting sqref="H30">
    <cfRule type="cellIs" dxfId="12" priority="12" stopIfTrue="1" operator="equal">
      <formula>$B$6*10</formula>
    </cfRule>
    <cfRule type="cellIs" dxfId="11" priority="13" operator="notEqual">
      <formula>$B$6*10</formula>
    </cfRule>
  </conditionalFormatting>
  <conditionalFormatting sqref="I20:W21 I23:W29">
    <cfRule type="beginsWith" dxfId="10" priority="11" stopIfTrue="1" operator="beginsWith" text="0">
      <formula>LEFT(I20,LEN("0"))="0"</formula>
    </cfRule>
  </conditionalFormatting>
  <conditionalFormatting sqref="B18">
    <cfRule type="expression" dxfId="9" priority="10">
      <formula>B18&lt;&gt;$B$7</formula>
    </cfRule>
  </conditionalFormatting>
  <conditionalFormatting sqref="C18">
    <cfRule type="expression" dxfId="8" priority="9">
      <formula>$B$18&lt;&gt;$B$7</formula>
    </cfRule>
  </conditionalFormatting>
  <conditionalFormatting sqref="H31">
    <cfRule type="expression" dxfId="7" priority="8">
      <formula>ABS($H$30-$D$6&gt;=1)</formula>
    </cfRule>
  </conditionalFormatting>
  <conditionalFormatting sqref="B7">
    <cfRule type="expression" dxfId="6" priority="7">
      <formula>($B$7&lt;&gt;SUM($B$9:$B$17))</formula>
    </cfRule>
  </conditionalFormatting>
  <conditionalFormatting sqref="I31:T33">
    <cfRule type="beginsWith" dxfId="5" priority="5" stopIfTrue="1" operator="beginsWith" text="0">
      <formula>LEFT(I31,LEN("0"))="0"</formula>
    </cfRule>
  </conditionalFormatting>
  <conditionalFormatting sqref="N34">
    <cfRule type="beginsWith" dxfId="4" priority="6" stopIfTrue="1" operator="beginsWith" text="0">
      <formula>LEFT(N34,LEN("0"))="0"</formula>
    </cfRule>
  </conditionalFormatting>
  <conditionalFormatting sqref="D9:D14 D16:D17">
    <cfRule type="cellIs" dxfId="3" priority="4" operator="equal">
      <formula>0</formula>
    </cfRule>
  </conditionalFormatting>
  <conditionalFormatting sqref="X22:Y22">
    <cfRule type="beginsWith" dxfId="2" priority="3" stopIfTrue="1" operator="beginsWith" text="0">
      <formula>LEFT(X22,LEN("0"))="0"</formula>
    </cfRule>
  </conditionalFormatting>
  <conditionalFormatting sqref="I22:W22">
    <cfRule type="beginsWith" dxfId="1" priority="2" stopIfTrue="1" operator="beginsWith" text="0">
      <formula>LEFT(I22,LEN("0"))="0"</formula>
    </cfRule>
  </conditionalFormatting>
  <conditionalFormatting sqref="D15">
    <cfRule type="cellIs" dxfId="0" priority="1" operator="equal">
      <formula>0</formula>
    </cfRule>
  </conditionalFormatting>
  <dataValidations count="7">
    <dataValidation type="list" errorStyle="warning" allowBlank="1" showInputMessage="1" showErrorMessage="1" errorTitle="Non-standard credit weighting" promptTitle="Credit value" sqref="D5" xr:uid="{E7ACD382-CFD8-7241-AAA7-88A5597A3E40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CE952332-BC85-634B-8F58-09CAC1BB3B37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3958FA40-030D-954A-A422-FCFC8C08737B}">
      <formula1>"1,2"</formula1>
    </dataValidation>
    <dataValidation errorStyle="warning" allowBlank="1" showInputMessage="1" showErrorMessage="1" errorTitle="Non-standard credit weighting" promptTitle="Credit value" sqref="B6" xr:uid="{49D29142-2E50-7241-A9C3-55CC2AE36A61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4F50A40A-0183-B240-9961-EF2B3CDA5F08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0C826A40-65A6-E94F-869A-BC58DC07101F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749CDB72-ABAC-9C4F-A885-7C2746F234DA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5C0B-6E93-C847-8D54-24ACEF7F014D}">
  <dimension ref="A1:AD53"/>
  <sheetViews>
    <sheetView zoomScaleNormal="90" workbookViewId="0">
      <selection activeCell="C13" sqref="C1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148</v>
      </c>
      <c r="B2" s="37" t="s">
        <v>147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96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150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1</v>
      </c>
      <c r="N3" s="137">
        <f t="shared" si="0"/>
        <v>0</v>
      </c>
      <c r="O3" s="137">
        <f t="shared" si="0"/>
        <v>2</v>
      </c>
      <c r="P3" s="137">
        <f t="shared" si="0"/>
        <v>0</v>
      </c>
      <c r="Q3" s="137">
        <f t="shared" si="0"/>
        <v>3</v>
      </c>
      <c r="R3" s="137">
        <f t="shared" si="0"/>
        <v>0</v>
      </c>
      <c r="S3" s="137">
        <f t="shared" si="0"/>
        <v>4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149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1</v>
      </c>
      <c r="N5" s="85">
        <f t="shared" ca="1" si="1"/>
        <v>0</v>
      </c>
      <c r="O5" s="85">
        <f t="shared" ca="1" si="1"/>
        <v>1</v>
      </c>
      <c r="P5" s="85">
        <f t="shared" ca="1" si="1"/>
        <v>0</v>
      </c>
      <c r="Q5" s="85">
        <f t="shared" ca="1" si="1"/>
        <v>1</v>
      </c>
      <c r="R5" s="85">
        <f t="shared" ca="1" si="1"/>
        <v>0</v>
      </c>
      <c r="S5" s="85">
        <f t="shared" ca="1" si="1"/>
        <v>1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50</v>
      </c>
      <c r="D7">
        <f>B6*10*B7/100</f>
        <v>75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1</v>
      </c>
      <c r="N7" s="85">
        <f t="shared" ca="1" si="2"/>
        <v>0</v>
      </c>
      <c r="O7" s="85">
        <f t="shared" ca="1" si="2"/>
        <v>1</v>
      </c>
      <c r="P7" s="85">
        <f t="shared" ca="1" si="2"/>
        <v>0</v>
      </c>
      <c r="Q7" s="85">
        <f t="shared" ca="1" si="2"/>
        <v>1</v>
      </c>
      <c r="R7" s="85">
        <f t="shared" ca="1" si="2"/>
        <v>0</v>
      </c>
      <c r="S7" s="85">
        <f t="shared" ca="1" si="2"/>
        <v>1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4</v>
      </c>
      <c r="I8" s="81" t="str" cm="1">
        <f t="array" ref="I8">IFERROR(INDEX($C9:$C17,MATCH(TRUE,I9:I17&lt;&gt;"",0)),"")</f>
        <v/>
      </c>
      <c r="J8" s="81" t="str" cm="1">
        <f t="array" ref="J8">IFERROR(INDEX($C9:$C17,MATCH(TRUE,J9:J17&lt;&gt;"",0)),"")</f>
        <v/>
      </c>
      <c r="K8" s="81" t="str" cm="1">
        <f t="array" ref="K8">IFERROR(INDEX($C9:$C17,MATCH(TRUE,K9:K17&lt;&gt;"",0)),"")</f>
        <v/>
      </c>
      <c r="L8" s="81" t="str" cm="1">
        <f t="array" ref="L8">IFERROR(INDEX($C9:$C17,MATCH(TRUE,L9:L17&lt;&gt;"",0)),"")</f>
        <v/>
      </c>
      <c r="M8" s="81"/>
      <c r="N8" s="81" t="str" cm="1">
        <f t="array" ref="N8">IFERROR(INDEX($C9:$C17,MATCH(TRUE,N9:N17&lt;&gt;"",0)),"")</f>
        <v/>
      </c>
      <c r="O8" s="81"/>
      <c r="P8" s="81" t="str" cm="1">
        <f t="array" ref="P8">IFERROR(INDEX($C9:$C17,MATCH(TRUE,P9:P17&lt;&gt;"",0)),"")</f>
        <v/>
      </c>
      <c r="Q8" s="81"/>
      <c r="R8" s="81" t="str" cm="1">
        <f t="array" ref="R8">IFERROR(INDEX($C9:$C17,MATCH(TRUE,R9:R17&lt;&gt;"",0)),"")</f>
        <v/>
      </c>
      <c r="S8" s="81"/>
      <c r="T8" s="81" t="str" cm="1">
        <f t="array" ref="T8">IFERROR(INDEX($C9:$C17,MATCH(TRUE,T9:T17&lt;&gt;"",0)),"")</f>
        <v/>
      </c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4" x14ac:dyDescent="0.2">
      <c r="A9" t="s">
        <v>58</v>
      </c>
      <c r="B9" s="46">
        <v>10</v>
      </c>
      <c r="C9" s="40" t="s">
        <v>315</v>
      </c>
      <c r="D9">
        <f>B$6*10*B9/100</f>
        <v>15</v>
      </c>
      <c r="E9" s="29">
        <v>1</v>
      </c>
      <c r="F9" s="42"/>
      <c r="G9" s="30">
        <v>5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>Yes</v>
      </c>
      <c r="N9" s="19" t="str">
        <f t="shared" si="3"/>
        <v/>
      </c>
      <c r="O9" s="97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10</v>
      </c>
      <c r="C10" s="40" t="s">
        <v>316</v>
      </c>
      <c r="D10">
        <f>B$6*10*B10/100</f>
        <v>15</v>
      </c>
      <c r="E10" s="31">
        <v>1</v>
      </c>
      <c r="F10" s="43"/>
      <c r="G10" s="32">
        <v>7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97" t="str">
        <f t="shared" si="3"/>
        <v>Yes</v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20</v>
      </c>
      <c r="C11" s="40" t="s">
        <v>78</v>
      </c>
      <c r="D11">
        <f t="shared" ref="D11:D17" si="5">B$6*10*B11/100</f>
        <v>30</v>
      </c>
      <c r="E11" s="31">
        <v>1</v>
      </c>
      <c r="F11" s="43"/>
      <c r="G11" s="32">
        <v>9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97" t="str">
        <f t="shared" si="3"/>
        <v/>
      </c>
      <c r="P11" s="19" t="str">
        <f t="shared" si="3"/>
        <v/>
      </c>
      <c r="Q11" s="19" t="str">
        <f t="shared" si="3"/>
        <v>Yes</v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10</v>
      </c>
      <c r="C12" s="40" t="s">
        <v>317</v>
      </c>
      <c r="D12">
        <f t="shared" si="5"/>
        <v>15</v>
      </c>
      <c r="E12" s="31">
        <v>1</v>
      </c>
      <c r="F12" s="43"/>
      <c r="G12" s="32">
        <v>11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97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>Yes</v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97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97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97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97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97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16" customHeight="1" x14ac:dyDescent="0.2">
      <c r="A18" s="28" t="s">
        <v>77</v>
      </c>
      <c r="B18" s="28">
        <f>SUM(B9:B17)</f>
        <v>50</v>
      </c>
      <c r="C18" s="59" t="str">
        <f>IF(B18=B7,"% ok","% credits do not add up to stated value")</f>
        <v>% ok</v>
      </c>
      <c r="D18" s="59">
        <f>SUM(D9:D17)</f>
        <v>75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>SUM(I53:W53)</f>
        <v>756.23</v>
      </c>
      <c r="G20" s="11" t="s">
        <v>82</v>
      </c>
      <c r="H20" s="21">
        <f>SUM(I20:W20)</f>
        <v>24</v>
      </c>
      <c r="I20" s="14">
        <v>2</v>
      </c>
      <c r="J20" s="14">
        <v>2</v>
      </c>
      <c r="K20" s="14">
        <v>2</v>
      </c>
      <c r="L20" s="14">
        <v>3</v>
      </c>
      <c r="M20" s="14">
        <v>2</v>
      </c>
      <c r="N20" s="14">
        <v>2</v>
      </c>
      <c r="O20" s="98">
        <v>0</v>
      </c>
      <c r="P20" s="14">
        <v>3</v>
      </c>
      <c r="Q20" s="14">
        <v>2</v>
      </c>
      <c r="R20" s="14">
        <v>2</v>
      </c>
      <c r="S20" s="14">
        <v>2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si="6">SUM(I21:W21)</f>
        <v>60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98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>U34*U31</f>
        <v>6.3</v>
      </c>
      <c r="V21" s="14">
        <f>U34*V31</f>
        <v>12.6</v>
      </c>
      <c r="W21" s="14">
        <f>U34*W31</f>
        <v>23.1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si="6"/>
        <v>4</v>
      </c>
      <c r="I22" s="10" cm="1">
        <f t="array" ref="I22">IFERROR(INDEX($E$9:$E$17,_xlfn.XMATCH("Yes",I$9:I$17)),0)</f>
        <v>0</v>
      </c>
      <c r="J22" s="10" cm="1">
        <f t="array" ref="J22">IFERROR(INDEX($E$9:$E$17,_xlfn.XMATCH("Yes",J$9:J$17)),0)</f>
        <v>0</v>
      </c>
      <c r="K22" s="10" cm="1">
        <f t="array" ref="K22">IFERROR(INDEX($E$9:$E$17,_xlfn.XMATCH("Yes",K$9:K$17)),0)</f>
        <v>0</v>
      </c>
      <c r="L22" s="10" cm="1">
        <f t="array" ref="L22">IFERROR(INDEX($E$9:$E$17,_xlfn.XMATCH("Yes",L$9:L$17)),0)</f>
        <v>0</v>
      </c>
      <c r="M22" s="10" cm="1">
        <f t="array" ref="M22">IFERROR(INDEX($E$9:$E$17,_xlfn.XMATCH("Yes",M$9:M$17)),0)</f>
        <v>1</v>
      </c>
      <c r="N22" s="10" cm="1">
        <f t="array" ref="N22">IFERROR(INDEX($E$9:$E$17,_xlfn.XMATCH("Yes",N$9:N$17)),0)</f>
        <v>0</v>
      </c>
      <c r="O22" s="96" cm="1">
        <f t="array" ref="O22">IFERROR(INDEX($E$9:$E$17,_xlfn.XMATCH("Yes",O$9:O$17)),0)</f>
        <v>1</v>
      </c>
      <c r="P22" s="10" cm="1">
        <f t="array" ref="P22">IFERROR(INDEX($E$9:$E$17,_xlfn.XMATCH("Yes",P$9:P$17)),0)</f>
        <v>0</v>
      </c>
      <c r="Q22" s="10" cm="1">
        <f t="array" ref="Q22">IFERROR(INDEX($E$9:$E$17,_xlfn.XMATCH("Yes",Q$9:Q$17)),0)</f>
        <v>1</v>
      </c>
      <c r="R22" s="10" cm="1">
        <f t="array" ref="R22">IFERROR(INDEX($E$9:$E$17,_xlfn.XMATCH("Yes",R$9:R$17)),0)</f>
        <v>0</v>
      </c>
      <c r="S22" s="10" cm="1">
        <f t="array" ref="S22">IFERROR(INDEX($E$9:$E$17,_xlfn.XMATCH("Yes",S$9:S$17)),0)</f>
        <v>1</v>
      </c>
      <c r="T22" s="13" cm="1">
        <f t="array" ref="T22">IFERROR(INDEX($E$9:$E$17,_xlfn.XMATCH("Yes",T$9:T$17)),0)</f>
        <v>0</v>
      </c>
      <c r="U22" s="10" cm="1">
        <f t="array" ref="U22">IFERROR(INDEX($E$9:$E$17,_xlfn.XMATCH("Yes",U$9:U$17)),0)</f>
        <v>0</v>
      </c>
      <c r="V22" s="10" cm="1">
        <f t="array" ref="V22">IFERROR(INDEX($E$9:$E$17,_xlfn.XMATCH("Yes",V$9:V$17)),0)</f>
        <v>0</v>
      </c>
      <c r="W22" s="10" cm="1">
        <f t="array" ref="W22">IFERROR(INDEX($E$9:$E$17,_xlfn.XMATCH("Yes",W$9:W$17)),0)</f>
        <v>0</v>
      </c>
    </row>
    <row r="23" spans="1:30" x14ac:dyDescent="0.2">
      <c r="G23" s="11" t="s">
        <v>98</v>
      </c>
      <c r="H23" s="21"/>
      <c r="I23" s="61">
        <f>SUM(I20:I22)</f>
        <v>3</v>
      </c>
      <c r="J23" s="61">
        <f>MIN(12/$B$8 + 1,I23+SUM(J20:J22))</f>
        <v>4</v>
      </c>
      <c r="K23" s="61">
        <f t="shared" ref="K23:T23" si="7">MIN(12/$B$8 + 1,J23+SUM(K20:K22))</f>
        <v>4</v>
      </c>
      <c r="L23" s="61">
        <f t="shared" si="7"/>
        <v>4</v>
      </c>
      <c r="M23" s="61">
        <f t="shared" si="7"/>
        <v>4</v>
      </c>
      <c r="N23" s="61">
        <f t="shared" si="7"/>
        <v>4</v>
      </c>
      <c r="O23" s="99">
        <f t="shared" si="7"/>
        <v>4</v>
      </c>
      <c r="P23" s="61">
        <f t="shared" si="7"/>
        <v>4</v>
      </c>
      <c r="Q23" s="61">
        <f t="shared" si="7"/>
        <v>4</v>
      </c>
      <c r="R23" s="61">
        <f t="shared" si="7"/>
        <v>4</v>
      </c>
      <c r="S23" s="61">
        <f t="shared" si="7"/>
        <v>4</v>
      </c>
      <c r="T23" s="61">
        <f t="shared" si="7"/>
        <v>4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8">(IFERROR(_xlfn.XMATCH("Yes",I$9:I$17),0)&gt;0)*1</f>
        <v>0</v>
      </c>
      <c r="J24" s="24">
        <f t="shared" si="8"/>
        <v>0</v>
      </c>
      <c r="K24" s="24">
        <f t="shared" si="8"/>
        <v>0</v>
      </c>
      <c r="L24" s="24">
        <f t="shared" si="8"/>
        <v>0</v>
      </c>
      <c r="M24" s="24">
        <f t="shared" si="8"/>
        <v>1</v>
      </c>
      <c r="N24" s="24">
        <f>(IFERROR(_xlfn.XMATCH("Yes",N$9:N$17),0)&gt;0)*1</f>
        <v>0</v>
      </c>
      <c r="O24" s="100">
        <f t="shared" ref="O24:W24" si="9">(IFERROR(_xlfn.XMATCH("Yes",O$9:O$17),0)&gt;0)*1</f>
        <v>1</v>
      </c>
      <c r="P24" s="24">
        <f t="shared" si="9"/>
        <v>0</v>
      </c>
      <c r="Q24" s="24">
        <f t="shared" si="9"/>
        <v>1</v>
      </c>
      <c r="R24" s="24">
        <f t="shared" si="9"/>
        <v>0</v>
      </c>
      <c r="S24" s="24">
        <f t="shared" si="9"/>
        <v>1</v>
      </c>
      <c r="T24" s="26">
        <f t="shared" si="9"/>
        <v>0</v>
      </c>
      <c r="U24" s="24">
        <f t="shared" si="9"/>
        <v>0</v>
      </c>
      <c r="V24" s="24">
        <f t="shared" si="9"/>
        <v>0</v>
      </c>
      <c r="W24" s="24">
        <f t="shared" si="9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15</v>
      </c>
      <c r="N25" s="22" cm="1">
        <f t="array" ref="N25">IFERROR((1+N$24)/(1+N$24)*(INDEX($D$9:$D$17,N$35)),0)</f>
        <v>0</v>
      </c>
      <c r="O25" s="101" cm="1">
        <f t="array" ref="O25">IFERROR((1+O$24)/(1+O$24)*(INDEX($D$9:$D$17,O$35)),0)</f>
        <v>15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30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15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0">-H23*I24</f>
        <v>0</v>
      </c>
      <c r="J26" s="22">
        <f t="shared" si="10"/>
        <v>0</v>
      </c>
      <c r="K26" s="22">
        <f t="shared" si="10"/>
        <v>0</v>
      </c>
      <c r="L26" s="22">
        <f t="shared" si="10"/>
        <v>0</v>
      </c>
      <c r="M26" s="22">
        <f t="shared" si="10"/>
        <v>-4</v>
      </c>
      <c r="N26" s="22">
        <f>-M23*N24</f>
        <v>0</v>
      </c>
      <c r="O26" s="101">
        <f t="shared" si="10"/>
        <v>-4</v>
      </c>
      <c r="P26" s="22">
        <f t="shared" si="10"/>
        <v>0</v>
      </c>
      <c r="Q26" s="22">
        <f t="shared" si="10"/>
        <v>-4</v>
      </c>
      <c r="R26" s="22">
        <f t="shared" si="10"/>
        <v>0</v>
      </c>
      <c r="S26" s="22">
        <f t="shared" si="10"/>
        <v>-4</v>
      </c>
      <c r="T26" s="22">
        <f t="shared" si="10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>SUM(I27:W27)</f>
        <v>47</v>
      </c>
      <c r="I27" s="25">
        <f>(I25+I26)</f>
        <v>0</v>
      </c>
      <c r="J27" s="25">
        <f>(J25+J26)</f>
        <v>0</v>
      </c>
      <c r="K27" s="25">
        <f t="shared" ref="K27:L27" si="11">MAX(0,(K25+K26)-SUM(I28:J28))</f>
        <v>0</v>
      </c>
      <c r="L27" s="25">
        <f t="shared" si="11"/>
        <v>0</v>
      </c>
      <c r="M27" s="25">
        <f>MAX(0,(M25+M26)-SUM(K28:L28))</f>
        <v>9</v>
      </c>
      <c r="N27" s="25">
        <f t="shared" ref="N27:T27" si="12">MAX(0,(N25+N26)-SUM(L28:M28))</f>
        <v>0</v>
      </c>
      <c r="O27" s="25">
        <f t="shared" si="12"/>
        <v>9</v>
      </c>
      <c r="P27" s="25">
        <f t="shared" si="12"/>
        <v>0</v>
      </c>
      <c r="Q27" s="25">
        <f t="shared" si="12"/>
        <v>20</v>
      </c>
      <c r="R27" s="25">
        <f t="shared" si="12"/>
        <v>0</v>
      </c>
      <c r="S27" s="25">
        <f t="shared" si="12"/>
        <v>9</v>
      </c>
      <c r="T27" s="25">
        <f t="shared" si="12"/>
        <v>0</v>
      </c>
      <c r="U27" s="127">
        <f t="shared" ref="U27:W27" si="13">(U25+U26)</f>
        <v>0</v>
      </c>
      <c r="V27" s="25">
        <f t="shared" si="13"/>
        <v>0</v>
      </c>
      <c r="W27" s="25">
        <f t="shared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12</v>
      </c>
      <c r="I28" s="10">
        <v>0</v>
      </c>
      <c r="J28" s="10">
        <v>0</v>
      </c>
      <c r="K28" s="10">
        <v>0</v>
      </c>
      <c r="L28" s="10">
        <v>2</v>
      </c>
      <c r="M28" s="10">
        <v>0</v>
      </c>
      <c r="N28" s="10">
        <v>2</v>
      </c>
      <c r="O28" s="96">
        <v>2</v>
      </c>
      <c r="P28" s="10">
        <v>4</v>
      </c>
      <c r="Q28" s="10">
        <v>0</v>
      </c>
      <c r="R28" s="10">
        <v>2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98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si="15">SUM(I30:W30)</f>
        <v>150</v>
      </c>
      <c r="I30" s="16">
        <f t="shared" ref="I30:W30" si="16">I20+I21+I22+I27+I28+I29</f>
        <v>3</v>
      </c>
      <c r="J30" s="16">
        <f t="shared" si="16"/>
        <v>3</v>
      </c>
      <c r="K30" s="16">
        <f t="shared" si="16"/>
        <v>4</v>
      </c>
      <c r="L30" s="16">
        <f t="shared" si="16"/>
        <v>6</v>
      </c>
      <c r="M30" s="16">
        <f t="shared" si="16"/>
        <v>14</v>
      </c>
      <c r="N30" s="16">
        <f t="shared" si="16"/>
        <v>5</v>
      </c>
      <c r="O30" s="102">
        <f t="shared" si="16"/>
        <v>14</v>
      </c>
      <c r="P30" s="16">
        <f t="shared" si="16"/>
        <v>8</v>
      </c>
      <c r="Q30" s="16">
        <f t="shared" si="16"/>
        <v>25</v>
      </c>
      <c r="R30" s="16">
        <f t="shared" si="16"/>
        <v>5</v>
      </c>
      <c r="S30" s="16">
        <f t="shared" si="16"/>
        <v>14</v>
      </c>
      <c r="T30" s="16">
        <f t="shared" si="16"/>
        <v>4</v>
      </c>
      <c r="U30" s="65">
        <f t="shared" si="16"/>
        <v>6.3</v>
      </c>
      <c r="V30" s="16">
        <f t="shared" si="16"/>
        <v>12.6</v>
      </c>
      <c r="W30" s="16">
        <f t="shared" si="16"/>
        <v>26.1</v>
      </c>
    </row>
    <row r="31" spans="1:30" ht="21" customHeight="1" x14ac:dyDescent="0.2">
      <c r="G31" s="17" t="s">
        <v>94</v>
      </c>
      <c r="H31" s="50" t="str">
        <f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8</v>
      </c>
      <c r="N31" s="22">
        <f>(IFERROR(-N$21-MAX(MAX(0,1*MIN(6,N$2))),0)+N$25)*(1*N$24&gt;0)</f>
        <v>0</v>
      </c>
      <c r="O31" s="22">
        <f t="shared" ref="O31:T31" si="18">(IFERROR(-O$21-MAX(MAX(0,1*MIN(6,O$2))),0)+O$25)*(1*O$24&gt;0)</f>
        <v>7</v>
      </c>
      <c r="P31" s="22">
        <f t="shared" si="18"/>
        <v>0</v>
      </c>
      <c r="Q31" s="22">
        <f t="shared" si="18"/>
        <v>22</v>
      </c>
      <c r="R31" s="22">
        <f t="shared" si="18"/>
        <v>0</v>
      </c>
      <c r="S31" s="22">
        <f t="shared" si="18"/>
        <v>7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>D6-SUM(I30:T30)-W29</f>
        <v>42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>
        <f t="shared" si="19"/>
        <v>1</v>
      </c>
      <c r="N35" s="18" t="str">
        <f t="shared" si="19"/>
        <v/>
      </c>
      <c r="O35" s="18">
        <f t="shared" si="19"/>
        <v>2</v>
      </c>
      <c r="P35" s="18" t="str">
        <f t="shared" si="19"/>
        <v/>
      </c>
      <c r="Q35" s="18">
        <f t="shared" si="19"/>
        <v>3</v>
      </c>
      <c r="R35" s="18" t="str">
        <f t="shared" si="19"/>
        <v/>
      </c>
      <c r="S35" s="18">
        <f t="shared" si="19"/>
        <v>4</v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>I30</f>
        <v>3</v>
      </c>
      <c r="J52" s="18">
        <f>(J30-I30)*(J30&gt;I30)</f>
        <v>0</v>
      </c>
      <c r="K52" s="18">
        <f t="shared" ref="K52:W52" si="20">(K30-J30)*(K30&gt;J30)</f>
        <v>1</v>
      </c>
      <c r="L52" s="18">
        <f t="shared" si="20"/>
        <v>2</v>
      </c>
      <c r="M52" s="18">
        <f t="shared" si="20"/>
        <v>8</v>
      </c>
      <c r="N52" s="18">
        <f t="shared" si="20"/>
        <v>0</v>
      </c>
      <c r="O52" s="18">
        <f t="shared" si="20"/>
        <v>9</v>
      </c>
      <c r="P52" s="18">
        <f t="shared" si="20"/>
        <v>0</v>
      </c>
      <c r="Q52" s="18">
        <f t="shared" si="20"/>
        <v>17</v>
      </c>
      <c r="R52" s="18">
        <f t="shared" si="20"/>
        <v>0</v>
      </c>
      <c r="S52" s="18">
        <f t="shared" si="20"/>
        <v>9</v>
      </c>
      <c r="T52" s="18">
        <f t="shared" si="20"/>
        <v>0</v>
      </c>
      <c r="U52" s="18">
        <f t="shared" si="20"/>
        <v>2.2999999999999998</v>
      </c>
      <c r="V52" s="18">
        <f t="shared" si="20"/>
        <v>6.3</v>
      </c>
      <c r="W52" s="18">
        <f t="shared" si="20"/>
        <v>13.500000000000002</v>
      </c>
    </row>
    <row r="53" spans="7:23" x14ac:dyDescent="0.2">
      <c r="G53" t="s">
        <v>101</v>
      </c>
      <c r="I53" s="18">
        <f>I52^2</f>
        <v>9</v>
      </c>
      <c r="J53" s="18">
        <f t="shared" ref="J53:W53" si="21">J52^2</f>
        <v>0</v>
      </c>
      <c r="K53" s="18">
        <f t="shared" si="21"/>
        <v>1</v>
      </c>
      <c r="L53" s="18">
        <f t="shared" si="21"/>
        <v>4</v>
      </c>
      <c r="M53" s="18">
        <f t="shared" si="21"/>
        <v>64</v>
      </c>
      <c r="N53" s="18">
        <f t="shared" si="21"/>
        <v>0</v>
      </c>
      <c r="O53" s="18">
        <f t="shared" si="21"/>
        <v>81</v>
      </c>
      <c r="P53" s="18">
        <f t="shared" si="21"/>
        <v>0</v>
      </c>
      <c r="Q53" s="18">
        <f t="shared" si="21"/>
        <v>289</v>
      </c>
      <c r="R53" s="18">
        <f t="shared" si="21"/>
        <v>0</v>
      </c>
      <c r="S53" s="18">
        <f t="shared" si="21"/>
        <v>81</v>
      </c>
      <c r="T53" s="18">
        <f t="shared" si="21"/>
        <v>0</v>
      </c>
      <c r="U53" s="18">
        <f t="shared" si="21"/>
        <v>5.2899999999999991</v>
      </c>
      <c r="V53" s="18">
        <f t="shared" si="21"/>
        <v>39.69</v>
      </c>
      <c r="W53" s="18">
        <f t="shared" si="21"/>
        <v>182.25000000000006</v>
      </c>
    </row>
  </sheetData>
  <mergeCells count="2">
    <mergeCell ref="I1:W1"/>
    <mergeCell ref="F3:F7"/>
  </mergeCells>
  <conditionalFormatting sqref="I30:W30">
    <cfRule type="cellIs" dxfId="406" priority="11" operator="between">
      <formula>(2/3)*$D$19</formula>
      <formula>(3/2)*$D$19</formula>
    </cfRule>
    <cfRule type="cellIs" dxfId="405" priority="12" operator="lessThan">
      <formula>(2/3)*$D$19</formula>
    </cfRule>
    <cfRule type="cellIs" dxfId="404" priority="13" operator="greaterThanOrEqual">
      <formula>1.5*$D$19</formula>
    </cfRule>
  </conditionalFormatting>
  <conditionalFormatting sqref="H30">
    <cfRule type="cellIs" dxfId="403" priority="9" stopIfTrue="1" operator="equal">
      <formula>$B$6*10</formula>
    </cfRule>
    <cfRule type="cellIs" dxfId="402" priority="10" operator="notEqual">
      <formula>$B$6*10</formula>
    </cfRule>
  </conditionalFormatting>
  <conditionalFormatting sqref="I20:W29">
    <cfRule type="beginsWith" dxfId="401" priority="8" stopIfTrue="1" operator="beginsWith" text="0">
      <formula>LEFT(I20,LEN("0"))="0"</formula>
    </cfRule>
  </conditionalFormatting>
  <conditionalFormatting sqref="B18">
    <cfRule type="expression" dxfId="400" priority="7">
      <formula>B18&lt;&gt;$B$7</formula>
    </cfRule>
  </conditionalFormatting>
  <conditionalFormatting sqref="C18">
    <cfRule type="expression" dxfId="399" priority="6">
      <formula>$B$18&lt;&gt;$B$7</formula>
    </cfRule>
  </conditionalFormatting>
  <conditionalFormatting sqref="H31:H33">
    <cfRule type="expression" dxfId="398" priority="5">
      <formula>ABS($H$30-$D$6&gt;=1)</formula>
    </cfRule>
  </conditionalFormatting>
  <conditionalFormatting sqref="B7">
    <cfRule type="expression" dxfId="397" priority="4">
      <formula>($B$7&lt;&gt;SUM($B$9:$B$17))</formula>
    </cfRule>
  </conditionalFormatting>
  <conditionalFormatting sqref="I31:T33">
    <cfRule type="beginsWith" dxfId="396" priority="2" stopIfTrue="1" operator="beginsWith" text="0">
      <formula>LEFT(I31,LEN("0"))="0"</formula>
    </cfRule>
  </conditionalFormatting>
  <conditionalFormatting sqref="N34">
    <cfRule type="beginsWith" dxfId="395" priority="3" stopIfTrue="1" operator="beginsWith" text="0">
      <formula>LEFT(N34,LEN("0"))="0"</formula>
    </cfRule>
  </conditionalFormatting>
  <conditionalFormatting sqref="D9:D17">
    <cfRule type="cellIs" dxfId="394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B7E1509C-73FD-BF4F-98B0-129487DDFB1E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D66EE176-C084-6C49-A79E-DDEEEF29FDE0}">
      <formula1>"1,2"</formula1>
    </dataValidation>
    <dataValidation type="list" errorStyle="warning" allowBlank="1" showInputMessage="1" showErrorMessage="1" errorTitle="Non-standard credit weighting" promptTitle="Credit value" sqref="B6" xr:uid="{C3C2FF6F-9C4E-1340-98BE-CE70B5A9E299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24F0F26D-9846-4B43-A64F-D8441C20C475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D7ADA1F7-2B86-724A-9F46-D0AAEA0A291E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55B76501-DECF-3A44-9A19-3443CD817C9D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73C7B-AD9E-184A-A727-A4063A9B1C9F}">
  <dimension ref="A1:AD53"/>
  <sheetViews>
    <sheetView zoomScale="125" zoomScaleNormal="161" workbookViewId="0">
      <selection activeCell="K8" sqref="K8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330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 t="s">
        <v>210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1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2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209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2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2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6</v>
      </c>
      <c r="C6" t="s">
        <v>130</v>
      </c>
      <c r="D6">
        <f>B6*10</f>
        <v>60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60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2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2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f>10*15/6</f>
        <v>25</v>
      </c>
      <c r="C9" s="39" t="s">
        <v>151</v>
      </c>
      <c r="D9">
        <f>B$6*10*B9/100</f>
        <v>15</v>
      </c>
      <c r="E9" s="29">
        <v>2</v>
      </c>
      <c r="F9" s="42"/>
      <c r="G9" s="30">
        <v>4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>Yes</v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f>30*15/6</f>
        <v>75</v>
      </c>
      <c r="C10" s="40" t="s">
        <v>152</v>
      </c>
      <c r="D10">
        <f>B$6*10*B10/100</f>
        <v>45</v>
      </c>
      <c r="E10" s="31">
        <v>2</v>
      </c>
      <c r="F10" s="43"/>
      <c r="G10" s="32">
        <v>11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>Yes</v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100</v>
      </c>
      <c r="C18" s="59" t="str">
        <f>IF(B18=B7," % ok","% credits do not add up to stated value")</f>
        <v xml:space="preserve"> % ok</v>
      </c>
      <c r="D18" s="59">
        <f>SUM(D9:D17)</f>
        <v>60</v>
      </c>
      <c r="E18" s="134">
        <f>D18/B6/10*100</f>
        <v>100</v>
      </c>
      <c r="T18" s="10">
        <f>B9/100*SUM(I21:T21)</f>
        <v>3</v>
      </c>
    </row>
    <row r="19" spans="1:30" ht="16" thickBot="1" x14ac:dyDescent="0.25">
      <c r="A19" t="s">
        <v>68</v>
      </c>
      <c r="D19">
        <f>D6/15</f>
        <v>4</v>
      </c>
      <c r="E19" s="134">
        <f>SUM(E9:E16)</f>
        <v>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108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12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4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2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2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1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15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45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-10</v>
      </c>
      <c r="M26" s="22">
        <f t="shared" ca="1" si="13"/>
        <v>0</v>
      </c>
      <c r="N26" s="22">
        <f t="shared" ca="1" si="13"/>
        <v>0</v>
      </c>
      <c r="O26" s="108">
        <f t="shared" ca="1" si="13"/>
        <v>0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-22</v>
      </c>
      <c r="T26" s="22">
        <f t="shared" ca="1" si="13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18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5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13</v>
      </c>
      <c r="T27" s="25">
        <f t="shared" ca="1" si="15"/>
        <v>0</v>
      </c>
      <c r="U27" s="25">
        <f t="shared" ref="U27:W27" si="16">(U25+U26)</f>
        <v>0</v>
      </c>
      <c r="V27" s="25">
        <f t="shared" si="16"/>
        <v>0</v>
      </c>
      <c r="W27" s="25">
        <f t="shared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72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9</v>
      </c>
      <c r="M30" s="16">
        <f t="shared" ca="1" si="19"/>
        <v>4</v>
      </c>
      <c r="N30" s="16">
        <f t="shared" ca="1" si="19"/>
        <v>4</v>
      </c>
      <c r="O30" s="110">
        <f t="shared" ca="1" si="19"/>
        <v>2</v>
      </c>
      <c r="P30" s="16">
        <f t="shared" ca="1" si="19"/>
        <v>4</v>
      </c>
      <c r="Q30" s="16">
        <f t="shared" ca="1" si="19"/>
        <v>8</v>
      </c>
      <c r="R30" s="16">
        <f t="shared" ca="1" si="19"/>
        <v>10</v>
      </c>
      <c r="S30" s="16">
        <f t="shared" ca="1" si="19"/>
        <v>17</v>
      </c>
      <c r="T30" s="16">
        <f t="shared" ca="1" si="19"/>
        <v>3</v>
      </c>
      <c r="U30" s="65">
        <f t="shared" ca="1" si="19"/>
        <v>0</v>
      </c>
      <c r="V30" s="16">
        <f t="shared" ca="1" si="19"/>
        <v>0</v>
      </c>
      <c r="W30" s="16">
        <f t="shared" ca="1" si="19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10</v>
      </c>
      <c r="M31" s="22">
        <f t="shared" si="20"/>
        <v>0</v>
      </c>
      <c r="N31" s="22">
        <f t="shared" si="20"/>
        <v>0</v>
      </c>
      <c r="O31" s="108">
        <f t="shared" si="20"/>
        <v>0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38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-12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>
        <f t="shared" si="21"/>
        <v>1</v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>
        <f t="shared" si="21"/>
        <v>2</v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cm="1">
        <f t="array" ref="L36">IFERROR(INDEX( $G$9:$G$17, _xlfn.XMATCH("Yes", (L$9:L$17),1)),T(1))</f>
        <v>4</v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5</v>
      </c>
      <c r="M52" s="18">
        <f t="shared" ca="1" si="22"/>
        <v>0</v>
      </c>
      <c r="N52" s="18">
        <f t="shared" ca="1" si="22"/>
        <v>0</v>
      </c>
      <c r="O52" s="18">
        <f t="shared" ca="1" si="22"/>
        <v>0</v>
      </c>
      <c r="P52" s="18">
        <f t="shared" ca="1" si="22"/>
        <v>2</v>
      </c>
      <c r="Q52" s="18">
        <f t="shared" ca="1" si="22"/>
        <v>4</v>
      </c>
      <c r="R52" s="18">
        <f t="shared" ca="1" si="22"/>
        <v>2</v>
      </c>
      <c r="S52" s="18">
        <f t="shared" ca="1" si="22"/>
        <v>7</v>
      </c>
      <c r="T52" s="18">
        <f t="shared" ca="1" si="22"/>
        <v>0</v>
      </c>
      <c r="U52" s="18">
        <f t="shared" ca="1" si="22"/>
        <v>0</v>
      </c>
      <c r="V52" s="18">
        <f t="shared" ca="1" si="22"/>
        <v>0</v>
      </c>
      <c r="W52" s="18">
        <f t="shared" ca="1" si="22"/>
        <v>0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25</v>
      </c>
      <c r="M53" s="18">
        <f t="shared" ca="1" si="23"/>
        <v>0</v>
      </c>
      <c r="N53" s="18">
        <f t="shared" ca="1" si="23"/>
        <v>0</v>
      </c>
      <c r="O53" s="18">
        <f t="shared" ca="1" si="23"/>
        <v>0</v>
      </c>
      <c r="P53" s="18">
        <f t="shared" ca="1" si="23"/>
        <v>4</v>
      </c>
      <c r="Q53" s="18">
        <f t="shared" ca="1" si="23"/>
        <v>16</v>
      </c>
      <c r="R53" s="18">
        <f t="shared" ca="1" si="23"/>
        <v>4</v>
      </c>
      <c r="S53" s="18">
        <f t="shared" ca="1" si="23"/>
        <v>49</v>
      </c>
      <c r="T53" s="18">
        <f t="shared" ca="1" si="23"/>
        <v>0</v>
      </c>
      <c r="U53" s="18">
        <f t="shared" ca="1" si="23"/>
        <v>0</v>
      </c>
      <c r="V53" s="18">
        <f t="shared" ca="1" si="23"/>
        <v>0</v>
      </c>
      <c r="W53" s="18">
        <f t="shared" ca="1" si="23"/>
        <v>0</v>
      </c>
    </row>
  </sheetData>
  <mergeCells count="4">
    <mergeCell ref="I1:W1"/>
    <mergeCell ref="F3:F7"/>
    <mergeCell ref="H31:H33"/>
    <mergeCell ref="C11:C13"/>
  </mergeCells>
  <conditionalFormatting sqref="I30:W30">
    <cfRule type="cellIs" dxfId="393" priority="13" operator="between">
      <formula>(2/3)*$D$19</formula>
      <formula>(3/2)*$D$19</formula>
    </cfRule>
    <cfRule type="cellIs" dxfId="392" priority="14" operator="lessThan">
      <formula>(2/3)*$D$19</formula>
    </cfRule>
    <cfRule type="cellIs" dxfId="391" priority="15" operator="greaterThanOrEqual">
      <formula>1.5*$D$19</formula>
    </cfRule>
  </conditionalFormatting>
  <conditionalFormatting sqref="H30">
    <cfRule type="cellIs" dxfId="390" priority="11" stopIfTrue="1" operator="equal">
      <formula>$B$6*10</formula>
    </cfRule>
    <cfRule type="cellIs" dxfId="389" priority="12" operator="notEqual">
      <formula>$B$6*10</formula>
    </cfRule>
  </conditionalFormatting>
  <conditionalFormatting sqref="I20:W21 I23:W29">
    <cfRule type="beginsWith" dxfId="388" priority="10" stopIfTrue="1" operator="beginsWith" text="0">
      <formula>LEFT(I20,LEN("0"))="0"</formula>
    </cfRule>
  </conditionalFormatting>
  <conditionalFormatting sqref="B18">
    <cfRule type="expression" dxfId="387" priority="9">
      <formula>B18&lt;&gt;$B$7</formula>
    </cfRule>
  </conditionalFormatting>
  <conditionalFormatting sqref="C18">
    <cfRule type="expression" dxfId="386" priority="8">
      <formula>$B$18&lt;&gt;$B$7</formula>
    </cfRule>
  </conditionalFormatting>
  <conditionalFormatting sqref="H31">
    <cfRule type="expression" dxfId="385" priority="7">
      <formula>ABS($H$30-$D$6&gt;=1)</formula>
    </cfRule>
  </conditionalFormatting>
  <conditionalFormatting sqref="B7">
    <cfRule type="expression" dxfId="384" priority="6">
      <formula>($B$7&lt;&gt;SUM($B$9:$B$17))</formula>
    </cfRule>
  </conditionalFormatting>
  <conditionalFormatting sqref="I31:T33">
    <cfRule type="beginsWith" dxfId="383" priority="4" stopIfTrue="1" operator="beginsWith" text="0">
      <formula>LEFT(I31,LEN("0"))="0"</formula>
    </cfRule>
  </conditionalFormatting>
  <conditionalFormatting sqref="N34">
    <cfRule type="beginsWith" dxfId="382" priority="5" stopIfTrue="1" operator="beginsWith" text="0">
      <formula>LEFT(N34,LEN("0"))="0"</formula>
    </cfRule>
  </conditionalFormatting>
  <conditionalFormatting sqref="D9:D17">
    <cfRule type="cellIs" dxfId="381" priority="3" operator="equal">
      <formula>0</formula>
    </cfRule>
  </conditionalFormatting>
  <conditionalFormatting sqref="X22:Y22">
    <cfRule type="beginsWith" dxfId="380" priority="2" stopIfTrue="1" operator="beginsWith" text="0">
      <formula>LEFT(X22,LEN("0"))="0"</formula>
    </cfRule>
  </conditionalFormatting>
  <conditionalFormatting sqref="I22:W22">
    <cfRule type="beginsWith" dxfId="379" priority="1" stopIfTrue="1" operator="beginsWith" text="0">
      <formula>LEFT(I22,LEN("0"))="0"</formula>
    </cfRule>
  </conditionalFormatting>
  <dataValidations disablePrompts="1" count="7">
    <dataValidation type="whole" allowBlank="1" showInputMessage="1" showErrorMessage="1" promptTitle="When is this CA due?" prompt="Enter the week where the deadline for this CA is due." sqref="G9:G17" xr:uid="{E4030A20-43A6-8A43-927B-FCB2C37C0427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94704FD4-24CB-2649-8973-5884AF058080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82261C14-94A0-1F46-867F-BBE869292A39}">
      <formula1>0</formula1>
      <formula2>100</formula2>
    </dataValidation>
    <dataValidation errorStyle="warning" allowBlank="1" showInputMessage="1" showErrorMessage="1" errorTitle="Non-standard credit weighting" promptTitle="Credit value" sqref="B6" xr:uid="{31EE3D29-6862-3046-9075-C937E9ABA8A6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0B751BA4-9526-3B43-ADA8-E69D358E4BFF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2452B92C-F07D-9C4A-9318-43120C24FC93}">
      <formula1>"0,1,2,3"</formula1>
    </dataValidation>
    <dataValidation type="list" errorStyle="warning" allowBlank="1" showInputMessage="1" showErrorMessage="1" errorTitle="Non-standard credit weighting" promptTitle="Credit value" sqref="D5" xr:uid="{5E1C906D-BC72-3E4B-A4F0-7FB6FBA9D7F5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19D4A-CE39-BC4E-A573-C617E8177313}">
  <dimension ref="A1:AD53"/>
  <sheetViews>
    <sheetView topLeftCell="A2" zoomScale="125" zoomScaleNormal="161" workbookViewId="0">
      <selection activeCell="C10" sqref="C10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305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1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2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290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2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2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6</v>
      </c>
      <c r="C6" t="s">
        <v>130</v>
      </c>
      <c r="D6">
        <f>B6*10</f>
        <v>60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30</v>
      </c>
      <c r="C7" t="s">
        <v>130</v>
      </c>
      <c r="D7">
        <f>B6*10*B7/100</f>
        <v>18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2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2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15</v>
      </c>
      <c r="C9" s="39" t="s">
        <v>78</v>
      </c>
      <c r="D9">
        <f>B$6*10*B9/100</f>
        <v>9</v>
      </c>
      <c r="E9" s="29">
        <v>2</v>
      </c>
      <c r="F9" s="42"/>
      <c r="G9" s="30">
        <v>7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>Yes</v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15</v>
      </c>
      <c r="C10" s="40" t="s">
        <v>79</v>
      </c>
      <c r="D10">
        <f>B$6*10*B10/100</f>
        <v>9</v>
      </c>
      <c r="E10" s="31">
        <v>2</v>
      </c>
      <c r="F10" s="43"/>
      <c r="G10" s="32">
        <v>11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>Yes</v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30</v>
      </c>
      <c r="C18" s="59" t="str">
        <f>IF(B18=B7," % ok","% credits do not add up to stated value")</f>
        <v xml:space="preserve"> % ok</v>
      </c>
      <c r="D18" s="59">
        <f>SUM(D9:D17)</f>
        <v>18</v>
      </c>
      <c r="E18" s="134">
        <f>D18/B6/10*100</f>
        <v>30</v>
      </c>
      <c r="T18" s="10">
        <f>B9/100*SUM(I21:T21)</f>
        <v>1.7999999999999998</v>
      </c>
    </row>
    <row r="19" spans="1:30" ht="16" thickBot="1" x14ac:dyDescent="0.25">
      <c r="A19" t="s">
        <v>68</v>
      </c>
      <c r="D19">
        <f>D6/15</f>
        <v>4</v>
      </c>
      <c r="E19" s="134">
        <f>SUM(E9:E16)</f>
        <v>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48.265000000000001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ca="1" si="6">SUM(I21:W21)</f>
        <v>15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 ca="1">IF($D$5="Yes",U34*U31,0)</f>
        <v>0.44999999999999996</v>
      </c>
      <c r="V21" s="14">
        <f ca="1">IF($D$5="Yes",U34*V31,0)</f>
        <v>0.89999999999999991</v>
      </c>
      <c r="W21" s="14">
        <f ca="1">IF($D$5="Yes",U34*W31,0)</f>
        <v>1.6500000000000001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4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2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2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1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9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9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-16.5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-22</v>
      </c>
      <c r="T26" s="22">
        <f t="shared" ca="1" si="13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0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ca="1" si="16">(U25+U26)</f>
        <v>0</v>
      </c>
      <c r="V27" s="25">
        <f t="shared" ca="1" si="16"/>
        <v>0</v>
      </c>
      <c r="W27" s="25">
        <f t="shared" ca="1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60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4</v>
      </c>
      <c r="O30" s="110">
        <f t="shared" ca="1" si="19"/>
        <v>4</v>
      </c>
      <c r="P30" s="16">
        <f t="shared" ca="1" si="19"/>
        <v>4</v>
      </c>
      <c r="Q30" s="16">
        <f t="shared" ca="1" si="19"/>
        <v>8</v>
      </c>
      <c r="R30" s="16">
        <f t="shared" ca="1" si="19"/>
        <v>10</v>
      </c>
      <c r="S30" s="16">
        <f t="shared" ca="1" si="19"/>
        <v>4</v>
      </c>
      <c r="T30" s="16">
        <f t="shared" ca="1" si="19"/>
        <v>3</v>
      </c>
      <c r="U30" s="65">
        <f t="shared" ca="1" si="19"/>
        <v>0.44999999999999996</v>
      </c>
      <c r="V30" s="16">
        <f t="shared" ca="1" si="19"/>
        <v>0.89999999999999991</v>
      </c>
      <c r="W30" s="16">
        <f t="shared" ca="1" si="19"/>
        <v>4.6500000000000004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0</v>
      </c>
      <c r="O31" s="108">
        <f t="shared" si="20"/>
        <v>1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2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3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>
        <f t="shared" si="21"/>
        <v>1</v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>
        <f t="shared" si="21"/>
        <v>2</v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0</v>
      </c>
      <c r="O52" s="18">
        <f t="shared" ca="1" si="22"/>
        <v>0</v>
      </c>
      <c r="P52" s="18">
        <f t="shared" ca="1" si="22"/>
        <v>0</v>
      </c>
      <c r="Q52" s="18">
        <f t="shared" ca="1" si="22"/>
        <v>4</v>
      </c>
      <c r="R52" s="18">
        <f t="shared" ca="1" si="22"/>
        <v>2</v>
      </c>
      <c r="S52" s="18">
        <f t="shared" ca="1" si="22"/>
        <v>0</v>
      </c>
      <c r="T52" s="18">
        <f t="shared" ca="1" si="22"/>
        <v>0</v>
      </c>
      <c r="U52" s="18">
        <f t="shared" ca="1" si="22"/>
        <v>0</v>
      </c>
      <c r="V52" s="18">
        <f t="shared" ca="1" si="22"/>
        <v>0.44999999999999996</v>
      </c>
      <c r="W52" s="18">
        <f t="shared" ca="1" si="22"/>
        <v>3.7500000000000004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0</v>
      </c>
      <c r="O53" s="18">
        <f t="shared" ca="1" si="23"/>
        <v>0</v>
      </c>
      <c r="P53" s="18">
        <f t="shared" ca="1" si="23"/>
        <v>0</v>
      </c>
      <c r="Q53" s="18">
        <f t="shared" ca="1" si="23"/>
        <v>16</v>
      </c>
      <c r="R53" s="18">
        <f t="shared" ca="1" si="23"/>
        <v>4</v>
      </c>
      <c r="S53" s="18">
        <f t="shared" ca="1" si="23"/>
        <v>0</v>
      </c>
      <c r="T53" s="18">
        <f t="shared" ca="1" si="23"/>
        <v>0</v>
      </c>
      <c r="U53" s="18">
        <f t="shared" ca="1" si="23"/>
        <v>0</v>
      </c>
      <c r="V53" s="18">
        <f t="shared" ca="1" si="23"/>
        <v>0.20249999999999996</v>
      </c>
      <c r="W53" s="18">
        <f t="shared" ca="1" si="23"/>
        <v>14.062500000000004</v>
      </c>
    </row>
  </sheetData>
  <mergeCells count="4">
    <mergeCell ref="I1:W1"/>
    <mergeCell ref="F3:F7"/>
    <mergeCell ref="C11:C13"/>
    <mergeCell ref="H31:H33"/>
  </mergeCells>
  <conditionalFormatting sqref="I30:W30">
    <cfRule type="cellIs" dxfId="378" priority="13" operator="between">
      <formula>(2/3)*$D$19</formula>
      <formula>(3/2)*$D$19</formula>
    </cfRule>
    <cfRule type="cellIs" dxfId="377" priority="14" operator="lessThan">
      <formula>(2/3)*$D$19</formula>
    </cfRule>
    <cfRule type="cellIs" dxfId="376" priority="15" operator="greaterThanOrEqual">
      <formula>1.5*$D$19</formula>
    </cfRule>
  </conditionalFormatting>
  <conditionalFormatting sqref="H30">
    <cfRule type="cellIs" dxfId="375" priority="11" stopIfTrue="1" operator="equal">
      <formula>$B$6*10</formula>
    </cfRule>
    <cfRule type="cellIs" dxfId="374" priority="12" operator="notEqual">
      <formula>$B$6*10</formula>
    </cfRule>
  </conditionalFormatting>
  <conditionalFormatting sqref="I20:W21 I23:W29">
    <cfRule type="beginsWith" dxfId="373" priority="10" stopIfTrue="1" operator="beginsWith" text="0">
      <formula>LEFT(I20,LEN("0"))="0"</formula>
    </cfRule>
  </conditionalFormatting>
  <conditionalFormatting sqref="B18">
    <cfRule type="expression" dxfId="372" priority="9">
      <formula>B18&lt;&gt;$B$7</formula>
    </cfRule>
  </conditionalFormatting>
  <conditionalFormatting sqref="C18">
    <cfRule type="expression" dxfId="371" priority="8">
      <formula>$B$18&lt;&gt;$B$7</formula>
    </cfRule>
  </conditionalFormatting>
  <conditionalFormatting sqref="H31">
    <cfRule type="expression" dxfId="370" priority="7">
      <formula>ABS($H$30-$D$6&gt;=1)</formula>
    </cfRule>
  </conditionalFormatting>
  <conditionalFormatting sqref="B7">
    <cfRule type="expression" dxfId="369" priority="6">
      <formula>($B$7&lt;&gt;SUM($B$9:$B$17))</formula>
    </cfRule>
  </conditionalFormatting>
  <conditionalFormatting sqref="I31:T33">
    <cfRule type="beginsWith" dxfId="368" priority="4" stopIfTrue="1" operator="beginsWith" text="0">
      <formula>LEFT(I31,LEN("0"))="0"</formula>
    </cfRule>
  </conditionalFormatting>
  <conditionalFormatting sqref="N34">
    <cfRule type="beginsWith" dxfId="367" priority="5" stopIfTrue="1" operator="beginsWith" text="0">
      <formula>LEFT(N34,LEN("0"))="0"</formula>
    </cfRule>
  </conditionalFormatting>
  <conditionalFormatting sqref="D9:D17">
    <cfRule type="cellIs" dxfId="366" priority="3" operator="equal">
      <formula>0</formula>
    </cfRule>
  </conditionalFormatting>
  <conditionalFormatting sqref="X22:Y22">
    <cfRule type="beginsWith" dxfId="365" priority="2" stopIfTrue="1" operator="beginsWith" text="0">
      <formula>LEFT(X22,LEN("0"))="0"</formula>
    </cfRule>
  </conditionalFormatting>
  <conditionalFormatting sqref="I22:W22">
    <cfRule type="beginsWith" dxfId="364" priority="1" stopIfTrue="1" operator="beginsWith" text="0">
      <formula>LEFT(I22,LEN("0"))="0"</formula>
    </cfRule>
  </conditionalFormatting>
  <dataValidations count="7">
    <dataValidation type="list" errorStyle="warning" allowBlank="1" showInputMessage="1" showErrorMessage="1" errorTitle="Non-standard credit weighting" promptTitle="Credit value" sqref="D5" xr:uid="{764E9A9A-89AD-5948-89D3-80CAD7B55554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D009234D-007C-CE4E-BF9A-BF2D14B87DC7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19619A8C-C852-CB48-B1F8-558BBBCCCA9F}">
      <formula1>"1,2"</formula1>
    </dataValidation>
    <dataValidation errorStyle="warning" allowBlank="1" showInputMessage="1" showErrorMessage="1" errorTitle="Non-standard credit weighting" promptTitle="Credit value" sqref="B6" xr:uid="{4DD5DA1E-015D-2F4F-ADFC-FEE66F59A87D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721972A3-1490-4748-9BCB-552822B8750E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8492DC4E-0243-1749-8AEE-03D6E02BFAA9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6CC290DF-21B6-464A-BC65-18F24A051F1A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D1A7D-9270-B64F-9C4F-3B2D5B15C23F}">
  <dimension ref="A1:AD53"/>
  <sheetViews>
    <sheetView topLeftCell="A2" zoomScale="125" zoomScaleNormal="161" workbookViewId="0">
      <selection activeCell="I8" sqref="I8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323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1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290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2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2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6</v>
      </c>
      <c r="C6" t="s">
        <v>130</v>
      </c>
      <c r="D6">
        <f>B6*10</f>
        <v>60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30</v>
      </c>
      <c r="C7" t="s">
        <v>130</v>
      </c>
      <c r="D7">
        <f>B6*10*B7/100</f>
        <v>18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2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2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15</v>
      </c>
      <c r="C9" s="39" t="s">
        <v>78</v>
      </c>
      <c r="D9">
        <f>B$6*10*B9/100</f>
        <v>9</v>
      </c>
      <c r="E9" s="29">
        <v>2</v>
      </c>
      <c r="F9" s="42"/>
      <c r="G9" s="30">
        <v>8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>Yes</v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15</v>
      </c>
      <c r="C10" s="40" t="s">
        <v>79</v>
      </c>
      <c r="D10">
        <f>B$6*10*B10/100</f>
        <v>9</v>
      </c>
      <c r="E10" s="31">
        <v>2</v>
      </c>
      <c r="F10" s="43"/>
      <c r="G10" s="32">
        <v>12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>Yes</v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30</v>
      </c>
      <c r="C18" s="59" t="str">
        <f>IF(B18=B7," % ok","% credits do not add up to stated value")</f>
        <v xml:space="preserve"> % ok</v>
      </c>
      <c r="D18" s="59">
        <f>SUM(D9:D17)</f>
        <v>18</v>
      </c>
      <c r="E18" s="134">
        <f>D18/B6/10*100</f>
        <v>30</v>
      </c>
      <c r="T18" s="10">
        <f>B9/100*SUM(I21:T21)</f>
        <v>1.7999999999999998</v>
      </c>
    </row>
    <row r="19" spans="1:30" ht="16" thickBot="1" x14ac:dyDescent="0.25">
      <c r="A19" t="s">
        <v>68</v>
      </c>
      <c r="D19">
        <f>D6/15</f>
        <v>4</v>
      </c>
      <c r="E19" s="134">
        <f>SUM(E9:E16)</f>
        <v>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61.265000000000001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ca="1" si="6">SUM(I21:W21)</f>
        <v>15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 ca="1">IF($D$5="Yes",U34*U31,0)</f>
        <v>0.44999999999999996</v>
      </c>
      <c r="V21" s="14">
        <f ca="1">IF($D$5="Yes",U34*V31,0)</f>
        <v>0.89999999999999991</v>
      </c>
      <c r="W21" s="14">
        <f ca="1">IF($D$5="Yes",U34*W31,0)</f>
        <v>1.6500000000000001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4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2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2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1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9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9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0</v>
      </c>
      <c r="P26" s="22">
        <f t="shared" ca="1" si="13"/>
        <v>-18.5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-22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0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ca="1" si="16">(U25+U26)</f>
        <v>0</v>
      </c>
      <c r="V27" s="25">
        <f t="shared" ca="1" si="16"/>
        <v>0</v>
      </c>
      <c r="W27" s="25">
        <f t="shared" ca="1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60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4</v>
      </c>
      <c r="O30" s="110">
        <f t="shared" ca="1" si="19"/>
        <v>2</v>
      </c>
      <c r="P30" s="16">
        <f t="shared" ca="1" si="19"/>
        <v>6</v>
      </c>
      <c r="Q30" s="16">
        <f t="shared" ca="1" si="19"/>
        <v>8</v>
      </c>
      <c r="R30" s="16">
        <f t="shared" ca="1" si="19"/>
        <v>10</v>
      </c>
      <c r="S30" s="16">
        <f t="shared" ca="1" si="19"/>
        <v>2</v>
      </c>
      <c r="T30" s="16">
        <f t="shared" ca="1" si="19"/>
        <v>5</v>
      </c>
      <c r="U30" s="65">
        <f t="shared" ca="1" si="19"/>
        <v>0.44999999999999996</v>
      </c>
      <c r="V30" s="16">
        <f t="shared" ca="1" si="19"/>
        <v>0.89999999999999991</v>
      </c>
      <c r="W30" s="16">
        <f t="shared" ca="1" si="19"/>
        <v>4.6500000000000004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0</v>
      </c>
      <c r="O31" s="108">
        <f t="shared" si="20"/>
        <v>0</v>
      </c>
      <c r="P31" s="22">
        <f t="shared" si="20"/>
        <v>2</v>
      </c>
      <c r="Q31" s="22">
        <f t="shared" si="20"/>
        <v>0</v>
      </c>
      <c r="R31" s="22">
        <f t="shared" si="20"/>
        <v>0</v>
      </c>
      <c r="S31" s="22">
        <f t="shared" si="20"/>
        <v>0</v>
      </c>
      <c r="T31" s="22">
        <f t="shared" si="20"/>
        <v>3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3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>
        <f t="shared" si="21"/>
        <v>1</v>
      </c>
      <c r="Q35" s="18" t="str">
        <f t="shared" si="21"/>
        <v/>
      </c>
      <c r="R35" s="18" t="str">
        <f t="shared" si="21"/>
        <v/>
      </c>
      <c r="S35" s="18" t="str">
        <f t="shared" si="21"/>
        <v/>
      </c>
      <c r="T35" s="18">
        <f t="shared" si="21"/>
        <v>2</v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0</v>
      </c>
      <c r="O52" s="18">
        <f t="shared" ca="1" si="22"/>
        <v>0</v>
      </c>
      <c r="P52" s="18">
        <f t="shared" ca="1" si="22"/>
        <v>4</v>
      </c>
      <c r="Q52" s="18">
        <f t="shared" ca="1" si="22"/>
        <v>2</v>
      </c>
      <c r="R52" s="18">
        <f t="shared" ca="1" si="22"/>
        <v>2</v>
      </c>
      <c r="S52" s="18">
        <f t="shared" ca="1" si="22"/>
        <v>0</v>
      </c>
      <c r="T52" s="18">
        <f t="shared" ca="1" si="22"/>
        <v>3</v>
      </c>
      <c r="U52" s="18">
        <f t="shared" ca="1" si="22"/>
        <v>0</v>
      </c>
      <c r="V52" s="18">
        <f t="shared" ca="1" si="22"/>
        <v>0.44999999999999996</v>
      </c>
      <c r="W52" s="18">
        <f t="shared" ca="1" si="22"/>
        <v>3.7500000000000004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0</v>
      </c>
      <c r="O53" s="18">
        <f t="shared" ca="1" si="23"/>
        <v>0</v>
      </c>
      <c r="P53" s="18">
        <f t="shared" ca="1" si="23"/>
        <v>16</v>
      </c>
      <c r="Q53" s="18">
        <f t="shared" ca="1" si="23"/>
        <v>4</v>
      </c>
      <c r="R53" s="18">
        <f t="shared" ca="1" si="23"/>
        <v>4</v>
      </c>
      <c r="S53" s="18">
        <f t="shared" ca="1" si="23"/>
        <v>0</v>
      </c>
      <c r="T53" s="18">
        <f t="shared" ca="1" si="23"/>
        <v>9</v>
      </c>
      <c r="U53" s="18">
        <f t="shared" ca="1" si="23"/>
        <v>0</v>
      </c>
      <c r="V53" s="18">
        <f t="shared" ca="1" si="23"/>
        <v>0.20249999999999996</v>
      </c>
      <c r="W53" s="18">
        <f t="shared" ca="1" si="23"/>
        <v>14.062500000000004</v>
      </c>
    </row>
  </sheetData>
  <mergeCells count="4">
    <mergeCell ref="I1:W1"/>
    <mergeCell ref="F3:F7"/>
    <mergeCell ref="C11:C13"/>
    <mergeCell ref="H31:H33"/>
  </mergeCells>
  <conditionalFormatting sqref="I30:W30">
    <cfRule type="cellIs" dxfId="363" priority="13" operator="between">
      <formula>(2/3)*$D$19</formula>
      <formula>(3/2)*$D$19</formula>
    </cfRule>
    <cfRule type="cellIs" dxfId="362" priority="14" operator="lessThan">
      <formula>(2/3)*$D$19</formula>
    </cfRule>
    <cfRule type="cellIs" dxfId="361" priority="15" operator="greaterThanOrEqual">
      <formula>1.5*$D$19</formula>
    </cfRule>
  </conditionalFormatting>
  <conditionalFormatting sqref="H30">
    <cfRule type="cellIs" dxfId="360" priority="11" stopIfTrue="1" operator="equal">
      <formula>$B$6*10</formula>
    </cfRule>
    <cfRule type="cellIs" dxfId="359" priority="12" operator="notEqual">
      <formula>$B$6*10</formula>
    </cfRule>
  </conditionalFormatting>
  <conditionalFormatting sqref="I20:W21 I23:W29">
    <cfRule type="beginsWith" dxfId="358" priority="10" stopIfTrue="1" operator="beginsWith" text="0">
      <formula>LEFT(I20,LEN("0"))="0"</formula>
    </cfRule>
  </conditionalFormatting>
  <conditionalFormatting sqref="B18">
    <cfRule type="expression" dxfId="357" priority="9">
      <formula>B18&lt;&gt;$B$7</formula>
    </cfRule>
  </conditionalFormatting>
  <conditionalFormatting sqref="C18">
    <cfRule type="expression" dxfId="356" priority="8">
      <formula>$B$18&lt;&gt;$B$7</formula>
    </cfRule>
  </conditionalFormatting>
  <conditionalFormatting sqref="H31">
    <cfRule type="expression" dxfId="355" priority="7">
      <formula>ABS($H$30-$D$6&gt;=1)</formula>
    </cfRule>
  </conditionalFormatting>
  <conditionalFormatting sqref="B7">
    <cfRule type="expression" dxfId="354" priority="6">
      <formula>($B$7&lt;&gt;SUM($B$9:$B$17))</formula>
    </cfRule>
  </conditionalFormatting>
  <conditionalFormatting sqref="I31:T33">
    <cfRule type="beginsWith" dxfId="353" priority="4" stopIfTrue="1" operator="beginsWith" text="0">
      <formula>LEFT(I31,LEN("0"))="0"</formula>
    </cfRule>
  </conditionalFormatting>
  <conditionalFormatting sqref="N34">
    <cfRule type="beginsWith" dxfId="352" priority="5" stopIfTrue="1" operator="beginsWith" text="0">
      <formula>LEFT(N34,LEN("0"))="0"</formula>
    </cfRule>
  </conditionalFormatting>
  <conditionalFormatting sqref="D9:D17">
    <cfRule type="cellIs" dxfId="351" priority="3" operator="equal">
      <formula>0</formula>
    </cfRule>
  </conditionalFormatting>
  <conditionalFormatting sqref="X22:Y22">
    <cfRule type="beginsWith" dxfId="350" priority="2" stopIfTrue="1" operator="beginsWith" text="0">
      <formula>LEFT(X22,LEN("0"))="0"</formula>
    </cfRule>
  </conditionalFormatting>
  <conditionalFormatting sqref="I22:W22">
    <cfRule type="beginsWith" dxfId="349" priority="1" stopIfTrue="1" operator="beginsWith" text="0">
      <formula>LEFT(I22,LEN("0"))="0"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F4472842-7EE3-E24A-B991-B8099FC668A8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D9204114-E586-5C4E-BDDA-B5B1793FBE5F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7E6DFCED-A3F6-4E46-843B-CBC4464028C6}">
      <formula1>0</formula1>
      <formula2>100</formula2>
    </dataValidation>
    <dataValidation errorStyle="warning" allowBlank="1" showInputMessage="1" showErrorMessage="1" errorTitle="Non-standard credit weighting" promptTitle="Credit value" sqref="B6" xr:uid="{E75AB693-7F88-5D4A-B06E-2987E8684599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A58B2885-1F0C-5D44-955B-A0BE09828512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57FB82B-D53C-2D41-BA07-99BC3929EAF1}">
      <formula1>"0,1,2,3"</formula1>
    </dataValidation>
    <dataValidation type="list" errorStyle="warning" allowBlank="1" showInputMessage="1" showErrorMessage="1" errorTitle="Non-standard credit weighting" promptTitle="Credit value" sqref="D5" xr:uid="{59646B1F-D0A8-3E43-9492-2C9D3FBC4A1D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DDE5-BAD4-2146-B067-5B68D8DD4CD2}">
  <dimension ref="A1:AD53"/>
  <sheetViews>
    <sheetView topLeftCell="A2" zoomScale="125" zoomScaleNormal="161" workbookViewId="0">
      <selection activeCell="D5" sqref="D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327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1</v>
      </c>
      <c r="Q3" s="137">
        <f t="shared" si="0"/>
        <v>0</v>
      </c>
      <c r="R3" s="137">
        <f t="shared" si="0"/>
        <v>0</v>
      </c>
      <c r="S3" s="137">
        <f t="shared" si="0"/>
        <v>2</v>
      </c>
      <c r="T3" s="137">
        <f t="shared" si="0"/>
        <v>3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290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2</v>
      </c>
      <c r="Q5" s="85">
        <f t="shared" ca="1" si="1"/>
        <v>0</v>
      </c>
      <c r="R5" s="85">
        <f t="shared" ca="1" si="1"/>
        <v>0</v>
      </c>
      <c r="S5" s="85">
        <f t="shared" ca="1" si="1"/>
        <v>2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C6" t="s">
        <v>130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40</v>
      </c>
      <c r="C7" t="s">
        <v>130</v>
      </c>
      <c r="D7">
        <f>B6*10*B7/100</f>
        <v>60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2</v>
      </c>
      <c r="Q7" s="85">
        <f t="shared" ca="1" si="2"/>
        <v>0</v>
      </c>
      <c r="R7" s="85">
        <f t="shared" ca="1" si="2"/>
        <v>0</v>
      </c>
      <c r="S7" s="85">
        <f t="shared" ca="1" si="2"/>
        <v>2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3</v>
      </c>
    </row>
    <row r="9" spans="1:24" ht="16" thickTop="1" x14ac:dyDescent="0.2">
      <c r="A9" t="s">
        <v>58</v>
      </c>
      <c r="B9" s="46">
        <v>10</v>
      </c>
      <c r="C9" s="39" t="s">
        <v>287</v>
      </c>
      <c r="D9">
        <f>B$6*10*B9/100</f>
        <v>15</v>
      </c>
      <c r="E9" s="29">
        <v>2</v>
      </c>
      <c r="F9" s="42"/>
      <c r="G9" s="30">
        <v>8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>Yes</v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15</v>
      </c>
      <c r="C10" s="40" t="s">
        <v>288</v>
      </c>
      <c r="D10">
        <f>B$6*10*B10/100</f>
        <v>22.5</v>
      </c>
      <c r="E10" s="31">
        <v>2</v>
      </c>
      <c r="F10" s="43"/>
      <c r="G10" s="32">
        <v>11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>Yes</v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>
        <v>15</v>
      </c>
      <c r="C11" s="40" t="s">
        <v>289</v>
      </c>
      <c r="D11">
        <f>B$6*10*B11/100</f>
        <v>22.5</v>
      </c>
      <c r="E11" s="31"/>
      <c r="F11" s="43"/>
      <c r="G11" s="32">
        <v>12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>Yes</v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55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56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40</v>
      </c>
      <c r="C18" s="59" t="str">
        <f>IF(B18=B7," % ok","% credits do not add up to stated value")</f>
        <v xml:space="preserve"> % ok</v>
      </c>
      <c r="D18" s="59">
        <f>SUM(D9:D17)</f>
        <v>60</v>
      </c>
      <c r="E18" s="134">
        <f>D18/B6/10*100</f>
        <v>40</v>
      </c>
      <c r="T18" s="10">
        <f>B9/100*SUM(I21:T21)</f>
        <v>1.2000000000000002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1041.5675000000003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ca="1" si="6">SUM(I21:W21)</f>
        <v>105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 ca="1">IF($D$5="Yes",U34*U31,0)</f>
        <v>13.95</v>
      </c>
      <c r="V21" s="14">
        <f ca="1">IF($D$5="Yes",U34*V31,0)</f>
        <v>27.9</v>
      </c>
      <c r="W21" s="14">
        <f ca="1">IF($D$5="Yes",U34*W31,0)</f>
        <v>51.150000000000006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4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2</v>
      </c>
      <c r="Q22" s="10">
        <f t="shared" ca="1" si="8"/>
        <v>0</v>
      </c>
      <c r="R22" s="10">
        <f t="shared" ca="1" si="8"/>
        <v>0</v>
      </c>
      <c r="S22" s="10">
        <f t="shared" ca="1" si="8"/>
        <v>2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1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15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22.5</v>
      </c>
      <c r="T25" s="23" cm="1">
        <f t="array" ref="T25">IFERROR((1+T$24)/(1+T$24)*(INDEX($D$9:$D$17,T$35)),0)</f>
        <v>22.5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0</v>
      </c>
      <c r="P26" s="22">
        <f t="shared" ca="1" si="13"/>
        <v>-18.5</v>
      </c>
      <c r="Q26" s="22">
        <f t="shared" ca="1" si="13"/>
        <v>0</v>
      </c>
      <c r="R26" s="22">
        <f t="shared" ca="1" si="13"/>
        <v>0</v>
      </c>
      <c r="S26" s="22">
        <f t="shared" ca="1" si="13"/>
        <v>-22</v>
      </c>
      <c r="T26" s="22">
        <f t="shared" ca="1" si="13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0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ca="1" si="16">(U25+U26)</f>
        <v>0</v>
      </c>
      <c r="V27" s="25">
        <f t="shared" ca="1" si="16"/>
        <v>0</v>
      </c>
      <c r="W27" s="25">
        <f t="shared" ca="1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150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4</v>
      </c>
      <c r="O30" s="110">
        <f t="shared" ca="1" si="19"/>
        <v>2</v>
      </c>
      <c r="P30" s="16">
        <f t="shared" ca="1" si="19"/>
        <v>6</v>
      </c>
      <c r="Q30" s="16">
        <f t="shared" ca="1" si="19"/>
        <v>8</v>
      </c>
      <c r="R30" s="16">
        <f t="shared" ca="1" si="19"/>
        <v>10</v>
      </c>
      <c r="S30" s="16">
        <f t="shared" ca="1" si="19"/>
        <v>4</v>
      </c>
      <c r="T30" s="16">
        <f t="shared" ca="1" si="19"/>
        <v>3</v>
      </c>
      <c r="U30" s="65">
        <f t="shared" ca="1" si="19"/>
        <v>13.95</v>
      </c>
      <c r="V30" s="16">
        <f t="shared" ca="1" si="19"/>
        <v>27.9</v>
      </c>
      <c r="W30" s="16">
        <f t="shared" ca="1" si="19"/>
        <v>54.150000000000006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0</v>
      </c>
      <c r="O31" s="108">
        <f t="shared" si="20"/>
        <v>0</v>
      </c>
      <c r="P31" s="22">
        <f t="shared" si="20"/>
        <v>8</v>
      </c>
      <c r="Q31" s="22">
        <f t="shared" si="20"/>
        <v>0</v>
      </c>
      <c r="R31" s="22">
        <f t="shared" si="20"/>
        <v>0</v>
      </c>
      <c r="S31" s="22">
        <f t="shared" si="20"/>
        <v>15.5</v>
      </c>
      <c r="T31" s="22">
        <f t="shared" si="20"/>
        <v>16.5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93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>
        <f t="shared" si="21"/>
        <v>1</v>
      </c>
      <c r="Q35" s="18" t="str">
        <f t="shared" si="21"/>
        <v/>
      </c>
      <c r="R35" s="18" t="str">
        <f t="shared" si="21"/>
        <v/>
      </c>
      <c r="S35" s="18">
        <f t="shared" si="21"/>
        <v>2</v>
      </c>
      <c r="T35" s="18">
        <f t="shared" si="21"/>
        <v>3</v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0</v>
      </c>
      <c r="O52" s="18">
        <f t="shared" ca="1" si="22"/>
        <v>0</v>
      </c>
      <c r="P52" s="18">
        <f t="shared" ca="1" si="22"/>
        <v>4</v>
      </c>
      <c r="Q52" s="18">
        <f t="shared" ca="1" si="22"/>
        <v>2</v>
      </c>
      <c r="R52" s="18">
        <f t="shared" ca="1" si="22"/>
        <v>2</v>
      </c>
      <c r="S52" s="18">
        <f t="shared" ca="1" si="22"/>
        <v>0</v>
      </c>
      <c r="T52" s="18">
        <f t="shared" ca="1" si="22"/>
        <v>0</v>
      </c>
      <c r="U52" s="18">
        <f t="shared" ca="1" si="22"/>
        <v>10.95</v>
      </c>
      <c r="V52" s="18">
        <f t="shared" ca="1" si="22"/>
        <v>13.95</v>
      </c>
      <c r="W52" s="18">
        <f t="shared" ca="1" si="22"/>
        <v>26.250000000000007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0</v>
      </c>
      <c r="O53" s="18">
        <f t="shared" ca="1" si="23"/>
        <v>0</v>
      </c>
      <c r="P53" s="18">
        <f t="shared" ca="1" si="23"/>
        <v>16</v>
      </c>
      <c r="Q53" s="18">
        <f t="shared" ca="1" si="23"/>
        <v>4</v>
      </c>
      <c r="R53" s="18">
        <f t="shared" ca="1" si="23"/>
        <v>4</v>
      </c>
      <c r="S53" s="18">
        <f t="shared" ca="1" si="23"/>
        <v>0</v>
      </c>
      <c r="T53" s="18">
        <f t="shared" ca="1" si="23"/>
        <v>0</v>
      </c>
      <c r="U53" s="18">
        <f t="shared" ca="1" si="23"/>
        <v>119.90249999999999</v>
      </c>
      <c r="V53" s="18">
        <f t="shared" ca="1" si="23"/>
        <v>194.60249999999999</v>
      </c>
      <c r="W53" s="18">
        <f t="shared" ca="1" si="23"/>
        <v>689.06250000000034</v>
      </c>
    </row>
  </sheetData>
  <mergeCells count="3">
    <mergeCell ref="I1:W1"/>
    <mergeCell ref="F3:F7"/>
    <mergeCell ref="H31:H33"/>
  </mergeCells>
  <conditionalFormatting sqref="I30:W30">
    <cfRule type="cellIs" dxfId="348" priority="13" operator="between">
      <formula>(2/3)*$D$19</formula>
      <formula>(3/2)*$D$19</formula>
    </cfRule>
    <cfRule type="cellIs" dxfId="347" priority="14" operator="lessThan">
      <formula>(2/3)*$D$19</formula>
    </cfRule>
    <cfRule type="cellIs" dxfId="346" priority="15" operator="greaterThanOrEqual">
      <formula>1.5*$D$19</formula>
    </cfRule>
  </conditionalFormatting>
  <conditionalFormatting sqref="H30">
    <cfRule type="cellIs" dxfId="345" priority="11" stopIfTrue="1" operator="equal">
      <formula>$B$6*10</formula>
    </cfRule>
    <cfRule type="cellIs" dxfId="344" priority="12" operator="notEqual">
      <formula>$B$6*10</formula>
    </cfRule>
  </conditionalFormatting>
  <conditionalFormatting sqref="I20:W21 I23:W29">
    <cfRule type="beginsWith" dxfId="343" priority="10" stopIfTrue="1" operator="beginsWith" text="0">
      <formula>LEFT(I20,LEN("0"))="0"</formula>
    </cfRule>
  </conditionalFormatting>
  <conditionalFormatting sqref="B18">
    <cfRule type="expression" dxfId="342" priority="9">
      <formula>B18&lt;&gt;$B$7</formula>
    </cfRule>
  </conditionalFormatting>
  <conditionalFormatting sqref="C18">
    <cfRule type="expression" dxfId="341" priority="8">
      <formula>$B$18&lt;&gt;$B$7</formula>
    </cfRule>
  </conditionalFormatting>
  <conditionalFormatting sqref="H31">
    <cfRule type="expression" dxfId="340" priority="7">
      <formula>ABS($H$30-$D$6&gt;=1)</formula>
    </cfRule>
  </conditionalFormatting>
  <conditionalFormatting sqref="B7">
    <cfRule type="expression" dxfId="339" priority="6">
      <formula>($B$7&lt;&gt;SUM($B$9:$B$17))</formula>
    </cfRule>
  </conditionalFormatting>
  <conditionalFormatting sqref="I31:T33">
    <cfRule type="beginsWith" dxfId="338" priority="4" stopIfTrue="1" operator="beginsWith" text="0">
      <formula>LEFT(I31,LEN("0"))="0"</formula>
    </cfRule>
  </conditionalFormatting>
  <conditionalFormatting sqref="N34">
    <cfRule type="beginsWith" dxfId="337" priority="5" stopIfTrue="1" operator="beginsWith" text="0">
      <formula>LEFT(N34,LEN("0"))="0"</formula>
    </cfRule>
  </conditionalFormatting>
  <conditionalFormatting sqref="D9:D17">
    <cfRule type="cellIs" dxfId="336" priority="3" operator="equal">
      <formula>0</formula>
    </cfRule>
  </conditionalFormatting>
  <conditionalFormatting sqref="X22:Y22">
    <cfRule type="beginsWith" dxfId="335" priority="2" stopIfTrue="1" operator="beginsWith" text="0">
      <formula>LEFT(X22,LEN("0"))="0"</formula>
    </cfRule>
  </conditionalFormatting>
  <conditionalFormatting sqref="I22:W22">
    <cfRule type="beginsWith" dxfId="334" priority="1" stopIfTrue="1" operator="beginsWith" text="0">
      <formula>LEFT(I22,LEN("0"))="0"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D673DEF0-3C57-3A40-BE36-C804AF7D8858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8FCDE143-259D-AD48-A4D8-03DAFCA2F012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DEDB7EF4-DB5E-FF43-8CDC-EBB89ECA4987}">
      <formula1>0</formula1>
      <formula2>100</formula2>
    </dataValidation>
    <dataValidation errorStyle="warning" allowBlank="1" showInputMessage="1" showErrorMessage="1" errorTitle="Non-standard credit weighting" promptTitle="Credit value" sqref="B6" xr:uid="{0CC54009-E981-EF46-AFA6-D11A705F938C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BD7F19B7-0AE6-CE4D-A6DE-992DAEE7C383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C31F3B7A-2134-A54B-A519-56D6F9479D1F}">
      <formula1>"0,1,2,3"</formula1>
    </dataValidation>
    <dataValidation type="list" errorStyle="warning" allowBlank="1" showInputMessage="1" showErrorMessage="1" errorTitle="Non-standard credit weighting" promptTitle="Credit value" sqref="D5" xr:uid="{55424543-E5C6-0046-89F3-ACC6FA4EA493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E3F9-5EEA-554F-BACA-2CE70A387F41}">
  <dimension ref="A1:AD53"/>
  <sheetViews>
    <sheetView topLeftCell="A2" zoomScale="125" zoomScaleNormal="161" workbookViewId="0">
      <selection activeCell="B14" sqref="B14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523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1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2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290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2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2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C6" t="s">
        <v>130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30</v>
      </c>
      <c r="C7" t="s">
        <v>130</v>
      </c>
      <c r="D7">
        <f>B6*10*B7/100</f>
        <v>45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2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2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15</v>
      </c>
      <c r="C9" s="39" t="s">
        <v>287</v>
      </c>
      <c r="D9">
        <f>B$6*10*B9/100</f>
        <v>22.5</v>
      </c>
      <c r="E9" s="29">
        <v>2</v>
      </c>
      <c r="F9" s="42"/>
      <c r="G9" s="30">
        <v>6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>Yes</v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15</v>
      </c>
      <c r="C10" s="40" t="s">
        <v>288</v>
      </c>
      <c r="D10">
        <f>B$6*10*B10/100</f>
        <v>22.5</v>
      </c>
      <c r="E10" s="31">
        <v>2</v>
      </c>
      <c r="F10" s="43"/>
      <c r="G10" s="32">
        <v>11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>Yes</v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30</v>
      </c>
      <c r="C18" s="59" t="str">
        <f>IF(B18=B7," % ok","% credits do not add up to stated value")</f>
        <v xml:space="preserve"> % ok</v>
      </c>
      <c r="D18" s="59">
        <f>SUM(D9:D17)</f>
        <v>45</v>
      </c>
      <c r="E18" s="134">
        <f>D18/B6/10*100</f>
        <v>30</v>
      </c>
      <c r="T18" s="10">
        <f>B9/100*SUM(I21:T21)</f>
        <v>1.7999999999999998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4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984.52687500000025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ca="1" si="6">SUM(I21:W21)</f>
        <v>96.5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 ca="1">IF($D$5="Yes",U34*U31,0)</f>
        <v>12.674999999999999</v>
      </c>
      <c r="V21" s="14">
        <f ca="1">IF($D$5="Yes",U34*V31,0)</f>
        <v>25.349999999999998</v>
      </c>
      <c r="W21" s="14">
        <f ca="1">IF($D$5="Yes",U34*W31,0)</f>
        <v>46.475000000000001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4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2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2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1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22.5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22.5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-14</v>
      </c>
      <c r="O26" s="108">
        <f t="shared" ca="1" si="13"/>
        <v>0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-22</v>
      </c>
      <c r="T26" s="22">
        <f t="shared" ca="1" si="13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8.5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8.5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ca="1" si="16">(U25+U26)</f>
        <v>0</v>
      </c>
      <c r="V27" s="25">
        <f t="shared" ca="1" si="16"/>
        <v>0</v>
      </c>
      <c r="W27" s="25">
        <f t="shared" ca="1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150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14.5</v>
      </c>
      <c r="O30" s="110">
        <f t="shared" ca="1" si="19"/>
        <v>2</v>
      </c>
      <c r="P30" s="16">
        <f t="shared" ca="1" si="19"/>
        <v>4</v>
      </c>
      <c r="Q30" s="16">
        <f t="shared" ca="1" si="19"/>
        <v>8</v>
      </c>
      <c r="R30" s="16">
        <f t="shared" ca="1" si="19"/>
        <v>10</v>
      </c>
      <c r="S30" s="16">
        <f t="shared" ca="1" si="19"/>
        <v>4</v>
      </c>
      <c r="T30" s="16">
        <f t="shared" ca="1" si="19"/>
        <v>3</v>
      </c>
      <c r="U30" s="65">
        <f t="shared" ca="1" si="19"/>
        <v>12.674999999999999</v>
      </c>
      <c r="V30" s="16">
        <f t="shared" ca="1" si="19"/>
        <v>25.349999999999998</v>
      </c>
      <c r="W30" s="16">
        <f t="shared" ca="1" si="19"/>
        <v>49.475000000000001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15.5</v>
      </c>
      <c r="O31" s="108">
        <f t="shared" si="20"/>
        <v>0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15.5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84.5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>
        <f t="shared" si="21"/>
        <v>1</v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>
        <f t="shared" si="21"/>
        <v>2</v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10.5</v>
      </c>
      <c r="O52" s="18">
        <f t="shared" ca="1" si="22"/>
        <v>0</v>
      </c>
      <c r="P52" s="18">
        <f t="shared" ca="1" si="22"/>
        <v>2</v>
      </c>
      <c r="Q52" s="18">
        <f t="shared" ca="1" si="22"/>
        <v>4</v>
      </c>
      <c r="R52" s="18">
        <f t="shared" ca="1" si="22"/>
        <v>2</v>
      </c>
      <c r="S52" s="18">
        <f t="shared" ca="1" si="22"/>
        <v>0</v>
      </c>
      <c r="T52" s="18">
        <f t="shared" ca="1" si="22"/>
        <v>0</v>
      </c>
      <c r="U52" s="18">
        <f t="shared" ca="1" si="22"/>
        <v>9.6749999999999989</v>
      </c>
      <c r="V52" s="18">
        <f t="shared" ca="1" si="22"/>
        <v>12.674999999999999</v>
      </c>
      <c r="W52" s="18">
        <f t="shared" ca="1" si="22"/>
        <v>24.125000000000004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110.25</v>
      </c>
      <c r="O53" s="18">
        <f t="shared" ca="1" si="23"/>
        <v>0</v>
      </c>
      <c r="P53" s="18">
        <f t="shared" ca="1" si="23"/>
        <v>4</v>
      </c>
      <c r="Q53" s="18">
        <f t="shared" ca="1" si="23"/>
        <v>16</v>
      </c>
      <c r="R53" s="18">
        <f t="shared" ca="1" si="23"/>
        <v>4</v>
      </c>
      <c r="S53" s="18">
        <f t="shared" ca="1" si="23"/>
        <v>0</v>
      </c>
      <c r="T53" s="18">
        <f t="shared" ca="1" si="23"/>
        <v>0</v>
      </c>
      <c r="U53" s="18">
        <f t="shared" ca="1" si="23"/>
        <v>93.605624999999975</v>
      </c>
      <c r="V53" s="18">
        <f t="shared" ca="1" si="23"/>
        <v>160.65562499999999</v>
      </c>
      <c r="W53" s="18">
        <f t="shared" ca="1" si="23"/>
        <v>582.01562500000023</v>
      </c>
    </row>
  </sheetData>
  <mergeCells count="4">
    <mergeCell ref="I1:W1"/>
    <mergeCell ref="F3:F7"/>
    <mergeCell ref="C11:C13"/>
    <mergeCell ref="H31:H33"/>
  </mergeCells>
  <conditionalFormatting sqref="I30:W30">
    <cfRule type="cellIs" dxfId="333" priority="13" operator="between">
      <formula>(2/3)*$D$19</formula>
      <formula>(3/2)*$D$19</formula>
    </cfRule>
    <cfRule type="cellIs" dxfId="332" priority="14" operator="lessThan">
      <formula>(2/3)*$D$19</formula>
    </cfRule>
    <cfRule type="cellIs" dxfId="331" priority="15" operator="greaterThanOrEqual">
      <formula>1.5*$D$19</formula>
    </cfRule>
  </conditionalFormatting>
  <conditionalFormatting sqref="H30">
    <cfRule type="cellIs" dxfId="330" priority="11" stopIfTrue="1" operator="equal">
      <formula>$B$6*10</formula>
    </cfRule>
    <cfRule type="cellIs" dxfId="329" priority="12" operator="notEqual">
      <formula>$B$6*10</formula>
    </cfRule>
  </conditionalFormatting>
  <conditionalFormatting sqref="I20:W21 I23:W29">
    <cfRule type="beginsWith" dxfId="328" priority="10" stopIfTrue="1" operator="beginsWith" text="0">
      <formula>LEFT(I20,LEN("0"))="0"</formula>
    </cfRule>
  </conditionalFormatting>
  <conditionalFormatting sqref="B18">
    <cfRule type="expression" dxfId="327" priority="9">
      <formula>B18&lt;&gt;$B$7</formula>
    </cfRule>
  </conditionalFormatting>
  <conditionalFormatting sqref="C18">
    <cfRule type="expression" dxfId="326" priority="8">
      <formula>$B$18&lt;&gt;$B$7</formula>
    </cfRule>
  </conditionalFormatting>
  <conditionalFormatting sqref="H31">
    <cfRule type="expression" dxfId="325" priority="7">
      <formula>ABS($H$30-$D$6&gt;=1)</formula>
    </cfRule>
  </conditionalFormatting>
  <conditionalFormatting sqref="B7">
    <cfRule type="expression" dxfId="324" priority="6">
      <formula>($B$7&lt;&gt;SUM($B$9:$B$17))</formula>
    </cfRule>
  </conditionalFormatting>
  <conditionalFormatting sqref="I31:T33">
    <cfRule type="beginsWith" dxfId="323" priority="4" stopIfTrue="1" operator="beginsWith" text="0">
      <formula>LEFT(I31,LEN("0"))="0"</formula>
    </cfRule>
  </conditionalFormatting>
  <conditionalFormatting sqref="N34">
    <cfRule type="beginsWith" dxfId="322" priority="5" stopIfTrue="1" operator="beginsWith" text="0">
      <formula>LEFT(N34,LEN("0"))="0"</formula>
    </cfRule>
  </conditionalFormatting>
  <conditionalFormatting sqref="D9:D17">
    <cfRule type="cellIs" dxfId="321" priority="3" operator="equal">
      <formula>0</formula>
    </cfRule>
  </conditionalFormatting>
  <conditionalFormatting sqref="X22:Y22">
    <cfRule type="beginsWith" dxfId="320" priority="2" stopIfTrue="1" operator="beginsWith" text="0">
      <formula>LEFT(X22,LEN("0"))="0"</formula>
    </cfRule>
  </conditionalFormatting>
  <conditionalFormatting sqref="I22:W22">
    <cfRule type="beginsWith" dxfId="319" priority="1" stopIfTrue="1" operator="beginsWith" text="0">
      <formula>LEFT(I22,LEN("0"))="0"</formula>
    </cfRule>
  </conditionalFormatting>
  <dataValidations count="7">
    <dataValidation type="list" errorStyle="warning" allowBlank="1" showInputMessage="1" showErrorMessage="1" errorTitle="Non-standard credit weighting" promptTitle="Credit value" sqref="D5" xr:uid="{AD981CD7-0DB2-6E45-BDB7-51E9A7EBE4DD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F6E889E3-0DBA-E742-81FA-075CD8DC3025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99EFB495-303B-A541-BDA7-DE4BB9ED87DA}">
      <formula1>"1,2"</formula1>
    </dataValidation>
    <dataValidation errorStyle="warning" allowBlank="1" showInputMessage="1" showErrorMessage="1" errorTitle="Non-standard credit weighting" promptTitle="Credit value" sqref="B6" xr:uid="{9621773A-EBDE-3745-9897-6BE061A39471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3E6BDC89-1CB9-FC4D-9B4D-A66553720C5A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C3AA2700-25D4-AD4A-8412-E48ABAAAA1B1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8CE161EA-0859-B640-B28D-BCB527DD972D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A39D-BEF7-B341-BDAB-79D1023D19A2}">
  <dimension ref="A1:AD53"/>
  <sheetViews>
    <sheetView topLeftCell="A12" zoomScale="125" zoomScaleNormal="161" workbookViewId="0">
      <selection activeCell="H7" sqref="H7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390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1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2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C6" t="s">
        <v>130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150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2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1</v>
      </c>
    </row>
    <row r="9" spans="1:24" ht="16" thickTop="1" x14ac:dyDescent="0.2">
      <c r="A9" t="s">
        <v>58</v>
      </c>
      <c r="B9" s="46">
        <f>10*15/6</f>
        <v>25</v>
      </c>
      <c r="C9" s="39" t="s">
        <v>286</v>
      </c>
      <c r="D9">
        <f>B$6*10*B9/100</f>
        <v>37.5</v>
      </c>
      <c r="E9" s="29">
        <v>2</v>
      </c>
      <c r="F9" s="42"/>
      <c r="G9" s="30">
        <v>6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>Yes</v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25</v>
      </c>
      <c r="C18" s="59" t="str">
        <f>IF(B18=B7," % ok","% credits do not add up to stated value")</f>
        <v>% credits do not add up to stated value</v>
      </c>
      <c r="D18" s="59">
        <f>SUM(D9:D17)</f>
        <v>37.5</v>
      </c>
      <c r="E18" s="134">
        <f>D18/B6/10*100</f>
        <v>25</v>
      </c>
      <c r="T18" s="10">
        <f>B9/100*SUM(I21:T21)</f>
        <v>3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2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689.25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12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2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2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1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37.5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-14</v>
      </c>
      <c r="O26" s="108">
        <f t="shared" ca="1" si="13"/>
        <v>0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23.5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23.5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si="16">(U25+U26)</f>
        <v>0</v>
      </c>
      <c r="V27" s="25">
        <f t="shared" si="16"/>
        <v>0</v>
      </c>
      <c r="W27" s="25">
        <f t="shared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75.5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29.5</v>
      </c>
      <c r="O30" s="110">
        <f t="shared" ca="1" si="19"/>
        <v>2</v>
      </c>
      <c r="P30" s="16">
        <f t="shared" ca="1" si="19"/>
        <v>4</v>
      </c>
      <c r="Q30" s="16">
        <f t="shared" ca="1" si="19"/>
        <v>8</v>
      </c>
      <c r="R30" s="16">
        <f t="shared" ca="1" si="19"/>
        <v>10</v>
      </c>
      <c r="S30" s="16">
        <f t="shared" ca="1" si="19"/>
        <v>2</v>
      </c>
      <c r="T30" s="16">
        <f t="shared" ca="1" si="19"/>
        <v>3</v>
      </c>
      <c r="U30" s="65">
        <f t="shared" ca="1" si="19"/>
        <v>0</v>
      </c>
      <c r="V30" s="16">
        <f t="shared" ca="1" si="19"/>
        <v>0</v>
      </c>
      <c r="W30" s="16">
        <f t="shared" ca="1" si="19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30.5</v>
      </c>
      <c r="O31" s="108">
        <f t="shared" si="20"/>
        <v>0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0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74.5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>
        <f t="shared" si="21"/>
        <v>1</v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 t="str">
        <f t="shared" si="21"/>
        <v/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25.5</v>
      </c>
      <c r="O52" s="18">
        <f t="shared" ca="1" si="22"/>
        <v>0</v>
      </c>
      <c r="P52" s="18">
        <f t="shared" ca="1" si="22"/>
        <v>2</v>
      </c>
      <c r="Q52" s="18">
        <f t="shared" ca="1" si="22"/>
        <v>4</v>
      </c>
      <c r="R52" s="18">
        <f t="shared" ca="1" si="22"/>
        <v>2</v>
      </c>
      <c r="S52" s="18">
        <f t="shared" ca="1" si="22"/>
        <v>0</v>
      </c>
      <c r="T52" s="18">
        <f t="shared" ca="1" si="22"/>
        <v>1</v>
      </c>
      <c r="U52" s="18">
        <f t="shared" ca="1" si="22"/>
        <v>0</v>
      </c>
      <c r="V52" s="18">
        <f t="shared" ca="1" si="22"/>
        <v>0</v>
      </c>
      <c r="W52" s="18">
        <f t="shared" ca="1" si="22"/>
        <v>0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650.25</v>
      </c>
      <c r="O53" s="18">
        <f t="shared" ca="1" si="23"/>
        <v>0</v>
      </c>
      <c r="P53" s="18">
        <f t="shared" ca="1" si="23"/>
        <v>4</v>
      </c>
      <c r="Q53" s="18">
        <f t="shared" ca="1" si="23"/>
        <v>16</v>
      </c>
      <c r="R53" s="18">
        <f t="shared" ca="1" si="23"/>
        <v>4</v>
      </c>
      <c r="S53" s="18">
        <f t="shared" ca="1" si="23"/>
        <v>0</v>
      </c>
      <c r="T53" s="18">
        <f t="shared" ca="1" si="23"/>
        <v>1</v>
      </c>
      <c r="U53" s="18">
        <f t="shared" ca="1" si="23"/>
        <v>0</v>
      </c>
      <c r="V53" s="18">
        <f t="shared" ca="1" si="23"/>
        <v>0</v>
      </c>
      <c r="W53" s="18">
        <f t="shared" ca="1" si="23"/>
        <v>0</v>
      </c>
    </row>
  </sheetData>
  <mergeCells count="4">
    <mergeCell ref="I1:W1"/>
    <mergeCell ref="F3:F7"/>
    <mergeCell ref="C11:C13"/>
    <mergeCell ref="H31:H33"/>
  </mergeCells>
  <conditionalFormatting sqref="I30:W30">
    <cfRule type="cellIs" dxfId="318" priority="13" operator="between">
      <formula>(2/3)*$D$19</formula>
      <formula>(3/2)*$D$19</formula>
    </cfRule>
    <cfRule type="cellIs" dxfId="317" priority="14" operator="lessThan">
      <formula>(2/3)*$D$19</formula>
    </cfRule>
    <cfRule type="cellIs" dxfId="316" priority="15" operator="greaterThanOrEqual">
      <formula>1.5*$D$19</formula>
    </cfRule>
  </conditionalFormatting>
  <conditionalFormatting sqref="H30">
    <cfRule type="cellIs" dxfId="315" priority="11" stopIfTrue="1" operator="equal">
      <formula>$B$6*10</formula>
    </cfRule>
    <cfRule type="cellIs" dxfId="314" priority="12" operator="notEqual">
      <formula>$B$6*10</formula>
    </cfRule>
  </conditionalFormatting>
  <conditionalFormatting sqref="I20:W21 I23:W29">
    <cfRule type="beginsWith" dxfId="313" priority="10" stopIfTrue="1" operator="beginsWith" text="0">
      <formula>LEFT(I20,LEN("0"))="0"</formula>
    </cfRule>
  </conditionalFormatting>
  <conditionalFormatting sqref="B18">
    <cfRule type="expression" dxfId="312" priority="9">
      <formula>B18&lt;&gt;$B$7</formula>
    </cfRule>
  </conditionalFormatting>
  <conditionalFormatting sqref="C18">
    <cfRule type="expression" dxfId="311" priority="8">
      <formula>$B$18&lt;&gt;$B$7</formula>
    </cfRule>
  </conditionalFormatting>
  <conditionalFormatting sqref="H31">
    <cfRule type="expression" dxfId="310" priority="7">
      <formula>ABS($H$30-$D$6&gt;=1)</formula>
    </cfRule>
  </conditionalFormatting>
  <conditionalFormatting sqref="B7">
    <cfRule type="expression" dxfId="309" priority="6">
      <formula>($B$7&lt;&gt;SUM($B$9:$B$17))</formula>
    </cfRule>
  </conditionalFormatting>
  <conditionalFormatting sqref="I31:T33">
    <cfRule type="beginsWith" dxfId="308" priority="4" stopIfTrue="1" operator="beginsWith" text="0">
      <formula>LEFT(I31,LEN("0"))="0"</formula>
    </cfRule>
  </conditionalFormatting>
  <conditionalFormatting sqref="N34">
    <cfRule type="beginsWith" dxfId="307" priority="5" stopIfTrue="1" operator="beginsWith" text="0">
      <formula>LEFT(N34,LEN("0"))="0"</formula>
    </cfRule>
  </conditionalFormatting>
  <conditionalFormatting sqref="D9:D17">
    <cfRule type="cellIs" dxfId="306" priority="3" operator="equal">
      <formula>0</formula>
    </cfRule>
  </conditionalFormatting>
  <conditionalFormatting sqref="X22:Y22">
    <cfRule type="beginsWith" dxfId="305" priority="2" stopIfTrue="1" operator="beginsWith" text="0">
      <formula>LEFT(X22,LEN("0"))="0"</formula>
    </cfRule>
  </conditionalFormatting>
  <conditionalFormatting sqref="I22:W22">
    <cfRule type="beginsWith" dxfId="304" priority="1" stopIfTrue="1" operator="beginsWith" text="0">
      <formula>LEFT(I22,LEN("0"))="0"</formula>
    </cfRule>
  </conditionalFormatting>
  <dataValidations count="7">
    <dataValidation type="list" errorStyle="warning" allowBlank="1" showInputMessage="1" showErrorMessage="1" errorTitle="Non-standard credit weighting" promptTitle="Credit value" sqref="D5" xr:uid="{68D234B2-1856-7C4D-9360-2061E9747595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6468D08F-4675-024C-98FF-A3B4E26903F5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38879B26-C2C2-4A41-BD8B-8F7E09295BE7}">
      <formula1>"1,2"</formula1>
    </dataValidation>
    <dataValidation errorStyle="warning" allowBlank="1" showInputMessage="1" showErrorMessage="1" errorTitle="Non-standard credit weighting" promptTitle="Credit value" sqref="B6" xr:uid="{16308C9C-3AE2-2F4E-91F9-45078408B1AC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9BFC76D5-264C-A34F-8F19-B8BC9CA3C9EA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E4F183B5-32C2-664F-A6B9-9A26CBF0BA67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CE4806D8-D3E9-C04A-9E92-0F0F93A80E4E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3287-7F56-8A44-A11D-CA6731FD2EC5}">
  <dimension ref="A1:AD53"/>
  <sheetViews>
    <sheetView topLeftCell="A2" zoomScale="125" zoomScaleNormal="161" workbookViewId="0">
      <selection activeCell="D5" sqref="D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284</v>
      </c>
      <c r="B2" s="37">
        <v>521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3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1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290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4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4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C6" t="s">
        <v>130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25</v>
      </c>
      <c r="C7" t="s">
        <v>130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4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4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1</v>
      </c>
    </row>
    <row r="9" spans="1:24" ht="16" thickTop="1" x14ac:dyDescent="0.2">
      <c r="A9" t="s">
        <v>58</v>
      </c>
      <c r="B9" s="46">
        <v>12</v>
      </c>
      <c r="C9" s="39" t="s">
        <v>78</v>
      </c>
      <c r="D9">
        <f>B$6*10*B9/100</f>
        <v>18</v>
      </c>
      <c r="E9" s="29">
        <v>4</v>
      </c>
      <c r="F9" s="42"/>
      <c r="G9" s="30">
        <v>6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>Yes</v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13</v>
      </c>
      <c r="C10" s="40" t="s">
        <v>79</v>
      </c>
      <c r="D10">
        <f>B$6*10*B10/100</f>
        <v>19.5</v>
      </c>
      <c r="E10" s="31">
        <v>4</v>
      </c>
      <c r="F10" s="43"/>
      <c r="G10" s="32">
        <v>12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>Yes</v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ht="15" customHeight="1" x14ac:dyDescent="0.2">
      <c r="A11" t="s">
        <v>56</v>
      </c>
      <c r="B11" s="140"/>
      <c r="C11" s="173" t="s">
        <v>211</v>
      </c>
      <c r="D11">
        <f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174"/>
      <c r="D12">
        <f t="shared" ref="D12:D17" si="5">B$6*10*B12/100</f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175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25</v>
      </c>
      <c r="C18" s="59" t="str">
        <f>IF(B18=B7," % ok","% credits do not add up to stated value")</f>
        <v xml:space="preserve"> % ok</v>
      </c>
      <c r="D18" s="59">
        <f>SUM(D9:D17)</f>
        <v>37.5</v>
      </c>
      <c r="E18" s="134">
        <f>D18/B6/10*100</f>
        <v>25</v>
      </c>
      <c r="T18" s="10">
        <f>B9/100*SUM(I21:T21)</f>
        <v>1.44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8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918.4675000000002</v>
      </c>
      <c r="G20" s="11" t="s">
        <v>82</v>
      </c>
      <c r="H20" s="21">
        <f>SUM(I20:W20)</f>
        <v>28</v>
      </c>
      <c r="I20" s="14">
        <v>2</v>
      </c>
      <c r="J20" s="14">
        <v>3</v>
      </c>
      <c r="K20" s="14">
        <v>3</v>
      </c>
      <c r="L20" s="14">
        <v>1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1</v>
      </c>
      <c r="T20" s="15">
        <v>3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ca="1" si="6">SUM(I21:W21)</f>
        <v>99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2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 ca="1">IF($D$5="Yes",U34*U31,0)</f>
        <v>13.049999999999999</v>
      </c>
      <c r="V21" s="14">
        <f ca="1">IF($D$5="Yes",U34*V31,0)</f>
        <v>26.099999999999998</v>
      </c>
      <c r="W21" s="14">
        <f ca="1">IF($D$5="Yes",U34*W31,0)</f>
        <v>47.85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8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4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4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MIN(20, I23+J21+J20/2)</f>
        <v>5.5</v>
      </c>
      <c r="K23" s="61">
        <f t="shared" ref="K23:T23" ca="1" si="9">MIN(20, J23+K21+K20/2)</f>
        <v>8</v>
      </c>
      <c r="L23" s="61">
        <f t="shared" ca="1" si="9"/>
        <v>9.5</v>
      </c>
      <c r="M23" s="61">
        <f t="shared" ca="1" si="9"/>
        <v>12</v>
      </c>
      <c r="N23" s="61">
        <f t="shared" ca="1" si="9"/>
        <v>14.5</v>
      </c>
      <c r="O23" s="61">
        <f t="shared" ca="1" si="9"/>
        <v>16.5</v>
      </c>
      <c r="P23" s="61">
        <f t="shared" ca="1" si="9"/>
        <v>19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1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18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19.5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-16</v>
      </c>
      <c r="O26" s="108">
        <f t="shared" ca="1" si="13"/>
        <v>0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-24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2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ca="1">MAX(0,(S25+S26)-R28-Q28)</f>
        <v>0</v>
      </c>
      <c r="T27" s="25">
        <f t="shared" ca="1" si="15"/>
        <v>0</v>
      </c>
      <c r="U27" s="25">
        <f t="shared" ref="U27:W27" ca="1" si="16">(U25+U26)</f>
        <v>0</v>
      </c>
      <c r="V27" s="25">
        <f t="shared" ca="1" si="16"/>
        <v>0</v>
      </c>
      <c r="W27" s="25">
        <f t="shared" ca="1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4</v>
      </c>
      <c r="R28" s="10">
        <v>6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150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4</v>
      </c>
      <c r="L30" s="16">
        <f t="shared" ca="1" si="19"/>
        <v>2</v>
      </c>
      <c r="M30" s="16">
        <f t="shared" ca="1" si="19"/>
        <v>4</v>
      </c>
      <c r="N30" s="16">
        <f t="shared" ca="1" si="19"/>
        <v>10</v>
      </c>
      <c r="O30" s="110">
        <f t="shared" ca="1" si="19"/>
        <v>2</v>
      </c>
      <c r="P30" s="16">
        <f t="shared" ca="1" si="19"/>
        <v>4</v>
      </c>
      <c r="Q30" s="16">
        <f t="shared" ca="1" si="19"/>
        <v>8</v>
      </c>
      <c r="R30" s="16">
        <f t="shared" ca="1" si="19"/>
        <v>10</v>
      </c>
      <c r="S30" s="16">
        <f t="shared" ca="1" si="19"/>
        <v>2</v>
      </c>
      <c r="T30" s="16">
        <f t="shared" ca="1" si="19"/>
        <v>7</v>
      </c>
      <c r="U30" s="65">
        <f t="shared" ca="1" si="19"/>
        <v>13.049999999999999</v>
      </c>
      <c r="V30" s="16">
        <f t="shared" ca="1" si="19"/>
        <v>26.099999999999998</v>
      </c>
      <c r="W30" s="16">
        <f t="shared" ca="1" si="19"/>
        <v>50.85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0</v>
      </c>
      <c r="L31" s="22">
        <f t="shared" si="20"/>
        <v>0</v>
      </c>
      <c r="M31" s="22">
        <f t="shared" si="20"/>
        <v>0</v>
      </c>
      <c r="N31" s="22">
        <f t="shared" si="20"/>
        <v>11</v>
      </c>
      <c r="O31" s="108">
        <f t="shared" si="20"/>
        <v>0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0</v>
      </c>
      <c r="T31" s="22">
        <f t="shared" si="20"/>
        <v>13.5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87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>
        <f t="shared" si="21"/>
        <v>1</v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 t="str">
        <f t="shared" si="21"/>
        <v/>
      </c>
      <c r="T35" s="18">
        <f t="shared" si="21"/>
        <v>2</v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0</v>
      </c>
      <c r="L52" s="18">
        <f t="shared" ca="1" si="22"/>
        <v>0</v>
      </c>
      <c r="M52" s="18">
        <f t="shared" ca="1" si="22"/>
        <v>2</v>
      </c>
      <c r="N52" s="18">
        <f t="shared" ca="1" si="22"/>
        <v>6</v>
      </c>
      <c r="O52" s="18">
        <f t="shared" ca="1" si="22"/>
        <v>0</v>
      </c>
      <c r="P52" s="18">
        <f t="shared" ca="1" si="22"/>
        <v>2</v>
      </c>
      <c r="Q52" s="18">
        <f t="shared" ca="1" si="22"/>
        <v>4</v>
      </c>
      <c r="R52" s="18">
        <f t="shared" ca="1" si="22"/>
        <v>2</v>
      </c>
      <c r="S52" s="18">
        <f t="shared" ca="1" si="22"/>
        <v>0</v>
      </c>
      <c r="T52" s="18">
        <f t="shared" ca="1" si="22"/>
        <v>5</v>
      </c>
      <c r="U52" s="18">
        <f t="shared" ca="1" si="22"/>
        <v>6.0499999999999989</v>
      </c>
      <c r="V52" s="18">
        <f t="shared" ca="1" si="22"/>
        <v>13.049999999999999</v>
      </c>
      <c r="W52" s="18">
        <f t="shared" ca="1" si="22"/>
        <v>24.750000000000004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0</v>
      </c>
      <c r="L53" s="18">
        <f t="shared" ca="1" si="23"/>
        <v>0</v>
      </c>
      <c r="M53" s="18">
        <f t="shared" ca="1" si="23"/>
        <v>4</v>
      </c>
      <c r="N53" s="18">
        <f t="shared" ca="1" si="23"/>
        <v>36</v>
      </c>
      <c r="O53" s="18">
        <f t="shared" ca="1" si="23"/>
        <v>0</v>
      </c>
      <c r="P53" s="18">
        <f t="shared" ca="1" si="23"/>
        <v>4</v>
      </c>
      <c r="Q53" s="18">
        <f t="shared" ca="1" si="23"/>
        <v>16</v>
      </c>
      <c r="R53" s="18">
        <f t="shared" ca="1" si="23"/>
        <v>4</v>
      </c>
      <c r="S53" s="18">
        <f t="shared" ca="1" si="23"/>
        <v>0</v>
      </c>
      <c r="T53" s="18">
        <f t="shared" ca="1" si="23"/>
        <v>25</v>
      </c>
      <c r="U53" s="18">
        <f t="shared" ca="1" si="23"/>
        <v>36.602499999999985</v>
      </c>
      <c r="V53" s="18">
        <f t="shared" ca="1" si="23"/>
        <v>170.30249999999998</v>
      </c>
      <c r="W53" s="18">
        <f t="shared" ca="1" si="23"/>
        <v>612.56250000000023</v>
      </c>
    </row>
  </sheetData>
  <mergeCells count="4">
    <mergeCell ref="I1:W1"/>
    <mergeCell ref="F3:F7"/>
    <mergeCell ref="C11:C13"/>
    <mergeCell ref="H31:H33"/>
  </mergeCells>
  <conditionalFormatting sqref="I30:W30">
    <cfRule type="cellIs" dxfId="303" priority="13" operator="between">
      <formula>(2/3)*$D$19</formula>
      <formula>(3/2)*$D$19</formula>
    </cfRule>
    <cfRule type="cellIs" dxfId="302" priority="14" operator="lessThan">
      <formula>(2/3)*$D$19</formula>
    </cfRule>
    <cfRule type="cellIs" dxfId="301" priority="15" operator="greaterThanOrEqual">
      <formula>1.5*$D$19</formula>
    </cfRule>
  </conditionalFormatting>
  <conditionalFormatting sqref="H30">
    <cfRule type="cellIs" dxfId="300" priority="11" stopIfTrue="1" operator="equal">
      <formula>$B$6*10</formula>
    </cfRule>
    <cfRule type="cellIs" dxfId="299" priority="12" operator="notEqual">
      <formula>$B$6*10</formula>
    </cfRule>
  </conditionalFormatting>
  <conditionalFormatting sqref="I20:W21 I23:W29">
    <cfRule type="beginsWith" dxfId="298" priority="10" stopIfTrue="1" operator="beginsWith" text="0">
      <formula>LEFT(I20,LEN("0"))="0"</formula>
    </cfRule>
  </conditionalFormatting>
  <conditionalFormatting sqref="B18">
    <cfRule type="expression" dxfId="297" priority="9">
      <formula>B18&lt;&gt;$B$7</formula>
    </cfRule>
  </conditionalFormatting>
  <conditionalFormatting sqref="C18">
    <cfRule type="expression" dxfId="296" priority="8">
      <formula>$B$18&lt;&gt;$B$7</formula>
    </cfRule>
  </conditionalFormatting>
  <conditionalFormatting sqref="H31">
    <cfRule type="expression" dxfId="295" priority="7">
      <formula>ABS($H$30-$D$6&gt;=1)</formula>
    </cfRule>
  </conditionalFormatting>
  <conditionalFormatting sqref="B7">
    <cfRule type="expression" dxfId="294" priority="6">
      <formula>($B$7&lt;&gt;SUM($B$9:$B$17))</formula>
    </cfRule>
  </conditionalFormatting>
  <conditionalFormatting sqref="I31:T33">
    <cfRule type="beginsWith" dxfId="293" priority="4" stopIfTrue="1" operator="beginsWith" text="0">
      <formula>LEFT(I31,LEN("0"))="0"</formula>
    </cfRule>
  </conditionalFormatting>
  <conditionalFormatting sqref="N34">
    <cfRule type="beginsWith" dxfId="292" priority="5" stopIfTrue="1" operator="beginsWith" text="0">
      <formula>LEFT(N34,LEN("0"))="0"</formula>
    </cfRule>
  </conditionalFormatting>
  <conditionalFormatting sqref="D9:D17">
    <cfRule type="cellIs" dxfId="291" priority="3" operator="equal">
      <formula>0</formula>
    </cfRule>
  </conditionalFormatting>
  <conditionalFormatting sqref="X22:Y22">
    <cfRule type="beginsWith" dxfId="290" priority="2" stopIfTrue="1" operator="beginsWith" text="0">
      <formula>LEFT(X22,LEN("0"))="0"</formula>
    </cfRule>
  </conditionalFormatting>
  <conditionalFormatting sqref="I22:W22">
    <cfRule type="beginsWith" dxfId="289" priority="1" stopIfTrue="1" operator="beginsWith" text="0">
      <formula>LEFT(I22,LEN("0"))="0"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9BE18393-4FAD-934B-A1E4-A891181A20A8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55261EDC-F79B-8B44-8A10-437797D8F2C4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00535ABA-151B-0042-93B1-3E57F70A92C2}">
      <formula1>0</formula1>
      <formula2>100</formula2>
    </dataValidation>
    <dataValidation errorStyle="warning" allowBlank="1" showInputMessage="1" showErrorMessage="1" errorTitle="Non-standard credit weighting" promptTitle="Credit value" sqref="B6" xr:uid="{B34FCA50-E7CE-3649-BAC7-F62B541A200E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6775850F-D27D-DF40-AC8C-385A21098D47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CB23E67-7D22-6C43-BE20-FD74193D912D}">
      <formula1>"0,1,2,3"</formula1>
    </dataValidation>
    <dataValidation type="list" errorStyle="warning" allowBlank="1" showInputMessage="1" showErrorMessage="1" errorTitle="Non-standard credit weighting" promptTitle="Credit value" sqref="D5" xr:uid="{A69C39BE-4E82-144A-8991-50ECB4E10569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E063-A861-024C-B0CB-1BC1E51F4CF0}">
  <dimension ref="A1:AD53"/>
  <sheetViews>
    <sheetView zoomScale="125" zoomScaleNormal="161" workbookViewId="0">
      <selection activeCell="J33" sqref="J3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340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195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1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111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2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1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60</v>
      </c>
      <c r="C7" t="s">
        <v>130</v>
      </c>
      <c r="D7">
        <f>B6*10*B7/100</f>
        <v>90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2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1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30</v>
      </c>
      <c r="C9" s="39" t="s">
        <v>196</v>
      </c>
      <c r="D9">
        <f>B$6*10*B9/100</f>
        <v>45</v>
      </c>
      <c r="E9" s="29">
        <v>2</v>
      </c>
      <c r="F9" s="42"/>
      <c r="G9" s="30">
        <v>3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>Yes</v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30</v>
      </c>
      <c r="C10" s="40" t="s">
        <v>197</v>
      </c>
      <c r="D10">
        <f>B$6*10*B10/100</f>
        <v>45</v>
      </c>
      <c r="E10" s="31">
        <v>1</v>
      </c>
      <c r="F10" s="43"/>
      <c r="G10" s="32">
        <v>12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>Yes</v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60</v>
      </c>
      <c r="C18" s="59" t="str">
        <f>IF(B18=B7," % ok","% credits do not add up to stated value")</f>
        <v xml:space="preserve"> % ok</v>
      </c>
      <c r="D18" s="59">
        <f>SUM(D9:D17)</f>
        <v>90</v>
      </c>
      <c r="E18" s="134">
        <f>D18/B6/10*100</f>
        <v>60</v>
      </c>
      <c r="T18" s="10">
        <f>B9/100*SUM(I21:T21)</f>
        <v>22.5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3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800</v>
      </c>
      <c r="G20" s="11" t="s">
        <v>82</v>
      </c>
      <c r="H20" s="21">
        <f>SUM(I20:W20)</f>
        <v>11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0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75</v>
      </c>
      <c r="I21" s="14">
        <v>5</v>
      </c>
      <c r="J21" s="14">
        <v>6</v>
      </c>
      <c r="K21" s="14">
        <v>6</v>
      </c>
      <c r="L21" s="14">
        <v>6</v>
      </c>
      <c r="M21" s="14">
        <v>6</v>
      </c>
      <c r="N21" s="14">
        <v>6</v>
      </c>
      <c r="O21" s="105">
        <v>10</v>
      </c>
      <c r="P21" s="14">
        <v>6</v>
      </c>
      <c r="Q21" s="14">
        <v>6</v>
      </c>
      <c r="R21" s="14">
        <v>6</v>
      </c>
      <c r="S21" s="14">
        <v>6</v>
      </c>
      <c r="T21" s="15">
        <v>6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3</v>
      </c>
      <c r="I22" s="10">
        <f ca="1">I7</f>
        <v>0</v>
      </c>
      <c r="J22" s="10">
        <f t="shared" ref="J22:Y22" ca="1" si="8">J7</f>
        <v>0</v>
      </c>
      <c r="K22" s="10">
        <f t="shared" ca="1" si="8"/>
        <v>2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1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6</v>
      </c>
      <c r="J23" s="61">
        <f ca="1">MIN(6*$B$6/15,12/$B$8 + 1,I23+SUM(J20:J22))</f>
        <v>6</v>
      </c>
      <c r="K23" s="61">
        <f ca="1">MIN(20, J23+K21)</f>
        <v>12</v>
      </c>
      <c r="L23" s="61">
        <f t="shared" ref="L23:T23" ca="1" si="9">MIN(20, K23+L21)</f>
        <v>18</v>
      </c>
      <c r="M23" s="61">
        <f t="shared" ca="1" si="9"/>
        <v>20</v>
      </c>
      <c r="N23" s="61">
        <f t="shared" ca="1" si="9"/>
        <v>20</v>
      </c>
      <c r="O23" s="61">
        <f t="shared" ca="1" si="9"/>
        <v>20</v>
      </c>
      <c r="P23" s="61">
        <f t="shared" ca="1" si="9"/>
        <v>20</v>
      </c>
      <c r="Q23" s="61">
        <f t="shared" ca="1" si="9"/>
        <v>20</v>
      </c>
      <c r="R23" s="61">
        <f t="shared" ca="1" si="9"/>
        <v>20</v>
      </c>
      <c r="S23" s="61">
        <f t="shared" ca="1" si="9"/>
        <v>20</v>
      </c>
      <c r="T23" s="61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1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45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45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-8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0</v>
      </c>
      <c r="P26" s="22">
        <f t="shared" ca="1" si="13"/>
        <v>0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-21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43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28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0</v>
      </c>
      <c r="Q27" s="25">
        <f t="shared" ca="1" si="15"/>
        <v>0</v>
      </c>
      <c r="R27" s="25">
        <f t="shared" ca="1" si="15"/>
        <v>0</v>
      </c>
      <c r="S27" s="25">
        <f t="shared" ca="1" si="15"/>
        <v>0</v>
      </c>
      <c r="T27" s="25">
        <f t="shared" ca="1" si="15"/>
        <v>15</v>
      </c>
      <c r="U27" s="25">
        <f t="shared" ref="U27:W27" si="16">(U25+U26)</f>
        <v>0</v>
      </c>
      <c r="V27" s="25">
        <f t="shared" si="16"/>
        <v>0</v>
      </c>
      <c r="W27" s="25">
        <f t="shared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18</v>
      </c>
      <c r="I28" s="10">
        <v>3</v>
      </c>
      <c r="J28" s="10">
        <v>6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3</v>
      </c>
      <c r="S28" s="10">
        <v>6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150</v>
      </c>
      <c r="I30" s="16">
        <f t="shared" ref="I30:W30" ca="1" si="19">I20+I21+I22+I27+I28+I29</f>
        <v>9</v>
      </c>
      <c r="J30" s="16">
        <f t="shared" ca="1" si="19"/>
        <v>13</v>
      </c>
      <c r="K30" s="16">
        <f t="shared" ca="1" si="19"/>
        <v>37</v>
      </c>
      <c r="L30" s="16">
        <f t="shared" ca="1" si="19"/>
        <v>7</v>
      </c>
      <c r="M30" s="16">
        <f t="shared" ca="1" si="19"/>
        <v>7</v>
      </c>
      <c r="N30" s="16">
        <f t="shared" ca="1" si="19"/>
        <v>7</v>
      </c>
      <c r="O30" s="110">
        <f t="shared" ca="1" si="19"/>
        <v>10</v>
      </c>
      <c r="P30" s="16">
        <f t="shared" ca="1" si="19"/>
        <v>7</v>
      </c>
      <c r="Q30" s="16">
        <f t="shared" ca="1" si="19"/>
        <v>7</v>
      </c>
      <c r="R30" s="16">
        <f t="shared" ca="1" si="19"/>
        <v>10</v>
      </c>
      <c r="S30" s="16">
        <f t="shared" ca="1" si="19"/>
        <v>13</v>
      </c>
      <c r="T30" s="16">
        <f t="shared" ca="1" si="19"/>
        <v>23</v>
      </c>
      <c r="U30" s="65">
        <f t="shared" ca="1" si="19"/>
        <v>0</v>
      </c>
      <c r="V30" s="16">
        <f t="shared" ca="1" si="19"/>
        <v>0</v>
      </c>
      <c r="W30" s="16">
        <f t="shared" ca="1" si="19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0</v>
      </c>
      <c r="K31" s="22">
        <f t="shared" si="20"/>
        <v>36</v>
      </c>
      <c r="L31" s="22">
        <f t="shared" si="20"/>
        <v>0</v>
      </c>
      <c r="M31" s="22">
        <f t="shared" si="20"/>
        <v>0</v>
      </c>
      <c r="N31" s="22">
        <f t="shared" si="20"/>
        <v>0</v>
      </c>
      <c r="O31" s="108">
        <f t="shared" si="20"/>
        <v>0</v>
      </c>
      <c r="P31" s="22">
        <f t="shared" si="20"/>
        <v>0</v>
      </c>
      <c r="Q31" s="22">
        <f t="shared" si="20"/>
        <v>0</v>
      </c>
      <c r="R31" s="22">
        <f t="shared" si="20"/>
        <v>0</v>
      </c>
      <c r="S31" s="22">
        <f t="shared" si="20"/>
        <v>0</v>
      </c>
      <c r="T31" s="22">
        <f t="shared" si="20"/>
        <v>33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0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>
        <f t="shared" si="21"/>
        <v>1</v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 t="str">
        <f t="shared" si="21"/>
        <v/>
      </c>
      <c r="S35" s="18" t="str">
        <f t="shared" si="21"/>
        <v/>
      </c>
      <c r="T35" s="18">
        <f t="shared" si="21"/>
        <v>2</v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9</v>
      </c>
      <c r="J52" s="18">
        <f ca="1">(J30-I30)*(J30&gt;I30)</f>
        <v>4</v>
      </c>
      <c r="K52" s="18">
        <f t="shared" ref="K52:W52" ca="1" si="22">(K30-J30)*(K30&gt;J30)</f>
        <v>24</v>
      </c>
      <c r="L52" s="18">
        <f t="shared" ca="1" si="22"/>
        <v>0</v>
      </c>
      <c r="M52" s="18">
        <f t="shared" ca="1" si="22"/>
        <v>0</v>
      </c>
      <c r="N52" s="18">
        <f t="shared" ca="1" si="22"/>
        <v>0</v>
      </c>
      <c r="O52" s="18">
        <f t="shared" ca="1" si="22"/>
        <v>3</v>
      </c>
      <c r="P52" s="18">
        <f t="shared" ca="1" si="22"/>
        <v>0</v>
      </c>
      <c r="Q52" s="18">
        <f t="shared" ca="1" si="22"/>
        <v>0</v>
      </c>
      <c r="R52" s="18">
        <f t="shared" ca="1" si="22"/>
        <v>3</v>
      </c>
      <c r="S52" s="18">
        <f t="shared" ca="1" si="22"/>
        <v>3</v>
      </c>
      <c r="T52" s="18">
        <f t="shared" ca="1" si="22"/>
        <v>10</v>
      </c>
      <c r="U52" s="18">
        <f t="shared" ca="1" si="22"/>
        <v>0</v>
      </c>
      <c r="V52" s="18">
        <f t="shared" ca="1" si="22"/>
        <v>0</v>
      </c>
      <c r="W52" s="18">
        <f t="shared" ca="1" si="22"/>
        <v>0</v>
      </c>
    </row>
    <row r="53" spans="7:23" x14ac:dyDescent="0.2">
      <c r="G53" t="s">
        <v>101</v>
      </c>
      <c r="I53" s="18">
        <f ca="1">I52^2</f>
        <v>81</v>
      </c>
      <c r="J53" s="18">
        <f t="shared" ref="J53:W53" ca="1" si="23">J52^2</f>
        <v>16</v>
      </c>
      <c r="K53" s="18">
        <f t="shared" ca="1" si="23"/>
        <v>576</v>
      </c>
      <c r="L53" s="18">
        <f t="shared" ca="1" si="23"/>
        <v>0</v>
      </c>
      <c r="M53" s="18">
        <f t="shared" ca="1" si="23"/>
        <v>0</v>
      </c>
      <c r="N53" s="18">
        <f t="shared" ca="1" si="23"/>
        <v>0</v>
      </c>
      <c r="O53" s="18">
        <f t="shared" ca="1" si="23"/>
        <v>9</v>
      </c>
      <c r="P53" s="18">
        <f t="shared" ca="1" si="23"/>
        <v>0</v>
      </c>
      <c r="Q53" s="18">
        <f t="shared" ca="1" si="23"/>
        <v>0</v>
      </c>
      <c r="R53" s="18">
        <f t="shared" ca="1" si="23"/>
        <v>9</v>
      </c>
      <c r="S53" s="18">
        <f t="shared" ca="1" si="23"/>
        <v>9</v>
      </c>
      <c r="T53" s="18">
        <f t="shared" ca="1" si="23"/>
        <v>100</v>
      </c>
      <c r="U53" s="18">
        <f t="shared" ca="1" si="23"/>
        <v>0</v>
      </c>
      <c r="V53" s="18">
        <f t="shared" ca="1" si="23"/>
        <v>0</v>
      </c>
      <c r="W53" s="18">
        <f t="shared" ca="1" si="23"/>
        <v>0</v>
      </c>
    </row>
  </sheetData>
  <mergeCells count="3">
    <mergeCell ref="I1:W1"/>
    <mergeCell ref="F3:F7"/>
    <mergeCell ref="H31:H33"/>
  </mergeCells>
  <conditionalFormatting sqref="I30:W30">
    <cfRule type="cellIs" dxfId="288" priority="13" operator="between">
      <formula>(2/3)*$D$19</formula>
      <formula>(3/2)*$D$19</formula>
    </cfRule>
    <cfRule type="cellIs" dxfId="287" priority="14" operator="lessThan">
      <formula>(2/3)*$D$19</formula>
    </cfRule>
    <cfRule type="cellIs" dxfId="286" priority="15" operator="greaterThanOrEqual">
      <formula>1.5*$D$19</formula>
    </cfRule>
  </conditionalFormatting>
  <conditionalFormatting sqref="H30">
    <cfRule type="cellIs" dxfId="285" priority="11" stopIfTrue="1" operator="equal">
      <formula>$B$6*10</formula>
    </cfRule>
    <cfRule type="cellIs" dxfId="284" priority="12" operator="notEqual">
      <formula>$B$6*10</formula>
    </cfRule>
  </conditionalFormatting>
  <conditionalFormatting sqref="I20:W21 I23:W29">
    <cfRule type="beginsWith" dxfId="283" priority="10" stopIfTrue="1" operator="beginsWith" text="0">
      <formula>LEFT(I20,LEN("0"))="0"</formula>
    </cfRule>
  </conditionalFormatting>
  <conditionalFormatting sqref="B18">
    <cfRule type="expression" dxfId="282" priority="9">
      <formula>B18&lt;&gt;$B$7</formula>
    </cfRule>
  </conditionalFormatting>
  <conditionalFormatting sqref="C18">
    <cfRule type="expression" dxfId="281" priority="8">
      <formula>$B$18&lt;&gt;$B$7</formula>
    </cfRule>
  </conditionalFormatting>
  <conditionalFormatting sqref="H31">
    <cfRule type="expression" dxfId="280" priority="7">
      <formula>ABS($H$30-$D$6&gt;=1)</formula>
    </cfRule>
  </conditionalFormatting>
  <conditionalFormatting sqref="B7">
    <cfRule type="expression" dxfId="279" priority="6">
      <formula>($B$7&lt;&gt;SUM($B$9:$B$17))</formula>
    </cfRule>
  </conditionalFormatting>
  <conditionalFormatting sqref="I31:T33">
    <cfRule type="beginsWith" dxfId="278" priority="4" stopIfTrue="1" operator="beginsWith" text="0">
      <formula>LEFT(I31,LEN("0"))="0"</formula>
    </cfRule>
  </conditionalFormatting>
  <conditionalFormatting sqref="N34">
    <cfRule type="beginsWith" dxfId="277" priority="5" stopIfTrue="1" operator="beginsWith" text="0">
      <formula>LEFT(N34,LEN("0"))="0"</formula>
    </cfRule>
  </conditionalFormatting>
  <conditionalFormatting sqref="D9:D17">
    <cfRule type="cellIs" dxfId="276" priority="3" operator="equal">
      <formula>0</formula>
    </cfRule>
  </conditionalFormatting>
  <conditionalFormatting sqref="X22:Y22">
    <cfRule type="beginsWith" dxfId="275" priority="2" stopIfTrue="1" operator="beginsWith" text="0">
      <formula>LEFT(X22,LEN("0"))="0"</formula>
    </cfRule>
  </conditionalFormatting>
  <conditionalFormatting sqref="I22:W22">
    <cfRule type="beginsWith" dxfId="274" priority="1" stopIfTrue="1" operator="beginsWith" text="0">
      <formula>LEFT(I22,LEN("0"))="0"</formula>
    </cfRule>
  </conditionalFormatting>
  <dataValidations disablePrompts="1" count="7">
    <dataValidation type="list" errorStyle="warning" allowBlank="1" showInputMessage="1" showErrorMessage="1" errorTitle="Non-standard credit weighting" promptTitle="Credit value" sqref="D5" xr:uid="{689B1F7B-A58D-494F-ABAD-CB4A4F2FFAE5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3EB8A4E8-D934-7144-9E0D-2374F564F4DD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8845FEF7-167E-9B42-878F-BD3F11D896BA}">
      <formula1>"1,2"</formula1>
    </dataValidation>
    <dataValidation errorStyle="warning" allowBlank="1" showInputMessage="1" showErrorMessage="1" errorTitle="Non-standard credit weighting" promptTitle="Credit value" sqref="B6" xr:uid="{F012124F-8591-D248-BAF6-60BE636EC698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6FE448DB-F326-7A4B-B1CB-46E73222735A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F1A8D406-FF27-F54A-9D64-B0C04B61A3D0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58279F76-243A-F249-82C2-ECBACCAFA2EB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4137-57CF-D143-8969-A868EAE6BBA1}">
  <dimension ref="A1:AD53"/>
  <sheetViews>
    <sheetView topLeftCell="A3" zoomScale="125" zoomScaleNormal="161" workbookViewId="0">
      <selection activeCell="G18" sqref="G18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4.16406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352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64" x14ac:dyDescent="0.2">
      <c r="A3" s="7" t="s">
        <v>52</v>
      </c>
      <c r="B3" s="48" t="s">
        <v>198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7</v>
      </c>
      <c r="K3" s="137">
        <f t="shared" si="0"/>
        <v>1</v>
      </c>
      <c r="L3" s="137">
        <f t="shared" si="0"/>
        <v>0</v>
      </c>
      <c r="M3" s="137">
        <f t="shared" si="0"/>
        <v>0</v>
      </c>
      <c r="N3" s="137">
        <f t="shared" si="0"/>
        <v>3</v>
      </c>
      <c r="O3" s="137">
        <f t="shared" si="0"/>
        <v>8</v>
      </c>
      <c r="P3" s="137">
        <f t="shared" si="0"/>
        <v>4</v>
      </c>
      <c r="Q3" s="137">
        <f t="shared" si="0"/>
        <v>9</v>
      </c>
      <c r="R3" s="137">
        <f t="shared" si="0"/>
        <v>5</v>
      </c>
      <c r="S3" s="137">
        <f t="shared" si="0"/>
        <v>6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54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2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1</v>
      </c>
      <c r="K5" s="85">
        <f t="shared" ca="1" si="1"/>
        <v>1</v>
      </c>
      <c r="L5" s="85">
        <f t="shared" ca="1" si="1"/>
        <v>0</v>
      </c>
      <c r="M5" s="85">
        <f t="shared" ca="1" si="1"/>
        <v>0</v>
      </c>
      <c r="N5" s="85">
        <f t="shared" ca="1" si="1"/>
        <v>4</v>
      </c>
      <c r="O5" s="85">
        <f t="shared" ca="1" si="1"/>
        <v>1</v>
      </c>
      <c r="P5" s="85">
        <f t="shared" ca="1" si="1"/>
        <v>1</v>
      </c>
      <c r="Q5" s="85">
        <f t="shared" ca="1" si="1"/>
        <v>2</v>
      </c>
      <c r="R5" s="85">
        <f t="shared" ca="1" si="1"/>
        <v>4</v>
      </c>
      <c r="S5" s="85">
        <f t="shared" ca="1" si="1"/>
        <v>1.5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4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75</v>
      </c>
      <c r="F7" s="170"/>
      <c r="I7" s="85">
        <f ca="1">SUM(I5:I6)</f>
        <v>0</v>
      </c>
      <c r="J7" s="85">
        <f t="shared" ref="J7:W7" ca="1" si="2">SUM(J5:J6)</f>
        <v>1</v>
      </c>
      <c r="K7" s="85">
        <f t="shared" ca="1" si="2"/>
        <v>5</v>
      </c>
      <c r="L7" s="85">
        <f t="shared" ca="1" si="2"/>
        <v>0</v>
      </c>
      <c r="M7" s="85">
        <f t="shared" ca="1" si="2"/>
        <v>0</v>
      </c>
      <c r="N7" s="85">
        <f t="shared" ca="1" si="2"/>
        <v>4</v>
      </c>
      <c r="O7" s="85">
        <f t="shared" ca="1" si="2"/>
        <v>1</v>
      </c>
      <c r="P7" s="85">
        <f t="shared" ca="1" si="2"/>
        <v>1</v>
      </c>
      <c r="Q7" s="85">
        <f t="shared" ca="1" si="2"/>
        <v>2</v>
      </c>
      <c r="R7" s="85">
        <f t="shared" ca="1" si="2"/>
        <v>4</v>
      </c>
      <c r="S7" s="85">
        <f t="shared" ca="1" si="2"/>
        <v>1.5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9</v>
      </c>
    </row>
    <row r="9" spans="1:24" x14ac:dyDescent="0.2">
      <c r="A9" t="s">
        <v>58</v>
      </c>
      <c r="B9" s="46">
        <v>5</v>
      </c>
      <c r="C9" s="138" t="s">
        <v>199</v>
      </c>
      <c r="D9">
        <f>B$6*10*B9/100</f>
        <v>3.75</v>
      </c>
      <c r="E9" s="29">
        <v>1</v>
      </c>
      <c r="F9" s="42"/>
      <c r="G9" s="30">
        <v>3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>Yes</v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15</v>
      </c>
      <c r="C10" s="40" t="s">
        <v>200</v>
      </c>
      <c r="D10">
        <f>B$6*10*B10/100</f>
        <v>11.25</v>
      </c>
      <c r="E10" s="31">
        <v>4</v>
      </c>
      <c r="F10" s="43"/>
      <c r="G10" s="32">
        <v>3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>Yes</v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15</v>
      </c>
      <c r="C11" s="40" t="s">
        <v>201</v>
      </c>
      <c r="D11">
        <f t="shared" ref="D11:D17" si="5">B$6*10*B11/100</f>
        <v>11.25</v>
      </c>
      <c r="E11" s="31">
        <v>4</v>
      </c>
      <c r="F11" s="43"/>
      <c r="G11" s="32">
        <v>6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>Yes</v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15</v>
      </c>
      <c r="C12" s="40" t="s">
        <v>78</v>
      </c>
      <c r="D12">
        <f t="shared" si="5"/>
        <v>11.25</v>
      </c>
      <c r="E12" s="31">
        <v>1</v>
      </c>
      <c r="F12" s="43"/>
      <c r="G12" s="32">
        <v>8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>Yes</v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>
        <v>15</v>
      </c>
      <c r="C13" s="40" t="s">
        <v>202</v>
      </c>
      <c r="D13">
        <f t="shared" si="5"/>
        <v>11.25</v>
      </c>
      <c r="E13" s="31">
        <v>4</v>
      </c>
      <c r="F13" s="43"/>
      <c r="G13" s="32">
        <v>10</v>
      </c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>Yes</v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>
        <v>20</v>
      </c>
      <c r="C14" s="40" t="s">
        <v>79</v>
      </c>
      <c r="D14">
        <f t="shared" si="5"/>
        <v>15</v>
      </c>
      <c r="E14" s="31">
        <v>1.5</v>
      </c>
      <c r="F14" s="43"/>
      <c r="G14" s="32">
        <v>11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>Yes</v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>
        <v>0</v>
      </c>
      <c r="C15" s="40" t="s">
        <v>203</v>
      </c>
      <c r="D15">
        <f t="shared" si="5"/>
        <v>0</v>
      </c>
      <c r="E15" s="31">
        <v>1</v>
      </c>
      <c r="F15" s="43"/>
      <c r="G15" s="32">
        <v>2</v>
      </c>
      <c r="I15" s="19" t="str">
        <f t="shared" si="4"/>
        <v/>
      </c>
      <c r="J15" s="19" t="str">
        <f t="shared" si="3"/>
        <v>Yes</v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>
        <v>5</v>
      </c>
      <c r="C16" s="40" t="s">
        <v>204</v>
      </c>
      <c r="D16">
        <f t="shared" si="5"/>
        <v>3.75</v>
      </c>
      <c r="E16" s="31">
        <v>1</v>
      </c>
      <c r="F16" s="43"/>
      <c r="G16" s="32">
        <v>7</v>
      </c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>Yes</v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>
        <v>10</v>
      </c>
      <c r="C17" s="139" t="s">
        <v>294</v>
      </c>
      <c r="D17">
        <f t="shared" si="5"/>
        <v>7.5</v>
      </c>
      <c r="E17" s="33">
        <v>2</v>
      </c>
      <c r="F17" s="44"/>
      <c r="G17" s="34">
        <v>9</v>
      </c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>Yes</v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100</v>
      </c>
      <c r="C18" s="59" t="str">
        <f>IF(B18=B7," % ok","% credits do not add up to stated value")</f>
        <v xml:space="preserve"> % ok</v>
      </c>
      <c r="D18" s="59">
        <f>SUM(D9:D17)</f>
        <v>75</v>
      </c>
      <c r="E18" s="134">
        <f>D18/B6/10*100</f>
        <v>100</v>
      </c>
      <c r="T18" s="10">
        <f>B9/100*SUM(I21:T21)</f>
        <v>0.55000000000000004</v>
      </c>
    </row>
    <row r="19" spans="1:30" ht="16" thickBot="1" x14ac:dyDescent="0.25">
      <c r="A19" t="s">
        <v>68</v>
      </c>
      <c r="D19">
        <f>D6/15</f>
        <v>5</v>
      </c>
      <c r="E19" s="134">
        <f>SUM(E9:E16)</f>
        <v>17.5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145.75</v>
      </c>
      <c r="G20" s="11" t="s">
        <v>82</v>
      </c>
      <c r="H20" s="21">
        <f>SUM(I20:W20)</f>
        <v>20</v>
      </c>
      <c r="I20" s="14">
        <v>2</v>
      </c>
      <c r="J20" s="14">
        <v>2</v>
      </c>
      <c r="K20" s="14">
        <v>2</v>
      </c>
      <c r="L20" s="14">
        <v>2</v>
      </c>
      <c r="M20" s="14">
        <v>2</v>
      </c>
      <c r="N20" s="14">
        <v>2</v>
      </c>
      <c r="O20" s="105">
        <v>0</v>
      </c>
      <c r="P20" s="14">
        <v>2</v>
      </c>
      <c r="Q20" s="14">
        <v>2</v>
      </c>
      <c r="R20" s="14">
        <v>2</v>
      </c>
      <c r="S20" s="14">
        <v>2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11</v>
      </c>
      <c r="I21" s="14">
        <v>1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1</v>
      </c>
      <c r="P21" s="14">
        <v>1</v>
      </c>
      <c r="Q21" s="14">
        <v>1</v>
      </c>
      <c r="R21" s="14">
        <v>1</v>
      </c>
      <c r="S21" s="14">
        <v>1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19.5</v>
      </c>
      <c r="I22" s="10">
        <f ca="1">I7</f>
        <v>0</v>
      </c>
      <c r="J22" s="10">
        <f t="shared" ref="J22:Y22" ca="1" si="8">J7</f>
        <v>1</v>
      </c>
      <c r="K22" s="10">
        <f t="shared" ca="1" si="8"/>
        <v>5</v>
      </c>
      <c r="L22" s="10">
        <f t="shared" ca="1" si="8"/>
        <v>0</v>
      </c>
      <c r="M22" s="10">
        <f t="shared" ca="1" si="8"/>
        <v>0</v>
      </c>
      <c r="N22" s="10">
        <f t="shared" ca="1" si="8"/>
        <v>4</v>
      </c>
      <c r="O22" s="103">
        <f t="shared" ca="1" si="8"/>
        <v>1</v>
      </c>
      <c r="P22" s="10">
        <f t="shared" ca="1" si="8"/>
        <v>1</v>
      </c>
      <c r="Q22" s="10">
        <f t="shared" ca="1" si="8"/>
        <v>2</v>
      </c>
      <c r="R22" s="10">
        <f t="shared" ca="1" si="8"/>
        <v>4</v>
      </c>
      <c r="S22" s="10">
        <f t="shared" ca="1" si="8"/>
        <v>1.5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3</v>
      </c>
      <c r="J23" s="61">
        <f ca="1">MIN(2+6*$B$6/15,I23+SUM(J20:J22))</f>
        <v>5</v>
      </c>
      <c r="K23" s="61">
        <f t="shared" ref="K23:T23" ca="1" si="9">MIN(2+6*$B$6/15,J23+SUM(K20:K22))</f>
        <v>5</v>
      </c>
      <c r="L23" s="61">
        <f t="shared" ca="1" si="9"/>
        <v>5</v>
      </c>
      <c r="M23" s="61">
        <f t="shared" ca="1" si="9"/>
        <v>5</v>
      </c>
      <c r="N23" s="61">
        <f t="shared" ca="1" si="9"/>
        <v>5</v>
      </c>
      <c r="O23" s="61">
        <f t="shared" ca="1" si="9"/>
        <v>5</v>
      </c>
      <c r="P23" s="61">
        <f t="shared" ca="1" si="9"/>
        <v>5</v>
      </c>
      <c r="Q23" s="61">
        <f t="shared" ca="1" si="9"/>
        <v>5</v>
      </c>
      <c r="R23" s="61">
        <f t="shared" ca="1" si="9"/>
        <v>5</v>
      </c>
      <c r="S23" s="61">
        <f t="shared" ca="1" si="9"/>
        <v>5</v>
      </c>
      <c r="T23" s="61">
        <f t="shared" ca="1" si="9"/>
        <v>5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1</v>
      </c>
      <c r="K24" s="24">
        <f t="shared" si="10"/>
        <v>1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1</v>
      </c>
      <c r="O24" s="107">
        <f t="shared" ref="O24:W24" si="11">(IFERROR(_xlfn.XMATCH("Yes",O$9:O$17),0)&gt;0)*1</f>
        <v>1</v>
      </c>
      <c r="P24" s="24">
        <f t="shared" si="11"/>
        <v>1</v>
      </c>
      <c r="Q24" s="24">
        <f t="shared" si="11"/>
        <v>1</v>
      </c>
      <c r="R24" s="24">
        <f t="shared" si="11"/>
        <v>1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3.75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11.25</v>
      </c>
      <c r="O25" s="108" cm="1">
        <f t="array" ref="O25">IFERROR((1+O$24)/(1+O$24)*(INDEX($D$9:$D$17,O$35)),0)</f>
        <v>3.75</v>
      </c>
      <c r="P25" s="22" cm="1">
        <f t="array" ref="P25">IFERROR((1+P$24)/(1+P$24)*(INDEX($D$9:$D$17,P$35)),0)</f>
        <v>11.25</v>
      </c>
      <c r="Q25" s="22" cm="1">
        <f t="array" ref="Q25">IFERROR((1+Q$24)/(1+Q$24)*(INDEX($D$9:$D$17,Q$35)),0)</f>
        <v>7.5</v>
      </c>
      <c r="R25" s="22" cm="1">
        <f t="array" ref="R25">IFERROR((1+R$24)/(1+R$24)*(INDEX($D$9:$D$17,R$35)),0)</f>
        <v>11.25</v>
      </c>
      <c r="S25" s="22" cm="1">
        <f t="array" ref="S25">IFERROR((1+S$24)/(1+S$24)*(INDEX($D$9:$D$17,S$35)),0)</f>
        <v>15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-4</v>
      </c>
      <c r="K26" s="22">
        <f ca="1">-J23*K24-K22</f>
        <v>-10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-9</v>
      </c>
      <c r="O26" s="108">
        <f t="shared" ca="1" si="13"/>
        <v>-6</v>
      </c>
      <c r="P26" s="22">
        <f t="shared" ca="1" si="13"/>
        <v>-6</v>
      </c>
      <c r="Q26" s="22">
        <f t="shared" ca="1" si="13"/>
        <v>-7</v>
      </c>
      <c r="R26" s="22">
        <f t="shared" ca="1" si="13"/>
        <v>-9</v>
      </c>
      <c r="S26" s="22">
        <f t="shared" ca="1" si="13"/>
        <v>-6.5</v>
      </c>
      <c r="T26" s="22">
        <f t="shared" ca="1" si="13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18.75</v>
      </c>
      <c r="I27" s="25">
        <f ca="1">MAX(0,(I25+I26))</f>
        <v>0</v>
      </c>
      <c r="J27" s="25">
        <f t="shared" ref="J27" ca="1" si="14">MAX(0,(J25+J26))</f>
        <v>0</v>
      </c>
      <c r="K27" s="25">
        <f ca="1">MAX(0,(K25+K26)-J28-I28)</f>
        <v>0</v>
      </c>
      <c r="L27" s="25">
        <f t="shared" ref="L27:T27" ca="1" si="15">MAX(0,(L25+L26)-K28-J28)</f>
        <v>0</v>
      </c>
      <c r="M27" s="25">
        <f t="shared" ca="1" si="15"/>
        <v>0</v>
      </c>
      <c r="N27" s="25">
        <f t="shared" ca="1" si="15"/>
        <v>2.25</v>
      </c>
      <c r="O27" s="25">
        <f t="shared" ca="1" si="15"/>
        <v>0</v>
      </c>
      <c r="P27" s="25">
        <f t="shared" ca="1" si="15"/>
        <v>5.25</v>
      </c>
      <c r="Q27" s="25">
        <f t="shared" ca="1" si="15"/>
        <v>0.5</v>
      </c>
      <c r="R27" s="25">
        <f t="shared" ca="1" si="15"/>
        <v>2.25</v>
      </c>
      <c r="S27" s="25">
        <f t="shared" ca="1" si="15"/>
        <v>8.5</v>
      </c>
      <c r="T27" s="25">
        <f t="shared" ca="1" si="15"/>
        <v>0</v>
      </c>
      <c r="U27" s="25">
        <f t="shared" ref="U27:W27" si="16">(U25+U26)</f>
        <v>0</v>
      </c>
      <c r="V27" s="25">
        <f t="shared" si="16"/>
        <v>0</v>
      </c>
      <c r="W27" s="25">
        <f t="shared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69.25</v>
      </c>
      <c r="I30" s="16">
        <f t="shared" ref="I30:W30" ca="1" si="19">I20+I21+I22+I27+I28+I29</f>
        <v>3</v>
      </c>
      <c r="J30" s="16">
        <f t="shared" ca="1" si="19"/>
        <v>4</v>
      </c>
      <c r="K30" s="16">
        <f t="shared" ca="1" si="19"/>
        <v>8</v>
      </c>
      <c r="L30" s="16">
        <f t="shared" ca="1" si="19"/>
        <v>3</v>
      </c>
      <c r="M30" s="16">
        <f t="shared" ca="1" si="19"/>
        <v>3</v>
      </c>
      <c r="N30" s="16">
        <f t="shared" ca="1" si="19"/>
        <v>9.25</v>
      </c>
      <c r="O30" s="110">
        <f t="shared" ca="1" si="19"/>
        <v>2</v>
      </c>
      <c r="P30" s="16">
        <f t="shared" ca="1" si="19"/>
        <v>9.25</v>
      </c>
      <c r="Q30" s="16">
        <f t="shared" ca="1" si="19"/>
        <v>5.5</v>
      </c>
      <c r="R30" s="16">
        <f t="shared" ca="1" si="19"/>
        <v>9.25</v>
      </c>
      <c r="S30" s="16">
        <f t="shared" ca="1" si="19"/>
        <v>13</v>
      </c>
      <c r="T30" s="16">
        <f t="shared" ca="1" si="19"/>
        <v>0</v>
      </c>
      <c r="U30" s="65">
        <f t="shared" ca="1" si="19"/>
        <v>0</v>
      </c>
      <c r="V30" s="16">
        <f t="shared" ca="1" si="19"/>
        <v>0</v>
      </c>
      <c r="W30" s="16">
        <f t="shared" ca="1" si="19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0</v>
      </c>
      <c r="J31" s="22">
        <f t="shared" si="20"/>
        <v>-3</v>
      </c>
      <c r="K31" s="22">
        <f t="shared" si="20"/>
        <v>-0.25</v>
      </c>
      <c r="L31" s="22">
        <f t="shared" si="20"/>
        <v>0</v>
      </c>
      <c r="M31" s="22">
        <f t="shared" si="20"/>
        <v>0</v>
      </c>
      <c r="N31" s="22">
        <f t="shared" si="20"/>
        <v>4.25</v>
      </c>
      <c r="O31" s="108">
        <f t="shared" si="20"/>
        <v>-3.25</v>
      </c>
      <c r="P31" s="22">
        <f t="shared" si="20"/>
        <v>4.25</v>
      </c>
      <c r="Q31" s="22">
        <f t="shared" si="20"/>
        <v>0.5</v>
      </c>
      <c r="R31" s="22">
        <f t="shared" si="20"/>
        <v>4.25</v>
      </c>
      <c r="S31" s="22">
        <f t="shared" si="20"/>
        <v>8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5.75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>
        <f t="shared" ref="J35:W35" si="21">IFERROR(_xlfn.XMATCH("Yes",J$9:J$17,1),T(1))</f>
        <v>7</v>
      </c>
      <c r="K35" s="18">
        <f t="shared" si="21"/>
        <v>1</v>
      </c>
      <c r="L35" s="18" t="str">
        <f t="shared" si="21"/>
        <v/>
      </c>
      <c r="M35" s="18" t="str">
        <f t="shared" si="21"/>
        <v/>
      </c>
      <c r="N35" s="18">
        <f t="shared" si="21"/>
        <v>3</v>
      </c>
      <c r="O35" s="18">
        <f t="shared" si="21"/>
        <v>8</v>
      </c>
      <c r="P35" s="18">
        <f t="shared" si="21"/>
        <v>4</v>
      </c>
      <c r="Q35" s="18">
        <f t="shared" si="21"/>
        <v>9</v>
      </c>
      <c r="R35" s="18">
        <f t="shared" si="21"/>
        <v>5</v>
      </c>
      <c r="S35" s="18">
        <f t="shared" si="21"/>
        <v>6</v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cm="1">
        <f t="array" ref="J36">IFERROR(INDEX( $G$9:$G$17, _xlfn.XMATCH("Yes", (J$9:J$17),1)),T(1))</f>
        <v>2</v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cm="1">
        <f t="array" ref="N36">IFERROR(INDEX( $G$9:$G$17, _xlfn.XMATCH("Yes", (N$9:N$17),1)),T(1))</f>
        <v>6</v>
      </c>
      <c r="O36" s="18" cm="1">
        <f t="array" ref="O36">IFERROR(INDEX( $G$9:$G$17, _xlfn.XMATCH("Yes", (O$9:O$17),1)),T(1))</f>
        <v>7</v>
      </c>
      <c r="P36" s="18" cm="1">
        <f t="array" ref="P36">IFERROR(INDEX( $G$9:$G$17, _xlfn.XMATCH("Yes", (P$9:P$17),1)),T(1))</f>
        <v>8</v>
      </c>
      <c r="Q36" s="18" cm="1">
        <f t="array" ref="Q36">IFERROR(INDEX( $G$9:$G$17, _xlfn.XMATCH("Yes", (Q$9:Q$17),1)),T(1))</f>
        <v>9</v>
      </c>
      <c r="R36" s="18" cm="1">
        <f t="array" ref="R36">IFERROR(INDEX( $G$9:$G$17, _xlfn.XMATCH("Yes", (R$9:R$17),1)),T(1))</f>
        <v>10</v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2">(K30-J30)*(K30&gt;J30)</f>
        <v>4</v>
      </c>
      <c r="L52" s="18">
        <f t="shared" ca="1" si="22"/>
        <v>0</v>
      </c>
      <c r="M52" s="18">
        <f t="shared" ca="1" si="22"/>
        <v>0</v>
      </c>
      <c r="N52" s="18">
        <f t="shared" ca="1" si="22"/>
        <v>6.25</v>
      </c>
      <c r="O52" s="18">
        <f t="shared" ca="1" si="22"/>
        <v>0</v>
      </c>
      <c r="P52" s="18">
        <f t="shared" ca="1" si="22"/>
        <v>7.25</v>
      </c>
      <c r="Q52" s="18">
        <f t="shared" ca="1" si="22"/>
        <v>0</v>
      </c>
      <c r="R52" s="18">
        <f t="shared" ca="1" si="22"/>
        <v>3.75</v>
      </c>
      <c r="S52" s="18">
        <f t="shared" ca="1" si="22"/>
        <v>3.75</v>
      </c>
      <c r="T52" s="18">
        <f t="shared" ca="1" si="22"/>
        <v>0</v>
      </c>
      <c r="U52" s="18">
        <f t="shared" ca="1" si="22"/>
        <v>0</v>
      </c>
      <c r="V52" s="18">
        <f t="shared" ca="1" si="22"/>
        <v>0</v>
      </c>
      <c r="W52" s="18">
        <f t="shared" ca="1" si="22"/>
        <v>0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3">J52^2</f>
        <v>1</v>
      </c>
      <c r="K53" s="18">
        <f t="shared" ca="1" si="23"/>
        <v>16</v>
      </c>
      <c r="L53" s="18">
        <f t="shared" ca="1" si="23"/>
        <v>0</v>
      </c>
      <c r="M53" s="18">
        <f t="shared" ca="1" si="23"/>
        <v>0</v>
      </c>
      <c r="N53" s="18">
        <f t="shared" ca="1" si="23"/>
        <v>39.0625</v>
      </c>
      <c r="O53" s="18">
        <f t="shared" ca="1" si="23"/>
        <v>0</v>
      </c>
      <c r="P53" s="18">
        <f t="shared" ca="1" si="23"/>
        <v>52.5625</v>
      </c>
      <c r="Q53" s="18">
        <f t="shared" ca="1" si="23"/>
        <v>0</v>
      </c>
      <c r="R53" s="18">
        <f t="shared" ca="1" si="23"/>
        <v>14.0625</v>
      </c>
      <c r="S53" s="18">
        <f t="shared" ca="1" si="23"/>
        <v>14.0625</v>
      </c>
      <c r="T53" s="18">
        <f t="shared" ca="1" si="23"/>
        <v>0</v>
      </c>
      <c r="U53" s="18">
        <f t="shared" ca="1" si="23"/>
        <v>0</v>
      </c>
      <c r="V53" s="18">
        <f t="shared" ca="1" si="23"/>
        <v>0</v>
      </c>
      <c r="W53" s="18">
        <f t="shared" ca="1" si="23"/>
        <v>0</v>
      </c>
    </row>
  </sheetData>
  <mergeCells count="3">
    <mergeCell ref="I1:W1"/>
    <mergeCell ref="F3:F7"/>
    <mergeCell ref="H31:H33"/>
  </mergeCells>
  <conditionalFormatting sqref="I30:W30">
    <cfRule type="cellIs" dxfId="273" priority="14" operator="between">
      <formula>(2/3)*$D$19</formula>
      <formula>(3/2)*$D$19</formula>
    </cfRule>
    <cfRule type="cellIs" dxfId="272" priority="15" operator="lessThan">
      <formula>(2/3)*$D$19</formula>
    </cfRule>
    <cfRule type="cellIs" dxfId="271" priority="16" operator="greaterThanOrEqual">
      <formula>1.5*$D$19</formula>
    </cfRule>
  </conditionalFormatting>
  <conditionalFormatting sqref="H30">
    <cfRule type="cellIs" dxfId="270" priority="12" stopIfTrue="1" operator="equal">
      <formula>$B$6*10</formula>
    </cfRule>
    <cfRule type="cellIs" dxfId="269" priority="13" operator="notEqual">
      <formula>$B$6*10</formula>
    </cfRule>
  </conditionalFormatting>
  <conditionalFormatting sqref="I20:W21 I23:W29">
    <cfRule type="beginsWith" dxfId="268" priority="11" stopIfTrue="1" operator="beginsWith" text="0">
      <formula>LEFT(I20,LEN("0"))="0"</formula>
    </cfRule>
  </conditionalFormatting>
  <conditionalFormatting sqref="B18">
    <cfRule type="expression" dxfId="267" priority="10">
      <formula>B18&lt;&gt;$B$7</formula>
    </cfRule>
  </conditionalFormatting>
  <conditionalFormatting sqref="C18">
    <cfRule type="expression" dxfId="266" priority="9">
      <formula>$B$18&lt;&gt;$B$7</formula>
    </cfRule>
  </conditionalFormatting>
  <conditionalFormatting sqref="H31">
    <cfRule type="expression" dxfId="265" priority="8">
      <formula>ABS($H$30-$D$6&gt;=1)</formula>
    </cfRule>
  </conditionalFormatting>
  <conditionalFormatting sqref="I31:T33">
    <cfRule type="beginsWith" dxfId="264" priority="5" stopIfTrue="1" operator="beginsWith" text="0">
      <formula>LEFT(I31,LEN("0"))="0"</formula>
    </cfRule>
  </conditionalFormatting>
  <conditionalFormatting sqref="N34">
    <cfRule type="beginsWith" dxfId="263" priority="6" stopIfTrue="1" operator="beginsWith" text="0">
      <formula>LEFT(N34,LEN("0"))="0"</formula>
    </cfRule>
  </conditionalFormatting>
  <conditionalFormatting sqref="D9:D17">
    <cfRule type="cellIs" dxfId="262" priority="4" operator="equal">
      <formula>0</formula>
    </cfRule>
  </conditionalFormatting>
  <conditionalFormatting sqref="X22:Y22">
    <cfRule type="beginsWith" dxfId="261" priority="3" stopIfTrue="1" operator="beginsWith" text="0">
      <formula>LEFT(X22,LEN("0"))="0"</formula>
    </cfRule>
  </conditionalFormatting>
  <conditionalFormatting sqref="I22:W22">
    <cfRule type="beginsWith" dxfId="260" priority="2" stopIfTrue="1" operator="beginsWith" text="0">
      <formula>LEFT(I22,LEN("0"))="0"</formula>
    </cfRule>
  </conditionalFormatting>
  <conditionalFormatting sqref="B7">
    <cfRule type="expression" dxfId="259" priority="1">
      <formula>($B$7&lt;&gt;SUM($B$9:$B$17))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CD87D83D-746D-AD4D-A583-D5975B272C17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3EA6068E-41E6-2847-AD62-C129DB90C818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CE3F9209-61D7-0A49-ACDC-51EEA52E88BB}">
      <formula1>0</formula1>
      <formula2>100</formula2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351CAFB7-FDD8-AF49-B25C-2EA554B72F55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ADA09250-4A18-9A48-BD89-8C52A2FD078E}">
      <formula1>"0,1,2,3"</formula1>
    </dataValidation>
    <dataValidation type="list" errorStyle="warning" allowBlank="1" showInputMessage="1" showErrorMessage="1" errorTitle="Non-standard credit weighting" promptTitle="Credit value" sqref="D5" xr:uid="{BC43F391-7879-ED4C-88FA-E71F91B8BDF0}">
      <formula1>"Yes, No"</formula1>
    </dataValidation>
    <dataValidation type="list" errorStyle="warning" allowBlank="1" showInputMessage="1" showErrorMessage="1" errorTitle="Non-standard credit weighting" promptTitle="Credit value" sqref="B6" xr:uid="{407352B4-5E75-234E-B247-4AA7BF7037D8}">
      <formula1>"7.5, 15, 22.5, 30, 45, 60"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A795-5E0E-4A4B-9FF4-7BD3D60DC8B0}">
  <dimension ref="A1:AD53"/>
  <sheetViews>
    <sheetView topLeftCell="A3" zoomScale="120" zoomScaleNormal="120" workbookViewId="0">
      <selection activeCell="D26" sqref="D26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362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206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1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205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4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12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60</v>
      </c>
      <c r="D7">
        <f>B6*10*B7/100</f>
        <v>90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4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12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37" thickBot="1" x14ac:dyDescent="0.25">
      <c r="A8" t="s">
        <v>55</v>
      </c>
      <c r="B8" s="45">
        <v>2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>Coding Assignment</v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10</v>
      </c>
      <c r="C9" s="40" t="s">
        <v>208</v>
      </c>
      <c r="D9">
        <f>B$6*10*B9/100</f>
        <v>15</v>
      </c>
      <c r="E9" s="29">
        <v>4</v>
      </c>
      <c r="F9" s="42"/>
      <c r="G9" s="30">
        <v>5</v>
      </c>
      <c r="I9" s="19" t="str">
        <f>IF(I$2=$G9,"Yes",T(1))</f>
        <v/>
      </c>
      <c r="J9" s="19" t="str">
        <f>IF(J$2=$G9,"Yes",T(1))</f>
        <v/>
      </c>
      <c r="K9" s="19" t="str">
        <f t="shared" ref="J9:W17" si="3">IF(K$2=$G9,"Yes",T(1))</f>
        <v/>
      </c>
      <c r="L9" s="19" t="str">
        <f t="shared" si="3"/>
        <v/>
      </c>
      <c r="M9" s="19" t="str">
        <f t="shared" si="3"/>
        <v>Yes</v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>
        <v>50</v>
      </c>
      <c r="C10" s="40" t="s">
        <v>207</v>
      </c>
      <c r="D10">
        <f>B$6*10*B10/100</f>
        <v>75</v>
      </c>
      <c r="E10" s="31">
        <v>12</v>
      </c>
      <c r="F10" s="43"/>
      <c r="G10" s="32">
        <v>12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>Yes</v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  <c r="X10" s="135">
        <f t="shared" ref="X10:X17" si="5">E10</f>
        <v>12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60</v>
      </c>
      <c r="C18" s="59" t="str">
        <f>IF(B18=B7,"% ok","% credits do not add up to stated value")</f>
        <v>% ok</v>
      </c>
      <c r="D18" s="59">
        <f>SUM(D9:D17)</f>
        <v>90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3147.54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36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2.6999999999999997</v>
      </c>
      <c r="V21" s="14">
        <f ca="1">U34*V31</f>
        <v>5.3999999999999995</v>
      </c>
      <c r="W21" s="14">
        <f ca="1">U34*W31</f>
        <v>9.9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9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4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1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15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75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-14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56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1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55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8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7</v>
      </c>
      <c r="R30" s="119">
        <f t="shared" ca="1" si="16"/>
        <v>6</v>
      </c>
      <c r="S30" s="119">
        <f t="shared" ca="1" si="16"/>
        <v>7</v>
      </c>
      <c r="T30" s="119">
        <f t="shared" ca="1" si="16"/>
        <v>62</v>
      </c>
      <c r="U30" s="121">
        <f t="shared" ca="1" si="16"/>
        <v>2.6999999999999997</v>
      </c>
      <c r="V30" s="119">
        <f t="shared" ca="1" si="16"/>
        <v>5.3999999999999995</v>
      </c>
      <c r="W30" s="119">
        <f t="shared" ca="1" si="16"/>
        <v>12.9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8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67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18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>
        <f t="shared" si="19"/>
        <v>1</v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>
        <f t="shared" si="19"/>
        <v>2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2</v>
      </c>
      <c r="N52" s="18">
        <f t="shared" ca="1" si="20"/>
        <v>0</v>
      </c>
      <c r="O52" s="18">
        <f t="shared" ca="1" si="20"/>
        <v>0</v>
      </c>
      <c r="P52" s="18">
        <f t="shared" ca="1" si="20"/>
        <v>4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55</v>
      </c>
      <c r="U52" s="18">
        <f t="shared" ca="1" si="20"/>
        <v>0</v>
      </c>
      <c r="V52" s="18">
        <f t="shared" ca="1" si="20"/>
        <v>2.6999999999999997</v>
      </c>
      <c r="W52" s="18">
        <f t="shared" ca="1" si="20"/>
        <v>7.5000000000000009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4</v>
      </c>
      <c r="N53" s="18">
        <f t="shared" ca="1" si="21"/>
        <v>0</v>
      </c>
      <c r="O53" s="18">
        <f t="shared" ca="1" si="21"/>
        <v>0</v>
      </c>
      <c r="P53" s="18">
        <f t="shared" ca="1" si="21"/>
        <v>16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3025</v>
      </c>
      <c r="U53" s="18">
        <f t="shared" ca="1" si="21"/>
        <v>0</v>
      </c>
      <c r="V53" s="18">
        <f t="shared" ca="1" si="21"/>
        <v>7.2899999999999983</v>
      </c>
      <c r="W53" s="18">
        <f t="shared" ca="1" si="21"/>
        <v>56.250000000000014</v>
      </c>
    </row>
  </sheetData>
  <mergeCells count="2">
    <mergeCell ref="I1:W1"/>
    <mergeCell ref="F3:F7"/>
  </mergeCells>
  <conditionalFormatting sqref="I30:W30">
    <cfRule type="cellIs" dxfId="258" priority="11" operator="between">
      <formula>(2/3)*$D$19</formula>
      <formula>(3/2)*$D$19</formula>
    </cfRule>
    <cfRule type="cellIs" dxfId="257" priority="12" operator="lessThan">
      <formula>(2/3)*$D$19</formula>
    </cfRule>
    <cfRule type="cellIs" dxfId="256" priority="13" operator="greaterThanOrEqual">
      <formula>1.5*$D$19</formula>
    </cfRule>
  </conditionalFormatting>
  <conditionalFormatting sqref="H30">
    <cfRule type="cellIs" dxfId="255" priority="9" stopIfTrue="1" operator="equal">
      <formula>$B$6*10</formula>
    </cfRule>
    <cfRule type="cellIs" dxfId="254" priority="10" operator="notEqual">
      <formula>$B$6*10</formula>
    </cfRule>
  </conditionalFormatting>
  <conditionalFormatting sqref="I20:W29">
    <cfRule type="beginsWith" dxfId="253" priority="8" stopIfTrue="1" operator="beginsWith" text="0">
      <formula>LEFT(I20,LEN("0"))="0"</formula>
    </cfRule>
  </conditionalFormatting>
  <conditionalFormatting sqref="B18">
    <cfRule type="expression" dxfId="252" priority="7">
      <formula>B18&lt;&gt;$B$7</formula>
    </cfRule>
  </conditionalFormatting>
  <conditionalFormatting sqref="C18">
    <cfRule type="expression" dxfId="251" priority="6">
      <formula>$B$18&lt;&gt;$B$7</formula>
    </cfRule>
  </conditionalFormatting>
  <conditionalFormatting sqref="H31:H33">
    <cfRule type="expression" dxfId="250" priority="5">
      <formula>ABS($H$30-$D$6&gt;=1)</formula>
    </cfRule>
  </conditionalFormatting>
  <conditionalFormatting sqref="B7">
    <cfRule type="expression" dxfId="249" priority="4">
      <formula>($B$7&lt;&gt;SUM($B$9:$B$17))</formula>
    </cfRule>
  </conditionalFormatting>
  <conditionalFormatting sqref="I31:T33">
    <cfRule type="beginsWith" dxfId="248" priority="2" stopIfTrue="1" operator="beginsWith" text="0">
      <formula>LEFT(I31,LEN("0"))="0"</formula>
    </cfRule>
  </conditionalFormatting>
  <conditionalFormatting sqref="N34">
    <cfRule type="beginsWith" dxfId="247" priority="3" stopIfTrue="1" operator="beginsWith" text="0">
      <formula>LEFT(N34,LEN("0"))="0"</formula>
    </cfRule>
  </conditionalFormatting>
  <conditionalFormatting sqref="D9:D17">
    <cfRule type="cellIs" dxfId="246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F574CE80-107E-A848-9806-5372C6DAC71A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92B8D1C3-47DA-7D4C-B6F5-8151EA997D86}">
      <formula1>"1,2"</formula1>
    </dataValidation>
    <dataValidation type="list" errorStyle="warning" allowBlank="1" showInputMessage="1" showErrorMessage="1" errorTitle="Non-standard credit weighting" promptTitle="Credit value" sqref="B6" xr:uid="{09615654-A012-4D49-92FC-B57756658D58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FBF9AD57-5FC4-504E-8D31-A30743DDB538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EDE89882-692E-6B4D-B8A8-D6CE3A1A1A2E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1D214B2F-C743-4742-A2D2-075BBD6C95C5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32539-B297-41E9-A2D4-C5ACB1705EB6}">
  <dimension ref="A1:AD53"/>
  <sheetViews>
    <sheetView topLeftCell="A2" zoomScale="120" zoomScaleNormal="120" workbookViewId="0">
      <selection activeCell="K15" sqref="K1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370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246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1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227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2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25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2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25</v>
      </c>
      <c r="C9" s="145" t="s">
        <v>247</v>
      </c>
      <c r="D9">
        <f>B$6*10*B9/100</f>
        <v>37.5</v>
      </c>
      <c r="E9" s="29">
        <v>2</v>
      </c>
      <c r="F9" s="42"/>
      <c r="G9" s="30">
        <v>10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>Yes</v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25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957.79187500000012</v>
      </c>
      <c r="G20" s="11" t="s">
        <v>82</v>
      </c>
      <c r="H20" s="21">
        <f>SUM(I20:W20)</f>
        <v>31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46">
        <v>0</v>
      </c>
      <c r="P20" s="14">
        <v>3</v>
      </c>
      <c r="Q20" s="14">
        <v>3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91.5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11.025</v>
      </c>
      <c r="V21" s="14">
        <f ca="1">U34*V31</f>
        <v>22.05</v>
      </c>
      <c r="W21" s="14">
        <f ca="1">U34*W31</f>
        <v>40.425000000000004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7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2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MIN(10,I23+SUM(J20:J22))</f>
        <v>7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1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37.5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-20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17.5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17.5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3</v>
      </c>
      <c r="J30" s="119">
        <f t="shared" ca="1" si="16"/>
        <v>4</v>
      </c>
      <c r="K30" s="119">
        <f t="shared" ca="1" si="16"/>
        <v>5</v>
      </c>
      <c r="L30" s="119">
        <f t="shared" ca="1" si="16"/>
        <v>4</v>
      </c>
      <c r="M30" s="119">
        <f t="shared" ca="1" si="16"/>
        <v>5</v>
      </c>
      <c r="N30" s="119">
        <f t="shared" ca="1" si="16"/>
        <v>4</v>
      </c>
      <c r="O30" s="120">
        <f t="shared" ca="1" si="16"/>
        <v>2</v>
      </c>
      <c r="P30" s="119">
        <f t="shared" ca="1" si="16"/>
        <v>4</v>
      </c>
      <c r="Q30" s="119">
        <f t="shared" ca="1" si="16"/>
        <v>5</v>
      </c>
      <c r="R30" s="119">
        <f t="shared" ca="1" si="16"/>
        <v>23.5</v>
      </c>
      <c r="S30" s="119">
        <f t="shared" ca="1" si="16"/>
        <v>5</v>
      </c>
      <c r="T30" s="119">
        <f t="shared" ca="1" si="16"/>
        <v>9</v>
      </c>
      <c r="U30" s="121">
        <f t="shared" ca="1" si="16"/>
        <v>11.025</v>
      </c>
      <c r="V30" s="119">
        <f t="shared" ca="1" si="16"/>
        <v>22.05</v>
      </c>
      <c r="W30" s="119">
        <f t="shared" ca="1" si="16"/>
        <v>43.425000000000004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30.5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73.5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>
        <f t="shared" si="19"/>
        <v>1</v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1</v>
      </c>
      <c r="N52" s="18">
        <f t="shared" ca="1" si="20"/>
        <v>0</v>
      </c>
      <c r="O52" s="18">
        <f t="shared" ca="1" si="20"/>
        <v>0</v>
      </c>
      <c r="P52" s="18">
        <f t="shared" ca="1" si="20"/>
        <v>2</v>
      </c>
      <c r="Q52" s="18">
        <f t="shared" ca="1" si="20"/>
        <v>1</v>
      </c>
      <c r="R52" s="18">
        <f t="shared" ca="1" si="20"/>
        <v>18.5</v>
      </c>
      <c r="S52" s="18">
        <f t="shared" ca="1" si="20"/>
        <v>0</v>
      </c>
      <c r="T52" s="18">
        <f t="shared" ca="1" si="20"/>
        <v>4</v>
      </c>
      <c r="U52" s="18">
        <f t="shared" ca="1" si="20"/>
        <v>2.0250000000000004</v>
      </c>
      <c r="V52" s="18">
        <f t="shared" ca="1" si="20"/>
        <v>11.025</v>
      </c>
      <c r="W52" s="18">
        <f t="shared" ca="1" si="20"/>
        <v>21.375000000000004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1</v>
      </c>
      <c r="N53" s="18">
        <f t="shared" ca="1" si="21"/>
        <v>0</v>
      </c>
      <c r="O53" s="18">
        <f t="shared" ca="1" si="21"/>
        <v>0</v>
      </c>
      <c r="P53" s="18">
        <f t="shared" ca="1" si="21"/>
        <v>4</v>
      </c>
      <c r="Q53" s="18">
        <f t="shared" ca="1" si="21"/>
        <v>1</v>
      </c>
      <c r="R53" s="18">
        <f t="shared" ca="1" si="21"/>
        <v>342.25</v>
      </c>
      <c r="S53" s="18">
        <f t="shared" ca="1" si="21"/>
        <v>0</v>
      </c>
      <c r="T53" s="18">
        <f t="shared" ca="1" si="21"/>
        <v>16</v>
      </c>
      <c r="U53" s="18">
        <f t="shared" ca="1" si="21"/>
        <v>4.1006250000000017</v>
      </c>
      <c r="V53" s="18">
        <f t="shared" ca="1" si="21"/>
        <v>121.55062500000001</v>
      </c>
      <c r="W53" s="18">
        <f t="shared" ca="1" si="21"/>
        <v>456.89062500000017</v>
      </c>
    </row>
  </sheetData>
  <mergeCells count="2">
    <mergeCell ref="I1:W1"/>
    <mergeCell ref="F3:F7"/>
  </mergeCells>
  <conditionalFormatting sqref="I30:W30">
    <cfRule type="cellIs" dxfId="245" priority="11" operator="between">
      <formula>(2/3)*$D$19</formula>
      <formula>(3/2)*$D$19</formula>
    </cfRule>
    <cfRule type="cellIs" dxfId="244" priority="12" operator="lessThan">
      <formula>(2/3)*$D$19</formula>
    </cfRule>
    <cfRule type="cellIs" dxfId="243" priority="13" operator="greaterThanOrEqual">
      <formula>1.5*$D$19</formula>
    </cfRule>
  </conditionalFormatting>
  <conditionalFormatting sqref="H30">
    <cfRule type="cellIs" dxfId="242" priority="9" stopIfTrue="1" operator="equal">
      <formula>$B$6*10</formula>
    </cfRule>
    <cfRule type="cellIs" dxfId="241" priority="10" operator="notEqual">
      <formula>$B$6*10</formula>
    </cfRule>
  </conditionalFormatting>
  <conditionalFormatting sqref="I21:W29 U20:W20">
    <cfRule type="beginsWith" dxfId="240" priority="8" stopIfTrue="1" operator="beginsWith" text="0">
      <formula>LEFT(I20,LEN("0"))="0"</formula>
    </cfRule>
  </conditionalFormatting>
  <conditionalFormatting sqref="B18">
    <cfRule type="expression" dxfId="239" priority="7">
      <formula>B18&lt;&gt;$B$7</formula>
    </cfRule>
  </conditionalFormatting>
  <conditionalFormatting sqref="C18">
    <cfRule type="expression" dxfId="238" priority="6">
      <formula>$B$18&lt;&gt;$B$7</formula>
    </cfRule>
  </conditionalFormatting>
  <conditionalFormatting sqref="H31:H33">
    <cfRule type="expression" dxfId="237" priority="5">
      <formula>ABS($H$30-$D$6&gt;=1)</formula>
    </cfRule>
  </conditionalFormatting>
  <conditionalFormatting sqref="B7">
    <cfRule type="expression" dxfId="236" priority="4">
      <formula>($B$7&lt;&gt;SUM($B$9:$B$17))</formula>
    </cfRule>
  </conditionalFormatting>
  <conditionalFormatting sqref="I31:T33">
    <cfRule type="beginsWith" dxfId="235" priority="2" stopIfTrue="1" operator="beginsWith" text="0">
      <formula>LEFT(I31,LEN("0"))="0"</formula>
    </cfRule>
  </conditionalFormatting>
  <conditionalFormatting sqref="N34">
    <cfRule type="beginsWith" dxfId="234" priority="3" stopIfTrue="1" operator="beginsWith" text="0">
      <formula>LEFT(N34,LEN("0"))="0"</formula>
    </cfRule>
  </conditionalFormatting>
  <conditionalFormatting sqref="D9:D17">
    <cfRule type="cellIs" dxfId="233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F8A75E4-2A71-47DC-B3B3-186DC0F6A1EB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D09E4877-9219-425D-83FE-E6C2032EF07E}">
      <formula1>"1,2"</formula1>
    </dataValidation>
    <dataValidation type="list" errorStyle="warning" allowBlank="1" showInputMessage="1" showErrorMessage="1" errorTitle="Non-standard credit weighting" promptTitle="Credit value" sqref="B6" xr:uid="{EF183FE0-CE79-4281-B211-D885D424EAF2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19B48061-5B16-423E-815E-F184087DB55C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1B7F27DA-70BD-4D71-A89C-0C21A77C6AD6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42D18597-FBCF-41A0-844B-D2B134B7BD01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C4FF1-46D1-453F-A6E7-C886196863D9}">
  <dimension ref="A1:AD53"/>
  <sheetViews>
    <sheetView zoomScale="120" zoomScaleNormal="120" workbookViewId="0">
      <selection activeCell="N13" sqref="N1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372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237</v>
      </c>
      <c r="F3" s="176" t="s">
        <v>215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1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238</v>
      </c>
      <c r="F4" s="176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6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4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6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20</v>
      </c>
      <c r="C7" t="s">
        <v>249</v>
      </c>
      <c r="D7">
        <f>B6*10*B7/100</f>
        <v>15</v>
      </c>
      <c r="F7" s="176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4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C8" t="s">
        <v>130</v>
      </c>
      <c r="H8" s="52" t="s">
        <v>87</v>
      </c>
      <c r="I8" s="81" t="str" cm="1">
        <f t="array" ref="I8">IFERROR(INDEX($C9:$C17,MATCH(TRUE,I9:I17&lt;&gt;"",0)),"")</f>
        <v/>
      </c>
      <c r="J8" s="81" t="str" cm="1">
        <f t="array" ref="J8">IFERROR(INDEX($C9:$C17,MATCH(TRUE,J9:J17&lt;&gt;"",0)),"")</f>
        <v/>
      </c>
      <c r="K8" s="81" t="str" cm="1">
        <f t="array" ref="K8">IFERROR(INDEX($C9:$C17,MATCH(TRUE,K9:K17&lt;&gt;"",0)),"")</f>
        <v/>
      </c>
      <c r="L8" s="81" t="str" cm="1">
        <f t="array" ref="L8">IFERROR(INDEX($C9:$C17,MATCH(TRUE,L9:L17&lt;&gt;"",0)),"")</f>
        <v/>
      </c>
      <c r="M8" s="81" t="str" cm="1">
        <f t="array" ref="M8">IFERROR(INDEX($C9:$C17,MATCH(TRUE,M9:M17&lt;&gt;"",0)),"")</f>
        <v/>
      </c>
      <c r="N8" s="81" t="str" cm="1">
        <f t="array" ref="N8">IFERROR(INDEX($C9:$C17,MATCH(TRUE,N9:N17&lt;&gt;"",0)),"")</f>
        <v/>
      </c>
      <c r="O8" s="81" t="str" cm="1">
        <f t="array" ref="O8">IFERROR(INDEX($C9:$C17,MATCH(TRUE,O9:O17&lt;&gt;"",0)),"")</f>
        <v/>
      </c>
      <c r="P8" s="81" t="str" cm="1">
        <f t="array" ref="P8">IFERROR(INDEX($C9:$C17,MATCH(TRUE,P9:P17&lt;&gt;"",0)),"")</f>
        <v/>
      </c>
      <c r="Q8" s="81" t="str" cm="1">
        <f t="array" ref="Q8">IFERROR(INDEX($C9:$C17,MATCH(TRUE,Q9:Q17&lt;&gt;"",0)),"")</f>
        <v/>
      </c>
      <c r="R8" s="81" t="str" cm="1">
        <f t="array" ref="R8">IFERROR(INDEX($C9:$C17,MATCH(TRUE,R9:R17&lt;&gt;"",0)),"")</f>
        <v/>
      </c>
      <c r="S8" s="81" t="str" cm="1">
        <f t="array" ref="S8">IFERROR(INDEX($C9:$C17,MATCH(TRUE,S9:S17&lt;&gt;"",0)),"")</f>
        <v>CW1</v>
      </c>
      <c r="T8" s="81" t="str" cm="1">
        <f t="array" ref="T8">IFERROR(INDEX($C9:$C17,MATCH(TRUE,T9:T17&lt;&gt;"",0)),"")</f>
        <v/>
      </c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20</v>
      </c>
      <c r="C9" s="40" t="s">
        <v>151</v>
      </c>
      <c r="D9">
        <f>B$6*10*B9/100</f>
        <v>15</v>
      </c>
      <c r="E9" s="29">
        <v>4</v>
      </c>
      <c r="F9" s="42"/>
      <c r="G9" s="30">
        <v>11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>Yes</v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20</v>
      </c>
      <c r="C18" s="59" t="str">
        <f>IF(B18=B7,"% ok","% credits do not add up to stated value")</f>
        <v>% ok</v>
      </c>
      <c r="D18" s="59">
        <f>SUM(D9:D17)</f>
        <v>15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176.04000000000005</v>
      </c>
      <c r="G20" s="11" t="s">
        <v>82</v>
      </c>
      <c r="H20" s="21">
        <f>SUM(I20:W20)</f>
        <v>18</v>
      </c>
      <c r="I20" s="14">
        <v>1</v>
      </c>
      <c r="J20" s="14">
        <v>2</v>
      </c>
      <c r="K20" s="14">
        <v>1</v>
      </c>
      <c r="L20" s="14">
        <v>2</v>
      </c>
      <c r="M20" s="14">
        <v>1</v>
      </c>
      <c r="N20" s="14">
        <v>2</v>
      </c>
      <c r="O20" s="105">
        <v>0</v>
      </c>
      <c r="P20" s="14">
        <v>2</v>
      </c>
      <c r="Q20" s="14">
        <v>2</v>
      </c>
      <c r="R20" s="14">
        <v>2</v>
      </c>
      <c r="S20" s="14">
        <v>2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50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4.8</v>
      </c>
      <c r="V21" s="14">
        <f ca="1">U34*V31</f>
        <v>9.6</v>
      </c>
      <c r="W21" s="14">
        <f ca="1">U34*W31</f>
        <v>17.600000000000001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9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4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2</v>
      </c>
      <c r="J23" s="114">
        <f ca="1">MIN(10,I23+SUM(J20:J22))</f>
        <v>5</v>
      </c>
      <c r="K23" s="114">
        <f ca="1">MIN(12,J23+SUM(K20:K22))</f>
        <v>8</v>
      </c>
      <c r="L23" s="114">
        <f ca="1">MIN(14,K23+SUM(L20:L22))</f>
        <v>11</v>
      </c>
      <c r="M23" s="114">
        <f ca="1">MIN(16,L23+SUM(M20:M22))</f>
        <v>14</v>
      </c>
      <c r="N23" s="114">
        <f ca="1">MIN(18,M23+SUM(N20:N22))</f>
        <v>17</v>
      </c>
      <c r="O23" s="114">
        <f t="shared" ref="O23:T23" ca="1" si="9">MIN(20,N23+SUM(O20:O22))</f>
        <v>19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15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-20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-5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-5</v>
      </c>
      <c r="T27" s="116">
        <f t="shared" ca="1" si="13"/>
        <v>0</v>
      </c>
      <c r="U27" s="127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75</v>
      </c>
      <c r="I30" s="119">
        <f t="shared" ref="I30:W30" ca="1" si="16">I20+I21+I22+I27+I28+I29</f>
        <v>2</v>
      </c>
      <c r="J30" s="119">
        <f t="shared" ca="1" si="16"/>
        <v>3</v>
      </c>
      <c r="K30" s="119">
        <f t="shared" ca="1" si="16"/>
        <v>3</v>
      </c>
      <c r="L30" s="119">
        <f t="shared" ca="1" si="16"/>
        <v>3</v>
      </c>
      <c r="M30" s="119">
        <f t="shared" ca="1" si="16"/>
        <v>3</v>
      </c>
      <c r="N30" s="119">
        <f t="shared" ca="1" si="16"/>
        <v>3</v>
      </c>
      <c r="O30" s="120">
        <f t="shared" ca="1" si="16"/>
        <v>2</v>
      </c>
      <c r="P30" s="119">
        <f t="shared" ca="1" si="16"/>
        <v>3</v>
      </c>
      <c r="Q30" s="119">
        <f t="shared" ca="1" si="16"/>
        <v>4</v>
      </c>
      <c r="R30" s="119">
        <f t="shared" ca="1" si="16"/>
        <v>3</v>
      </c>
      <c r="S30" s="119">
        <f t="shared" ca="1" si="16"/>
        <v>3</v>
      </c>
      <c r="T30" s="119">
        <f t="shared" ca="1" si="16"/>
        <v>8</v>
      </c>
      <c r="U30" s="121">
        <f t="shared" ca="1" si="16"/>
        <v>4.8</v>
      </c>
      <c r="V30" s="119">
        <f t="shared" ca="1" si="16"/>
        <v>9.6</v>
      </c>
      <c r="W30" s="119">
        <f t="shared" ca="1" si="16"/>
        <v>20.6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7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32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>
        <f t="shared" si="19"/>
        <v>1</v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20">(K30-J30)*(K30&gt;J30)</f>
        <v>0</v>
      </c>
      <c r="L52" s="18">
        <f t="shared" ca="1" si="20"/>
        <v>0</v>
      </c>
      <c r="M52" s="18">
        <f t="shared" ca="1" si="20"/>
        <v>0</v>
      </c>
      <c r="N52" s="18">
        <f t="shared" ca="1" si="20"/>
        <v>0</v>
      </c>
      <c r="O52" s="18">
        <f t="shared" ca="1" si="20"/>
        <v>0</v>
      </c>
      <c r="P52" s="18">
        <f t="shared" ca="1" si="20"/>
        <v>1</v>
      </c>
      <c r="Q52" s="18">
        <f t="shared" ca="1" si="20"/>
        <v>1</v>
      </c>
      <c r="R52" s="18">
        <f t="shared" ca="1" si="20"/>
        <v>0</v>
      </c>
      <c r="S52" s="18">
        <f t="shared" ca="1" si="20"/>
        <v>0</v>
      </c>
      <c r="T52" s="18">
        <f t="shared" ca="1" si="20"/>
        <v>5</v>
      </c>
      <c r="U52" s="18">
        <f t="shared" ca="1" si="20"/>
        <v>0</v>
      </c>
      <c r="V52" s="18">
        <f t="shared" ca="1" si="20"/>
        <v>4.8</v>
      </c>
      <c r="W52" s="18">
        <f t="shared" ca="1" si="20"/>
        <v>11.000000000000002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1">J52^2</f>
        <v>1</v>
      </c>
      <c r="K53" s="18">
        <f t="shared" ca="1" si="21"/>
        <v>0</v>
      </c>
      <c r="L53" s="18">
        <f t="shared" ca="1" si="21"/>
        <v>0</v>
      </c>
      <c r="M53" s="18">
        <f t="shared" ca="1" si="21"/>
        <v>0</v>
      </c>
      <c r="N53" s="18">
        <f t="shared" ca="1" si="21"/>
        <v>0</v>
      </c>
      <c r="O53" s="18">
        <f t="shared" ca="1" si="21"/>
        <v>0</v>
      </c>
      <c r="P53" s="18">
        <f t="shared" ca="1" si="21"/>
        <v>1</v>
      </c>
      <c r="Q53" s="18">
        <f t="shared" ca="1" si="21"/>
        <v>1</v>
      </c>
      <c r="R53" s="18">
        <f t="shared" ca="1" si="21"/>
        <v>0</v>
      </c>
      <c r="S53" s="18">
        <f t="shared" ca="1" si="21"/>
        <v>0</v>
      </c>
      <c r="T53" s="18">
        <f t="shared" ca="1" si="21"/>
        <v>25</v>
      </c>
      <c r="U53" s="18">
        <f t="shared" ca="1" si="21"/>
        <v>0</v>
      </c>
      <c r="V53" s="18">
        <f t="shared" ca="1" si="21"/>
        <v>23.04</v>
      </c>
      <c r="W53" s="18">
        <f t="shared" ca="1" si="21"/>
        <v>121.00000000000004</v>
      </c>
    </row>
  </sheetData>
  <mergeCells count="2">
    <mergeCell ref="I1:W1"/>
    <mergeCell ref="F3:F7"/>
  </mergeCells>
  <conditionalFormatting sqref="I30:W30">
    <cfRule type="cellIs" dxfId="232" priority="11" operator="between">
      <formula>(2/3)*$D$19</formula>
      <formula>(3/2)*$D$19</formula>
    </cfRule>
    <cfRule type="cellIs" dxfId="231" priority="12" operator="lessThan">
      <formula>(2/3)*$D$19</formula>
    </cfRule>
    <cfRule type="cellIs" dxfId="230" priority="13" operator="greaterThanOrEqual">
      <formula>1.5*$D$19</formula>
    </cfRule>
  </conditionalFormatting>
  <conditionalFormatting sqref="H30">
    <cfRule type="cellIs" dxfId="229" priority="9" stopIfTrue="1" operator="equal">
      <formula>$B$6*10</formula>
    </cfRule>
    <cfRule type="cellIs" dxfId="228" priority="10" operator="notEqual">
      <formula>$B$6*10</formula>
    </cfRule>
  </conditionalFormatting>
  <conditionalFormatting sqref="I20:W29">
    <cfRule type="beginsWith" dxfId="227" priority="8" stopIfTrue="1" operator="beginsWith" text="0">
      <formula>LEFT(I20,LEN("0"))="0"</formula>
    </cfRule>
  </conditionalFormatting>
  <conditionalFormatting sqref="B18">
    <cfRule type="expression" dxfId="226" priority="7">
      <formula>B18&lt;&gt;$B$7</formula>
    </cfRule>
  </conditionalFormatting>
  <conditionalFormatting sqref="C18">
    <cfRule type="expression" dxfId="225" priority="6">
      <formula>$B$18&lt;&gt;$B$7</formula>
    </cfRule>
  </conditionalFormatting>
  <conditionalFormatting sqref="H31:H33">
    <cfRule type="expression" dxfId="224" priority="5">
      <formula>ABS($H$30-$D$6&gt;=1)</formula>
    </cfRule>
  </conditionalFormatting>
  <conditionalFormatting sqref="B7">
    <cfRule type="expression" dxfId="223" priority="4">
      <formula>($B$7&lt;&gt;SUM($B$9:$B$17))</formula>
    </cfRule>
  </conditionalFormatting>
  <conditionalFormatting sqref="I31:T33">
    <cfRule type="beginsWith" dxfId="222" priority="2" stopIfTrue="1" operator="beginsWith" text="0">
      <formula>LEFT(I31,LEN("0"))="0"</formula>
    </cfRule>
  </conditionalFormatting>
  <conditionalFormatting sqref="N34">
    <cfRule type="beginsWith" dxfId="221" priority="3" stopIfTrue="1" operator="beginsWith" text="0">
      <formula>LEFT(N34,LEN("0"))="0"</formula>
    </cfRule>
  </conditionalFormatting>
  <conditionalFormatting sqref="D9:D17">
    <cfRule type="cellIs" dxfId="220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1DBD018F-57D2-453E-8EAC-E742C90D177A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8226D8C5-7E9E-4C2C-A6D3-DD1B863A7418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A4FFCD90-3D88-4F9B-8042-7CD7E1E63BB0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66A369D2-140C-4903-ADC7-02D24F78D448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B474F83B-C80E-4A26-8B8F-0A94AC4F79C6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A14207AD-6175-455A-A165-B2D74571C4A8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2FFA2-3C2B-4562-866D-76E7C856030C}">
  <dimension ref="A1:AD53"/>
  <sheetViews>
    <sheetView zoomScale="120" zoomScaleNormal="120" workbookViewId="0">
      <selection activeCell="C9" sqref="C9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373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233</v>
      </c>
      <c r="F3" s="176" t="s">
        <v>215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2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1</v>
      </c>
      <c r="X3" s="91" t="s">
        <v>191</v>
      </c>
    </row>
    <row r="4" spans="1:25" x14ac:dyDescent="0.2">
      <c r="A4" s="7" t="s">
        <v>53</v>
      </c>
      <c r="B4" s="38" t="s">
        <v>234</v>
      </c>
      <c r="F4" s="176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6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6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2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6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50</v>
      </c>
      <c r="C7" t="s">
        <v>293</v>
      </c>
      <c r="D7">
        <f>B6*10*B7/100</f>
        <v>37.5</v>
      </c>
      <c r="F7" s="176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6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2</v>
      </c>
      <c r="X7" s="91" t="s">
        <v>194</v>
      </c>
    </row>
    <row r="8" spans="1:25" ht="49" thickBot="1" x14ac:dyDescent="0.25">
      <c r="A8" t="s">
        <v>55</v>
      </c>
      <c r="B8" s="45">
        <v>2</v>
      </c>
      <c r="C8" t="s">
        <v>130</v>
      </c>
      <c r="H8" s="52" t="s">
        <v>87</v>
      </c>
      <c r="I8" s="81" t="str" cm="1">
        <f t="array" ref="I8">IFERROR(INDEX($C9:$C17,MATCH(TRUE,I9:I17&lt;&gt;"",0)),"")</f>
        <v/>
      </c>
      <c r="J8" s="81" t="str" cm="1">
        <f t="array" ref="J8">IFERROR(INDEX($C9:$C17,MATCH(TRUE,J9:J17&lt;&gt;"",0)),"")</f>
        <v/>
      </c>
      <c r="K8" s="81" t="str" cm="1">
        <f t="array" ref="K8">IFERROR(INDEX($C9:$C17,MATCH(TRUE,K9:K17&lt;&gt;"",0)),"")</f>
        <v/>
      </c>
      <c r="L8" s="81" t="str" cm="1">
        <f t="array" ref="L8">IFERROR(INDEX($C9:$C17,MATCH(TRUE,L9:L17&lt;&gt;"",0)),"")</f>
        <v/>
      </c>
      <c r="M8" s="81" t="str" cm="1">
        <f t="array" ref="M8">IFERROR(INDEX($C9:$C17,MATCH(TRUE,M9:M17&lt;&gt;"",0)),"")</f>
        <v/>
      </c>
      <c r="N8" s="81" t="str" cm="1">
        <f t="array" ref="N8">IFERROR(INDEX($C9:$C17,MATCH(TRUE,N9:N17&lt;&gt;"",0)),"")</f>
        <v/>
      </c>
      <c r="O8" s="81" t="str" cm="1">
        <f t="array" ref="O8">IFERROR(INDEX($C9:$C17,MATCH(TRUE,O9:O17&lt;&gt;"",0)),"")</f>
        <v/>
      </c>
      <c r="P8" s="81" t="str" cm="1">
        <f t="array" ref="P8">IFERROR(INDEX($C9:$C17,MATCH(TRUE,P9:P17&lt;&gt;"",0)),"")</f>
        <v/>
      </c>
      <c r="Q8" s="81" t="str" cm="1">
        <f t="array" ref="Q8">IFERROR(INDEX($C9:$C17,MATCH(TRUE,Q9:Q17&lt;&gt;"",0)),"")</f>
        <v>Design Assignment</v>
      </c>
      <c r="R8" s="81" t="str" cm="1">
        <f t="array" ref="R8">IFERROR(INDEX($C9:$C17,MATCH(TRUE,R9:R17&lt;&gt;"",0)),"")</f>
        <v/>
      </c>
      <c r="S8" s="81" t="str" cm="1">
        <f t="array" ref="S8">IFERROR(INDEX($C9:$C17,MATCH(TRUE,S9:S17&lt;&gt;"",0)),"")</f>
        <v/>
      </c>
      <c r="T8" s="81" t="str" cm="1">
        <f t="array" ref="T8">IFERROR(INDEX($C9:$C17,MATCH(TRUE,T9:T17&lt;&gt;"",0)),"")</f>
        <v/>
      </c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>Class Test (sem 2 wk 1)</v>
      </c>
    </row>
    <row r="9" spans="1:25" ht="16" thickTop="1" x14ac:dyDescent="0.2">
      <c r="A9" t="s">
        <v>58</v>
      </c>
      <c r="B9" s="46">
        <v>20</v>
      </c>
      <c r="C9" s="39" t="s">
        <v>304</v>
      </c>
      <c r="D9">
        <f>B$6*10*B9/100</f>
        <v>15</v>
      </c>
      <c r="E9" s="29">
        <v>2</v>
      </c>
      <c r="F9" s="42"/>
      <c r="G9" s="30">
        <v>15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>Yes</v>
      </c>
      <c r="X9" s="135">
        <f>E9</f>
        <v>2</v>
      </c>
    </row>
    <row r="10" spans="1:25" x14ac:dyDescent="0.2">
      <c r="A10" t="s">
        <v>57</v>
      </c>
      <c r="B10" s="46">
        <v>30</v>
      </c>
      <c r="C10" s="40" t="s">
        <v>236</v>
      </c>
      <c r="D10">
        <f>B$6*10*B10/100</f>
        <v>22.5</v>
      </c>
      <c r="E10" s="31">
        <v>6</v>
      </c>
      <c r="F10" s="43"/>
      <c r="G10" s="32">
        <v>9</v>
      </c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>Yes</v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6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50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398.17250000000001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12.5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-0.82499999999999996</v>
      </c>
      <c r="V21" s="14">
        <f ca="1">U34*V31</f>
        <v>-1.65</v>
      </c>
      <c r="W21" s="14">
        <f ca="1">U34*W31</f>
        <v>-3.0250000000000004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13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6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2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1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1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22.5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15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-20</v>
      </c>
      <c r="R26" s="22">
        <f t="shared" ca="1" si="12"/>
        <v>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-2.9749999999999996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14.525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2.5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12.025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89.024999999999991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3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15.5</v>
      </c>
      <c r="R30" s="119">
        <f t="shared" ca="1" si="16"/>
        <v>6</v>
      </c>
      <c r="S30" s="119">
        <f t="shared" ca="1" si="16"/>
        <v>7</v>
      </c>
      <c r="T30" s="119">
        <f t="shared" ca="1" si="16"/>
        <v>7</v>
      </c>
      <c r="U30" s="121">
        <f t="shared" ca="1" si="16"/>
        <v>-0.82499999999999996</v>
      </c>
      <c r="V30" s="119">
        <f t="shared" ca="1" si="16"/>
        <v>-1.65</v>
      </c>
      <c r="W30" s="119">
        <f t="shared" ca="1" si="16"/>
        <v>14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>Hours don't add up to nominal credits x 10</v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14.5</v>
      </c>
      <c r="R31" s="22">
        <f t="shared" si="18"/>
        <v>0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-5.5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>
        <f t="shared" si="19"/>
        <v>2</v>
      </c>
      <c r="R35" s="18" t="str">
        <f t="shared" si="19"/>
        <v/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>
        <f t="shared" si="19"/>
        <v>1</v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cm="1">
        <f t="array" ref="W36">IFERROR(INDEX( $G$9:$G$17, _xlfn.XMATCH("Yes", (W$9:W$17),1)),T(1))</f>
        <v>15</v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0</v>
      </c>
      <c r="N52" s="18">
        <f t="shared" ca="1" si="20"/>
        <v>3</v>
      </c>
      <c r="O52" s="18">
        <f t="shared" ca="1" si="20"/>
        <v>0</v>
      </c>
      <c r="P52" s="18">
        <f t="shared" ca="1" si="20"/>
        <v>4</v>
      </c>
      <c r="Q52" s="18">
        <f t="shared" ca="1" si="20"/>
        <v>9.5</v>
      </c>
      <c r="R52" s="18">
        <f t="shared" ca="1" si="20"/>
        <v>0</v>
      </c>
      <c r="S52" s="18">
        <f t="shared" ca="1" si="20"/>
        <v>1</v>
      </c>
      <c r="T52" s="18">
        <f t="shared" ca="1" si="20"/>
        <v>0</v>
      </c>
      <c r="U52" s="18">
        <f t="shared" ca="1" si="20"/>
        <v>0</v>
      </c>
      <c r="V52" s="18">
        <f t="shared" ca="1" si="20"/>
        <v>0</v>
      </c>
      <c r="W52" s="18">
        <f t="shared" ca="1" si="20"/>
        <v>15.65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0</v>
      </c>
      <c r="N53" s="18">
        <f t="shared" ca="1" si="21"/>
        <v>9</v>
      </c>
      <c r="O53" s="18">
        <f t="shared" ca="1" si="21"/>
        <v>0</v>
      </c>
      <c r="P53" s="18">
        <f t="shared" ca="1" si="21"/>
        <v>16</v>
      </c>
      <c r="Q53" s="18">
        <f t="shared" ca="1" si="21"/>
        <v>90.25</v>
      </c>
      <c r="R53" s="18">
        <f t="shared" ca="1" si="21"/>
        <v>0</v>
      </c>
      <c r="S53" s="18">
        <f t="shared" ca="1" si="21"/>
        <v>1</v>
      </c>
      <c r="T53" s="18">
        <f t="shared" ca="1" si="21"/>
        <v>0</v>
      </c>
      <c r="U53" s="18">
        <f t="shared" ca="1" si="21"/>
        <v>0</v>
      </c>
      <c r="V53" s="18">
        <f t="shared" ca="1" si="21"/>
        <v>0</v>
      </c>
      <c r="W53" s="18">
        <f t="shared" ca="1" si="21"/>
        <v>244.92250000000001</v>
      </c>
    </row>
  </sheetData>
  <mergeCells count="2">
    <mergeCell ref="I1:W1"/>
    <mergeCell ref="F3:F7"/>
  </mergeCells>
  <conditionalFormatting sqref="I30:W30">
    <cfRule type="cellIs" dxfId="219" priority="11" operator="between">
      <formula>(2/3)*$D$19</formula>
      <formula>(3/2)*$D$19</formula>
    </cfRule>
    <cfRule type="cellIs" dxfId="218" priority="12" operator="lessThan">
      <formula>(2/3)*$D$19</formula>
    </cfRule>
    <cfRule type="cellIs" dxfId="217" priority="13" operator="greaterThanOrEqual">
      <formula>1.5*$D$19</formula>
    </cfRule>
  </conditionalFormatting>
  <conditionalFormatting sqref="H30">
    <cfRule type="cellIs" dxfId="216" priority="9" stopIfTrue="1" operator="equal">
      <formula>$B$6*10</formula>
    </cfRule>
    <cfRule type="cellIs" dxfId="215" priority="10" operator="notEqual">
      <formula>$B$6*10</formula>
    </cfRule>
  </conditionalFormatting>
  <conditionalFormatting sqref="I20:W29">
    <cfRule type="beginsWith" dxfId="214" priority="8" stopIfTrue="1" operator="beginsWith" text="0">
      <formula>LEFT(I20,LEN("0"))="0"</formula>
    </cfRule>
  </conditionalFormatting>
  <conditionalFormatting sqref="B18">
    <cfRule type="expression" dxfId="213" priority="7">
      <formula>B18&lt;&gt;$B$7</formula>
    </cfRule>
  </conditionalFormatting>
  <conditionalFormatting sqref="C18">
    <cfRule type="expression" dxfId="212" priority="6">
      <formula>$B$18&lt;&gt;$B$7</formula>
    </cfRule>
  </conditionalFormatting>
  <conditionalFormatting sqref="H31:H33">
    <cfRule type="expression" dxfId="211" priority="5">
      <formula>ABS($H$30-$D$6&gt;=1)</formula>
    </cfRule>
  </conditionalFormatting>
  <conditionalFormatting sqref="B7">
    <cfRule type="expression" dxfId="210" priority="4">
      <formula>($B$7&lt;&gt;SUM($B$9:$B$17))</formula>
    </cfRule>
  </conditionalFormatting>
  <conditionalFormatting sqref="I31:T33">
    <cfRule type="beginsWith" dxfId="209" priority="2" stopIfTrue="1" operator="beginsWith" text="0">
      <formula>LEFT(I31,LEN("0"))="0"</formula>
    </cfRule>
  </conditionalFormatting>
  <conditionalFormatting sqref="N34">
    <cfRule type="beginsWith" dxfId="208" priority="3" stopIfTrue="1" operator="beginsWith" text="0">
      <formula>LEFT(N34,LEN("0"))="0"</formula>
    </cfRule>
  </conditionalFormatting>
  <conditionalFormatting sqref="D9:D17">
    <cfRule type="cellIs" dxfId="207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51EC053C-DFD3-4741-9427-CD4976BE4DC5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F8AA9E55-109E-4A5F-B13F-E0BAA67107B5}">
      <formula1>"1,2"</formula1>
    </dataValidation>
    <dataValidation type="list" errorStyle="warning" allowBlank="1" showInputMessage="1" showErrorMessage="1" errorTitle="Non-standard credit weighting" promptTitle="Credit value" sqref="B6" xr:uid="{0FD4D40B-03DF-4958-BC87-0A331528DE3D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6B7B0D13-16AE-4167-82FA-14F0131D8788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A49BCE39-FB52-4B1D-9F53-8087B49E26CA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09695876-9062-4BEC-8F1F-FA42E2C3ACB2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D2617-1D0B-4A6B-B7FF-6AD1999C8228}">
  <dimension ref="A1:AD53"/>
  <sheetViews>
    <sheetView zoomScale="125" zoomScaleNormal="161" workbookViewId="0">
      <selection activeCell="H12" sqref="H12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483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16" x14ac:dyDescent="0.2">
      <c r="A3" s="7" t="s">
        <v>52</v>
      </c>
      <c r="B3" s="48" t="s">
        <v>250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3</v>
      </c>
      <c r="M3" s="137">
        <f t="shared" si="0"/>
        <v>4</v>
      </c>
      <c r="N3" s="137">
        <f t="shared" si="0"/>
        <v>1</v>
      </c>
      <c r="O3" s="137">
        <f t="shared" si="0"/>
        <v>0</v>
      </c>
      <c r="P3" s="137">
        <f t="shared" si="0"/>
        <v>2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251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1</v>
      </c>
      <c r="M5" s="85">
        <f t="shared" ca="1" si="1"/>
        <v>2</v>
      </c>
      <c r="N5" s="85">
        <f t="shared" ca="1" si="1"/>
        <v>4</v>
      </c>
      <c r="O5" s="85">
        <f t="shared" ca="1" si="1"/>
        <v>0</v>
      </c>
      <c r="P5" s="85">
        <f t="shared" ca="1" si="1"/>
        <v>4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7.5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80</v>
      </c>
      <c r="C7" t="s">
        <v>130</v>
      </c>
      <c r="D7">
        <f>B6*10*B7/100</f>
        <v>60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1</v>
      </c>
      <c r="M7" s="85">
        <f t="shared" ca="1" si="2"/>
        <v>2</v>
      </c>
      <c r="N7" s="85">
        <f t="shared" ca="1" si="2"/>
        <v>4</v>
      </c>
      <c r="O7" s="85">
        <f t="shared" ca="1" si="2"/>
        <v>0</v>
      </c>
      <c r="P7" s="85">
        <f t="shared" ca="1" si="2"/>
        <v>4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5</v>
      </c>
    </row>
    <row r="9" spans="1:24" ht="16" thickTop="1" x14ac:dyDescent="0.2">
      <c r="A9" t="s">
        <v>58</v>
      </c>
      <c r="B9" s="46">
        <v>40</v>
      </c>
      <c r="C9" s="39" t="s">
        <v>271</v>
      </c>
      <c r="D9">
        <f>B$6*10*B9/100</f>
        <v>30</v>
      </c>
      <c r="E9" s="29">
        <v>4</v>
      </c>
      <c r="F9" s="42"/>
      <c r="G9" s="30">
        <v>6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>Yes</v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40</v>
      </c>
      <c r="C10" s="40" t="s">
        <v>272</v>
      </c>
      <c r="D10">
        <f>B$6*10*B10/100</f>
        <v>30</v>
      </c>
      <c r="E10" s="31">
        <v>4</v>
      </c>
      <c r="F10" s="43"/>
      <c r="G10" s="32">
        <v>8</v>
      </c>
      <c r="H10" t="s">
        <v>273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>Yes</v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0</v>
      </c>
      <c r="C11" s="40" t="s">
        <v>203</v>
      </c>
      <c r="D11">
        <f t="shared" ref="D11:D17" si="5">B$6*10*B11/100</f>
        <v>0</v>
      </c>
      <c r="E11" s="31">
        <v>1</v>
      </c>
      <c r="F11" s="43"/>
      <c r="G11" s="32">
        <v>4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>Yes</v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10</v>
      </c>
      <c r="C12" s="40" t="s">
        <v>314</v>
      </c>
      <c r="D12">
        <f t="shared" si="5"/>
        <v>7.5</v>
      </c>
      <c r="E12" s="31">
        <v>2</v>
      </c>
      <c r="F12" s="43"/>
      <c r="G12" s="32">
        <v>5</v>
      </c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>Yes</v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90</v>
      </c>
      <c r="C18" s="59" t="str">
        <f>IF(B18=B7," % ok","% credits do not add up to stated value")</f>
        <v>% credits do not add up to stated value</v>
      </c>
      <c r="D18" s="59">
        <f>SUM(D9:D17)</f>
        <v>67.5</v>
      </c>
      <c r="E18" s="134">
        <f>D18/B6/10*100</f>
        <v>90</v>
      </c>
      <c r="T18" s="10">
        <f>B9/100*SUM(I21:T21)</f>
        <v>3.2</v>
      </c>
    </row>
    <row r="19" spans="1:30" ht="16" thickBot="1" x14ac:dyDescent="0.25">
      <c r="A19" t="s">
        <v>68</v>
      </c>
      <c r="D19">
        <f>D6/15</f>
        <v>5</v>
      </c>
      <c r="E19" s="134">
        <f>SUM(E9:E16)</f>
        <v>11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1347.02</v>
      </c>
      <c r="G20" s="11" t="s">
        <v>82</v>
      </c>
      <c r="H20" s="21">
        <f>SUM(I20:W20)</f>
        <v>11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0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8</v>
      </c>
      <c r="I21" s="14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05">
        <v>1</v>
      </c>
      <c r="P21" s="14">
        <v>1</v>
      </c>
      <c r="Q21" s="14">
        <v>1</v>
      </c>
      <c r="R21" s="14">
        <v>0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11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1</v>
      </c>
      <c r="M22" s="10">
        <f t="shared" ca="1" si="8"/>
        <v>2</v>
      </c>
      <c r="N22" s="10">
        <f t="shared" ca="1" si="8"/>
        <v>4</v>
      </c>
      <c r="O22" s="103">
        <f t="shared" ca="1" si="8"/>
        <v>0</v>
      </c>
      <c r="P22" s="10">
        <f t="shared" ca="1" si="8"/>
        <v>4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1</v>
      </c>
      <c r="J23" s="61">
        <f ca="1">MIN(6,12/$B$8 + 1,I23+SUM(J20:J22))</f>
        <v>3</v>
      </c>
      <c r="K23" s="61">
        <f t="shared" ref="K23:T23" ca="1" si="9">MIN(6,12/$B$8 + 1,J23+SUM(K20:K22))</f>
        <v>3.4</v>
      </c>
      <c r="L23" s="61">
        <f t="shared" ca="1" si="9"/>
        <v>3.4</v>
      </c>
      <c r="M23" s="61">
        <f t="shared" ca="1" si="9"/>
        <v>3.4</v>
      </c>
      <c r="N23" s="61">
        <f t="shared" ca="1" si="9"/>
        <v>3.4</v>
      </c>
      <c r="O23" s="106">
        <f t="shared" ca="1" si="9"/>
        <v>3.4</v>
      </c>
      <c r="P23" s="61">
        <f t="shared" ca="1" si="9"/>
        <v>3.4</v>
      </c>
      <c r="Q23" s="61">
        <f t="shared" ca="1" si="9"/>
        <v>3.4</v>
      </c>
      <c r="R23" s="61">
        <f t="shared" ca="1" si="9"/>
        <v>3.4</v>
      </c>
      <c r="S23" s="61">
        <f t="shared" ca="1" si="9"/>
        <v>3.4</v>
      </c>
      <c r="T23" s="61">
        <f t="shared" ca="1" si="9"/>
        <v>3.4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1</v>
      </c>
      <c r="M24" s="24">
        <f t="shared" si="10"/>
        <v>1</v>
      </c>
      <c r="N24" s="24">
        <f>(IFERROR(_xlfn.XMATCH("Yes",N$9:N$17),0)&gt;0)*1</f>
        <v>1</v>
      </c>
      <c r="O24" s="107">
        <f t="shared" ref="O24:W24" si="11">(IFERROR(_xlfn.XMATCH("Yes",O$9:O$17),0)&gt;0)*1</f>
        <v>0</v>
      </c>
      <c r="P24" s="24">
        <f t="shared" si="11"/>
        <v>1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7.5</v>
      </c>
      <c r="N25" s="22" cm="1">
        <f t="array" ref="N25">IFERROR((1+N$24)/(1+N$24)*(INDEX($D$9:$D$17,N$35)),0)</f>
        <v>30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30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0</v>
      </c>
      <c r="J26" s="22">
        <f t="shared" ca="1" si="12"/>
        <v>0</v>
      </c>
      <c r="K26" s="22">
        <f ca="1">-J23*K24-K22</f>
        <v>0</v>
      </c>
      <c r="L26" s="22">
        <f t="shared" ref="L26:T26" ca="1" si="13">-K23*L24-L22</f>
        <v>-4.4000000000000004</v>
      </c>
      <c r="M26" s="22">
        <f t="shared" ca="1" si="13"/>
        <v>-5.4</v>
      </c>
      <c r="N26" s="22">
        <f t="shared" ca="1" si="13"/>
        <v>-7.4</v>
      </c>
      <c r="O26" s="108">
        <f t="shared" ca="1" si="13"/>
        <v>0</v>
      </c>
      <c r="P26" s="22">
        <f t="shared" ca="1" si="13"/>
        <v>-7.4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47.300000000000004</v>
      </c>
      <c r="I27" s="25">
        <f ca="1">MAX(0,(I25+I26))</f>
        <v>0</v>
      </c>
      <c r="J27" s="25">
        <f t="shared" ref="J27:T27" ca="1" si="14">MAX(0,(J25+J26))</f>
        <v>0</v>
      </c>
      <c r="K27" s="25">
        <f t="shared" ca="1" si="14"/>
        <v>0</v>
      </c>
      <c r="L27" s="25">
        <f t="shared" ca="1" si="14"/>
        <v>0</v>
      </c>
      <c r="M27" s="25">
        <f t="shared" ca="1" si="14"/>
        <v>2.0999999999999996</v>
      </c>
      <c r="N27" s="25">
        <f t="shared" ca="1" si="14"/>
        <v>22.6</v>
      </c>
      <c r="O27" s="109">
        <f t="shared" ca="1" si="14"/>
        <v>0</v>
      </c>
      <c r="P27" s="25">
        <f t="shared" ca="1" si="14"/>
        <v>22.6</v>
      </c>
      <c r="Q27" s="25">
        <f t="shared" ca="1" si="14"/>
        <v>0</v>
      </c>
      <c r="R27" s="25">
        <f t="shared" ca="1" si="14"/>
        <v>0</v>
      </c>
      <c r="S27" s="25">
        <f t="shared" ca="1" si="14"/>
        <v>0</v>
      </c>
      <c r="T27" s="25">
        <f t="shared" ca="1" si="14"/>
        <v>0</v>
      </c>
      <c r="U27" s="25">
        <f t="shared" ref="U27:W27" si="15">(U25+U26)</f>
        <v>0</v>
      </c>
      <c r="V27" s="25">
        <f t="shared" si="15"/>
        <v>0</v>
      </c>
      <c r="W27" s="25">
        <f t="shared" si="15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6">SUM(I28:W28)</f>
        <v>8</v>
      </c>
      <c r="I28" s="10">
        <v>0</v>
      </c>
      <c r="J28" s="10">
        <v>0</v>
      </c>
      <c r="K28" s="10">
        <v>0</v>
      </c>
      <c r="L28" s="10">
        <v>1</v>
      </c>
      <c r="M28" s="10">
        <v>2</v>
      </c>
      <c r="N28" s="10">
        <v>2</v>
      </c>
      <c r="O28" s="103">
        <v>1</v>
      </c>
      <c r="P28" s="10">
        <v>2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7">SUM(I30:W30)</f>
        <v>85.300000000000011</v>
      </c>
      <c r="I30" s="16">
        <f t="shared" ref="I30:W30" ca="1" si="18">I20+I21+I22+I27+I28+I29</f>
        <v>1</v>
      </c>
      <c r="J30" s="16">
        <f t="shared" ca="1" si="18"/>
        <v>2</v>
      </c>
      <c r="K30" s="16">
        <f t="shared" ca="1" si="18"/>
        <v>2</v>
      </c>
      <c r="L30" s="16">
        <f t="shared" ca="1" si="18"/>
        <v>4</v>
      </c>
      <c r="M30" s="16">
        <f t="shared" ca="1" si="18"/>
        <v>8.1</v>
      </c>
      <c r="N30" s="16">
        <f t="shared" ca="1" si="18"/>
        <v>30.6</v>
      </c>
      <c r="O30" s="110">
        <f t="shared" ca="1" si="18"/>
        <v>2</v>
      </c>
      <c r="P30" s="16">
        <f t="shared" ca="1" si="18"/>
        <v>30.6</v>
      </c>
      <c r="Q30" s="16">
        <f t="shared" ca="1" si="18"/>
        <v>2</v>
      </c>
      <c r="R30" s="16">
        <f t="shared" ca="1" si="18"/>
        <v>1</v>
      </c>
      <c r="S30" s="16">
        <f t="shared" ca="1" si="18"/>
        <v>1</v>
      </c>
      <c r="T30" s="16">
        <f t="shared" ca="1" si="18"/>
        <v>1</v>
      </c>
      <c r="U30" s="65">
        <f t="shared" ca="1" si="18"/>
        <v>0</v>
      </c>
      <c r="V30" s="16">
        <f t="shared" ca="1" si="18"/>
        <v>0</v>
      </c>
      <c r="W30" s="16">
        <f t="shared" ca="1" si="18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19">(IFERROR(-I$21-MAX(MAX(0,1*MIN(6,I$2))),0)+I$25)*(1*I$24&gt;0)</f>
        <v>0</v>
      </c>
      <c r="J31" s="22">
        <f t="shared" si="19"/>
        <v>0</v>
      </c>
      <c r="K31" s="22">
        <f t="shared" si="19"/>
        <v>0</v>
      </c>
      <c r="L31" s="22">
        <f t="shared" si="19"/>
        <v>-5</v>
      </c>
      <c r="M31" s="22">
        <f t="shared" si="19"/>
        <v>1.5</v>
      </c>
      <c r="N31" s="22">
        <f t="shared" si="19"/>
        <v>23</v>
      </c>
      <c r="O31" s="108">
        <f t="shared" si="19"/>
        <v>0</v>
      </c>
      <c r="P31" s="22">
        <f t="shared" si="19"/>
        <v>23</v>
      </c>
      <c r="Q31" s="22">
        <f t="shared" si="19"/>
        <v>0</v>
      </c>
      <c r="R31" s="22">
        <f t="shared" si="19"/>
        <v>0</v>
      </c>
      <c r="S31" s="22">
        <f t="shared" si="19"/>
        <v>0</v>
      </c>
      <c r="T31" s="22">
        <f t="shared" si="19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-10.300000000000011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0">IFERROR(_xlfn.XMATCH("Yes",J$9:J$17,1),T(1))</f>
        <v/>
      </c>
      <c r="K35" s="18" t="str">
        <f t="shared" si="20"/>
        <v/>
      </c>
      <c r="L35" s="18">
        <f t="shared" si="20"/>
        <v>3</v>
      </c>
      <c r="M35" s="18">
        <f t="shared" si="20"/>
        <v>4</v>
      </c>
      <c r="N35" s="18">
        <f t="shared" si="20"/>
        <v>1</v>
      </c>
      <c r="O35" s="18" t="str">
        <f t="shared" si="20"/>
        <v/>
      </c>
      <c r="P35" s="18">
        <f t="shared" si="20"/>
        <v>2</v>
      </c>
      <c r="Q35" s="18" t="str">
        <f t="shared" si="20"/>
        <v/>
      </c>
      <c r="R35" s="18" t="str">
        <f t="shared" si="20"/>
        <v/>
      </c>
      <c r="S35" s="18" t="str">
        <f t="shared" si="20"/>
        <v/>
      </c>
      <c r="T35" s="18" t="str">
        <f t="shared" si="20"/>
        <v/>
      </c>
      <c r="U35" s="18" t="str">
        <f t="shared" si="20"/>
        <v/>
      </c>
      <c r="V35" s="18" t="str">
        <f t="shared" si="20"/>
        <v/>
      </c>
      <c r="W35" s="18" t="str">
        <f t="shared" si="20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cm="1">
        <f t="array" ref="L36">IFERROR(INDEX( $G$9:$G$17, _xlfn.XMATCH("Yes", (L$9:L$17),1)),T(1))</f>
        <v>4</v>
      </c>
      <c r="M36" s="18" cm="1">
        <f t="array" ref="M36">IFERROR(INDEX( $G$9:$G$17, _xlfn.XMATCH("Yes", (M$9:M$17),1)),T(1))</f>
        <v>5</v>
      </c>
      <c r="N36" s="18" cm="1">
        <f t="array" ref="N36">IFERROR(INDEX( $G$9:$G$17, _xlfn.XMATCH("Yes", (N$9:N$17),1)),T(1))</f>
        <v>6</v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1</v>
      </c>
      <c r="J52" s="18">
        <f ca="1">(J30-I30)*(J30&gt;I30)</f>
        <v>1</v>
      </c>
      <c r="K52" s="18">
        <f t="shared" ref="K52:W52" ca="1" si="21">(K30-J30)*(K30&gt;J30)</f>
        <v>0</v>
      </c>
      <c r="L52" s="18">
        <f t="shared" ca="1" si="21"/>
        <v>2</v>
      </c>
      <c r="M52" s="18">
        <f t="shared" ca="1" si="21"/>
        <v>4.0999999999999996</v>
      </c>
      <c r="N52" s="18">
        <f t="shared" ca="1" si="21"/>
        <v>22.5</v>
      </c>
      <c r="O52" s="18">
        <f t="shared" ca="1" si="21"/>
        <v>0</v>
      </c>
      <c r="P52" s="18">
        <f t="shared" ca="1" si="21"/>
        <v>28.6</v>
      </c>
      <c r="Q52" s="18">
        <f t="shared" ca="1" si="21"/>
        <v>0</v>
      </c>
      <c r="R52" s="18">
        <f t="shared" ca="1" si="21"/>
        <v>0</v>
      </c>
      <c r="S52" s="18">
        <f t="shared" ca="1" si="21"/>
        <v>0</v>
      </c>
      <c r="T52" s="18">
        <f t="shared" ca="1" si="21"/>
        <v>0</v>
      </c>
      <c r="U52" s="18">
        <f t="shared" ca="1" si="21"/>
        <v>0</v>
      </c>
      <c r="V52" s="18">
        <f t="shared" ca="1" si="21"/>
        <v>0</v>
      </c>
      <c r="W52" s="18">
        <f t="shared" ca="1" si="21"/>
        <v>0</v>
      </c>
    </row>
    <row r="53" spans="7:23" x14ac:dyDescent="0.2">
      <c r="G53" t="s">
        <v>101</v>
      </c>
      <c r="I53" s="18">
        <f ca="1">I52^2</f>
        <v>1</v>
      </c>
      <c r="J53" s="18">
        <f t="shared" ref="J53:W53" ca="1" si="22">J52^2</f>
        <v>1</v>
      </c>
      <c r="K53" s="18">
        <f t="shared" ca="1" si="22"/>
        <v>0</v>
      </c>
      <c r="L53" s="18">
        <f t="shared" ca="1" si="22"/>
        <v>4</v>
      </c>
      <c r="M53" s="18">
        <f t="shared" ca="1" si="22"/>
        <v>16.809999999999999</v>
      </c>
      <c r="N53" s="18">
        <f t="shared" ca="1" si="22"/>
        <v>506.25</v>
      </c>
      <c r="O53" s="18">
        <f t="shared" ca="1" si="22"/>
        <v>0</v>
      </c>
      <c r="P53" s="18">
        <f t="shared" ca="1" si="22"/>
        <v>817.96</v>
      </c>
      <c r="Q53" s="18">
        <f t="shared" ca="1" si="22"/>
        <v>0</v>
      </c>
      <c r="R53" s="18">
        <f t="shared" ca="1" si="22"/>
        <v>0</v>
      </c>
      <c r="S53" s="18">
        <f t="shared" ca="1" si="22"/>
        <v>0</v>
      </c>
      <c r="T53" s="18">
        <f t="shared" ca="1" si="22"/>
        <v>0</v>
      </c>
      <c r="U53" s="18">
        <f t="shared" ca="1" si="22"/>
        <v>0</v>
      </c>
      <c r="V53" s="18">
        <f t="shared" ca="1" si="22"/>
        <v>0</v>
      </c>
      <c r="W53" s="18">
        <f t="shared" ca="1" si="22"/>
        <v>0</v>
      </c>
    </row>
  </sheetData>
  <mergeCells count="3">
    <mergeCell ref="I1:W1"/>
    <mergeCell ref="F3:F7"/>
    <mergeCell ref="H31:H33"/>
  </mergeCells>
  <conditionalFormatting sqref="I30:W30">
    <cfRule type="cellIs" dxfId="206" priority="13" operator="between">
      <formula>(2/3)*$D$19</formula>
      <formula>(3/2)*$D$19</formula>
    </cfRule>
    <cfRule type="cellIs" dxfId="205" priority="14" operator="lessThan">
      <formula>(2/3)*$D$19</formula>
    </cfRule>
    <cfRule type="cellIs" dxfId="204" priority="15" operator="greaterThanOrEqual">
      <formula>1.5*$D$19</formula>
    </cfRule>
  </conditionalFormatting>
  <conditionalFormatting sqref="H30">
    <cfRule type="cellIs" dxfId="203" priority="11" stopIfTrue="1" operator="equal">
      <formula>$B$6*10</formula>
    </cfRule>
    <cfRule type="cellIs" dxfId="202" priority="12" operator="notEqual">
      <formula>$B$6*10</formula>
    </cfRule>
  </conditionalFormatting>
  <conditionalFormatting sqref="I20:W21 I23:W29">
    <cfRule type="beginsWith" dxfId="201" priority="10" stopIfTrue="1" operator="beginsWith" text="0">
      <formula>LEFT(I20,LEN("0"))="0"</formula>
    </cfRule>
  </conditionalFormatting>
  <conditionalFormatting sqref="B18">
    <cfRule type="expression" dxfId="200" priority="9">
      <formula>B18&lt;&gt;$B$7</formula>
    </cfRule>
  </conditionalFormatting>
  <conditionalFormatting sqref="C18">
    <cfRule type="expression" dxfId="199" priority="8">
      <formula>$B$18&lt;&gt;$B$7</formula>
    </cfRule>
  </conditionalFormatting>
  <conditionalFormatting sqref="H31">
    <cfRule type="expression" dxfId="198" priority="7">
      <formula>ABS($H$30-$D$6&gt;=1)</formula>
    </cfRule>
  </conditionalFormatting>
  <conditionalFormatting sqref="B7">
    <cfRule type="expression" dxfId="197" priority="6">
      <formula>($B$7&lt;&gt;SUM($B$9:$B$17))</formula>
    </cfRule>
  </conditionalFormatting>
  <conditionalFormatting sqref="I31:T33">
    <cfRule type="beginsWith" dxfId="196" priority="4" stopIfTrue="1" operator="beginsWith" text="0">
      <formula>LEFT(I31,LEN("0"))="0"</formula>
    </cfRule>
  </conditionalFormatting>
  <conditionalFormatting sqref="N34">
    <cfRule type="beginsWith" dxfId="195" priority="5" stopIfTrue="1" operator="beginsWith" text="0">
      <formula>LEFT(N34,LEN("0"))="0"</formula>
    </cfRule>
  </conditionalFormatting>
  <conditionalFormatting sqref="D9:D17">
    <cfRule type="cellIs" dxfId="194" priority="3" operator="equal">
      <formula>0</formula>
    </cfRule>
  </conditionalFormatting>
  <conditionalFormatting sqref="X22:Y22">
    <cfRule type="beginsWith" dxfId="193" priority="2" stopIfTrue="1" operator="beginsWith" text="0">
      <formula>LEFT(X22,LEN("0"))="0"</formula>
    </cfRule>
  </conditionalFormatting>
  <conditionalFormatting sqref="I22:W22">
    <cfRule type="beginsWith" dxfId="192" priority="1" stopIfTrue="1" operator="beginsWith" text="0">
      <formula>LEFT(I22,LEN("0"))="0"</formula>
    </cfRule>
  </conditionalFormatting>
  <dataValidations count="7">
    <dataValidation type="list" errorStyle="warning" allowBlank="1" showInputMessage="1" showErrorMessage="1" errorTitle="Non-standard credit weighting" promptTitle="Credit value" sqref="D5" xr:uid="{3ED4AC29-76FA-492C-8F65-C1646C51A5FA}">
      <formula1>"Yes, No"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9C69527-7A34-4BB2-B092-5D8F452185D9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97B928E3-521C-47C7-AB6D-85EFC5656843}">
      <formula1>"1,2"</formula1>
    </dataValidation>
    <dataValidation errorStyle="warning" allowBlank="1" showInputMessage="1" showErrorMessage="1" errorTitle="Non-standard credit weighting" promptTitle="Credit value" sqref="B6" xr:uid="{C4EA1641-5DD5-4FA5-B981-CE79EE2A87DB}"/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5A8FC9A1-7067-41A0-8E37-B1978D5265AD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D8168057-8559-4435-A57A-54D86E93C340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7C16FE4E-C57A-4C18-B2ED-03DAB19496D5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C020-2255-494D-A254-30E624FE147B}">
  <dimension ref="A1:AD53"/>
  <sheetViews>
    <sheetView topLeftCell="A7" zoomScale="80" zoomScaleNormal="80" workbookViewId="0">
      <selection activeCell="C32" sqref="C32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431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ht="48" x14ac:dyDescent="0.2">
      <c r="A3" s="7" t="s">
        <v>52</v>
      </c>
      <c r="B3" s="48" t="s">
        <v>216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1</v>
      </c>
      <c r="Q3" s="137">
        <f t="shared" si="0"/>
        <v>0</v>
      </c>
      <c r="R3" s="137">
        <f t="shared" si="0"/>
        <v>0</v>
      </c>
      <c r="S3" s="137">
        <f t="shared" si="0"/>
        <v>2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 t="s">
        <v>217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6</v>
      </c>
      <c r="Q5" s="85">
        <f t="shared" ca="1" si="1"/>
        <v>0</v>
      </c>
      <c r="R5" s="85">
        <f t="shared" ca="1" si="1"/>
        <v>0</v>
      </c>
      <c r="S5" s="85">
        <f t="shared" ca="1" si="1"/>
        <v>1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100</v>
      </c>
      <c r="C7" t="s">
        <v>130</v>
      </c>
      <c r="D7">
        <f>B6*10*B7/100</f>
        <v>150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6</v>
      </c>
      <c r="Q7" s="85">
        <f t="shared" ca="1" si="2"/>
        <v>0</v>
      </c>
      <c r="R7" s="85">
        <f t="shared" ca="1" si="2"/>
        <v>0</v>
      </c>
      <c r="S7" s="85">
        <f t="shared" ca="1" si="2"/>
        <v>1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2</v>
      </c>
    </row>
    <row r="9" spans="1:24" ht="16" thickTop="1" x14ac:dyDescent="0.2">
      <c r="A9" t="s">
        <v>58</v>
      </c>
      <c r="B9" s="46">
        <v>65</v>
      </c>
      <c r="C9" s="39" t="s">
        <v>218</v>
      </c>
      <c r="D9">
        <f>B$6*10*B9/100</f>
        <v>97.5</v>
      </c>
      <c r="E9" s="29">
        <v>6</v>
      </c>
      <c r="F9" s="42"/>
      <c r="G9" s="30">
        <v>8</v>
      </c>
      <c r="I9" s="19" t="str">
        <f>IF(I$2=$G9,"Yes",T(1))</f>
        <v/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>Yes</v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35</v>
      </c>
      <c r="C10" s="40" t="s">
        <v>188</v>
      </c>
      <c r="D10">
        <f>B$6*10*B10/100</f>
        <v>52.5</v>
      </c>
      <c r="E10" s="31">
        <v>1</v>
      </c>
      <c r="F10" s="43"/>
      <c r="G10" s="32">
        <v>11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>Yes</v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/>
      <c r="C11" s="40"/>
      <c r="D11">
        <f t="shared" ref="D11:D17" si="5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/>
      <c r="C12" s="40"/>
      <c r="D12">
        <f t="shared" si="5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100</v>
      </c>
      <c r="C18" s="59" t="str">
        <f>IF(B18=B7," % ok","% credits do not add up to stated value")</f>
        <v xml:space="preserve"> % ok</v>
      </c>
      <c r="D18" s="59">
        <f>SUM(D9:D17)</f>
        <v>150</v>
      </c>
      <c r="E18" s="134">
        <f>D18/B6/10*100</f>
        <v>100</v>
      </c>
      <c r="T18" s="10">
        <f>B9/100*SUM(I21:T21)</f>
        <v>28.6</v>
      </c>
    </row>
    <row r="19" spans="1:30" ht="16" thickBot="1" x14ac:dyDescent="0.25">
      <c r="A19" t="s">
        <v>68</v>
      </c>
      <c r="D19">
        <f>D6/10</f>
        <v>15</v>
      </c>
      <c r="E19" s="134">
        <f>SUM(E9:E16)</f>
        <v>7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1749.5</v>
      </c>
      <c r="G20" s="11" t="s">
        <v>82</v>
      </c>
      <c r="H20" s="21">
        <f>SUM(I20:W20)</f>
        <v>26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46">
        <v>0</v>
      </c>
      <c r="P20" s="14">
        <v>3</v>
      </c>
      <c r="Q20" s="14">
        <v>3</v>
      </c>
      <c r="R20" s="14">
        <v>3</v>
      </c>
      <c r="S20" s="14">
        <v>0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44</v>
      </c>
      <c r="I21" s="14">
        <v>5</v>
      </c>
      <c r="J21" s="14">
        <v>3</v>
      </c>
      <c r="K21" s="14">
        <v>4</v>
      </c>
      <c r="L21" s="14">
        <v>4</v>
      </c>
      <c r="M21" s="14">
        <v>4</v>
      </c>
      <c r="N21" s="14">
        <v>4</v>
      </c>
      <c r="O21" s="105">
        <v>8</v>
      </c>
      <c r="P21" s="14">
        <v>4</v>
      </c>
      <c r="Q21" s="14">
        <v>4</v>
      </c>
      <c r="R21" s="14">
        <v>4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7</v>
      </c>
      <c r="I22" s="10">
        <f ca="1">I7</f>
        <v>0</v>
      </c>
      <c r="J22" s="10">
        <f t="shared" ref="J22:Y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6</v>
      </c>
      <c r="Q22" s="10">
        <f t="shared" ca="1" si="8"/>
        <v>0</v>
      </c>
      <c r="R22" s="10">
        <f t="shared" ca="1" si="8"/>
        <v>0</v>
      </c>
      <c r="S22" s="10">
        <f t="shared" ca="1" si="8"/>
        <v>1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1">
        <v>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9">(IFERROR(_xlfn.XMATCH("Yes",I$9:I$17),0)&gt;0)*1</f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0</v>
      </c>
      <c r="N24" s="24">
        <f>(IFERROR(_xlfn.XMATCH("Yes",N$9:N$17),0)&gt;0)*1</f>
        <v>0</v>
      </c>
      <c r="O24" s="107">
        <f t="shared" ref="O24:W24" si="10">(IFERROR(_xlfn.XMATCH("Yes",O$9:O$17),0)&gt;0)*1</f>
        <v>0</v>
      </c>
      <c r="P24" s="24">
        <f t="shared" si="10"/>
        <v>1</v>
      </c>
      <c r="Q24" s="24">
        <f t="shared" si="10"/>
        <v>0</v>
      </c>
      <c r="R24" s="24">
        <f t="shared" si="10"/>
        <v>0</v>
      </c>
      <c r="S24" s="24">
        <f t="shared" si="10"/>
        <v>1</v>
      </c>
      <c r="T24" s="26">
        <f t="shared" si="10"/>
        <v>0</v>
      </c>
      <c r="U24" s="24">
        <f t="shared" si="10"/>
        <v>0</v>
      </c>
      <c r="V24" s="24">
        <f t="shared" si="10"/>
        <v>0</v>
      </c>
      <c r="W24" s="24">
        <f t="shared" si="10"/>
        <v>0</v>
      </c>
      <c r="Y24" s="53" t="s">
        <v>93</v>
      </c>
      <c r="Z24" s="54"/>
      <c r="AA24" s="54"/>
      <c r="AB24" s="54"/>
      <c r="AC24" s="54"/>
    </row>
    <row r="25" spans="1:30" ht="19" customHeight="1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aca="1" ref="P25" ca="1">IFERROR((1+P$24)/(1+P$24)*(INDEX($D$9:$D$17,P$35))-SUM(I20:P22)-P23,0)</f>
        <v>35.5</v>
      </c>
      <c r="Q25" s="22" cm="1">
        <f t="array" ref="Q25">IFERROR((1+Q$24)/(1+Q$24)*(INDEX($D$9:$D$17,Q$35)),0)</f>
        <v>0</v>
      </c>
      <c r="R25" s="22" cm="1">
        <f t="array" aca="1" ref="R25" ca="1">IFERROR((1+R$24)/(1+R$24)*(INDEX($D$9:$D$17,R$35))-SUM(Q20:R21)-R22,0)</f>
        <v>0</v>
      </c>
      <c r="S25" s="22" cm="1">
        <f t="array" ref="S25">IFERROR((1+S$24)/(1+S$24)*(INDEX($D$9:$D$17,S$35)),0)</f>
        <v>52.5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1">-H23*I24-I22</f>
        <v>0</v>
      </c>
      <c r="J26" s="22">
        <f t="shared" ca="1" si="11"/>
        <v>0</v>
      </c>
      <c r="K26" s="22">
        <f ca="1">-J23*K24-K22</f>
        <v>0</v>
      </c>
      <c r="L26" s="22">
        <f t="shared" ref="L26:T26" ca="1" si="12">-K23*L24-L22</f>
        <v>0</v>
      </c>
      <c r="M26" s="22">
        <f t="shared" ca="1" si="12"/>
        <v>0</v>
      </c>
      <c r="N26" s="22">
        <f t="shared" ca="1" si="12"/>
        <v>0</v>
      </c>
      <c r="O26" s="108">
        <f t="shared" ca="1" si="12"/>
        <v>0</v>
      </c>
      <c r="P26" s="22">
        <f>-O23*P24</f>
        <v>0</v>
      </c>
      <c r="Q26" s="22">
        <f t="shared" ca="1" si="12"/>
        <v>0</v>
      </c>
      <c r="R26" s="22">
        <f>-Q23*R24</f>
        <v>0</v>
      </c>
      <c r="S26" s="22">
        <f t="shared" ca="1" si="12"/>
        <v>-1</v>
      </c>
      <c r="T26" s="22">
        <f t="shared" ca="1" si="12"/>
        <v>0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59</v>
      </c>
      <c r="I27" s="25">
        <f ca="1">MAX(0,(I25+I26))</f>
        <v>0</v>
      </c>
      <c r="J27" s="25">
        <f t="shared" ref="J27" ca="1" si="13">MAX(0,(J25+J26))</f>
        <v>0</v>
      </c>
      <c r="K27" s="25">
        <f ca="1">MAX(0,(K25+K26)-J28-I28)</f>
        <v>0</v>
      </c>
      <c r="L27" s="25">
        <f t="shared" ref="L27:T27" ca="1" si="14">MAX(0,(L25+L26)-K28-J28)</f>
        <v>0</v>
      </c>
      <c r="M27" s="25">
        <f t="shared" ca="1" si="14"/>
        <v>0</v>
      </c>
      <c r="N27" s="25">
        <f t="shared" ca="1" si="14"/>
        <v>0</v>
      </c>
      <c r="O27" s="25">
        <f t="shared" ca="1" si="14"/>
        <v>0</v>
      </c>
      <c r="P27" s="25">
        <f ca="1">MAX(0,(P25+P26)-O28-N28-M28-L28-K28-J28-I28)</f>
        <v>15.5</v>
      </c>
      <c r="Q27" s="25">
        <f t="shared" ca="1" si="14"/>
        <v>0</v>
      </c>
      <c r="R27" s="25">
        <f t="shared" ca="1" si="14"/>
        <v>0</v>
      </c>
      <c r="S27" s="25">
        <f t="shared" ca="1" si="14"/>
        <v>43.5</v>
      </c>
      <c r="T27" s="25">
        <f t="shared" ca="1" si="14"/>
        <v>0</v>
      </c>
      <c r="U27" s="127">
        <f t="shared" ref="U27:W27" si="15">(U25+U26)</f>
        <v>0</v>
      </c>
      <c r="V27" s="25">
        <f t="shared" si="15"/>
        <v>0</v>
      </c>
      <c r="W27" s="25">
        <f t="shared" si="15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6">SUM(I28:W28)</f>
        <v>32</v>
      </c>
      <c r="I28" s="10">
        <v>0</v>
      </c>
      <c r="J28" s="10">
        <v>0</v>
      </c>
      <c r="K28" s="10">
        <v>0</v>
      </c>
      <c r="L28" s="10">
        <v>2</v>
      </c>
      <c r="M28" s="10">
        <v>4</v>
      </c>
      <c r="N28" s="10">
        <v>6</v>
      </c>
      <c r="O28" s="103">
        <v>8</v>
      </c>
      <c r="P28" s="10">
        <v>4</v>
      </c>
      <c r="Q28" s="10">
        <v>8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7">SUM(I30:W30)</f>
        <v>168</v>
      </c>
      <c r="I30" s="16">
        <f t="shared" ref="I30:W30" ca="1" si="18">I20+I21+I22+I27+I28+I29</f>
        <v>7</v>
      </c>
      <c r="J30" s="16">
        <f t="shared" ca="1" si="18"/>
        <v>6</v>
      </c>
      <c r="K30" s="16">
        <f t="shared" ca="1" si="18"/>
        <v>7</v>
      </c>
      <c r="L30" s="16">
        <f t="shared" ca="1" si="18"/>
        <v>9</v>
      </c>
      <c r="M30" s="16">
        <f t="shared" ca="1" si="18"/>
        <v>11</v>
      </c>
      <c r="N30" s="16">
        <f t="shared" ca="1" si="18"/>
        <v>13</v>
      </c>
      <c r="O30" s="110">
        <f t="shared" ca="1" si="18"/>
        <v>16</v>
      </c>
      <c r="P30" s="16">
        <f t="shared" ca="1" si="18"/>
        <v>32.5</v>
      </c>
      <c r="Q30" s="16">
        <f t="shared" ca="1" si="18"/>
        <v>15</v>
      </c>
      <c r="R30" s="16">
        <f t="shared" ca="1" si="18"/>
        <v>7</v>
      </c>
      <c r="S30" s="16">
        <f t="shared" ca="1" si="18"/>
        <v>44.5</v>
      </c>
      <c r="T30" s="16">
        <f t="shared" ca="1" si="18"/>
        <v>0</v>
      </c>
      <c r="U30" s="65">
        <f t="shared" ca="1" si="18"/>
        <v>0</v>
      </c>
      <c r="V30" s="16">
        <f t="shared" ca="1" si="18"/>
        <v>0</v>
      </c>
      <c r="W30" s="16">
        <f t="shared" ca="1" si="18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19">(IFERROR(-I$21-MAX(MAX(0,1*MIN(6,I$2))),0)+I$25)*(1*I$24&gt;0)</f>
        <v>0</v>
      </c>
      <c r="J31" s="22">
        <f t="shared" si="19"/>
        <v>0</v>
      </c>
      <c r="K31" s="22">
        <f t="shared" si="19"/>
        <v>0</v>
      </c>
      <c r="L31" s="22">
        <f t="shared" si="19"/>
        <v>0</v>
      </c>
      <c r="M31" s="22">
        <f t="shared" si="19"/>
        <v>0</v>
      </c>
      <c r="N31" s="22">
        <f t="shared" si="19"/>
        <v>0</v>
      </c>
      <c r="O31" s="108">
        <f t="shared" si="19"/>
        <v>0</v>
      </c>
      <c r="P31" s="22">
        <f t="shared" ca="1" si="19"/>
        <v>25.5</v>
      </c>
      <c r="Q31" s="22">
        <f t="shared" si="19"/>
        <v>0</v>
      </c>
      <c r="R31" s="22">
        <f t="shared" ca="1" si="19"/>
        <v>0</v>
      </c>
      <c r="S31" s="22">
        <f t="shared" si="19"/>
        <v>46.5</v>
      </c>
      <c r="T31" s="22">
        <f t="shared" si="19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-18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0">IFERROR(_xlfn.XMATCH("Yes",J$9:J$17,1),T(1))</f>
        <v/>
      </c>
      <c r="K35" s="18" t="str">
        <f t="shared" si="20"/>
        <v/>
      </c>
      <c r="L35" s="18" t="str">
        <f t="shared" si="20"/>
        <v/>
      </c>
      <c r="M35" s="18" t="str">
        <f t="shared" si="20"/>
        <v/>
      </c>
      <c r="N35" s="18" t="str">
        <f t="shared" si="20"/>
        <v/>
      </c>
      <c r="O35" s="18" t="str">
        <f t="shared" si="20"/>
        <v/>
      </c>
      <c r="P35" s="18">
        <f t="shared" si="20"/>
        <v>1</v>
      </c>
      <c r="Q35" s="18" t="str">
        <f t="shared" si="20"/>
        <v/>
      </c>
      <c r="R35" s="18" t="str">
        <f t="shared" si="20"/>
        <v/>
      </c>
      <c r="S35" s="18">
        <f t="shared" si="20"/>
        <v>2</v>
      </c>
      <c r="T35" s="18" t="str">
        <f t="shared" si="20"/>
        <v/>
      </c>
      <c r="U35" s="18" t="str">
        <f t="shared" si="20"/>
        <v/>
      </c>
      <c r="V35" s="18" t="str">
        <f t="shared" si="20"/>
        <v/>
      </c>
      <c r="W35" s="18" t="str">
        <f t="shared" si="20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7</v>
      </c>
      <c r="J52" s="18">
        <f ca="1">(J30-I30)*(J30&gt;I30)</f>
        <v>0</v>
      </c>
      <c r="K52" s="18">
        <f t="shared" ref="K52:W52" ca="1" si="21">(K30-J30)*(K30&gt;J30)</f>
        <v>1</v>
      </c>
      <c r="L52" s="18">
        <f t="shared" ca="1" si="21"/>
        <v>2</v>
      </c>
      <c r="M52" s="18">
        <f t="shared" ca="1" si="21"/>
        <v>2</v>
      </c>
      <c r="N52" s="18">
        <f t="shared" ca="1" si="21"/>
        <v>2</v>
      </c>
      <c r="O52" s="18">
        <f t="shared" ca="1" si="21"/>
        <v>3</v>
      </c>
      <c r="P52" s="18">
        <f t="shared" ca="1" si="21"/>
        <v>16.5</v>
      </c>
      <c r="Q52" s="18">
        <f t="shared" ca="1" si="21"/>
        <v>0</v>
      </c>
      <c r="R52" s="18">
        <f t="shared" ca="1" si="21"/>
        <v>0</v>
      </c>
      <c r="S52" s="18">
        <f t="shared" ca="1" si="21"/>
        <v>37.5</v>
      </c>
      <c r="T52" s="18">
        <f t="shared" ca="1" si="21"/>
        <v>0</v>
      </c>
      <c r="U52" s="18">
        <f t="shared" ca="1" si="21"/>
        <v>0</v>
      </c>
      <c r="V52" s="18">
        <f t="shared" ca="1" si="21"/>
        <v>0</v>
      </c>
      <c r="W52" s="18">
        <f t="shared" ca="1" si="21"/>
        <v>0</v>
      </c>
    </row>
    <row r="53" spans="7:23" x14ac:dyDescent="0.2">
      <c r="G53" t="s">
        <v>101</v>
      </c>
      <c r="I53" s="18">
        <f ca="1">I52^2</f>
        <v>49</v>
      </c>
      <c r="J53" s="18">
        <f t="shared" ref="J53:W53" ca="1" si="22">J52^2</f>
        <v>0</v>
      </c>
      <c r="K53" s="18">
        <f t="shared" ca="1" si="22"/>
        <v>1</v>
      </c>
      <c r="L53" s="18">
        <f t="shared" ca="1" si="22"/>
        <v>4</v>
      </c>
      <c r="M53" s="18">
        <f t="shared" ca="1" si="22"/>
        <v>4</v>
      </c>
      <c r="N53" s="18">
        <f t="shared" ca="1" si="22"/>
        <v>4</v>
      </c>
      <c r="O53" s="18">
        <f t="shared" ca="1" si="22"/>
        <v>9</v>
      </c>
      <c r="P53" s="18">
        <f t="shared" ca="1" si="22"/>
        <v>272.25</v>
      </c>
      <c r="Q53" s="18">
        <f t="shared" ca="1" si="22"/>
        <v>0</v>
      </c>
      <c r="R53" s="18">
        <f t="shared" ca="1" si="22"/>
        <v>0</v>
      </c>
      <c r="S53" s="18">
        <f t="shared" ca="1" si="22"/>
        <v>1406.25</v>
      </c>
      <c r="T53" s="18">
        <f t="shared" ca="1" si="22"/>
        <v>0</v>
      </c>
      <c r="U53" s="18">
        <f t="shared" ca="1" si="22"/>
        <v>0</v>
      </c>
      <c r="V53" s="18">
        <f t="shared" ca="1" si="22"/>
        <v>0</v>
      </c>
      <c r="W53" s="18">
        <f t="shared" ca="1" si="22"/>
        <v>0</v>
      </c>
    </row>
  </sheetData>
  <mergeCells count="3">
    <mergeCell ref="I1:W1"/>
    <mergeCell ref="F3:F7"/>
    <mergeCell ref="H31:H33"/>
  </mergeCells>
  <conditionalFormatting sqref="I30:W30">
    <cfRule type="cellIs" dxfId="191" priority="13" operator="between">
      <formula>(2/3)*$D$19</formula>
      <formula>(3/2)*$D$19</formula>
    </cfRule>
    <cfRule type="cellIs" dxfId="190" priority="14" operator="lessThan">
      <formula>(2/3)*$D$19</formula>
    </cfRule>
    <cfRule type="cellIs" dxfId="189" priority="15" operator="greaterThanOrEqual">
      <formula>1.5*$D$19</formula>
    </cfRule>
  </conditionalFormatting>
  <conditionalFormatting sqref="H30">
    <cfRule type="cellIs" dxfId="188" priority="11" stopIfTrue="1" operator="equal">
      <formula>$B$6*10</formula>
    </cfRule>
    <cfRule type="cellIs" dxfId="187" priority="12" operator="notEqual">
      <formula>$B$6*10</formula>
    </cfRule>
  </conditionalFormatting>
  <conditionalFormatting sqref="I21:W21 U20:W20 I23:W29">
    <cfRule type="beginsWith" dxfId="186" priority="10" stopIfTrue="1" operator="beginsWith" text="0">
      <formula>LEFT(I20,LEN("0"))="0"</formula>
    </cfRule>
  </conditionalFormatting>
  <conditionalFormatting sqref="B18">
    <cfRule type="expression" dxfId="185" priority="9">
      <formula>B18&lt;&gt;$B$7</formula>
    </cfRule>
  </conditionalFormatting>
  <conditionalFormatting sqref="C18">
    <cfRule type="expression" dxfId="184" priority="8">
      <formula>$B$18&lt;&gt;$B$7</formula>
    </cfRule>
  </conditionalFormatting>
  <conditionalFormatting sqref="H31">
    <cfRule type="expression" dxfId="183" priority="7">
      <formula>ABS($H$30-$D$6&gt;=1)</formula>
    </cfRule>
  </conditionalFormatting>
  <conditionalFormatting sqref="B7">
    <cfRule type="expression" dxfId="182" priority="6">
      <formula>($B$7&lt;&gt;SUM($B$9:$B$17))</formula>
    </cfRule>
  </conditionalFormatting>
  <conditionalFormatting sqref="I31:T33">
    <cfRule type="beginsWith" dxfId="181" priority="4" stopIfTrue="1" operator="beginsWith" text="0">
      <formula>LEFT(I31,LEN("0"))="0"</formula>
    </cfRule>
  </conditionalFormatting>
  <conditionalFormatting sqref="N34">
    <cfRule type="beginsWith" dxfId="180" priority="5" stopIfTrue="1" operator="beginsWith" text="0">
      <formula>LEFT(N34,LEN("0"))="0"</formula>
    </cfRule>
  </conditionalFormatting>
  <conditionalFormatting sqref="D9:D17">
    <cfRule type="cellIs" dxfId="179" priority="3" operator="equal">
      <formula>0</formula>
    </cfRule>
  </conditionalFormatting>
  <conditionalFormatting sqref="X22:Y22">
    <cfRule type="beginsWith" dxfId="178" priority="2" stopIfTrue="1" operator="beginsWith" text="0">
      <formula>LEFT(X22,LEN("0"))="0"</formula>
    </cfRule>
  </conditionalFormatting>
  <conditionalFormatting sqref="I22:W22">
    <cfRule type="beginsWith" dxfId="177" priority="1" stopIfTrue="1" operator="beginsWith" text="0">
      <formula>LEFT(I22,LEN("0"))="0"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177E6EAB-1B0E-8640-A486-438B7B83872D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BF3FD818-5ED6-9044-A900-BA11C989F1DD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4E707BD4-9671-B843-91A7-F3CDDB514941}">
      <formula1>0</formula1>
      <formula2>100</formula2>
    </dataValidation>
    <dataValidation errorStyle="warning" allowBlank="1" showInputMessage="1" showErrorMessage="1" errorTitle="Non-standard credit weighting" promptTitle="Credit value" sqref="B6" xr:uid="{EB36D63A-0EDE-794F-9E81-0E730D7F73DB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7D3AC5D0-EF57-B848-B7EB-BBEB7C00F8DB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57EA6759-FCBD-244A-BFCB-E300144849A6}">
      <formula1>"0,1,2,3"</formula1>
    </dataValidation>
    <dataValidation type="list" errorStyle="warning" allowBlank="1" showInputMessage="1" showErrorMessage="1" errorTitle="Non-standard credit weighting" promptTitle="Credit value" sqref="D5" xr:uid="{E22EDC9E-41D3-AE48-82D3-D87C112764C0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C2D2-364C-43F2-AE18-6AFD4F530D41}">
  <dimension ref="A1:AD53"/>
  <sheetViews>
    <sheetView zoomScale="120" zoomScaleNormal="120" workbookViewId="0">
      <selection activeCell="E20" sqref="E20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421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64" x14ac:dyDescent="0.2">
      <c r="A3" s="7" t="s">
        <v>52</v>
      </c>
      <c r="B3" s="48" t="s">
        <v>219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1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220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2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40</v>
      </c>
      <c r="D7">
        <f>B6*10*B7/100</f>
        <v>30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2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25" thickBot="1" x14ac:dyDescent="0.25">
      <c r="A8" t="s">
        <v>55</v>
      </c>
      <c r="B8" s="45">
        <v>1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>Sensor Report</v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40</v>
      </c>
      <c r="C9" s="138" t="s">
        <v>221</v>
      </c>
      <c r="D9">
        <f>B$6*10*B9/100</f>
        <v>30</v>
      </c>
      <c r="E9" s="29">
        <v>2</v>
      </c>
      <c r="F9" s="42"/>
      <c r="G9" s="30">
        <v>9</v>
      </c>
      <c r="I9" s="19" t="str">
        <f>IF(I$2=$G9,"Yes",T(1))</f>
        <v/>
      </c>
      <c r="J9" s="19" t="str">
        <f>IF(J$2=$G9,"Yes",T(1))</f>
        <v/>
      </c>
      <c r="K9" s="19" t="str">
        <f t="shared" ref="J9:W17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>Yes</v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/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/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3"/>
        <v/>
      </c>
      <c r="K12" s="19" t="str">
        <f t="shared" si="3"/>
        <v/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40</v>
      </c>
      <c r="C18" s="59" t="str">
        <f>IF(B18=B7,"% ok","% credits do not add up to stated value")</f>
        <v>% ok</v>
      </c>
      <c r="D18" s="59">
        <f>SUM(D9:D17)</f>
        <v>30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268.185</v>
      </c>
      <c r="G20" s="11" t="s">
        <v>82</v>
      </c>
      <c r="H20" s="21">
        <f>SUM(I20:W20)</f>
        <v>18</v>
      </c>
      <c r="I20" s="14">
        <v>1</v>
      </c>
      <c r="J20" s="14">
        <v>2</v>
      </c>
      <c r="K20" s="14">
        <v>2</v>
      </c>
      <c r="L20" s="14">
        <v>1</v>
      </c>
      <c r="M20" s="14">
        <v>2</v>
      </c>
      <c r="N20" s="14">
        <v>2</v>
      </c>
      <c r="O20" s="105">
        <v>0</v>
      </c>
      <c r="P20" s="14">
        <v>2</v>
      </c>
      <c r="Q20" s="14">
        <v>2</v>
      </c>
      <c r="R20" s="14">
        <v>1</v>
      </c>
      <c r="S20" s="14">
        <v>2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37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2.85</v>
      </c>
      <c r="V21" s="14">
        <f ca="1">U34*V31</f>
        <v>5.7</v>
      </c>
      <c r="W21" s="14">
        <f ca="1">U34*W31</f>
        <v>10.450000000000001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7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2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2</v>
      </c>
      <c r="J23" s="114">
        <f ca="1">MIN(10,I23+SUM(J20:J22))</f>
        <v>5</v>
      </c>
      <c r="K23" s="114">
        <f ca="1">MIN(12,J23+SUM(K20:K22))</f>
        <v>9</v>
      </c>
      <c r="L23" s="114">
        <f ca="1">MIN(14,K23+SUM(L20:L22))</f>
        <v>11</v>
      </c>
      <c r="M23" s="114">
        <f ca="1">MIN(16,L23+SUM(M20:M22))</f>
        <v>15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1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30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-20</v>
      </c>
      <c r="R26" s="22">
        <f t="shared" ca="1" si="12"/>
        <v>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10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10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75</v>
      </c>
      <c r="I30" s="119">
        <f t="shared" ref="I30:W30" ca="1" si="16">I20+I21+I22+I27+I28+I29</f>
        <v>2</v>
      </c>
      <c r="J30" s="119">
        <f t="shared" ca="1" si="16"/>
        <v>3</v>
      </c>
      <c r="K30" s="119">
        <f t="shared" ca="1" si="16"/>
        <v>4</v>
      </c>
      <c r="L30" s="119">
        <f t="shared" ca="1" si="16"/>
        <v>2</v>
      </c>
      <c r="M30" s="119">
        <f t="shared" ca="1" si="16"/>
        <v>4</v>
      </c>
      <c r="N30" s="119">
        <f t="shared" ca="1" si="16"/>
        <v>3</v>
      </c>
      <c r="O30" s="120">
        <f t="shared" ca="1" si="16"/>
        <v>2</v>
      </c>
      <c r="P30" s="119">
        <f t="shared" ca="1" si="16"/>
        <v>3</v>
      </c>
      <c r="Q30" s="119">
        <f t="shared" ca="1" si="16"/>
        <v>16</v>
      </c>
      <c r="R30" s="119">
        <f t="shared" ca="1" si="16"/>
        <v>2</v>
      </c>
      <c r="S30" s="119">
        <f t="shared" ca="1" si="16"/>
        <v>4</v>
      </c>
      <c r="T30" s="119">
        <f t="shared" ca="1" si="16"/>
        <v>8</v>
      </c>
      <c r="U30" s="121">
        <f t="shared" ca="1" si="16"/>
        <v>2.85</v>
      </c>
      <c r="V30" s="119">
        <f t="shared" ca="1" si="16"/>
        <v>5.7</v>
      </c>
      <c r="W30" s="119">
        <f t="shared" ca="1" si="16"/>
        <v>13.450000000000001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22</v>
      </c>
      <c r="R31" s="22">
        <f t="shared" si="18"/>
        <v>0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19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>
        <f t="shared" si="19"/>
        <v>1</v>
      </c>
      <c r="R35" s="18" t="str">
        <f t="shared" si="19"/>
        <v/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2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2</v>
      </c>
      <c r="N52" s="18">
        <f t="shared" ca="1" si="20"/>
        <v>0</v>
      </c>
      <c r="O52" s="18">
        <f t="shared" ca="1" si="20"/>
        <v>0</v>
      </c>
      <c r="P52" s="18">
        <f t="shared" ca="1" si="20"/>
        <v>1</v>
      </c>
      <c r="Q52" s="18">
        <f t="shared" ca="1" si="20"/>
        <v>13</v>
      </c>
      <c r="R52" s="18">
        <f t="shared" ca="1" si="20"/>
        <v>0</v>
      </c>
      <c r="S52" s="18">
        <f t="shared" ca="1" si="20"/>
        <v>2</v>
      </c>
      <c r="T52" s="18">
        <f t="shared" ca="1" si="20"/>
        <v>4</v>
      </c>
      <c r="U52" s="18">
        <f t="shared" ca="1" si="20"/>
        <v>0</v>
      </c>
      <c r="V52" s="18">
        <f t="shared" ca="1" si="20"/>
        <v>2.85</v>
      </c>
      <c r="W52" s="18">
        <f t="shared" ca="1" si="20"/>
        <v>7.7500000000000009</v>
      </c>
    </row>
    <row r="53" spans="7:23" x14ac:dyDescent="0.2">
      <c r="G53" t="s">
        <v>101</v>
      </c>
      <c r="I53" s="18">
        <f ca="1">I52^2</f>
        <v>4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4</v>
      </c>
      <c r="N53" s="18">
        <f t="shared" ca="1" si="21"/>
        <v>0</v>
      </c>
      <c r="O53" s="18">
        <f t="shared" ca="1" si="21"/>
        <v>0</v>
      </c>
      <c r="P53" s="18">
        <f t="shared" ca="1" si="21"/>
        <v>1</v>
      </c>
      <c r="Q53" s="18">
        <f t="shared" ca="1" si="21"/>
        <v>169</v>
      </c>
      <c r="R53" s="18">
        <f t="shared" ca="1" si="21"/>
        <v>0</v>
      </c>
      <c r="S53" s="18">
        <f t="shared" ca="1" si="21"/>
        <v>4</v>
      </c>
      <c r="T53" s="18">
        <f t="shared" ca="1" si="21"/>
        <v>16</v>
      </c>
      <c r="U53" s="18">
        <f t="shared" ca="1" si="21"/>
        <v>0</v>
      </c>
      <c r="V53" s="18">
        <f t="shared" ca="1" si="21"/>
        <v>8.1225000000000005</v>
      </c>
      <c r="W53" s="18">
        <f t="shared" ca="1" si="21"/>
        <v>60.062500000000014</v>
      </c>
    </row>
  </sheetData>
  <mergeCells count="2">
    <mergeCell ref="I1:W1"/>
    <mergeCell ref="F3:F7"/>
  </mergeCells>
  <conditionalFormatting sqref="I30:W30">
    <cfRule type="cellIs" dxfId="176" priority="11" operator="between">
      <formula>(2/3)*$D$19</formula>
      <formula>(3/2)*$D$19</formula>
    </cfRule>
    <cfRule type="cellIs" dxfId="175" priority="12" operator="lessThan">
      <formula>(2/3)*$D$19</formula>
    </cfRule>
    <cfRule type="cellIs" dxfId="174" priority="13" operator="greaterThanOrEqual">
      <formula>1.5*$D$19</formula>
    </cfRule>
  </conditionalFormatting>
  <conditionalFormatting sqref="H30">
    <cfRule type="cellIs" dxfId="173" priority="9" stopIfTrue="1" operator="equal">
      <formula>$B$6*10</formula>
    </cfRule>
    <cfRule type="cellIs" dxfId="172" priority="10" operator="notEqual">
      <formula>$B$6*10</formula>
    </cfRule>
  </conditionalFormatting>
  <conditionalFormatting sqref="I20:W29">
    <cfRule type="beginsWith" dxfId="171" priority="8" stopIfTrue="1" operator="beginsWith" text="0">
      <formula>LEFT(I20,LEN("0"))="0"</formula>
    </cfRule>
  </conditionalFormatting>
  <conditionalFormatting sqref="B18">
    <cfRule type="expression" dxfId="170" priority="7">
      <formula>B18&lt;&gt;$B$7</formula>
    </cfRule>
  </conditionalFormatting>
  <conditionalFormatting sqref="C18">
    <cfRule type="expression" dxfId="169" priority="6">
      <formula>$B$18&lt;&gt;$B$7</formula>
    </cfRule>
  </conditionalFormatting>
  <conditionalFormatting sqref="H31:H33">
    <cfRule type="expression" dxfId="168" priority="5">
      <formula>ABS($H$30-$D$6&gt;=1)</formula>
    </cfRule>
  </conditionalFormatting>
  <conditionalFormatting sqref="B7">
    <cfRule type="expression" dxfId="167" priority="4">
      <formula>($B$7&lt;&gt;SUM($B$9:$B$17))</formula>
    </cfRule>
  </conditionalFormatting>
  <conditionalFormatting sqref="I31:T33">
    <cfRule type="beginsWith" dxfId="166" priority="2" stopIfTrue="1" operator="beginsWith" text="0">
      <formula>LEFT(I31,LEN("0"))="0"</formula>
    </cfRule>
  </conditionalFormatting>
  <conditionalFormatting sqref="N34">
    <cfRule type="beginsWith" dxfId="165" priority="3" stopIfTrue="1" operator="beginsWith" text="0">
      <formula>LEFT(N34,LEN("0"))="0"</formula>
    </cfRule>
  </conditionalFormatting>
  <conditionalFormatting sqref="D9:D17">
    <cfRule type="cellIs" dxfId="164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C45D6543-996A-4B1F-B2A3-44C060AD9098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CF96D606-C576-4883-9032-1FC965D80A4F}">
      <formula1>"1,2"</formula1>
    </dataValidation>
    <dataValidation type="list" errorStyle="warning" allowBlank="1" showInputMessage="1" showErrorMessage="1" errorTitle="Non-standard credit weighting" promptTitle="Credit value" sqref="B6" xr:uid="{1FC25786-54D6-4172-8ABD-7938D8C82334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C17FDD2F-789F-4431-8A8C-ECDEE3EDB6FD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6CF6392D-45C2-43F9-924E-4B7B7F18563D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DD4C8D49-A2CE-41A9-82E1-552F84E67090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C5E4-8F17-486C-B0B4-31137E2C36DD}">
  <dimension ref="A1:AD53"/>
  <sheetViews>
    <sheetView zoomScale="120" zoomScaleNormal="120" workbookViewId="0">
      <selection activeCell="I20" sqref="I20:T20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432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x14ac:dyDescent="0.2">
      <c r="A3" s="7" t="s">
        <v>52</v>
      </c>
      <c r="B3" s="48"/>
      <c r="C3" t="s">
        <v>222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1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4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12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60</v>
      </c>
      <c r="D7">
        <f>B6*10*B7/100</f>
        <v>90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4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12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37" thickBot="1" x14ac:dyDescent="0.25">
      <c r="A8" t="s">
        <v>55</v>
      </c>
      <c r="B8" s="45">
        <v>2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>Coding Assignment</v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10</v>
      </c>
      <c r="C9" s="145" t="s">
        <v>208</v>
      </c>
      <c r="D9">
        <f>B$6*10*B9/100</f>
        <v>15</v>
      </c>
      <c r="E9" s="29">
        <v>4</v>
      </c>
      <c r="F9" s="42"/>
      <c r="G9" s="30">
        <v>5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>Yes</v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>
        <v>50</v>
      </c>
      <c r="C10" s="40" t="s">
        <v>207</v>
      </c>
      <c r="D10">
        <f>B$6*10*B10/100</f>
        <v>75</v>
      </c>
      <c r="E10" s="31">
        <v>12</v>
      </c>
      <c r="F10" s="43"/>
      <c r="G10" s="32">
        <v>12</v>
      </c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>Yes</v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12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60</v>
      </c>
      <c r="C18" s="59" t="str">
        <f>IF(B18=B7,"% ok","% credits do not add up to stated value")</f>
        <v>% ok</v>
      </c>
      <c r="D18" s="59">
        <f>SUM(D9:D17)</f>
        <v>90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3685.0650000000001</v>
      </c>
      <c r="G20" s="11" t="s">
        <v>82</v>
      </c>
      <c r="H20" s="21">
        <f>SUM(I20:W20)</f>
        <v>31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51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4.95</v>
      </c>
      <c r="V21" s="14">
        <f ca="1">U34*V31</f>
        <v>9.9</v>
      </c>
      <c r="W21" s="14">
        <f ca="1">U34*W31</f>
        <v>18.150000000000002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9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4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MIN(10,I23+SUM(J20:J22))</f>
        <v>7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1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15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75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-14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56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1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55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3</v>
      </c>
      <c r="J30" s="119">
        <f t="shared" ca="1" si="16"/>
        <v>4</v>
      </c>
      <c r="K30" s="119">
        <f t="shared" ca="1" si="16"/>
        <v>5</v>
      </c>
      <c r="L30" s="119">
        <f t="shared" ca="1" si="16"/>
        <v>4</v>
      </c>
      <c r="M30" s="119">
        <f t="shared" ca="1" si="16"/>
        <v>10</v>
      </c>
      <c r="N30" s="119">
        <f t="shared" ca="1" si="16"/>
        <v>4</v>
      </c>
      <c r="O30" s="120">
        <f t="shared" ca="1" si="16"/>
        <v>2</v>
      </c>
      <c r="P30" s="119">
        <f t="shared" ca="1" si="16"/>
        <v>4</v>
      </c>
      <c r="Q30" s="119">
        <f t="shared" ca="1" si="16"/>
        <v>5</v>
      </c>
      <c r="R30" s="119">
        <f t="shared" ca="1" si="16"/>
        <v>4</v>
      </c>
      <c r="S30" s="119">
        <f t="shared" ca="1" si="16"/>
        <v>5</v>
      </c>
      <c r="T30" s="119">
        <f t="shared" ca="1" si="16"/>
        <v>64</v>
      </c>
      <c r="U30" s="121">
        <f t="shared" ca="1" si="16"/>
        <v>4.95</v>
      </c>
      <c r="V30" s="119">
        <f t="shared" ca="1" si="16"/>
        <v>9.9</v>
      </c>
      <c r="W30" s="119">
        <f t="shared" ca="1" si="16"/>
        <v>21.150000000000002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8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67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33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>
        <f t="shared" si="19"/>
        <v>1</v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>
        <f t="shared" si="19"/>
        <v>2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cm="1">
        <f t="array" ref="M36">IFERROR(INDEX( $G$9:$G$17, _xlfn.XMATCH("Yes", (M$9:M$17),1)),T(1))</f>
        <v>5</v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6</v>
      </c>
      <c r="N52" s="18">
        <f t="shared" ca="1" si="20"/>
        <v>0</v>
      </c>
      <c r="O52" s="18">
        <f t="shared" ca="1" si="20"/>
        <v>0</v>
      </c>
      <c r="P52" s="18">
        <f t="shared" ca="1" si="20"/>
        <v>2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59</v>
      </c>
      <c r="U52" s="18">
        <f t="shared" ca="1" si="20"/>
        <v>0</v>
      </c>
      <c r="V52" s="18">
        <f t="shared" ca="1" si="20"/>
        <v>4.95</v>
      </c>
      <c r="W52" s="18">
        <f t="shared" ca="1" si="20"/>
        <v>11.250000000000002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36</v>
      </c>
      <c r="N53" s="18">
        <f t="shared" ca="1" si="21"/>
        <v>0</v>
      </c>
      <c r="O53" s="18">
        <f t="shared" ca="1" si="21"/>
        <v>0</v>
      </c>
      <c r="P53" s="18">
        <f t="shared" ca="1" si="21"/>
        <v>4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3481</v>
      </c>
      <c r="U53" s="18">
        <f t="shared" ca="1" si="21"/>
        <v>0</v>
      </c>
      <c r="V53" s="18">
        <f t="shared" ca="1" si="21"/>
        <v>24.502500000000001</v>
      </c>
      <c r="W53" s="18">
        <f t="shared" ca="1" si="21"/>
        <v>126.56250000000004</v>
      </c>
    </row>
  </sheetData>
  <mergeCells count="2">
    <mergeCell ref="I1:W1"/>
    <mergeCell ref="F3:F7"/>
  </mergeCells>
  <conditionalFormatting sqref="I30:W30">
    <cfRule type="cellIs" dxfId="163" priority="12" operator="between">
      <formula>(2/3)*$D$19</formula>
      <formula>(3/2)*$D$19</formula>
    </cfRule>
    <cfRule type="cellIs" dxfId="162" priority="13" operator="lessThan">
      <formula>(2/3)*$D$19</formula>
    </cfRule>
    <cfRule type="cellIs" dxfId="161" priority="14" operator="greaterThanOrEqual">
      <formula>1.5*$D$19</formula>
    </cfRule>
  </conditionalFormatting>
  <conditionalFormatting sqref="H30">
    <cfRule type="cellIs" dxfId="160" priority="10" stopIfTrue="1" operator="equal">
      <formula>$B$6*10</formula>
    </cfRule>
    <cfRule type="cellIs" dxfId="159" priority="11" operator="notEqual">
      <formula>$B$6*10</formula>
    </cfRule>
  </conditionalFormatting>
  <conditionalFormatting sqref="I21:W29 U20:W20">
    <cfRule type="beginsWith" dxfId="158" priority="9" stopIfTrue="1" operator="beginsWith" text="0">
      <formula>LEFT(I20,LEN("0"))="0"</formula>
    </cfRule>
  </conditionalFormatting>
  <conditionalFormatting sqref="B18">
    <cfRule type="expression" dxfId="157" priority="8">
      <formula>B18&lt;&gt;$B$7</formula>
    </cfRule>
  </conditionalFormatting>
  <conditionalFormatting sqref="C18">
    <cfRule type="expression" dxfId="156" priority="7">
      <formula>$B$18&lt;&gt;$B$7</formula>
    </cfRule>
  </conditionalFormatting>
  <conditionalFormatting sqref="H31:H33">
    <cfRule type="expression" dxfId="155" priority="6">
      <formula>ABS($H$30-$D$6&gt;=1)</formula>
    </cfRule>
  </conditionalFormatting>
  <conditionalFormatting sqref="B7">
    <cfRule type="expression" dxfId="154" priority="5">
      <formula>($B$7&lt;&gt;SUM($B$9:$B$17))</formula>
    </cfRule>
  </conditionalFormatting>
  <conditionalFormatting sqref="I31:T33">
    <cfRule type="beginsWith" dxfId="153" priority="3" stopIfTrue="1" operator="beginsWith" text="0">
      <formula>LEFT(I31,LEN("0"))="0"</formula>
    </cfRule>
  </conditionalFormatting>
  <conditionalFormatting sqref="N34">
    <cfRule type="beginsWith" dxfId="152" priority="4" stopIfTrue="1" operator="beginsWith" text="0">
      <formula>LEFT(N34,LEN("0"))="0"</formula>
    </cfRule>
  </conditionalFormatting>
  <conditionalFormatting sqref="D9:D17">
    <cfRule type="cellIs" dxfId="151" priority="2" operator="equal">
      <formula>0</formula>
    </cfRule>
  </conditionalFormatting>
  <conditionalFormatting sqref="I20:T20">
    <cfRule type="beginsWith" dxfId="150" priority="1" stopIfTrue="1" operator="beginsWith" text="0">
      <formula>LEFT(I20,LEN("0"))="0"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F2EB3A88-1104-4B21-A28E-ABF2DCC0961A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1370D9E8-8BAA-468E-B51C-534C78843EA7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0D09D7FB-73AC-4D53-8B10-507630A37DD4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C82C98C3-247A-48C6-82A1-F02D7E669D21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2C4900BE-6C28-41E0-8626-539C5E7341DF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8FE4C95-36F2-4ABA-AF0B-C21A14A51A94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B484-E6B7-4041-B3D7-2F0EE1D0FB2D}">
  <dimension ref="A1:AD53"/>
  <sheetViews>
    <sheetView zoomScale="120" zoomScaleNormal="120" workbookViewId="0">
      <selection activeCell="I20" sqref="I20:T20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402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223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1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224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2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25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2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25</v>
      </c>
      <c r="C9" s="39" t="s">
        <v>225</v>
      </c>
      <c r="D9">
        <f>B$6*10*B9/100</f>
        <v>37.5</v>
      </c>
      <c r="E9" s="29">
        <v>2</v>
      </c>
      <c r="F9" s="42"/>
      <c r="G9" s="30">
        <v>10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>Yes</v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25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957.79187500000012</v>
      </c>
      <c r="G20" s="11" t="s">
        <v>82</v>
      </c>
      <c r="H20" s="21">
        <f>SUM(I20:W20)</f>
        <v>31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91.5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11.025</v>
      </c>
      <c r="V21" s="14">
        <f ca="1">U34*V31</f>
        <v>22.05</v>
      </c>
      <c r="W21" s="14">
        <f ca="1">U34*W31</f>
        <v>40.425000000000004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7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2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MIN(10,I23+SUM(J20:J22))</f>
        <v>7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1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37.5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-20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17.5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17.5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3</v>
      </c>
      <c r="J30" s="119">
        <f t="shared" ca="1" si="16"/>
        <v>4</v>
      </c>
      <c r="K30" s="119">
        <f t="shared" ca="1" si="16"/>
        <v>5</v>
      </c>
      <c r="L30" s="119">
        <f t="shared" ca="1" si="16"/>
        <v>4</v>
      </c>
      <c r="M30" s="119">
        <f t="shared" ca="1" si="16"/>
        <v>5</v>
      </c>
      <c r="N30" s="119">
        <f t="shared" ca="1" si="16"/>
        <v>4</v>
      </c>
      <c r="O30" s="120">
        <f t="shared" ca="1" si="16"/>
        <v>2</v>
      </c>
      <c r="P30" s="119">
        <f t="shared" ca="1" si="16"/>
        <v>4</v>
      </c>
      <c r="Q30" s="119">
        <f t="shared" ca="1" si="16"/>
        <v>5</v>
      </c>
      <c r="R30" s="119">
        <f t="shared" ca="1" si="16"/>
        <v>23.5</v>
      </c>
      <c r="S30" s="119">
        <f t="shared" ca="1" si="16"/>
        <v>5</v>
      </c>
      <c r="T30" s="119">
        <f t="shared" ca="1" si="16"/>
        <v>9</v>
      </c>
      <c r="U30" s="121">
        <f t="shared" ca="1" si="16"/>
        <v>11.025</v>
      </c>
      <c r="V30" s="119">
        <f t="shared" ca="1" si="16"/>
        <v>22.05</v>
      </c>
      <c r="W30" s="119">
        <f t="shared" ca="1" si="16"/>
        <v>43.425000000000004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30.5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73.5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>
        <f t="shared" si="19"/>
        <v>1</v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1</v>
      </c>
      <c r="N52" s="18">
        <f t="shared" ca="1" si="20"/>
        <v>0</v>
      </c>
      <c r="O52" s="18">
        <f t="shared" ca="1" si="20"/>
        <v>0</v>
      </c>
      <c r="P52" s="18">
        <f t="shared" ca="1" si="20"/>
        <v>2</v>
      </c>
      <c r="Q52" s="18">
        <f t="shared" ca="1" si="20"/>
        <v>1</v>
      </c>
      <c r="R52" s="18">
        <f t="shared" ca="1" si="20"/>
        <v>18.5</v>
      </c>
      <c r="S52" s="18">
        <f t="shared" ca="1" si="20"/>
        <v>0</v>
      </c>
      <c r="T52" s="18">
        <f t="shared" ca="1" si="20"/>
        <v>4</v>
      </c>
      <c r="U52" s="18">
        <f t="shared" ca="1" si="20"/>
        <v>2.0250000000000004</v>
      </c>
      <c r="V52" s="18">
        <f t="shared" ca="1" si="20"/>
        <v>11.025</v>
      </c>
      <c r="W52" s="18">
        <f t="shared" ca="1" si="20"/>
        <v>21.375000000000004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1</v>
      </c>
      <c r="N53" s="18">
        <f t="shared" ca="1" si="21"/>
        <v>0</v>
      </c>
      <c r="O53" s="18">
        <f t="shared" ca="1" si="21"/>
        <v>0</v>
      </c>
      <c r="P53" s="18">
        <f t="shared" ca="1" si="21"/>
        <v>4</v>
      </c>
      <c r="Q53" s="18">
        <f t="shared" ca="1" si="21"/>
        <v>1</v>
      </c>
      <c r="R53" s="18">
        <f t="shared" ca="1" si="21"/>
        <v>342.25</v>
      </c>
      <c r="S53" s="18">
        <f t="shared" ca="1" si="21"/>
        <v>0</v>
      </c>
      <c r="T53" s="18">
        <f t="shared" ca="1" si="21"/>
        <v>16</v>
      </c>
      <c r="U53" s="18">
        <f t="shared" ca="1" si="21"/>
        <v>4.1006250000000017</v>
      </c>
      <c r="V53" s="18">
        <f t="shared" ca="1" si="21"/>
        <v>121.55062500000001</v>
      </c>
      <c r="W53" s="18">
        <f t="shared" ca="1" si="21"/>
        <v>456.89062500000017</v>
      </c>
    </row>
  </sheetData>
  <mergeCells count="2">
    <mergeCell ref="I1:W1"/>
    <mergeCell ref="F3:F7"/>
  </mergeCells>
  <conditionalFormatting sqref="I30:W30">
    <cfRule type="cellIs" dxfId="149" priority="11" operator="between">
      <formula>(2/3)*$D$19</formula>
      <formula>(3/2)*$D$19</formula>
    </cfRule>
    <cfRule type="cellIs" dxfId="148" priority="12" operator="lessThan">
      <formula>(2/3)*$D$19</formula>
    </cfRule>
    <cfRule type="cellIs" dxfId="147" priority="13" operator="greaterThanOrEqual">
      <formula>1.5*$D$19</formula>
    </cfRule>
  </conditionalFormatting>
  <conditionalFormatting sqref="H30">
    <cfRule type="cellIs" dxfId="146" priority="9" stopIfTrue="1" operator="equal">
      <formula>$B$6*10</formula>
    </cfRule>
    <cfRule type="cellIs" dxfId="145" priority="10" operator="notEqual">
      <formula>$B$6*10</formula>
    </cfRule>
  </conditionalFormatting>
  <conditionalFormatting sqref="I20:W29">
    <cfRule type="beginsWith" dxfId="144" priority="8" stopIfTrue="1" operator="beginsWith" text="0">
      <formula>LEFT(I20,LEN("0"))="0"</formula>
    </cfRule>
  </conditionalFormatting>
  <conditionalFormatting sqref="B18">
    <cfRule type="expression" dxfId="143" priority="7">
      <formula>B18&lt;&gt;$B$7</formula>
    </cfRule>
  </conditionalFormatting>
  <conditionalFormatting sqref="C18">
    <cfRule type="expression" dxfId="142" priority="6">
      <formula>$B$18&lt;&gt;$B$7</formula>
    </cfRule>
  </conditionalFormatting>
  <conditionalFormatting sqref="H31:H33">
    <cfRule type="expression" dxfId="141" priority="5">
      <formula>ABS($H$30-$D$6&gt;=1)</formula>
    </cfRule>
  </conditionalFormatting>
  <conditionalFormatting sqref="B7">
    <cfRule type="expression" dxfId="140" priority="4">
      <formula>($B$7&lt;&gt;SUM($B$9:$B$17))</formula>
    </cfRule>
  </conditionalFormatting>
  <conditionalFormatting sqref="I31:T33">
    <cfRule type="beginsWith" dxfId="139" priority="2" stopIfTrue="1" operator="beginsWith" text="0">
      <formula>LEFT(I31,LEN("0"))="0"</formula>
    </cfRule>
  </conditionalFormatting>
  <conditionalFormatting sqref="N34">
    <cfRule type="beginsWith" dxfId="138" priority="3" stopIfTrue="1" operator="beginsWith" text="0">
      <formula>LEFT(N34,LEN("0"))="0"</formula>
    </cfRule>
  </conditionalFormatting>
  <conditionalFormatting sqref="D9:D17">
    <cfRule type="cellIs" dxfId="137" priority="1" operator="equal">
      <formula>0</formula>
    </cfRule>
  </conditionalFormatting>
  <dataValidations disablePrompts="1"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DC252E02-36D2-412D-BAFB-AA9EDB1F287F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184A0EBD-C3F3-426A-9762-174271342F73}">
      <formula1>"1,2"</formula1>
    </dataValidation>
    <dataValidation type="list" errorStyle="warning" allowBlank="1" showInputMessage="1" showErrorMessage="1" errorTitle="Non-standard credit weighting" promptTitle="Credit value" sqref="B6" xr:uid="{5C772131-C8CD-4242-A575-2C07B043C776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B669108F-8C6B-4D85-8162-5300B7C89C9C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68CA5565-9EAC-4C7B-A892-A06A587E87BB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54B10807-7058-41F9-A8FE-4FD57A86D86E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B81CE-D36E-454B-A87F-3DEA359C3C69}">
  <dimension ref="A1:AD53"/>
  <sheetViews>
    <sheetView topLeftCell="A3" zoomScale="120" zoomScaleNormal="120" workbookViewId="0">
      <selection activeCell="F22" sqref="F22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470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226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1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227</v>
      </c>
      <c r="C4" t="s">
        <v>228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2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25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2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C8" s="123"/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25</v>
      </c>
      <c r="C9" s="122" t="s">
        <v>247</v>
      </c>
      <c r="D9">
        <f>B$6*10*B9/100</f>
        <v>37.5</v>
      </c>
      <c r="E9" s="29">
        <v>2</v>
      </c>
      <c r="F9" s="42"/>
      <c r="G9" s="30">
        <v>10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>Yes</v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25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1070.2418750000002</v>
      </c>
      <c r="G20" s="11" t="s">
        <v>82</v>
      </c>
      <c r="H20" s="21">
        <f>SUM(I20:W20)</f>
        <v>31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05">
        <v>0</v>
      </c>
      <c r="P20" s="14">
        <v>3</v>
      </c>
      <c r="Q20" s="14">
        <v>3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96.5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11.775</v>
      </c>
      <c r="V21" s="14">
        <f ca="1">U34*V31</f>
        <v>23.55</v>
      </c>
      <c r="W21" s="14">
        <f ca="1">U34*W31</f>
        <v>43.175000000000004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2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2</v>
      </c>
      <c r="S22" s="10">
        <f t="shared" ca="1" si="8"/>
        <v>0</v>
      </c>
      <c r="T22" s="10">
        <f t="shared" ca="1" si="8"/>
        <v>0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MIN(10,I23+SUM(J20:J22))</f>
        <v>7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1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37.5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-20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17.5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17.5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3</v>
      </c>
      <c r="J30" s="119">
        <f t="shared" ca="1" si="16"/>
        <v>4</v>
      </c>
      <c r="K30" s="119">
        <f t="shared" ca="1" si="16"/>
        <v>5</v>
      </c>
      <c r="L30" s="119">
        <f t="shared" ca="1" si="16"/>
        <v>4</v>
      </c>
      <c r="M30" s="119">
        <f t="shared" ca="1" si="16"/>
        <v>5</v>
      </c>
      <c r="N30" s="119">
        <f t="shared" ca="1" si="16"/>
        <v>4</v>
      </c>
      <c r="O30" s="120">
        <f t="shared" ca="1" si="16"/>
        <v>2</v>
      </c>
      <c r="P30" s="119">
        <f t="shared" ca="1" si="16"/>
        <v>4</v>
      </c>
      <c r="Q30" s="119">
        <f t="shared" ca="1" si="16"/>
        <v>5</v>
      </c>
      <c r="R30" s="119">
        <f t="shared" ca="1" si="16"/>
        <v>23.5</v>
      </c>
      <c r="S30" s="119">
        <f t="shared" ca="1" si="16"/>
        <v>5</v>
      </c>
      <c r="T30" s="119">
        <f t="shared" ca="1" si="16"/>
        <v>4</v>
      </c>
      <c r="U30" s="121">
        <f t="shared" ca="1" si="16"/>
        <v>11.775</v>
      </c>
      <c r="V30" s="119">
        <f t="shared" ca="1" si="16"/>
        <v>23.55</v>
      </c>
      <c r="W30" s="119">
        <f t="shared" ca="1" si="16"/>
        <v>46.175000000000004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30.5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78.5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>
        <f t="shared" si="19"/>
        <v>1</v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1</v>
      </c>
      <c r="N52" s="18">
        <f t="shared" ca="1" si="20"/>
        <v>0</v>
      </c>
      <c r="O52" s="18">
        <f t="shared" ca="1" si="20"/>
        <v>0</v>
      </c>
      <c r="P52" s="18">
        <f t="shared" ca="1" si="20"/>
        <v>2</v>
      </c>
      <c r="Q52" s="18">
        <f t="shared" ca="1" si="20"/>
        <v>1</v>
      </c>
      <c r="R52" s="18">
        <f t="shared" ca="1" si="20"/>
        <v>18.5</v>
      </c>
      <c r="S52" s="18">
        <f t="shared" ca="1" si="20"/>
        <v>0</v>
      </c>
      <c r="T52" s="18">
        <f t="shared" ca="1" si="20"/>
        <v>0</v>
      </c>
      <c r="U52" s="18">
        <f t="shared" ca="1" si="20"/>
        <v>7.7750000000000004</v>
      </c>
      <c r="V52" s="18">
        <f t="shared" ca="1" si="20"/>
        <v>11.775</v>
      </c>
      <c r="W52" s="18">
        <f t="shared" ca="1" si="20"/>
        <v>22.625000000000004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1</v>
      </c>
      <c r="N53" s="18">
        <f t="shared" ca="1" si="21"/>
        <v>0</v>
      </c>
      <c r="O53" s="18">
        <f t="shared" ca="1" si="21"/>
        <v>0</v>
      </c>
      <c r="P53" s="18">
        <f t="shared" ca="1" si="21"/>
        <v>4</v>
      </c>
      <c r="Q53" s="18">
        <f t="shared" ca="1" si="21"/>
        <v>1</v>
      </c>
      <c r="R53" s="18">
        <f t="shared" ca="1" si="21"/>
        <v>342.25</v>
      </c>
      <c r="S53" s="18">
        <f t="shared" ca="1" si="21"/>
        <v>0</v>
      </c>
      <c r="T53" s="18">
        <f t="shared" ca="1" si="21"/>
        <v>0</v>
      </c>
      <c r="U53" s="18">
        <f t="shared" ca="1" si="21"/>
        <v>60.450625000000002</v>
      </c>
      <c r="V53" s="18">
        <f t="shared" ca="1" si="21"/>
        <v>138.65062500000002</v>
      </c>
      <c r="W53" s="18">
        <f t="shared" ca="1" si="21"/>
        <v>511.89062500000017</v>
      </c>
    </row>
  </sheetData>
  <mergeCells count="2">
    <mergeCell ref="I1:W1"/>
    <mergeCell ref="F3:F7"/>
  </mergeCells>
  <conditionalFormatting sqref="I30:W30">
    <cfRule type="cellIs" dxfId="136" priority="11" operator="between">
      <formula>(2/3)*$D$19</formula>
      <formula>(3/2)*$D$19</formula>
    </cfRule>
    <cfRule type="cellIs" dxfId="135" priority="12" operator="lessThan">
      <formula>(2/3)*$D$19</formula>
    </cfRule>
    <cfRule type="cellIs" dxfId="134" priority="13" operator="greaterThanOrEqual">
      <formula>1.5*$D$19</formula>
    </cfRule>
  </conditionalFormatting>
  <conditionalFormatting sqref="H30">
    <cfRule type="cellIs" dxfId="133" priority="9" stopIfTrue="1" operator="equal">
      <formula>$B$6*10</formula>
    </cfRule>
    <cfRule type="cellIs" dxfId="132" priority="10" operator="notEqual">
      <formula>$B$6*10</formula>
    </cfRule>
  </conditionalFormatting>
  <conditionalFormatting sqref="I20:W29">
    <cfRule type="beginsWith" dxfId="131" priority="8" stopIfTrue="1" operator="beginsWith" text="0">
      <formula>LEFT(I20,LEN("0"))="0"</formula>
    </cfRule>
  </conditionalFormatting>
  <conditionalFormatting sqref="B18">
    <cfRule type="expression" dxfId="130" priority="7">
      <formula>B18&lt;&gt;$B$7</formula>
    </cfRule>
  </conditionalFormatting>
  <conditionalFormatting sqref="C18">
    <cfRule type="expression" dxfId="129" priority="6">
      <formula>$B$18&lt;&gt;$B$7</formula>
    </cfRule>
  </conditionalFormatting>
  <conditionalFormatting sqref="H31:H33">
    <cfRule type="expression" dxfId="128" priority="5">
      <formula>ABS($H$30-$D$6&gt;=1)</formula>
    </cfRule>
  </conditionalFormatting>
  <conditionalFormatting sqref="B7">
    <cfRule type="expression" dxfId="127" priority="4">
      <formula>($B$7&lt;&gt;SUM($B$9:$B$17))</formula>
    </cfRule>
  </conditionalFormatting>
  <conditionalFormatting sqref="I31:T33">
    <cfRule type="beginsWith" dxfId="126" priority="2" stopIfTrue="1" operator="beginsWith" text="0">
      <formula>LEFT(I31,LEN("0"))="0"</formula>
    </cfRule>
  </conditionalFormatting>
  <conditionalFormatting sqref="N34">
    <cfRule type="beginsWith" dxfId="125" priority="3" stopIfTrue="1" operator="beginsWith" text="0">
      <formula>LEFT(N34,LEN("0"))="0"</formula>
    </cfRule>
  </conditionalFormatting>
  <conditionalFormatting sqref="D9:D17">
    <cfRule type="cellIs" dxfId="124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C1677371-B271-49BC-AD40-445EA2EE54BD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A3483C2A-2DB2-434F-A699-530E63EF20DC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1430BEC5-5EBB-475C-BC59-EF3DB01B3126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3FECC9D3-1A66-4883-A7CE-CEE61C120D7B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3082B841-544E-4603-8C3E-87AE4EB1D262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D72D13CB-358C-4EC0-9B43-66F0DE32F148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58145-3F16-4561-BD87-EC16642A385C}">
  <dimension ref="A1:AD53"/>
  <sheetViews>
    <sheetView topLeftCell="A2" zoomScale="120" zoomScaleNormal="120" workbookViewId="0">
      <selection activeCell="C9" sqref="C9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423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229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1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2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230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4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4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40</v>
      </c>
      <c r="D7">
        <f>B6*10*B7/100</f>
        <v>60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4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4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49" thickBot="1" x14ac:dyDescent="0.25">
      <c r="A8" t="s">
        <v>55</v>
      </c>
      <c r="B8" s="45">
        <v>2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>M2M Implementation</v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15</v>
      </c>
      <c r="C9" s="39" t="s">
        <v>231</v>
      </c>
      <c r="D9">
        <f>B$6*10*B9/100</f>
        <v>22.5</v>
      </c>
      <c r="E9" s="29">
        <v>4</v>
      </c>
      <c r="F9" s="42"/>
      <c r="G9" s="30">
        <v>7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>Yes</v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>
        <v>25</v>
      </c>
      <c r="C10" s="40" t="s">
        <v>232</v>
      </c>
      <c r="D10">
        <f>B$6*10*B10/100</f>
        <v>37.5</v>
      </c>
      <c r="E10" s="31">
        <v>4</v>
      </c>
      <c r="F10" s="43"/>
      <c r="G10" s="32">
        <v>12</v>
      </c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>Yes</v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4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40</v>
      </c>
      <c r="C18" s="59" t="str">
        <f>IF(B18=B7,"% ok","% credits do not add up to stated value")</f>
        <v>% ok</v>
      </c>
      <c r="D18" s="59">
        <f>SUM(D9:D17)</f>
        <v>60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1009.5650000000001</v>
      </c>
      <c r="G20" s="11" t="s">
        <v>82</v>
      </c>
      <c r="H20" s="21">
        <f>SUM(I20:W20)</f>
        <v>31</v>
      </c>
      <c r="I20" s="14">
        <v>2</v>
      </c>
      <c r="J20" s="14">
        <v>3</v>
      </c>
      <c r="K20" s="14">
        <v>3</v>
      </c>
      <c r="L20" s="14">
        <v>3</v>
      </c>
      <c r="M20" s="14">
        <v>3</v>
      </c>
      <c r="N20" s="14">
        <v>3</v>
      </c>
      <c r="O20" s="146">
        <v>0</v>
      </c>
      <c r="P20" s="14">
        <v>3</v>
      </c>
      <c r="Q20" s="14">
        <v>3</v>
      </c>
      <c r="R20" s="14">
        <v>3</v>
      </c>
      <c r="S20" s="14">
        <v>3</v>
      </c>
      <c r="T20" s="15">
        <v>2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85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10.049999999999999</v>
      </c>
      <c r="V21" s="14">
        <f ca="1">U34*V31</f>
        <v>20.099999999999998</v>
      </c>
      <c r="W21" s="14">
        <f ca="1">U34*W31</f>
        <v>36.85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9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4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3</v>
      </c>
      <c r="J23" s="114">
        <f ca="1">MIN(10,I23+SUM(J20:J22))</f>
        <v>7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1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22.5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37.5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-18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22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4.5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17.5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3</v>
      </c>
      <c r="J30" s="119">
        <f t="shared" ca="1" si="16"/>
        <v>4</v>
      </c>
      <c r="K30" s="119">
        <f t="shared" ca="1" si="16"/>
        <v>5</v>
      </c>
      <c r="L30" s="119">
        <f t="shared" ca="1" si="16"/>
        <v>4</v>
      </c>
      <c r="M30" s="119">
        <f t="shared" ca="1" si="16"/>
        <v>5</v>
      </c>
      <c r="N30" s="119">
        <f t="shared" ca="1" si="16"/>
        <v>4</v>
      </c>
      <c r="O30" s="120">
        <f t="shared" ca="1" si="16"/>
        <v>10.5</v>
      </c>
      <c r="P30" s="119">
        <f t="shared" ca="1" si="16"/>
        <v>4</v>
      </c>
      <c r="Q30" s="119">
        <f t="shared" ca="1" si="16"/>
        <v>5</v>
      </c>
      <c r="R30" s="119">
        <f t="shared" ca="1" si="16"/>
        <v>4</v>
      </c>
      <c r="S30" s="119">
        <f t="shared" ca="1" si="16"/>
        <v>5</v>
      </c>
      <c r="T30" s="119">
        <f t="shared" ca="1" si="16"/>
        <v>26.5</v>
      </c>
      <c r="U30" s="121">
        <f t="shared" ca="1" si="16"/>
        <v>10.049999999999999</v>
      </c>
      <c r="V30" s="119">
        <f t="shared" ca="1" si="16"/>
        <v>20.099999999999998</v>
      </c>
      <c r="W30" s="119">
        <f t="shared" ca="1" si="16"/>
        <v>39.85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14.5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29.5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67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>
        <f t="shared" si="19"/>
        <v>1</v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>
        <f t="shared" si="19"/>
        <v>2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cm="1">
        <f t="array" ref="O36">IFERROR(INDEX( $G$9:$G$17, _xlfn.XMATCH("Yes", (O$9:O$17),1)),T(1))</f>
        <v>7</v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3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1</v>
      </c>
      <c r="N52" s="18">
        <f t="shared" ca="1" si="20"/>
        <v>0</v>
      </c>
      <c r="O52" s="18">
        <f t="shared" ca="1" si="20"/>
        <v>6.5</v>
      </c>
      <c r="P52" s="18">
        <f t="shared" ca="1" si="20"/>
        <v>0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21.5</v>
      </c>
      <c r="U52" s="18">
        <f t="shared" ca="1" si="20"/>
        <v>0</v>
      </c>
      <c r="V52" s="18">
        <f t="shared" ca="1" si="20"/>
        <v>10.049999999999999</v>
      </c>
      <c r="W52" s="18">
        <f t="shared" ca="1" si="20"/>
        <v>19.750000000000004</v>
      </c>
    </row>
    <row r="53" spans="7:23" x14ac:dyDescent="0.2">
      <c r="G53" t="s">
        <v>101</v>
      </c>
      <c r="I53" s="18">
        <f ca="1">I52^2</f>
        <v>9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1</v>
      </c>
      <c r="N53" s="18">
        <f t="shared" ca="1" si="21"/>
        <v>0</v>
      </c>
      <c r="O53" s="18">
        <f t="shared" ca="1" si="21"/>
        <v>42.25</v>
      </c>
      <c r="P53" s="18">
        <f t="shared" ca="1" si="21"/>
        <v>0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462.25</v>
      </c>
      <c r="U53" s="18">
        <f t="shared" ca="1" si="21"/>
        <v>0</v>
      </c>
      <c r="V53" s="18">
        <f t="shared" ca="1" si="21"/>
        <v>101.00249999999998</v>
      </c>
      <c r="W53" s="18">
        <f t="shared" ca="1" si="21"/>
        <v>390.06250000000011</v>
      </c>
    </row>
  </sheetData>
  <mergeCells count="2">
    <mergeCell ref="I1:W1"/>
    <mergeCell ref="F3:F7"/>
  </mergeCells>
  <conditionalFormatting sqref="I30:W30">
    <cfRule type="cellIs" dxfId="123" priority="11" operator="between">
      <formula>(2/3)*$D$19</formula>
      <formula>(3/2)*$D$19</formula>
    </cfRule>
    <cfRule type="cellIs" dxfId="122" priority="12" operator="lessThan">
      <formula>(2/3)*$D$19</formula>
    </cfRule>
    <cfRule type="cellIs" dxfId="121" priority="13" operator="greaterThanOrEqual">
      <formula>1.5*$D$19</formula>
    </cfRule>
  </conditionalFormatting>
  <conditionalFormatting sqref="H30">
    <cfRule type="cellIs" dxfId="120" priority="9" stopIfTrue="1" operator="equal">
      <formula>$B$6*10</formula>
    </cfRule>
    <cfRule type="cellIs" dxfId="119" priority="10" operator="notEqual">
      <formula>$B$6*10</formula>
    </cfRule>
  </conditionalFormatting>
  <conditionalFormatting sqref="I21:W29 U20:W20">
    <cfRule type="beginsWith" dxfId="118" priority="8" stopIfTrue="1" operator="beginsWith" text="0">
      <formula>LEFT(I20,LEN("0"))="0"</formula>
    </cfRule>
  </conditionalFormatting>
  <conditionalFormatting sqref="B18">
    <cfRule type="expression" dxfId="117" priority="7">
      <formula>B18&lt;&gt;$B$7</formula>
    </cfRule>
  </conditionalFormatting>
  <conditionalFormatting sqref="C18">
    <cfRule type="expression" dxfId="116" priority="6">
      <formula>$B$18&lt;&gt;$B$7</formula>
    </cfRule>
  </conditionalFormatting>
  <conditionalFormatting sqref="H31:H33">
    <cfRule type="expression" dxfId="115" priority="5">
      <formula>ABS($H$30-$D$6&gt;=1)</formula>
    </cfRule>
  </conditionalFormatting>
  <conditionalFormatting sqref="B7">
    <cfRule type="expression" dxfId="114" priority="4">
      <formula>($B$7&lt;&gt;SUM($B$9:$B$17))</formula>
    </cfRule>
  </conditionalFormatting>
  <conditionalFormatting sqref="I31:T33">
    <cfRule type="beginsWith" dxfId="113" priority="2" stopIfTrue="1" operator="beginsWith" text="0">
      <formula>LEFT(I31,LEN("0"))="0"</formula>
    </cfRule>
  </conditionalFormatting>
  <conditionalFormatting sqref="N34">
    <cfRule type="beginsWith" dxfId="112" priority="3" stopIfTrue="1" operator="beginsWith" text="0">
      <formula>LEFT(N34,LEN("0"))="0"</formula>
    </cfRule>
  </conditionalFormatting>
  <conditionalFormatting sqref="D9:D17">
    <cfRule type="cellIs" dxfId="111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834209F8-D02A-427B-A389-730BA7A4F643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D0CFD4B8-FF20-4C29-B4E3-FB191C020C13}">
      <formula1>"1,2"</formula1>
    </dataValidation>
    <dataValidation type="list" errorStyle="warning" allowBlank="1" showInputMessage="1" showErrorMessage="1" errorTitle="Non-standard credit weighting" promptTitle="Credit value" sqref="B6" xr:uid="{F63F63BC-96AA-4030-AC6A-4F415DD78A3F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37234B05-871A-4279-9E6C-7E3F8BA7458A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FB77D2E8-E89B-41AD-81DF-02C85BA0213A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88E09AA9-A899-4E28-A05E-DF408DCF33E6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06C6-FCF3-44B6-9A72-4E04F4A5887C}">
  <dimension ref="A1:AD53"/>
  <sheetViews>
    <sheetView topLeftCell="A8" zoomScale="110" zoomScaleNormal="110" workbookViewId="0">
      <selection activeCell="X25" sqref="X25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473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233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2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1</v>
      </c>
      <c r="X3" s="91" t="s">
        <v>191</v>
      </c>
    </row>
    <row r="4" spans="1:25" x14ac:dyDescent="0.2">
      <c r="A4" s="7" t="s">
        <v>53</v>
      </c>
      <c r="B4" s="38" t="s">
        <v>234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6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2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50</v>
      </c>
      <c r="C7" t="s">
        <v>248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6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2</v>
      </c>
      <c r="X7" s="91" t="s">
        <v>194</v>
      </c>
    </row>
    <row r="8" spans="1:25" ht="49" thickBot="1" x14ac:dyDescent="0.25">
      <c r="A8" t="s">
        <v>55</v>
      </c>
      <c r="B8" s="45">
        <v>2</v>
      </c>
      <c r="C8" t="s">
        <v>130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150" t="str" cm="1">
        <f t="array" ref="Q8">IFERROR(INDEX($C9:$C17,MATCH(TRUE,Q9:Q17&lt;&gt;"",0)),"")</f>
        <v>Design Assignment</v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>Class Test (sem 2 wk 1)</v>
      </c>
    </row>
    <row r="9" spans="1:25" ht="16" thickTop="1" x14ac:dyDescent="0.2">
      <c r="A9" t="s">
        <v>58</v>
      </c>
      <c r="B9" s="46">
        <v>20</v>
      </c>
      <c r="C9" s="147" t="s">
        <v>304</v>
      </c>
      <c r="D9">
        <f>B$6*10*B9/100</f>
        <v>15</v>
      </c>
      <c r="E9" s="29">
        <v>2</v>
      </c>
      <c r="F9" s="42"/>
      <c r="G9" s="30">
        <v>15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>Yes</v>
      </c>
      <c r="X9" s="135">
        <f>E9</f>
        <v>2</v>
      </c>
    </row>
    <row r="10" spans="1:25" x14ac:dyDescent="0.2">
      <c r="A10" t="s">
        <v>57</v>
      </c>
      <c r="B10" s="46">
        <v>30</v>
      </c>
      <c r="C10" s="40" t="s">
        <v>236</v>
      </c>
      <c r="D10">
        <f>B$6*10*B10/100</f>
        <v>22.5</v>
      </c>
      <c r="E10" s="31">
        <v>6</v>
      </c>
      <c r="F10" s="43"/>
      <c r="G10" s="32">
        <v>9</v>
      </c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>Yes</v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6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50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220.25</v>
      </c>
      <c r="G20" s="11" t="s">
        <v>82</v>
      </c>
      <c r="H20" s="21">
        <f>SUM(I20:W20)</f>
        <v>44</v>
      </c>
      <c r="I20" s="14">
        <v>4</v>
      </c>
      <c r="J20" s="14">
        <v>5</v>
      </c>
      <c r="K20" s="14">
        <v>5</v>
      </c>
      <c r="L20" s="14">
        <v>5</v>
      </c>
      <c r="M20" s="14">
        <v>5</v>
      </c>
      <c r="N20" s="14">
        <v>5</v>
      </c>
      <c r="O20" s="105">
        <v>0</v>
      </c>
      <c r="P20" s="14">
        <v>5</v>
      </c>
      <c r="Q20" s="14">
        <v>0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18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0</v>
      </c>
      <c r="V21" s="14">
        <f ca="1">U34*V31</f>
        <v>0</v>
      </c>
      <c r="W21" s="14">
        <f ca="1">U34*W31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13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6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2</v>
      </c>
    </row>
    <row r="23" spans="1:30" x14ac:dyDescent="0.2">
      <c r="G23" s="11" t="s">
        <v>98</v>
      </c>
      <c r="H23" s="21"/>
      <c r="I23" s="114">
        <f ca="1">SUM(I20:I22)</f>
        <v>5</v>
      </c>
      <c r="J23" s="114">
        <f ca="1">MIN(10,I23+SUM(J20:J22))</f>
        <v>10</v>
      </c>
      <c r="K23" s="114">
        <f t="shared" ref="K23:T23" ca="1" si="9">MIN(10,J23+SUM(K20:K22))</f>
        <v>10</v>
      </c>
      <c r="L23" s="114">
        <f t="shared" ca="1" si="9"/>
        <v>10</v>
      </c>
      <c r="M23" s="114">
        <f t="shared" ca="1" si="9"/>
        <v>10</v>
      </c>
      <c r="N23" s="114">
        <f t="shared" ca="1" si="9"/>
        <v>10</v>
      </c>
      <c r="O23" s="114">
        <f t="shared" ca="1" si="9"/>
        <v>10</v>
      </c>
      <c r="P23" s="114">
        <f t="shared" ca="1" si="9"/>
        <v>10</v>
      </c>
      <c r="Q23" s="114">
        <f t="shared" ca="1" si="9"/>
        <v>10</v>
      </c>
      <c r="R23" s="114">
        <f t="shared" ca="1" si="9"/>
        <v>10</v>
      </c>
      <c r="S23" s="114">
        <f t="shared" ca="1" si="9"/>
        <v>10</v>
      </c>
      <c r="T23" s="114">
        <f t="shared" ca="1" si="9"/>
        <v>10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1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1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22.5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15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-10</v>
      </c>
      <c r="R26" s="22">
        <f t="shared" ca="1" si="12"/>
        <v>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-6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16.5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ca="1">(Q25+Q26)-SUM(N28:P28)</f>
        <v>7.5</v>
      </c>
      <c r="R27" s="116">
        <f t="shared" ca="1" si="13"/>
        <v>0</v>
      </c>
      <c r="S27" s="116">
        <f t="shared" ca="1" si="13"/>
        <v>0</v>
      </c>
      <c r="T27" s="118">
        <f ca="1">MAX(0,(T25+T26)-SUM(R28:S28))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9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6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2</v>
      </c>
      <c r="P28" s="10">
        <v>3</v>
      </c>
      <c r="Q28" s="10">
        <v>0</v>
      </c>
      <c r="R28" s="10">
        <v>0</v>
      </c>
      <c r="S28" s="10">
        <v>1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97.5</v>
      </c>
      <c r="I30" s="119">
        <f t="shared" ref="I30:W30" ca="1" si="16">I20+I21+I22+I27+I28+I29</f>
        <v>5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7</v>
      </c>
      <c r="N30" s="119">
        <f t="shared" ca="1" si="16"/>
        <v>6</v>
      </c>
      <c r="O30" s="120">
        <f t="shared" ca="1" si="16"/>
        <v>4</v>
      </c>
      <c r="P30" s="119">
        <f t="shared" ca="1" si="16"/>
        <v>9</v>
      </c>
      <c r="Q30" s="119">
        <f t="shared" ca="1" si="16"/>
        <v>15.5</v>
      </c>
      <c r="R30" s="119">
        <f t="shared" ca="1" si="16"/>
        <v>6</v>
      </c>
      <c r="S30" s="119">
        <f t="shared" ca="1" si="16"/>
        <v>8</v>
      </c>
      <c r="T30" s="119">
        <f t="shared" ca="1" si="16"/>
        <v>7</v>
      </c>
      <c r="U30" s="121">
        <f t="shared" ca="1" si="16"/>
        <v>0</v>
      </c>
      <c r="V30" s="119">
        <f t="shared" ca="1" si="16"/>
        <v>0</v>
      </c>
      <c r="W30" s="119">
        <f t="shared" ca="1" si="16"/>
        <v>11</v>
      </c>
    </row>
    <row r="31" spans="1:30" ht="30.5" customHeight="1" x14ac:dyDescent="0.2">
      <c r="G31" s="17" t="s">
        <v>94</v>
      </c>
      <c r="H31" s="151" t="str">
        <f ca="1">IF(ABS(H30-D6)&gt;=1,"Hours don't add up to nominal credits x 10","")</f>
        <v>Hours don't add up to nominal credits x 10</v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14.5</v>
      </c>
      <c r="R31" s="22">
        <f t="shared" si="18"/>
        <v>0</v>
      </c>
      <c r="S31" s="22">
        <f t="shared" si="18"/>
        <v>0</v>
      </c>
      <c r="T31" s="22">
        <f t="shared" si="18"/>
        <v>0</v>
      </c>
      <c r="U31" s="66">
        <v>0</v>
      </c>
      <c r="V31" s="51">
        <v>0</v>
      </c>
      <c r="W31" s="51">
        <v>0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-11.5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>
        <f t="shared" si="19"/>
        <v>2</v>
      </c>
      <c r="R35" s="18" t="str">
        <f t="shared" si="19"/>
        <v/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>
        <f t="shared" si="19"/>
        <v>1</v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cm="1">
        <f t="array" ref="Q36">IFERROR(INDEX( $G$9:$G$17, _xlfn.XMATCH("Yes", (Q$9:Q$17),1)),T(1))</f>
        <v>9</v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cm="1">
        <f t="array" ref="W36">IFERROR(INDEX( $G$9:$G$17, _xlfn.XMATCH("Yes", (W$9:W$17),1)),T(1))</f>
        <v>15</v>
      </c>
    </row>
    <row r="52" spans="7:23" x14ac:dyDescent="0.2">
      <c r="G52" t="s">
        <v>99</v>
      </c>
      <c r="I52" s="18">
        <f ca="1">I30</f>
        <v>5</v>
      </c>
      <c r="J52" s="18">
        <f ca="1">(J30-I30)*(J30&gt;I30)</f>
        <v>1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1</v>
      </c>
      <c r="N52" s="18">
        <f t="shared" ca="1" si="20"/>
        <v>0</v>
      </c>
      <c r="O52" s="18">
        <f t="shared" ca="1" si="20"/>
        <v>0</v>
      </c>
      <c r="P52" s="18">
        <f t="shared" ca="1" si="20"/>
        <v>5</v>
      </c>
      <c r="Q52" s="18">
        <f t="shared" ca="1" si="20"/>
        <v>6.5</v>
      </c>
      <c r="R52" s="18">
        <f t="shared" ca="1" si="20"/>
        <v>0</v>
      </c>
      <c r="S52" s="18">
        <f t="shared" ca="1" si="20"/>
        <v>2</v>
      </c>
      <c r="T52" s="18">
        <f t="shared" ca="1" si="20"/>
        <v>0</v>
      </c>
      <c r="U52" s="18">
        <f t="shared" ca="1" si="20"/>
        <v>0</v>
      </c>
      <c r="V52" s="18">
        <f t="shared" ca="1" si="20"/>
        <v>0</v>
      </c>
      <c r="W52" s="18">
        <f t="shared" ca="1" si="20"/>
        <v>11</v>
      </c>
    </row>
    <row r="53" spans="7:23" x14ac:dyDescent="0.2">
      <c r="G53" t="s">
        <v>101</v>
      </c>
      <c r="I53" s="18">
        <f ca="1">I52^2</f>
        <v>25</v>
      </c>
      <c r="J53" s="18">
        <f t="shared" ref="J53:W53" ca="1" si="21">J52^2</f>
        <v>1</v>
      </c>
      <c r="K53" s="18">
        <f t="shared" ca="1" si="21"/>
        <v>1</v>
      </c>
      <c r="L53" s="18">
        <f t="shared" ca="1" si="21"/>
        <v>0</v>
      </c>
      <c r="M53" s="18">
        <f t="shared" ca="1" si="21"/>
        <v>1</v>
      </c>
      <c r="N53" s="18">
        <f t="shared" ca="1" si="21"/>
        <v>0</v>
      </c>
      <c r="O53" s="18">
        <f t="shared" ca="1" si="21"/>
        <v>0</v>
      </c>
      <c r="P53" s="18">
        <f t="shared" ca="1" si="21"/>
        <v>25</v>
      </c>
      <c r="Q53" s="18">
        <f t="shared" ca="1" si="21"/>
        <v>42.25</v>
      </c>
      <c r="R53" s="18">
        <f t="shared" ca="1" si="21"/>
        <v>0</v>
      </c>
      <c r="S53" s="18">
        <f t="shared" ca="1" si="21"/>
        <v>4</v>
      </c>
      <c r="T53" s="18">
        <f t="shared" ca="1" si="21"/>
        <v>0</v>
      </c>
      <c r="U53" s="18">
        <f t="shared" ca="1" si="21"/>
        <v>0</v>
      </c>
      <c r="V53" s="18">
        <f t="shared" ca="1" si="21"/>
        <v>0</v>
      </c>
      <c r="W53" s="18">
        <f t="shared" ca="1" si="21"/>
        <v>121</v>
      </c>
    </row>
  </sheetData>
  <mergeCells count="2">
    <mergeCell ref="I1:W1"/>
    <mergeCell ref="F3:F7"/>
  </mergeCells>
  <conditionalFormatting sqref="I30:W30">
    <cfRule type="cellIs" dxfId="110" priority="11" operator="between">
      <formula>(2/3)*$D$19</formula>
      <formula>(3/2)*$D$19</formula>
    </cfRule>
    <cfRule type="cellIs" dxfId="109" priority="12" operator="lessThan">
      <formula>(2/3)*$D$19</formula>
    </cfRule>
    <cfRule type="cellIs" dxfId="108" priority="13" operator="greaterThanOrEqual">
      <formula>1.5*$D$19</formula>
    </cfRule>
  </conditionalFormatting>
  <conditionalFormatting sqref="H30">
    <cfRule type="cellIs" dxfId="107" priority="9" stopIfTrue="1" operator="equal">
      <formula>$B$6*10</formula>
    </cfRule>
    <cfRule type="cellIs" dxfId="106" priority="10" operator="notEqual">
      <formula>$B$6*10</formula>
    </cfRule>
  </conditionalFormatting>
  <conditionalFormatting sqref="I20:W29">
    <cfRule type="beginsWith" dxfId="105" priority="8" stopIfTrue="1" operator="beginsWith" text="0">
      <formula>LEFT(I20,LEN("0"))="0"</formula>
    </cfRule>
  </conditionalFormatting>
  <conditionalFormatting sqref="B18">
    <cfRule type="expression" dxfId="104" priority="7">
      <formula>B18&lt;&gt;$B$7</formula>
    </cfRule>
  </conditionalFormatting>
  <conditionalFormatting sqref="C18">
    <cfRule type="expression" dxfId="103" priority="6">
      <formula>$B$18&lt;&gt;$B$7</formula>
    </cfRule>
  </conditionalFormatting>
  <conditionalFormatting sqref="H31:H33">
    <cfRule type="expression" dxfId="102" priority="5">
      <formula>ABS($H$30-$D$6&gt;=1)</formula>
    </cfRule>
  </conditionalFormatting>
  <conditionalFormatting sqref="B7">
    <cfRule type="expression" dxfId="101" priority="4">
      <formula>($B$7&lt;&gt;SUM($B$9:$B$17))</formula>
    </cfRule>
  </conditionalFormatting>
  <conditionalFormatting sqref="I31:T33">
    <cfRule type="beginsWith" dxfId="100" priority="2" stopIfTrue="1" operator="beginsWith" text="0">
      <formula>LEFT(I31,LEN("0"))="0"</formula>
    </cfRule>
  </conditionalFormatting>
  <conditionalFormatting sqref="N34">
    <cfRule type="beginsWith" dxfId="99" priority="3" stopIfTrue="1" operator="beginsWith" text="0">
      <formula>LEFT(N34,LEN("0"))="0"</formula>
    </cfRule>
  </conditionalFormatting>
  <conditionalFormatting sqref="D9:D17">
    <cfRule type="cellIs" dxfId="98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36FDCCD7-9EEA-4D6E-A731-EA458A3F7431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81FE4260-4567-49C9-8709-791BAB32A39A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4C420AD6-B576-4184-9462-601019D87C6C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62B0E870-830E-4FC7-802A-3CD20C2677DE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F4E45B51-B8F2-49D4-989E-90F812FD88F3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4E0152D8-F4EA-4DD3-BF10-900BC7172285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A8F5-075C-4FC1-8D35-71B50073D44E}">
  <dimension ref="A1:AD53"/>
  <sheetViews>
    <sheetView topLeftCell="A3" zoomScale="120" zoomScaleNormal="120" workbookViewId="0">
      <selection activeCell="D24" sqref="D24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237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1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238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4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20</v>
      </c>
      <c r="C7" t="s">
        <v>248</v>
      </c>
      <c r="D7">
        <f>B6*10*B7/100</f>
        <v>15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4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C8" t="s">
        <v>130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>CW1</v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20</v>
      </c>
      <c r="C9" s="39" t="s">
        <v>151</v>
      </c>
      <c r="D9">
        <f>B$6*10*B9/100</f>
        <v>15</v>
      </c>
      <c r="E9" s="29">
        <v>4</v>
      </c>
      <c r="F9" s="42"/>
      <c r="G9" s="30">
        <v>11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>Yes</v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20</v>
      </c>
      <c r="C18" s="59" t="str">
        <f>IF(B18=B7,"% ok","% credits do not add up to stated value")</f>
        <v>% ok</v>
      </c>
      <c r="D18" s="59">
        <f>SUM(D9:D17)</f>
        <v>15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80.36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22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0.6</v>
      </c>
      <c r="V21" s="14">
        <f ca="1">U34*V31</f>
        <v>1.2</v>
      </c>
      <c r="W21" s="14">
        <f ca="1">U34*W31</f>
        <v>2.2000000000000002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9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4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1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15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-20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-5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-5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75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3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7</v>
      </c>
      <c r="R30" s="119">
        <f t="shared" ca="1" si="16"/>
        <v>6</v>
      </c>
      <c r="S30" s="119">
        <f t="shared" ca="1" si="16"/>
        <v>6</v>
      </c>
      <c r="T30" s="119">
        <f t="shared" ca="1" si="16"/>
        <v>7</v>
      </c>
      <c r="U30" s="121">
        <f t="shared" ca="1" si="16"/>
        <v>0.6</v>
      </c>
      <c r="V30" s="119">
        <f t="shared" ca="1" si="16"/>
        <v>1.2</v>
      </c>
      <c r="W30" s="119">
        <f t="shared" ca="1" si="16"/>
        <v>5.2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7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4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>
        <f t="shared" si="19"/>
        <v>1</v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cm="1">
        <f t="array" ref="S36">IFERROR(INDEX( $G$9:$G$17, _xlfn.XMATCH("Yes", (S$9:S$17),1)),T(1))</f>
        <v>11</v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0</v>
      </c>
      <c r="N52" s="18">
        <f t="shared" ca="1" si="20"/>
        <v>3</v>
      </c>
      <c r="O52" s="18">
        <f t="shared" ca="1" si="20"/>
        <v>0</v>
      </c>
      <c r="P52" s="18">
        <f t="shared" ca="1" si="20"/>
        <v>4</v>
      </c>
      <c r="Q52" s="18">
        <f t="shared" ca="1" si="20"/>
        <v>1</v>
      </c>
      <c r="R52" s="18">
        <f t="shared" ca="1" si="20"/>
        <v>0</v>
      </c>
      <c r="S52" s="18">
        <f t="shared" ca="1" si="20"/>
        <v>0</v>
      </c>
      <c r="T52" s="18">
        <f t="shared" ca="1" si="20"/>
        <v>1</v>
      </c>
      <c r="U52" s="18">
        <f t="shared" ca="1" si="20"/>
        <v>0</v>
      </c>
      <c r="V52" s="18">
        <f t="shared" ca="1" si="20"/>
        <v>0.6</v>
      </c>
      <c r="W52" s="18">
        <f t="shared" ca="1" si="20"/>
        <v>4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0</v>
      </c>
      <c r="N53" s="18">
        <f t="shared" ca="1" si="21"/>
        <v>9</v>
      </c>
      <c r="O53" s="18">
        <f t="shared" ca="1" si="21"/>
        <v>0</v>
      </c>
      <c r="P53" s="18">
        <f t="shared" ca="1" si="21"/>
        <v>16</v>
      </c>
      <c r="Q53" s="18">
        <f t="shared" ca="1" si="21"/>
        <v>1</v>
      </c>
      <c r="R53" s="18">
        <f t="shared" ca="1" si="21"/>
        <v>0</v>
      </c>
      <c r="S53" s="18">
        <f t="shared" ca="1" si="21"/>
        <v>0</v>
      </c>
      <c r="T53" s="18">
        <f t="shared" ca="1" si="21"/>
        <v>1</v>
      </c>
      <c r="U53" s="18">
        <f t="shared" ca="1" si="21"/>
        <v>0</v>
      </c>
      <c r="V53" s="18">
        <f t="shared" ca="1" si="21"/>
        <v>0.36</v>
      </c>
      <c r="W53" s="18">
        <f t="shared" ca="1" si="21"/>
        <v>16</v>
      </c>
    </row>
  </sheetData>
  <mergeCells count="2">
    <mergeCell ref="I1:W1"/>
    <mergeCell ref="F3:F7"/>
  </mergeCells>
  <conditionalFormatting sqref="I30:W30">
    <cfRule type="cellIs" dxfId="97" priority="11" operator="between">
      <formula>(2/3)*$D$19</formula>
      <formula>(3/2)*$D$19</formula>
    </cfRule>
    <cfRule type="cellIs" dxfId="96" priority="12" operator="lessThan">
      <formula>(2/3)*$D$19</formula>
    </cfRule>
    <cfRule type="cellIs" dxfId="95" priority="13" operator="greaterThanOrEqual">
      <formula>1.5*$D$19</formula>
    </cfRule>
  </conditionalFormatting>
  <conditionalFormatting sqref="H30">
    <cfRule type="cellIs" dxfId="94" priority="9" stopIfTrue="1" operator="equal">
      <formula>$B$6*10</formula>
    </cfRule>
    <cfRule type="cellIs" dxfId="93" priority="10" operator="notEqual">
      <formula>$B$6*10</formula>
    </cfRule>
  </conditionalFormatting>
  <conditionalFormatting sqref="I20:W29">
    <cfRule type="beginsWith" dxfId="92" priority="8" stopIfTrue="1" operator="beginsWith" text="0">
      <formula>LEFT(I20,LEN("0"))="0"</formula>
    </cfRule>
  </conditionalFormatting>
  <conditionalFormatting sqref="B18">
    <cfRule type="expression" dxfId="91" priority="7">
      <formula>B18&lt;&gt;$B$7</formula>
    </cfRule>
  </conditionalFormatting>
  <conditionalFormatting sqref="C18">
    <cfRule type="expression" dxfId="90" priority="6">
      <formula>$B$18&lt;&gt;$B$7</formula>
    </cfRule>
  </conditionalFormatting>
  <conditionalFormatting sqref="H31:H33">
    <cfRule type="expression" dxfId="89" priority="5">
      <formula>ABS($H$30-$D$6&gt;=1)</formula>
    </cfRule>
  </conditionalFormatting>
  <conditionalFormatting sqref="B7">
    <cfRule type="expression" dxfId="88" priority="4">
      <formula>($B$7&lt;&gt;SUM($B$9:$B$17))</formula>
    </cfRule>
  </conditionalFormatting>
  <conditionalFormatting sqref="I31:T33">
    <cfRule type="beginsWith" dxfId="87" priority="2" stopIfTrue="1" operator="beginsWith" text="0">
      <formula>LEFT(I31,LEN("0"))="0"</formula>
    </cfRule>
  </conditionalFormatting>
  <conditionalFormatting sqref="N34">
    <cfRule type="beginsWith" dxfId="86" priority="3" stopIfTrue="1" operator="beginsWith" text="0">
      <formula>LEFT(N34,LEN("0"))="0"</formula>
    </cfRule>
  </conditionalFormatting>
  <conditionalFormatting sqref="D9:D17">
    <cfRule type="cellIs" dxfId="85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EEB6D974-6E4E-468F-BBE9-D1FE0D48EC17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6820ED05-21B9-4F2C-9D9B-1E98B327022B}">
      <formula1>"1,2"</formula1>
    </dataValidation>
    <dataValidation type="list" errorStyle="warning" allowBlank="1" showInputMessage="1" showErrorMessage="1" errorTitle="Non-standard credit weighting" promptTitle="Credit value" sqref="B6" xr:uid="{743A70F7-9024-4DC6-A1F2-16A771FC8C0A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5C415559-35E6-4506-8196-CB5B930D0D43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00FAA063-C5F7-4C00-9F59-C746130FA5E6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F3C2142F-3A3A-4C03-8980-ADBF1F51EC93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D543-42F4-4762-9379-266A55F72A14}">
  <dimension ref="A1:AD53"/>
  <sheetViews>
    <sheetView zoomScale="120" zoomScaleNormal="120" workbookViewId="0">
      <selection activeCell="T28" sqref="T28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477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x14ac:dyDescent="0.2">
      <c r="A3" s="7" t="s">
        <v>52</v>
      </c>
      <c r="B3" s="48"/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0</v>
      </c>
      <c r="C7" t="s">
        <v>239</v>
      </c>
      <c r="D7">
        <f>B6*10*B7/100</f>
        <v>0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0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/>
      <c r="C9" s="39"/>
      <c r="D9">
        <f>B$6*10*B9/100</f>
        <v>0</v>
      </c>
      <c r="E9" s="29"/>
      <c r="F9" s="42"/>
      <c r="G9" s="30"/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0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0</v>
      </c>
      <c r="C18" s="59" t="str">
        <f>IF(B18=B7,"% ok","% credits do not add up to stated value")</f>
        <v>% ok</v>
      </c>
      <c r="D18" s="59">
        <f>SUM(D9:D17)</f>
        <v>0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729.23000000000025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96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11.7</v>
      </c>
      <c r="V21" s="14">
        <f ca="1">U34*V31</f>
        <v>23.4</v>
      </c>
      <c r="W21" s="14">
        <f ca="1">U34*W31</f>
        <v>42.900000000000006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5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0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0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3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7</v>
      </c>
      <c r="R30" s="119">
        <f t="shared" ca="1" si="16"/>
        <v>6</v>
      </c>
      <c r="S30" s="119">
        <f t="shared" ca="1" si="16"/>
        <v>7</v>
      </c>
      <c r="T30" s="119">
        <f t="shared" ca="1" si="16"/>
        <v>7</v>
      </c>
      <c r="U30" s="121">
        <f t="shared" ca="1" si="16"/>
        <v>11.7</v>
      </c>
      <c r="V30" s="119">
        <f t="shared" ca="1" si="16"/>
        <v>23.4</v>
      </c>
      <c r="W30" s="119">
        <f t="shared" ca="1" si="16"/>
        <v>45.900000000000006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78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 t="str">
        <f t="shared" si="19"/>
        <v/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0</v>
      </c>
      <c r="N52" s="18">
        <f t="shared" ca="1" si="20"/>
        <v>3</v>
      </c>
      <c r="O52" s="18">
        <f t="shared" ca="1" si="20"/>
        <v>0</v>
      </c>
      <c r="P52" s="18">
        <f t="shared" ca="1" si="20"/>
        <v>4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0</v>
      </c>
      <c r="U52" s="18">
        <f t="shared" ca="1" si="20"/>
        <v>4.6999999999999993</v>
      </c>
      <c r="V52" s="18">
        <f t="shared" ca="1" si="20"/>
        <v>11.7</v>
      </c>
      <c r="W52" s="18">
        <f t="shared" ca="1" si="20"/>
        <v>22.500000000000007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0</v>
      </c>
      <c r="N53" s="18">
        <f t="shared" ca="1" si="21"/>
        <v>9</v>
      </c>
      <c r="O53" s="18">
        <f t="shared" ca="1" si="21"/>
        <v>0</v>
      </c>
      <c r="P53" s="18">
        <f t="shared" ca="1" si="21"/>
        <v>16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0</v>
      </c>
      <c r="U53" s="18">
        <f t="shared" ca="1" si="21"/>
        <v>22.089999999999993</v>
      </c>
      <c r="V53" s="18">
        <f t="shared" ca="1" si="21"/>
        <v>136.88999999999999</v>
      </c>
      <c r="W53" s="18">
        <f t="shared" ca="1" si="21"/>
        <v>506.25000000000034</v>
      </c>
    </row>
  </sheetData>
  <mergeCells count="2">
    <mergeCell ref="I1:W1"/>
    <mergeCell ref="F3:F7"/>
  </mergeCells>
  <conditionalFormatting sqref="I30:W30">
    <cfRule type="cellIs" dxfId="84" priority="11" operator="between">
      <formula>(2/3)*$D$19</formula>
      <formula>(3/2)*$D$19</formula>
    </cfRule>
    <cfRule type="cellIs" dxfId="83" priority="12" operator="lessThan">
      <formula>(2/3)*$D$19</formula>
    </cfRule>
    <cfRule type="cellIs" dxfId="82" priority="13" operator="greaterThanOrEqual">
      <formula>1.5*$D$19</formula>
    </cfRule>
  </conditionalFormatting>
  <conditionalFormatting sqref="H30">
    <cfRule type="cellIs" dxfId="81" priority="9" stopIfTrue="1" operator="equal">
      <formula>$B$6*10</formula>
    </cfRule>
    <cfRule type="cellIs" dxfId="80" priority="10" operator="notEqual">
      <formula>$B$6*10</formula>
    </cfRule>
  </conditionalFormatting>
  <conditionalFormatting sqref="I20:W29">
    <cfRule type="beginsWith" dxfId="79" priority="8" stopIfTrue="1" operator="beginsWith" text="0">
      <formula>LEFT(I20,LEN("0"))="0"</formula>
    </cfRule>
  </conditionalFormatting>
  <conditionalFormatting sqref="B18">
    <cfRule type="expression" dxfId="78" priority="7">
      <formula>B18&lt;&gt;$B$7</formula>
    </cfRule>
  </conditionalFormatting>
  <conditionalFormatting sqref="C18">
    <cfRule type="expression" dxfId="77" priority="6">
      <formula>$B$18&lt;&gt;$B$7</formula>
    </cfRule>
  </conditionalFormatting>
  <conditionalFormatting sqref="H31:H33">
    <cfRule type="expression" dxfId="76" priority="5">
      <formula>ABS($H$30-$D$6&gt;=1)</formula>
    </cfRule>
  </conditionalFormatting>
  <conditionalFormatting sqref="B7">
    <cfRule type="expression" dxfId="75" priority="4">
      <formula>($B$7&lt;&gt;SUM($B$9:$B$17))</formula>
    </cfRule>
  </conditionalFormatting>
  <conditionalFormatting sqref="I31:T33">
    <cfRule type="beginsWith" dxfId="74" priority="2" stopIfTrue="1" operator="beginsWith" text="0">
      <formula>LEFT(I31,LEN("0"))="0"</formula>
    </cfRule>
  </conditionalFormatting>
  <conditionalFormatting sqref="N34">
    <cfRule type="beginsWith" dxfId="73" priority="3" stopIfTrue="1" operator="beginsWith" text="0">
      <formula>LEFT(N34,LEN("0"))="0"</formula>
    </cfRule>
  </conditionalFormatting>
  <conditionalFormatting sqref="D9:D17">
    <cfRule type="cellIs" dxfId="72" priority="1" operator="equal">
      <formula>0</formula>
    </cfRule>
  </conditionalFormatting>
  <dataValidations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6AF314C4-01E7-4189-B2B5-EB9B377B57DD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EFF3D9AD-7EF1-49A5-9415-A3F23D84E8F3}">
      <formula1>"1,2"</formula1>
    </dataValidation>
    <dataValidation type="list" errorStyle="warning" allowBlank="1" showInputMessage="1" showErrorMessage="1" errorTitle="Non-standard credit weighting" promptTitle="Credit value" sqref="B6" xr:uid="{F2C55B93-2D3C-443B-B90F-D36AD5BB6092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C38B9878-BF19-4DD0-BD7A-C33557820711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AD63C456-DFD1-4DEC-81E8-03B0524878EE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B656D83C-FE56-48AA-A08F-670EDB752137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0647E-3B33-43D7-8FFF-0D8559F9563B}">
  <dimension ref="A1:AD53"/>
  <sheetViews>
    <sheetView zoomScale="120" zoomScaleNormal="120" workbookViewId="0">
      <selection activeCell="C9" sqref="C9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462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240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1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241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2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7.5</v>
      </c>
      <c r="C6" t="s">
        <v>130</v>
      </c>
      <c r="D6">
        <f>B6*10</f>
        <v>75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34</v>
      </c>
      <c r="C7" t="s">
        <v>248</v>
      </c>
      <c r="D7">
        <f>B6*10*B7/100</f>
        <v>25.5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2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C8" t="s">
        <v>130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34</v>
      </c>
      <c r="C9" s="39" t="s">
        <v>151</v>
      </c>
      <c r="D9">
        <f>B$6*10*B9/100</f>
        <v>25.5</v>
      </c>
      <c r="E9" s="29">
        <v>2</v>
      </c>
      <c r="F9" s="42"/>
      <c r="G9" s="30">
        <v>12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>Yes</v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34</v>
      </c>
      <c r="C18" s="59" t="str">
        <f>IF(B18=B7,"% ok","% credits do not add up to stated value")</f>
        <v>% ok</v>
      </c>
      <c r="D18" s="59">
        <f>SUM(D9:D17)</f>
        <v>25.5</v>
      </c>
      <c r="E18" s="59"/>
    </row>
    <row r="19" spans="1:30" ht="16" thickBot="1" x14ac:dyDescent="0.25">
      <c r="A19" t="s">
        <v>68</v>
      </c>
      <c r="D19">
        <f>D6/15</f>
        <v>5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99.890625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15.5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-0.375</v>
      </c>
      <c r="V21" s="14">
        <f ca="1">U34*V31</f>
        <v>-0.75</v>
      </c>
      <c r="W21" s="14">
        <f ca="1">U34*W31</f>
        <v>-1.375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5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25.5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5.5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5.5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75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3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7</v>
      </c>
      <c r="R30" s="119">
        <f t="shared" ca="1" si="16"/>
        <v>6</v>
      </c>
      <c r="S30" s="119">
        <f t="shared" ca="1" si="16"/>
        <v>7</v>
      </c>
      <c r="T30" s="119">
        <f t="shared" ca="1" si="16"/>
        <v>12.5</v>
      </c>
      <c r="U30" s="121">
        <f t="shared" ca="1" si="16"/>
        <v>-0.375</v>
      </c>
      <c r="V30" s="119">
        <f t="shared" ca="1" si="16"/>
        <v>-0.75</v>
      </c>
      <c r="W30" s="119">
        <f t="shared" ca="1" si="16"/>
        <v>1.625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17.5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-2.5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>
        <f t="shared" si="19"/>
        <v>1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0</v>
      </c>
      <c r="N52" s="18">
        <f t="shared" ca="1" si="20"/>
        <v>3</v>
      </c>
      <c r="O52" s="18">
        <f t="shared" ca="1" si="20"/>
        <v>0</v>
      </c>
      <c r="P52" s="18">
        <f t="shared" ca="1" si="20"/>
        <v>4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5.5</v>
      </c>
      <c r="U52" s="18">
        <f t="shared" ca="1" si="20"/>
        <v>0</v>
      </c>
      <c r="V52" s="18">
        <f t="shared" ca="1" si="20"/>
        <v>0</v>
      </c>
      <c r="W52" s="18">
        <f t="shared" ca="1" si="20"/>
        <v>2.375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0</v>
      </c>
      <c r="N53" s="18">
        <f t="shared" ca="1" si="21"/>
        <v>9</v>
      </c>
      <c r="O53" s="18">
        <f t="shared" ca="1" si="21"/>
        <v>0</v>
      </c>
      <c r="P53" s="18">
        <f t="shared" ca="1" si="21"/>
        <v>16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30.25</v>
      </c>
      <c r="U53" s="18">
        <f t="shared" ca="1" si="21"/>
        <v>0</v>
      </c>
      <c r="V53" s="18">
        <f t="shared" ca="1" si="21"/>
        <v>0</v>
      </c>
      <c r="W53" s="18">
        <f t="shared" ca="1" si="21"/>
        <v>5.640625</v>
      </c>
    </row>
  </sheetData>
  <mergeCells count="2">
    <mergeCell ref="I1:W1"/>
    <mergeCell ref="F3:F7"/>
  </mergeCells>
  <conditionalFormatting sqref="I30:W30">
    <cfRule type="cellIs" dxfId="71" priority="11" operator="between">
      <formula>(2/3)*$D$19</formula>
      <formula>(3/2)*$D$19</formula>
    </cfRule>
    <cfRule type="cellIs" dxfId="70" priority="12" operator="lessThan">
      <formula>(2/3)*$D$19</formula>
    </cfRule>
    <cfRule type="cellIs" dxfId="69" priority="13" operator="greaterThanOrEqual">
      <formula>1.5*$D$19</formula>
    </cfRule>
  </conditionalFormatting>
  <conditionalFormatting sqref="H30">
    <cfRule type="cellIs" dxfId="68" priority="9" stopIfTrue="1" operator="equal">
      <formula>$B$6*10</formula>
    </cfRule>
    <cfRule type="cellIs" dxfId="67" priority="10" operator="notEqual">
      <formula>$B$6*10</formula>
    </cfRule>
  </conditionalFormatting>
  <conditionalFormatting sqref="I20:W29">
    <cfRule type="beginsWith" dxfId="66" priority="8" stopIfTrue="1" operator="beginsWith" text="0">
      <formula>LEFT(I20,LEN("0"))="0"</formula>
    </cfRule>
  </conditionalFormatting>
  <conditionalFormatting sqref="B18">
    <cfRule type="expression" dxfId="65" priority="7">
      <formula>B18&lt;&gt;$B$7</formula>
    </cfRule>
  </conditionalFormatting>
  <conditionalFormatting sqref="C18">
    <cfRule type="expression" dxfId="64" priority="6">
      <formula>$B$18&lt;&gt;$B$7</formula>
    </cfRule>
  </conditionalFormatting>
  <conditionalFormatting sqref="H31:H33">
    <cfRule type="expression" dxfId="63" priority="5">
      <formula>ABS($H$30-$D$6&gt;=1)</formula>
    </cfRule>
  </conditionalFormatting>
  <conditionalFormatting sqref="B7">
    <cfRule type="expression" dxfId="62" priority="4">
      <formula>($B$7&lt;&gt;SUM($B$9:$B$17))</formula>
    </cfRule>
  </conditionalFormatting>
  <conditionalFormatting sqref="I31:T33">
    <cfRule type="beginsWith" dxfId="61" priority="2" stopIfTrue="1" operator="beginsWith" text="0">
      <formula>LEFT(I31,LEN("0"))="0"</formula>
    </cfRule>
  </conditionalFormatting>
  <conditionalFormatting sqref="N34">
    <cfRule type="beginsWith" dxfId="60" priority="3" stopIfTrue="1" operator="beginsWith" text="0">
      <formula>LEFT(N34,LEN("0"))="0"</formula>
    </cfRule>
  </conditionalFormatting>
  <conditionalFormatting sqref="D9:D17">
    <cfRule type="cellIs" dxfId="59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FB78DB79-68CA-4785-B4E9-E5514626DDF6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BC37CCE1-B116-42B1-9A54-9FDDDC852674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F6D536DC-E8B6-4E02-8CED-D24A0AA9ED42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F002B432-58C1-4D27-B437-4E4CC8320E6C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584238BA-84EB-4BE7-A98E-D4FAC8FBA68D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2BBAAB39-D684-4B14-B291-54B6F7642545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EA2B-9341-42B8-B614-9282C09BD3D0}">
  <dimension ref="A1:AD53"/>
  <sheetViews>
    <sheetView topLeftCell="A11" zoomScale="120" zoomScaleNormal="120" workbookViewId="0">
      <selection activeCell="L33" sqref="L33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474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32" x14ac:dyDescent="0.2">
      <c r="A3" s="7" t="s">
        <v>52</v>
      </c>
      <c r="B3" s="48" t="s">
        <v>242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1</v>
      </c>
      <c r="S3" s="137">
        <f t="shared" si="0"/>
        <v>0</v>
      </c>
      <c r="T3" s="137">
        <f t="shared" si="0"/>
        <v>0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114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C5" t="s">
        <v>235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2</v>
      </c>
      <c r="S5" s="85">
        <f t="shared" ca="1" si="1"/>
        <v>0</v>
      </c>
      <c r="T5" s="85">
        <f t="shared" ca="1" si="1"/>
        <v>0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25</v>
      </c>
      <c r="D7">
        <f>B6*10*B7/100</f>
        <v>37.5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2</v>
      </c>
      <c r="S7" s="85">
        <f t="shared" ca="1" si="2"/>
        <v>0</v>
      </c>
      <c r="T7" s="85">
        <f t="shared" ca="1" si="2"/>
        <v>0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C8" t="s">
        <v>243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ht="16" thickTop="1" x14ac:dyDescent="0.2">
      <c r="A9" t="s">
        <v>58</v>
      </c>
      <c r="B9" s="46">
        <v>25</v>
      </c>
      <c r="C9" s="39" t="s">
        <v>188</v>
      </c>
      <c r="D9">
        <f>B$6*10*B9/100</f>
        <v>37.5</v>
      </c>
      <c r="E9" s="29">
        <v>2</v>
      </c>
      <c r="F9" s="42"/>
      <c r="G9" s="30">
        <v>10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>Yes</v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2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25</v>
      </c>
      <c r="C18" s="59" t="str">
        <f>IF(B18=B7,"% ok","% credits do not add up to stated value")</f>
        <v>% ok</v>
      </c>
      <c r="D18" s="59">
        <f>SUM(D9:D17)</f>
        <v>37.5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796.04187500000012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76.5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8.7750000000000004</v>
      </c>
      <c r="V21" s="14">
        <f ca="1">U34*V31</f>
        <v>17.55</v>
      </c>
      <c r="W21" s="14">
        <f ca="1">U34*W31</f>
        <v>32.175000000000004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7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2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1</v>
      </c>
      <c r="S24" s="24">
        <f t="shared" si="11"/>
        <v>0</v>
      </c>
      <c r="T24" s="26">
        <f t="shared" si="11"/>
        <v>0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37.5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0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-20</v>
      </c>
      <c r="S26" s="22">
        <f t="shared" ca="1" si="12"/>
        <v>0</v>
      </c>
      <c r="T26" s="22">
        <f t="shared" ca="1" si="12"/>
        <v>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17.5</v>
      </c>
      <c r="I27" s="116">
        <f t="shared" ref="I27:O27" si="13">(I25+I26)-SUM(G28:H28)</f>
        <v>0</v>
      </c>
      <c r="J27" s="116">
        <f t="shared" ca="1" si="13"/>
        <v>0</v>
      </c>
      <c r="K27" s="116">
        <f t="shared" ca="1" si="13"/>
        <v>0</v>
      </c>
      <c r="L27" s="116">
        <f t="shared" ca="1" si="13"/>
        <v>0</v>
      </c>
      <c r="M27" s="116">
        <f t="shared" ca="1" si="13"/>
        <v>0</v>
      </c>
      <c r="N27" s="116">
        <f t="shared" ca="1" si="13"/>
        <v>0</v>
      </c>
      <c r="O27" s="116">
        <f t="shared" ca="1" si="13"/>
        <v>0</v>
      </c>
      <c r="P27" s="116">
        <f ca="1">(P25+P26)-SUM(N28:O28)</f>
        <v>0</v>
      </c>
      <c r="Q27" s="116">
        <f t="shared" ref="Q27:S27" ca="1" si="14">(Q25+Q26)-SUM(O28:P28)</f>
        <v>0</v>
      </c>
      <c r="R27" s="116">
        <f t="shared" ca="1" si="14"/>
        <v>17.5</v>
      </c>
      <c r="S27" s="116">
        <f t="shared" ca="1" si="14"/>
        <v>0</v>
      </c>
      <c r="T27" s="118">
        <f ca="1">(T25+T26)-SUM(R28:S28)</f>
        <v>0</v>
      </c>
      <c r="U27" s="25">
        <f t="shared" ref="U27:W27" ca="1" si="15">(U25+U26)</f>
        <v>0</v>
      </c>
      <c r="V27" s="25">
        <f t="shared" ca="1" si="15"/>
        <v>0</v>
      </c>
      <c r="W27" s="25">
        <f t="shared" ca="1" si="15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6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7">SUM(I30:W30)</f>
        <v>150</v>
      </c>
      <c r="I30" s="119">
        <f t="shared" ref="I30:W30" ca="1" si="18">I20+I21+I22+I27+I28+I29</f>
        <v>6</v>
      </c>
      <c r="J30" s="119">
        <f t="shared" ca="1" si="18"/>
        <v>6</v>
      </c>
      <c r="K30" s="119">
        <f t="shared" ca="1" si="18"/>
        <v>7</v>
      </c>
      <c r="L30" s="119">
        <f t="shared" ca="1" si="18"/>
        <v>6</v>
      </c>
      <c r="M30" s="119">
        <f t="shared" ca="1" si="18"/>
        <v>3</v>
      </c>
      <c r="N30" s="119">
        <f t="shared" ca="1" si="18"/>
        <v>6</v>
      </c>
      <c r="O30" s="120">
        <f t="shared" ca="1" si="18"/>
        <v>2</v>
      </c>
      <c r="P30" s="119">
        <f t="shared" ca="1" si="18"/>
        <v>6</v>
      </c>
      <c r="Q30" s="119">
        <f t="shared" ca="1" si="18"/>
        <v>7</v>
      </c>
      <c r="R30" s="119">
        <f t="shared" ca="1" si="18"/>
        <v>25.5</v>
      </c>
      <c r="S30" s="119">
        <f t="shared" ca="1" si="18"/>
        <v>7</v>
      </c>
      <c r="T30" s="119">
        <f t="shared" ca="1" si="18"/>
        <v>7</v>
      </c>
      <c r="U30" s="121">
        <f t="shared" ca="1" si="18"/>
        <v>8.7750000000000004</v>
      </c>
      <c r="V30" s="119">
        <f t="shared" ca="1" si="18"/>
        <v>17.55</v>
      </c>
      <c r="W30" s="119">
        <f t="shared" ca="1" si="18"/>
        <v>35.175000000000004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9">(IFERROR(-I$21-MAX(MAX(0,1*MIN(6,I$2))),0)+I$25)*(1*I$24&gt;0)</f>
        <v>0</v>
      </c>
      <c r="J31" s="22">
        <f t="shared" si="19"/>
        <v>0</v>
      </c>
      <c r="K31" s="22">
        <f t="shared" si="19"/>
        <v>0</v>
      </c>
      <c r="L31" s="22">
        <f t="shared" si="19"/>
        <v>0</v>
      </c>
      <c r="M31" s="22">
        <f t="shared" si="19"/>
        <v>0</v>
      </c>
      <c r="N31" s="22">
        <f>(IFERROR(-N$21-MAX(MAX(0,1*MIN(6,N$2))),0)+N$25)*(1*N$24&gt;0)</f>
        <v>0</v>
      </c>
      <c r="O31" s="108">
        <f t="shared" ref="O31:T31" si="20">(IFERROR(-O$21-MAX(MAX(0,1*MIN(6,O$2))),0)+O$25)*(1*O$24&gt;0)</f>
        <v>0</v>
      </c>
      <c r="P31" s="22">
        <f t="shared" si="20"/>
        <v>0</v>
      </c>
      <c r="Q31" s="22">
        <f t="shared" si="20"/>
        <v>0</v>
      </c>
      <c r="R31" s="22">
        <f t="shared" si="20"/>
        <v>30.5</v>
      </c>
      <c r="S31" s="22">
        <f t="shared" si="20"/>
        <v>0</v>
      </c>
      <c r="T31" s="22">
        <f t="shared" si="20"/>
        <v>0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58.5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21">IFERROR(_xlfn.XMATCH("Yes",J$9:J$17,1),T(1))</f>
        <v/>
      </c>
      <c r="K35" s="18" t="str">
        <f t="shared" si="21"/>
        <v/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 t="str">
        <f t="shared" si="21"/>
        <v/>
      </c>
      <c r="Q35" s="18" t="str">
        <f t="shared" si="21"/>
        <v/>
      </c>
      <c r="R35" s="18">
        <f t="shared" si="21"/>
        <v>1</v>
      </c>
      <c r="S35" s="18" t="str">
        <f t="shared" si="21"/>
        <v/>
      </c>
      <c r="T35" s="18" t="str">
        <f t="shared" si="21"/>
        <v/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cm="1">
        <f t="array" ref="R36">IFERROR(INDEX( $G$9:$G$17, _xlfn.XMATCH("Yes", (R$9:R$17),1)),T(1))</f>
        <v>10</v>
      </c>
      <c r="S36" s="18" t="str" cm="1">
        <f t="array" ref="S36">IFERROR(INDEX( $G$9:$G$17, _xlfn.XMATCH("Yes", (S$9:S$17),1)),T(1))</f>
        <v/>
      </c>
      <c r="T36" s="18" t="str" cm="1">
        <f t="array" ref="T36">IFERROR(INDEX( $G$9:$G$17, _xlfn.XMATCH("Yes", (T$9:T$17),1)),T(1))</f>
        <v/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2">(K30-J30)*(K30&gt;J30)</f>
        <v>1</v>
      </c>
      <c r="L52" s="18">
        <f t="shared" ca="1" si="22"/>
        <v>0</v>
      </c>
      <c r="M52" s="18">
        <f t="shared" ca="1" si="22"/>
        <v>0</v>
      </c>
      <c r="N52" s="18">
        <f t="shared" ca="1" si="22"/>
        <v>3</v>
      </c>
      <c r="O52" s="18">
        <f t="shared" ca="1" si="22"/>
        <v>0</v>
      </c>
      <c r="P52" s="18">
        <f t="shared" ca="1" si="22"/>
        <v>4</v>
      </c>
      <c r="Q52" s="18">
        <f t="shared" ca="1" si="22"/>
        <v>1</v>
      </c>
      <c r="R52" s="18">
        <f t="shared" ca="1" si="22"/>
        <v>18.5</v>
      </c>
      <c r="S52" s="18">
        <f t="shared" ca="1" si="22"/>
        <v>0</v>
      </c>
      <c r="T52" s="18">
        <f t="shared" ca="1" si="22"/>
        <v>0</v>
      </c>
      <c r="U52" s="18">
        <f t="shared" ca="1" si="22"/>
        <v>1.7750000000000004</v>
      </c>
      <c r="V52" s="18">
        <f t="shared" ca="1" si="22"/>
        <v>8.7750000000000004</v>
      </c>
      <c r="W52" s="18">
        <f t="shared" ca="1" si="22"/>
        <v>17.625000000000004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3">J52^2</f>
        <v>0</v>
      </c>
      <c r="K53" s="18">
        <f t="shared" ca="1" si="23"/>
        <v>1</v>
      </c>
      <c r="L53" s="18">
        <f t="shared" ca="1" si="23"/>
        <v>0</v>
      </c>
      <c r="M53" s="18">
        <f t="shared" ca="1" si="23"/>
        <v>0</v>
      </c>
      <c r="N53" s="18">
        <f t="shared" ca="1" si="23"/>
        <v>9</v>
      </c>
      <c r="O53" s="18">
        <f t="shared" ca="1" si="23"/>
        <v>0</v>
      </c>
      <c r="P53" s="18">
        <f t="shared" ca="1" si="23"/>
        <v>16</v>
      </c>
      <c r="Q53" s="18">
        <f t="shared" ca="1" si="23"/>
        <v>1</v>
      </c>
      <c r="R53" s="18">
        <f t="shared" ca="1" si="23"/>
        <v>342.25</v>
      </c>
      <c r="S53" s="18">
        <f t="shared" ca="1" si="23"/>
        <v>0</v>
      </c>
      <c r="T53" s="18">
        <f t="shared" ca="1" si="23"/>
        <v>0</v>
      </c>
      <c r="U53" s="18">
        <f t="shared" ca="1" si="23"/>
        <v>3.1506250000000011</v>
      </c>
      <c r="V53" s="18">
        <f t="shared" ca="1" si="23"/>
        <v>77.000624999999999</v>
      </c>
      <c r="W53" s="18">
        <f t="shared" ca="1" si="23"/>
        <v>310.64062500000011</v>
      </c>
    </row>
  </sheetData>
  <mergeCells count="2">
    <mergeCell ref="I1:W1"/>
    <mergeCell ref="F3:F7"/>
  </mergeCells>
  <conditionalFormatting sqref="I30:W30">
    <cfRule type="cellIs" dxfId="58" priority="11" operator="between">
      <formula>(2/3)*$D$19</formula>
      <formula>(3/2)*$D$19</formula>
    </cfRule>
    <cfRule type="cellIs" dxfId="57" priority="12" operator="lessThan">
      <formula>(2/3)*$D$19</formula>
    </cfRule>
    <cfRule type="cellIs" dxfId="56" priority="13" operator="greaterThanOrEqual">
      <formula>1.5*$D$19</formula>
    </cfRule>
  </conditionalFormatting>
  <conditionalFormatting sqref="H30">
    <cfRule type="cellIs" dxfId="55" priority="9" stopIfTrue="1" operator="equal">
      <formula>$B$6*10</formula>
    </cfRule>
    <cfRule type="cellIs" dxfId="54" priority="10" operator="notEqual">
      <formula>$B$6*10</formula>
    </cfRule>
  </conditionalFormatting>
  <conditionalFormatting sqref="I20:W29">
    <cfRule type="beginsWith" dxfId="53" priority="8" stopIfTrue="1" operator="beginsWith" text="0">
      <formula>LEFT(I20,LEN("0"))="0"</formula>
    </cfRule>
  </conditionalFormatting>
  <conditionalFormatting sqref="B18">
    <cfRule type="expression" dxfId="52" priority="7">
      <formula>B18&lt;&gt;$B$7</formula>
    </cfRule>
  </conditionalFormatting>
  <conditionalFormatting sqref="C18">
    <cfRule type="expression" dxfId="51" priority="6">
      <formula>$B$18&lt;&gt;$B$7</formula>
    </cfRule>
  </conditionalFormatting>
  <conditionalFormatting sqref="H31:H33">
    <cfRule type="expression" dxfId="50" priority="5">
      <formula>ABS($H$30-$D$6&gt;=1)</formula>
    </cfRule>
  </conditionalFormatting>
  <conditionalFormatting sqref="B7">
    <cfRule type="expression" dxfId="49" priority="4">
      <formula>($B$7&lt;&gt;SUM($B$9:$B$17))</formula>
    </cfRule>
  </conditionalFormatting>
  <conditionalFormatting sqref="I31:T33">
    <cfRule type="beginsWith" dxfId="48" priority="2" stopIfTrue="1" operator="beginsWith" text="0">
      <formula>LEFT(I31,LEN("0"))="0"</formula>
    </cfRule>
  </conditionalFormatting>
  <conditionalFormatting sqref="N34">
    <cfRule type="beginsWith" dxfId="47" priority="3" stopIfTrue="1" operator="beginsWith" text="0">
      <formula>LEFT(N34,LEN("0"))="0"</formula>
    </cfRule>
  </conditionalFormatting>
  <conditionalFormatting sqref="D9:D17">
    <cfRule type="cellIs" dxfId="46" priority="1" operator="equal">
      <formula>0</formula>
    </cfRule>
  </conditionalFormatting>
  <dataValidations disablePrompts="1" count="6"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BE7276A1-741F-40DE-9FCA-FE03A1863772}">
      <formula1>"0,1,2,3"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532F42A4-AD38-41E9-9872-49A3E369154C}">
      <formula1>"1,2"</formula1>
    </dataValidation>
    <dataValidation type="list" errorStyle="warning" allowBlank="1" showInputMessage="1" showErrorMessage="1" errorTitle="Non-standard credit weighting" promptTitle="Credit value" sqref="B6" xr:uid="{CADEACCD-BCAE-4CB9-91F6-9381C75DFDA6}">
      <formula1>"7.5, 15, 22.5, 30, 45, 60"</formula1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9091DE0D-07F1-49D1-9FC3-2FBF33B523AF}">
      <formula1>0</formula1>
      <formula2>100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3F20EBC4-CB4A-4094-8D1E-5D41786C0C7B}">
      <formula1>0</formula1>
      <formula2>20</formula2>
    </dataValidation>
    <dataValidation type="whole" allowBlank="1" showInputMessage="1" showErrorMessage="1" promptTitle="When is this CA due?" prompt="Enter the week where the deadline for this CA is due." sqref="G9:G17" xr:uid="{B00C0AAD-90B6-4F01-9B88-2C71895800A2}">
      <formula1>1</formula1>
      <formula2>15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7973F-EB77-42B3-BC81-B9753FA9217B}">
  <dimension ref="A1:AD53"/>
  <sheetViews>
    <sheetView zoomScale="125" zoomScaleNormal="161" workbookViewId="0">
      <selection activeCell="H11" sqref="H11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0.83203125" customWidth="1"/>
    <col min="4" max="4" width="8.83203125" customWidth="1"/>
    <col min="5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4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4" ht="34" x14ac:dyDescent="0.3">
      <c r="A2" s="8" t="s">
        <v>49</v>
      </c>
      <c r="B2" s="37">
        <v>450</v>
      </c>
      <c r="D2" s="49" t="s">
        <v>64</v>
      </c>
      <c r="E2" s="49" t="s">
        <v>69</v>
      </c>
      <c r="F2" s="49" t="s">
        <v>65</v>
      </c>
      <c r="G2" s="49" t="s">
        <v>66</v>
      </c>
      <c r="H2" s="49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4" x14ac:dyDescent="0.2">
      <c r="A3" s="7" t="s">
        <v>52</v>
      </c>
      <c r="B3" s="48"/>
      <c r="F3" s="169" t="s">
        <v>97</v>
      </c>
      <c r="I3" s="137">
        <f>IFERROR(MATCH(I$2,$G$9:$G$17,0),0)</f>
        <v>1</v>
      </c>
      <c r="J3" s="137">
        <f t="shared" ref="J3:W3" si="0">IFERROR(MATCH(J$2,$G$9:$G$17,0),0)</f>
        <v>0</v>
      </c>
      <c r="K3" s="137">
        <f t="shared" si="0"/>
        <v>4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2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3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4" x14ac:dyDescent="0.2">
      <c r="A4" s="7" t="s">
        <v>53</v>
      </c>
      <c r="B4" s="38"/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4" x14ac:dyDescent="0.2">
      <c r="A5" t="s">
        <v>50</v>
      </c>
      <c r="B5" s="45">
        <v>1</v>
      </c>
      <c r="C5" t="s">
        <v>131</v>
      </c>
      <c r="D5" s="45" t="s">
        <v>132</v>
      </c>
      <c r="F5" s="170"/>
      <c r="I5" s="85">
        <f ca="1">OFFSET($E$9,I3-1,0)</f>
        <v>4</v>
      </c>
      <c r="J5" s="85">
        <f t="shared" ref="J5:W6" ca="1" si="1">OFFSET($E$9,J3-1,0)</f>
        <v>0</v>
      </c>
      <c r="K5" s="85">
        <f t="shared" ca="1" si="1"/>
        <v>1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4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4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4" x14ac:dyDescent="0.2">
      <c r="A6" t="s">
        <v>51</v>
      </c>
      <c r="B6" s="45">
        <v>15</v>
      </c>
      <c r="C6" t="s">
        <v>130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4" x14ac:dyDescent="0.2">
      <c r="A7" t="s">
        <v>59</v>
      </c>
      <c r="B7" s="45">
        <v>57</v>
      </c>
      <c r="C7" t="s">
        <v>130</v>
      </c>
      <c r="D7">
        <f>B6*10*B7/100</f>
        <v>85.5</v>
      </c>
      <c r="F7" s="170"/>
      <c r="I7" s="85">
        <f ca="1">SUM(I5:I6)</f>
        <v>4</v>
      </c>
      <c r="J7" s="85">
        <f t="shared" ref="J7:W7" ca="1" si="2">SUM(J5:J6)</f>
        <v>0</v>
      </c>
      <c r="K7" s="85">
        <f t="shared" ca="1" si="2"/>
        <v>1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4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4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4" ht="16" thickBot="1" x14ac:dyDescent="0.25">
      <c r="A8" t="s">
        <v>55</v>
      </c>
      <c r="B8" s="45">
        <v>3</v>
      </c>
    </row>
    <row r="9" spans="1:24" ht="16" thickTop="1" x14ac:dyDescent="0.2">
      <c r="A9" t="s">
        <v>58</v>
      </c>
      <c r="B9" s="46">
        <v>10</v>
      </c>
      <c r="C9" s="39" t="s">
        <v>301</v>
      </c>
      <c r="D9">
        <f>B$6*10*B9/100</f>
        <v>15</v>
      </c>
      <c r="E9" s="29">
        <v>4</v>
      </c>
      <c r="F9" s="42"/>
      <c r="G9" s="30">
        <v>1</v>
      </c>
      <c r="I9" s="19" t="str">
        <f>IF(I$2=$G9,"Yes",T(1))</f>
        <v>Yes</v>
      </c>
      <c r="J9" s="19" t="str">
        <f t="shared" ref="J9:W17" si="3">IF(J$2=$G9,"Yes",T(1))</f>
        <v/>
      </c>
      <c r="K9" s="19" t="str">
        <f t="shared" si="3"/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/>
      </c>
      <c r="U9" s="19" t="str">
        <f t="shared" si="3"/>
        <v/>
      </c>
      <c r="V9" s="19" t="str">
        <f t="shared" si="3"/>
        <v/>
      </c>
      <c r="W9" s="19" t="str">
        <f t="shared" si="3"/>
        <v/>
      </c>
    </row>
    <row r="10" spans="1:24" x14ac:dyDescent="0.2">
      <c r="A10" t="s">
        <v>57</v>
      </c>
      <c r="B10" s="46">
        <v>10</v>
      </c>
      <c r="C10" s="40" t="s">
        <v>303</v>
      </c>
      <c r="D10">
        <f>B$6*10*B10/100</f>
        <v>15</v>
      </c>
      <c r="E10" s="31">
        <v>4</v>
      </c>
      <c r="F10" s="43"/>
      <c r="G10" s="32">
        <v>8</v>
      </c>
      <c r="I10" s="19" t="str">
        <f t="shared" ref="I10:I17" si="4">IF(I$2=$G10,"Yes",T(1))</f>
        <v/>
      </c>
      <c r="J10" s="19" t="str">
        <f t="shared" si="3"/>
        <v/>
      </c>
      <c r="K10" s="19" t="str">
        <f t="shared" si="3"/>
        <v/>
      </c>
      <c r="L10" s="19" t="str">
        <f t="shared" si="3"/>
        <v/>
      </c>
      <c r="M10" s="19" t="str">
        <f t="shared" si="3"/>
        <v/>
      </c>
      <c r="N10" s="19" t="str">
        <f t="shared" si="3"/>
        <v/>
      </c>
      <c r="O10" s="104" t="str">
        <f t="shared" si="3"/>
        <v/>
      </c>
      <c r="P10" s="19" t="str">
        <f t="shared" si="3"/>
        <v>Yes</v>
      </c>
      <c r="Q10" s="19" t="str">
        <f t="shared" si="3"/>
        <v/>
      </c>
      <c r="R10" s="19" t="str">
        <f t="shared" si="3"/>
        <v/>
      </c>
      <c r="S10" s="19" t="str">
        <f t="shared" si="3"/>
        <v/>
      </c>
      <c r="T10" s="19" t="str">
        <f t="shared" si="3"/>
        <v/>
      </c>
      <c r="U10" s="19" t="str">
        <f t="shared" si="3"/>
        <v/>
      </c>
      <c r="V10" s="19" t="str">
        <f t="shared" si="3"/>
        <v/>
      </c>
      <c r="W10" s="19" t="str">
        <f t="shared" si="3"/>
        <v/>
      </c>
    </row>
    <row r="11" spans="1:24" x14ac:dyDescent="0.2">
      <c r="A11" t="s">
        <v>56</v>
      </c>
      <c r="B11" s="46">
        <v>30</v>
      </c>
      <c r="C11" s="40" t="s">
        <v>302</v>
      </c>
      <c r="D11">
        <f t="shared" ref="D11:D17" si="5">B$6*10*B11/100</f>
        <v>45</v>
      </c>
      <c r="E11" s="31">
        <v>4</v>
      </c>
      <c r="F11" s="43"/>
      <c r="G11" s="32">
        <v>12</v>
      </c>
      <c r="I11" s="19" t="str">
        <f t="shared" si="4"/>
        <v/>
      </c>
      <c r="J11" s="19" t="str">
        <f t="shared" si="3"/>
        <v/>
      </c>
      <c r="K11" s="19" t="str">
        <f t="shared" si="3"/>
        <v/>
      </c>
      <c r="L11" s="19" t="str">
        <f t="shared" si="3"/>
        <v/>
      </c>
      <c r="M11" s="19" t="str">
        <f t="shared" si="3"/>
        <v/>
      </c>
      <c r="N11" s="19" t="str">
        <f t="shared" si="3"/>
        <v/>
      </c>
      <c r="O11" s="104" t="str">
        <f t="shared" si="3"/>
        <v/>
      </c>
      <c r="P11" s="19" t="str">
        <f t="shared" si="3"/>
        <v/>
      </c>
      <c r="Q11" s="19" t="str">
        <f t="shared" si="3"/>
        <v/>
      </c>
      <c r="R11" s="19" t="str">
        <f t="shared" si="3"/>
        <v/>
      </c>
      <c r="S11" s="19" t="str">
        <f t="shared" si="3"/>
        <v/>
      </c>
      <c r="T11" s="19" t="str">
        <f t="shared" si="3"/>
        <v>Yes</v>
      </c>
      <c r="U11" s="19" t="str">
        <f t="shared" si="3"/>
        <v/>
      </c>
      <c r="V11" s="19" t="str">
        <f t="shared" si="3"/>
        <v/>
      </c>
      <c r="W11" s="19" t="str">
        <f t="shared" si="3"/>
        <v/>
      </c>
    </row>
    <row r="12" spans="1:24" x14ac:dyDescent="0.2">
      <c r="A12" t="s">
        <v>60</v>
      </c>
      <c r="B12" s="46">
        <v>0</v>
      </c>
      <c r="C12" s="40" t="s">
        <v>318</v>
      </c>
      <c r="D12">
        <f t="shared" si="5"/>
        <v>0</v>
      </c>
      <c r="E12" s="31">
        <v>1</v>
      </c>
      <c r="F12" s="43"/>
      <c r="G12" s="32">
        <v>3</v>
      </c>
      <c r="I12" s="19" t="str">
        <f t="shared" si="4"/>
        <v/>
      </c>
      <c r="J12" s="19" t="str">
        <f t="shared" si="3"/>
        <v/>
      </c>
      <c r="K12" s="19" t="str">
        <f t="shared" si="3"/>
        <v>Yes</v>
      </c>
      <c r="L12" s="19" t="str">
        <f t="shared" si="3"/>
        <v/>
      </c>
      <c r="M12" s="19" t="str">
        <f t="shared" si="3"/>
        <v/>
      </c>
      <c r="N12" s="19" t="str">
        <f t="shared" si="3"/>
        <v/>
      </c>
      <c r="O12" s="104" t="str">
        <f t="shared" si="3"/>
        <v/>
      </c>
      <c r="P12" s="19" t="str">
        <f t="shared" si="3"/>
        <v/>
      </c>
      <c r="Q12" s="19" t="str">
        <f t="shared" si="3"/>
        <v/>
      </c>
      <c r="R12" s="19" t="str">
        <f t="shared" si="3"/>
        <v/>
      </c>
      <c r="S12" s="19" t="str">
        <f t="shared" si="3"/>
        <v/>
      </c>
      <c r="T12" s="19" t="str">
        <f t="shared" si="3"/>
        <v/>
      </c>
      <c r="U12" s="19" t="str">
        <f t="shared" si="3"/>
        <v/>
      </c>
      <c r="V12" s="19" t="str">
        <f t="shared" si="3"/>
        <v/>
      </c>
      <c r="W12" s="19" t="str">
        <f t="shared" si="3"/>
        <v/>
      </c>
    </row>
    <row r="13" spans="1:24" x14ac:dyDescent="0.2">
      <c r="A13" t="s">
        <v>61</v>
      </c>
      <c r="B13" s="46"/>
      <c r="C13" s="40"/>
      <c r="D13">
        <f t="shared" si="5"/>
        <v>0</v>
      </c>
      <c r="E13" s="31"/>
      <c r="F13" s="43"/>
      <c r="G13" s="32"/>
      <c r="I13" s="19" t="str">
        <f t="shared" si="4"/>
        <v/>
      </c>
      <c r="J13" s="19" t="str">
        <f t="shared" si="3"/>
        <v/>
      </c>
      <c r="K13" s="19" t="str">
        <f t="shared" si="3"/>
        <v/>
      </c>
      <c r="L13" s="19" t="str">
        <f t="shared" si="3"/>
        <v/>
      </c>
      <c r="M13" s="19" t="str">
        <f t="shared" si="3"/>
        <v/>
      </c>
      <c r="N13" s="19" t="str">
        <f t="shared" si="3"/>
        <v/>
      </c>
      <c r="O13" s="104" t="str">
        <f t="shared" si="3"/>
        <v/>
      </c>
      <c r="P13" s="19" t="str">
        <f t="shared" si="3"/>
        <v/>
      </c>
      <c r="Q13" s="19" t="str">
        <f t="shared" si="3"/>
        <v/>
      </c>
      <c r="R13" s="19" t="str">
        <f t="shared" si="3"/>
        <v/>
      </c>
      <c r="S13" s="19" t="str">
        <f t="shared" si="3"/>
        <v/>
      </c>
      <c r="T13" s="19" t="str">
        <f t="shared" si="3"/>
        <v/>
      </c>
      <c r="U13" s="19" t="str">
        <f t="shared" si="3"/>
        <v/>
      </c>
      <c r="V13" s="19" t="str">
        <f t="shared" si="3"/>
        <v/>
      </c>
      <c r="W13" s="19" t="str">
        <f t="shared" si="3"/>
        <v/>
      </c>
    </row>
    <row r="14" spans="1:24" x14ac:dyDescent="0.2">
      <c r="A14" t="s">
        <v>62</v>
      </c>
      <c r="B14" s="46"/>
      <c r="C14" s="40"/>
      <c r="D14">
        <f t="shared" si="5"/>
        <v>0</v>
      </c>
      <c r="E14" s="31"/>
      <c r="F14" s="43"/>
      <c r="G14" s="32"/>
      <c r="H14">
        <v>10</v>
      </c>
      <c r="I14" s="19" t="str">
        <f t="shared" si="4"/>
        <v/>
      </c>
      <c r="J14" s="19" t="str">
        <f t="shared" si="3"/>
        <v/>
      </c>
      <c r="K14" s="19" t="str">
        <f t="shared" si="3"/>
        <v/>
      </c>
      <c r="L14" s="19" t="str">
        <f t="shared" si="3"/>
        <v/>
      </c>
      <c r="M14" s="19" t="str">
        <f t="shared" si="3"/>
        <v/>
      </c>
      <c r="N14" s="19" t="str">
        <f t="shared" si="3"/>
        <v/>
      </c>
      <c r="O14" s="104" t="str">
        <f t="shared" si="3"/>
        <v/>
      </c>
      <c r="P14" s="19" t="str">
        <f t="shared" si="3"/>
        <v/>
      </c>
      <c r="Q14" s="19" t="str">
        <f t="shared" si="3"/>
        <v/>
      </c>
      <c r="R14" s="19" t="str">
        <f t="shared" si="3"/>
        <v/>
      </c>
      <c r="S14" s="19" t="str">
        <f t="shared" si="3"/>
        <v/>
      </c>
      <c r="T14" s="19" t="str">
        <f t="shared" si="3"/>
        <v/>
      </c>
      <c r="U14" s="19" t="str">
        <f t="shared" si="3"/>
        <v/>
      </c>
      <c r="V14" s="19" t="str">
        <f t="shared" si="3"/>
        <v/>
      </c>
      <c r="W14" s="19" t="str">
        <f t="shared" si="3"/>
        <v/>
      </c>
    </row>
    <row r="15" spans="1:24" x14ac:dyDescent="0.2">
      <c r="A15" t="s">
        <v>102</v>
      </c>
      <c r="B15" s="46"/>
      <c r="C15" s="40"/>
      <c r="D15">
        <f t="shared" si="5"/>
        <v>0</v>
      </c>
      <c r="E15" s="31"/>
      <c r="F15" s="43"/>
      <c r="G15" s="32"/>
      <c r="I15" s="19" t="str">
        <f t="shared" si="4"/>
        <v/>
      </c>
      <c r="J15" s="19" t="str">
        <f t="shared" si="3"/>
        <v/>
      </c>
      <c r="K15" s="19" t="str">
        <f t="shared" si="3"/>
        <v/>
      </c>
      <c r="L15" s="19" t="str">
        <f t="shared" si="3"/>
        <v/>
      </c>
      <c r="M15" s="19" t="str">
        <f t="shared" si="3"/>
        <v/>
      </c>
      <c r="N15" s="19" t="str">
        <f t="shared" si="3"/>
        <v/>
      </c>
      <c r="O15" s="104" t="str">
        <f t="shared" si="3"/>
        <v/>
      </c>
      <c r="P15" s="19" t="str">
        <f t="shared" si="3"/>
        <v/>
      </c>
      <c r="Q15" s="19" t="str">
        <f t="shared" si="3"/>
        <v/>
      </c>
      <c r="R15" s="19" t="str">
        <f t="shared" si="3"/>
        <v/>
      </c>
      <c r="S15" s="19" t="str">
        <f t="shared" si="3"/>
        <v/>
      </c>
      <c r="T15" s="19" t="str">
        <f t="shared" si="3"/>
        <v/>
      </c>
      <c r="U15" s="19" t="str">
        <f t="shared" si="3"/>
        <v/>
      </c>
      <c r="V15" s="19" t="str">
        <f t="shared" si="3"/>
        <v/>
      </c>
      <c r="W15" s="19" t="str">
        <f t="shared" si="3"/>
        <v/>
      </c>
    </row>
    <row r="16" spans="1:24" x14ac:dyDescent="0.2">
      <c r="A16" t="s">
        <v>103</v>
      </c>
      <c r="B16" s="46"/>
      <c r="C16" s="40"/>
      <c r="D16">
        <f t="shared" si="5"/>
        <v>0</v>
      </c>
      <c r="E16" s="31"/>
      <c r="F16" s="43"/>
      <c r="G16" s="32"/>
      <c r="I16" s="19" t="str">
        <f t="shared" si="4"/>
        <v/>
      </c>
      <c r="J16" s="19" t="str">
        <f t="shared" si="3"/>
        <v/>
      </c>
      <c r="K16" s="19" t="str">
        <f t="shared" si="3"/>
        <v/>
      </c>
      <c r="L16" s="19" t="str">
        <f t="shared" si="3"/>
        <v/>
      </c>
      <c r="M16" s="19" t="str">
        <f t="shared" si="3"/>
        <v/>
      </c>
      <c r="N16" s="19" t="str">
        <f t="shared" si="3"/>
        <v/>
      </c>
      <c r="O16" s="104" t="str">
        <f t="shared" si="3"/>
        <v/>
      </c>
      <c r="P16" s="19" t="str">
        <f t="shared" si="3"/>
        <v/>
      </c>
      <c r="Q16" s="19" t="str">
        <f t="shared" si="3"/>
        <v/>
      </c>
      <c r="R16" s="19" t="str">
        <f t="shared" si="3"/>
        <v/>
      </c>
      <c r="S16" s="19" t="str">
        <f t="shared" si="3"/>
        <v/>
      </c>
      <c r="T16" s="19" t="str">
        <f t="shared" si="3"/>
        <v/>
      </c>
      <c r="U16" s="19" t="str">
        <f t="shared" si="3"/>
        <v/>
      </c>
      <c r="V16" s="19" t="str">
        <f t="shared" si="3"/>
        <v/>
      </c>
      <c r="W16" s="19" t="str">
        <f t="shared" si="3"/>
        <v/>
      </c>
    </row>
    <row r="17" spans="1:30" ht="16" thickBot="1" x14ac:dyDescent="0.25">
      <c r="A17" t="s">
        <v>104</v>
      </c>
      <c r="B17" s="47"/>
      <c r="C17" s="41"/>
      <c r="D17">
        <f t="shared" si="5"/>
        <v>0</v>
      </c>
      <c r="E17" s="33"/>
      <c r="F17" s="44"/>
      <c r="G17" s="34"/>
      <c r="I17" s="19" t="str">
        <f t="shared" si="4"/>
        <v/>
      </c>
      <c r="J17" s="19" t="str">
        <f t="shared" si="3"/>
        <v/>
      </c>
      <c r="K17" s="19" t="str">
        <f t="shared" si="3"/>
        <v/>
      </c>
      <c r="L17" s="19" t="str">
        <f t="shared" si="3"/>
        <v/>
      </c>
      <c r="M17" s="19" t="str">
        <f t="shared" si="3"/>
        <v/>
      </c>
      <c r="N17" s="19" t="str">
        <f t="shared" si="3"/>
        <v/>
      </c>
      <c r="O17" s="104" t="str">
        <f t="shared" si="3"/>
        <v/>
      </c>
      <c r="P17" s="19" t="str">
        <f t="shared" si="3"/>
        <v/>
      </c>
      <c r="Q17" s="19" t="str">
        <f t="shared" si="3"/>
        <v/>
      </c>
      <c r="R17" s="19" t="str">
        <f t="shared" si="3"/>
        <v/>
      </c>
      <c r="S17" s="19" t="str">
        <f t="shared" si="3"/>
        <v/>
      </c>
      <c r="T17" s="19" t="str">
        <f t="shared" si="3"/>
        <v/>
      </c>
      <c r="U17" s="19" t="str">
        <f t="shared" si="3"/>
        <v/>
      </c>
      <c r="V17" s="19" t="str">
        <f t="shared" si="3"/>
        <v/>
      </c>
      <c r="W17" s="19" t="str">
        <f t="shared" si="3"/>
        <v/>
      </c>
    </row>
    <row r="18" spans="1:30" ht="29" customHeight="1" x14ac:dyDescent="0.2">
      <c r="A18" s="28" t="s">
        <v>77</v>
      </c>
      <c r="B18" s="28">
        <f>SUM(B9:B17)</f>
        <v>50</v>
      </c>
      <c r="C18" s="59" t="str">
        <f>IF(B18=B7," % ok","% credits do not add up to stated value")</f>
        <v>% credits do not add up to stated value</v>
      </c>
      <c r="D18" s="59">
        <f>SUM(D9:D17)</f>
        <v>75</v>
      </c>
      <c r="E18" s="134">
        <f>D18/B6/10*100</f>
        <v>50</v>
      </c>
      <c r="T18" s="10">
        <f>B9/100*SUM(I21:T21)</f>
        <v>0.5</v>
      </c>
    </row>
    <row r="19" spans="1:30" ht="16" thickBot="1" x14ac:dyDescent="0.25">
      <c r="A19" t="s">
        <v>68</v>
      </c>
      <c r="D19">
        <f>D6/15</f>
        <v>10</v>
      </c>
      <c r="E19" s="134">
        <f>SUM(E9:E16)</f>
        <v>13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1769</v>
      </c>
      <c r="G20" s="11" t="s">
        <v>82</v>
      </c>
      <c r="H20" s="21">
        <f>SUM(I20:W20)</f>
        <v>12</v>
      </c>
      <c r="I20" s="14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05">
        <v>1</v>
      </c>
      <c r="P20" s="14">
        <v>1</v>
      </c>
      <c r="Q20" s="14">
        <v>1</v>
      </c>
      <c r="R20" s="14">
        <v>1</v>
      </c>
      <c r="S20" s="14">
        <v>1</v>
      </c>
      <c r="T20" s="15">
        <v>1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" si="6">SUM(I21:W21)</f>
        <v>5</v>
      </c>
      <c r="I21" s="14">
        <v>0</v>
      </c>
      <c r="J21" s="14">
        <v>1</v>
      </c>
      <c r="K21" s="14">
        <v>0</v>
      </c>
      <c r="L21" s="14">
        <v>1</v>
      </c>
      <c r="M21" s="14">
        <v>0</v>
      </c>
      <c r="N21" s="14">
        <v>1</v>
      </c>
      <c r="O21" s="105">
        <v>1</v>
      </c>
      <c r="P21" s="14">
        <v>1</v>
      </c>
      <c r="Q21" s="14">
        <v>0</v>
      </c>
      <c r="R21" s="14">
        <v>0</v>
      </c>
      <c r="S21" s="14">
        <v>0</v>
      </c>
      <c r="T21" s="15">
        <v>0</v>
      </c>
      <c r="U21" s="14">
        <f>IF($D$5="Yes",U34*U31,0)</f>
        <v>0</v>
      </c>
      <c r="V21" s="14">
        <f>IF($D$5="Yes",U34*V31,0)</f>
        <v>0</v>
      </c>
      <c r="W21" s="14">
        <f>IF($D$5="Yes",U34*W31,0)</f>
        <v>0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ref="H22" ca="1" si="7">SUM(I22:W22)</f>
        <v>13</v>
      </c>
      <c r="I22" s="10">
        <f ca="1">I7</f>
        <v>4</v>
      </c>
      <c r="J22" s="10">
        <f t="shared" ref="J22:Y22" ca="1" si="8">J7</f>
        <v>0</v>
      </c>
      <c r="K22" s="10">
        <f t="shared" ca="1" si="8"/>
        <v>1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4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f t="shared" ca="1" si="8"/>
        <v>4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  <c r="X22" s="10" t="str">
        <f t="shared" si="8"/>
        <v>&lt;-- total timetabled CA</v>
      </c>
      <c r="Y22" s="10">
        <f t="shared" si="8"/>
        <v>0</v>
      </c>
    </row>
    <row r="23" spans="1:30" x14ac:dyDescent="0.2">
      <c r="G23" s="11" t="s">
        <v>98</v>
      </c>
      <c r="H23" s="21"/>
      <c r="I23" s="61">
        <f ca="1">SUM(I20:I22)</f>
        <v>5</v>
      </c>
      <c r="J23" s="61">
        <f ca="1">MIN(6,12/$B$8 + 1,I23+SUM(J20:J22))</f>
        <v>5</v>
      </c>
      <c r="K23" s="61">
        <f t="shared" ref="K23:T23" ca="1" si="9">MIN(6,12/$B$8 + 1,J23+SUM(K20:K22))</f>
        <v>5</v>
      </c>
      <c r="L23" s="61">
        <f t="shared" ca="1" si="9"/>
        <v>5</v>
      </c>
      <c r="M23" s="61">
        <f t="shared" ca="1" si="9"/>
        <v>5</v>
      </c>
      <c r="N23" s="61">
        <f t="shared" ca="1" si="9"/>
        <v>5</v>
      </c>
      <c r="O23" s="106">
        <f t="shared" ca="1" si="9"/>
        <v>5</v>
      </c>
      <c r="P23" s="61">
        <f t="shared" ca="1" si="9"/>
        <v>5</v>
      </c>
      <c r="Q23" s="61">
        <f t="shared" ca="1" si="9"/>
        <v>5</v>
      </c>
      <c r="R23" s="61">
        <f t="shared" ca="1" si="9"/>
        <v>5</v>
      </c>
      <c r="S23" s="61">
        <f t="shared" ca="1" si="9"/>
        <v>5</v>
      </c>
      <c r="T23" s="61">
        <f t="shared" ca="1" si="9"/>
        <v>5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1</v>
      </c>
      <c r="J24" s="24">
        <f t="shared" si="10"/>
        <v>0</v>
      </c>
      <c r="K24" s="24">
        <f t="shared" si="10"/>
        <v>1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1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15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15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45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J26" ca="1" si="12">-H23*I24-I22</f>
        <v>-4</v>
      </c>
      <c r="J26" s="22">
        <f t="shared" ca="1" si="12"/>
        <v>0</v>
      </c>
      <c r="K26" s="22">
        <f ca="1">-J23*K24-K22</f>
        <v>-6</v>
      </c>
      <c r="L26" s="22">
        <f t="shared" ref="L26:T26" ca="1" si="13">-K23*L24-L22</f>
        <v>0</v>
      </c>
      <c r="M26" s="22">
        <f t="shared" ca="1" si="13"/>
        <v>0</v>
      </c>
      <c r="N26" s="22">
        <f t="shared" ca="1" si="13"/>
        <v>0</v>
      </c>
      <c r="O26" s="108">
        <f t="shared" ca="1" si="13"/>
        <v>0</v>
      </c>
      <c r="P26" s="22">
        <f t="shared" ca="1" si="13"/>
        <v>-9</v>
      </c>
      <c r="Q26" s="22">
        <f t="shared" ca="1" si="13"/>
        <v>0</v>
      </c>
      <c r="R26" s="22">
        <f t="shared" ca="1" si="13"/>
        <v>0</v>
      </c>
      <c r="S26" s="22">
        <f t="shared" ca="1" si="13"/>
        <v>0</v>
      </c>
      <c r="T26" s="22">
        <f t="shared" ca="1" si="13"/>
        <v>-9</v>
      </c>
      <c r="U26" s="62">
        <f>(IFERROR(-U$21-MAX(MAX(0,1*MIN(6,U$2))),0)-T28)*(1*U24&gt;0)</f>
        <v>0</v>
      </c>
      <c r="V26" s="22">
        <f>(IFERROR(-V$21-MAX(MAX(0,1*MIN(6,V$2))),0)-U28)*(1*V24&gt;0)</f>
        <v>0</v>
      </c>
      <c r="W26" s="22">
        <f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48</v>
      </c>
      <c r="I27" s="25">
        <f ca="1">MAX(0,(I25+I26))</f>
        <v>11</v>
      </c>
      <c r="J27" s="25">
        <f t="shared" ref="J27" ca="1" si="14">MAX(0,(J25+J26))</f>
        <v>0</v>
      </c>
      <c r="K27" s="25">
        <f t="shared" ref="K27:S27" ca="1" si="15">MAX(0,(K25+K26)-SUM(I28:J28))</f>
        <v>0</v>
      </c>
      <c r="L27" s="25">
        <f t="shared" ca="1" si="15"/>
        <v>0</v>
      </c>
      <c r="M27" s="25">
        <f t="shared" ca="1" si="15"/>
        <v>0</v>
      </c>
      <c r="N27" s="25">
        <f t="shared" ca="1" si="15"/>
        <v>0</v>
      </c>
      <c r="O27" s="25">
        <f t="shared" ca="1" si="15"/>
        <v>0</v>
      </c>
      <c r="P27" s="25">
        <f t="shared" ca="1" si="15"/>
        <v>3</v>
      </c>
      <c r="Q27" s="25">
        <f t="shared" ca="1" si="15"/>
        <v>0</v>
      </c>
      <c r="R27" s="25">
        <f t="shared" ca="1" si="15"/>
        <v>0</v>
      </c>
      <c r="S27" s="25">
        <f t="shared" ca="1" si="15"/>
        <v>0</v>
      </c>
      <c r="T27" s="25">
        <f ca="1">MAX(0,(T25+T26)-SUM(R28:S28))</f>
        <v>34</v>
      </c>
      <c r="U27" s="25">
        <f t="shared" ref="U27:W27" si="16">(U25+U26)</f>
        <v>0</v>
      </c>
      <c r="V27" s="25">
        <f t="shared" si="16"/>
        <v>0</v>
      </c>
      <c r="W27" s="25">
        <f t="shared" si="16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7">SUM(I28:W28)</f>
        <v>15</v>
      </c>
      <c r="I28" s="10">
        <v>0</v>
      </c>
      <c r="J28" s="10">
        <v>0</v>
      </c>
      <c r="K28" s="10">
        <v>2</v>
      </c>
      <c r="L28" s="10">
        <v>2</v>
      </c>
      <c r="M28" s="10">
        <v>2</v>
      </c>
      <c r="N28" s="10">
        <v>2</v>
      </c>
      <c r="O28" s="103">
        <v>1</v>
      </c>
      <c r="P28" s="10">
        <v>2</v>
      </c>
      <c r="Q28" s="10">
        <v>2</v>
      </c>
      <c r="R28" s="10">
        <v>2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f>IF($D$5="Yes",3,0)</f>
        <v>0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8">SUM(I30:W30)</f>
        <v>93</v>
      </c>
      <c r="I30" s="16">
        <f t="shared" ref="I30:W30" ca="1" si="19">I20+I21+I22+I27+I28+I29</f>
        <v>16</v>
      </c>
      <c r="J30" s="16">
        <f t="shared" ca="1" si="19"/>
        <v>2</v>
      </c>
      <c r="K30" s="16">
        <f t="shared" ca="1" si="19"/>
        <v>4</v>
      </c>
      <c r="L30" s="16">
        <f t="shared" ca="1" si="19"/>
        <v>4</v>
      </c>
      <c r="M30" s="16">
        <f t="shared" ca="1" si="19"/>
        <v>3</v>
      </c>
      <c r="N30" s="16">
        <f t="shared" ca="1" si="19"/>
        <v>4</v>
      </c>
      <c r="O30" s="110">
        <f t="shared" ca="1" si="19"/>
        <v>3</v>
      </c>
      <c r="P30" s="16">
        <f t="shared" ca="1" si="19"/>
        <v>11</v>
      </c>
      <c r="Q30" s="16">
        <f t="shared" ca="1" si="19"/>
        <v>3</v>
      </c>
      <c r="R30" s="16">
        <f t="shared" ca="1" si="19"/>
        <v>3</v>
      </c>
      <c r="S30" s="16">
        <f t="shared" ca="1" si="19"/>
        <v>1</v>
      </c>
      <c r="T30" s="16">
        <f t="shared" ca="1" si="19"/>
        <v>39</v>
      </c>
      <c r="U30" s="65">
        <f t="shared" ca="1" si="19"/>
        <v>0</v>
      </c>
      <c r="V30" s="16">
        <f t="shared" ca="1" si="19"/>
        <v>0</v>
      </c>
      <c r="W30" s="16">
        <f t="shared" ca="1" si="19"/>
        <v>0</v>
      </c>
    </row>
    <row r="31" spans="1:30" ht="21" customHeight="1" x14ac:dyDescent="0.2">
      <c r="G31" s="17" t="s">
        <v>94</v>
      </c>
      <c r="H31" s="171" t="str">
        <f ca="1">IF(ABS(H30-D7)&gt;=1,"Hours don't add up to nominal credits x 10","")</f>
        <v>Hours don't add up to nominal credits x 10</v>
      </c>
      <c r="I31" s="22">
        <f t="shared" ref="I31:T31" si="20">(IFERROR(-I$21-MAX(MAX(0,1*MIN(6,I$2))),0)+I$25)*(1*I$24&gt;0)</f>
        <v>14</v>
      </c>
      <c r="J31" s="22">
        <f t="shared" si="20"/>
        <v>0</v>
      </c>
      <c r="K31" s="22">
        <f t="shared" si="20"/>
        <v>-3</v>
      </c>
      <c r="L31" s="22">
        <f t="shared" si="20"/>
        <v>0</v>
      </c>
      <c r="M31" s="22">
        <f t="shared" si="20"/>
        <v>0</v>
      </c>
      <c r="N31" s="22">
        <f t="shared" si="20"/>
        <v>0</v>
      </c>
      <c r="O31" s="108">
        <f t="shared" si="20"/>
        <v>0</v>
      </c>
      <c r="P31" s="22">
        <f t="shared" si="20"/>
        <v>8</v>
      </c>
      <c r="Q31" s="22">
        <f t="shared" si="20"/>
        <v>0</v>
      </c>
      <c r="R31" s="22">
        <f t="shared" si="20"/>
        <v>0</v>
      </c>
      <c r="S31" s="22">
        <f t="shared" si="20"/>
        <v>0</v>
      </c>
      <c r="T31" s="22">
        <f t="shared" si="20"/>
        <v>39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171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171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57</v>
      </c>
      <c r="V34" s="18" t="s">
        <v>85</v>
      </c>
    </row>
    <row r="35" spans="2:24" x14ac:dyDescent="0.2">
      <c r="G35" s="17" t="s">
        <v>71</v>
      </c>
      <c r="H35" s="17"/>
      <c r="I35" s="18">
        <f>IFERROR(_xlfn.XMATCH("Yes",I$9:I$17,1),T(1))</f>
        <v>1</v>
      </c>
      <c r="J35" s="18" t="str">
        <f t="shared" ref="J35:W35" si="21">IFERROR(_xlfn.XMATCH("Yes",J$9:J$17,1),T(1))</f>
        <v/>
      </c>
      <c r="K35" s="18">
        <f t="shared" si="21"/>
        <v>4</v>
      </c>
      <c r="L35" s="18" t="str">
        <f t="shared" si="21"/>
        <v/>
      </c>
      <c r="M35" s="18" t="str">
        <f t="shared" si="21"/>
        <v/>
      </c>
      <c r="N35" s="18" t="str">
        <f t="shared" si="21"/>
        <v/>
      </c>
      <c r="O35" s="18" t="str">
        <f t="shared" si="21"/>
        <v/>
      </c>
      <c r="P35" s="18">
        <f t="shared" si="21"/>
        <v>2</v>
      </c>
      <c r="Q35" s="18" t="str">
        <f t="shared" si="21"/>
        <v/>
      </c>
      <c r="R35" s="18" t="str">
        <f t="shared" si="21"/>
        <v/>
      </c>
      <c r="S35" s="18" t="str">
        <f t="shared" si="21"/>
        <v/>
      </c>
      <c r="T35" s="18">
        <f t="shared" si="21"/>
        <v>3</v>
      </c>
      <c r="U35" s="18" t="str">
        <f t="shared" si="21"/>
        <v/>
      </c>
      <c r="V35" s="18" t="str">
        <f t="shared" si="21"/>
        <v/>
      </c>
      <c r="W35" s="18" t="str">
        <f t="shared" si="21"/>
        <v/>
      </c>
    </row>
    <row r="36" spans="2:24" x14ac:dyDescent="0.2">
      <c r="B36" t="str">
        <f>T(1)</f>
        <v/>
      </c>
      <c r="G36" s="20" t="s">
        <v>74</v>
      </c>
      <c r="I36" s="18" cm="1">
        <f t="array" ref="I36">IFERROR(INDEX( $G$9:$G$17, _xlfn.XMATCH("Yes", (I$9:I$17),1)),T(1))</f>
        <v>1</v>
      </c>
      <c r="J36" s="18" t="str" cm="1">
        <f t="array" ref="J36">IFERROR(INDEX( $G$9:$G$17, _xlfn.XMATCH("Yes", (J$9:J$17),1)),T(1))</f>
        <v/>
      </c>
      <c r="K36" s="18" cm="1">
        <f t="array" ref="K36">IFERROR(INDEX( $G$9:$G$17, _xlfn.XMATCH("Yes", (K$9:K$17),1)),T(1))</f>
        <v>3</v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cm="1">
        <f t="array" ref="P36">IFERROR(INDEX( $G$9:$G$17, _xlfn.XMATCH("Yes", (P$9:P$17),1)),T(1))</f>
        <v>8</v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16</v>
      </c>
      <c r="J52" s="18">
        <f ca="1">(J30-I30)*(J30&gt;I30)</f>
        <v>0</v>
      </c>
      <c r="K52" s="18">
        <f t="shared" ref="K52:W52" ca="1" si="22">(K30-J30)*(K30&gt;J30)</f>
        <v>2</v>
      </c>
      <c r="L52" s="18">
        <f t="shared" ca="1" si="22"/>
        <v>0</v>
      </c>
      <c r="M52" s="18">
        <f t="shared" ca="1" si="22"/>
        <v>0</v>
      </c>
      <c r="N52" s="18">
        <f t="shared" ca="1" si="22"/>
        <v>1</v>
      </c>
      <c r="O52" s="18">
        <f t="shared" ca="1" si="22"/>
        <v>0</v>
      </c>
      <c r="P52" s="18">
        <f t="shared" ca="1" si="22"/>
        <v>8</v>
      </c>
      <c r="Q52" s="18">
        <f t="shared" ca="1" si="22"/>
        <v>0</v>
      </c>
      <c r="R52" s="18">
        <f t="shared" ca="1" si="22"/>
        <v>0</v>
      </c>
      <c r="S52" s="18">
        <f t="shared" ca="1" si="22"/>
        <v>0</v>
      </c>
      <c r="T52" s="18">
        <f t="shared" ca="1" si="22"/>
        <v>38</v>
      </c>
      <c r="U52" s="18">
        <f t="shared" ca="1" si="22"/>
        <v>0</v>
      </c>
      <c r="V52" s="18">
        <f t="shared" ca="1" si="22"/>
        <v>0</v>
      </c>
      <c r="W52" s="18">
        <f t="shared" ca="1" si="22"/>
        <v>0</v>
      </c>
    </row>
    <row r="53" spans="7:23" x14ac:dyDescent="0.2">
      <c r="G53" t="s">
        <v>101</v>
      </c>
      <c r="I53" s="18">
        <f ca="1">I52^2</f>
        <v>256</v>
      </c>
      <c r="J53" s="18">
        <f t="shared" ref="J53:W53" ca="1" si="23">J52^2</f>
        <v>0</v>
      </c>
      <c r="K53" s="18">
        <f t="shared" ca="1" si="23"/>
        <v>4</v>
      </c>
      <c r="L53" s="18">
        <f t="shared" ca="1" si="23"/>
        <v>0</v>
      </c>
      <c r="M53" s="18">
        <f t="shared" ca="1" si="23"/>
        <v>0</v>
      </c>
      <c r="N53" s="18">
        <f t="shared" ca="1" si="23"/>
        <v>1</v>
      </c>
      <c r="O53" s="18">
        <f t="shared" ca="1" si="23"/>
        <v>0</v>
      </c>
      <c r="P53" s="18">
        <f t="shared" ca="1" si="23"/>
        <v>64</v>
      </c>
      <c r="Q53" s="18">
        <f t="shared" ca="1" si="23"/>
        <v>0</v>
      </c>
      <c r="R53" s="18">
        <f t="shared" ca="1" si="23"/>
        <v>0</v>
      </c>
      <c r="S53" s="18">
        <f t="shared" ca="1" si="23"/>
        <v>0</v>
      </c>
      <c r="T53" s="18">
        <f t="shared" ca="1" si="23"/>
        <v>1444</v>
      </c>
      <c r="U53" s="18">
        <f t="shared" ca="1" si="23"/>
        <v>0</v>
      </c>
      <c r="V53" s="18">
        <f t="shared" ca="1" si="23"/>
        <v>0</v>
      </c>
      <c r="W53" s="18">
        <f t="shared" ca="1" si="23"/>
        <v>0</v>
      </c>
    </row>
  </sheetData>
  <mergeCells count="3">
    <mergeCell ref="I1:W1"/>
    <mergeCell ref="F3:F7"/>
    <mergeCell ref="H31:H33"/>
  </mergeCells>
  <conditionalFormatting sqref="I30:W30">
    <cfRule type="cellIs" dxfId="45" priority="13" operator="between">
      <formula>(2/3)*$D$19</formula>
      <formula>(3/2)*$D$19</formula>
    </cfRule>
    <cfRule type="cellIs" dxfId="44" priority="14" operator="lessThan">
      <formula>(2/3)*$D$19</formula>
    </cfRule>
    <cfRule type="cellIs" dxfId="43" priority="15" operator="greaterThanOrEqual">
      <formula>1.5*$D$19</formula>
    </cfRule>
  </conditionalFormatting>
  <conditionalFormatting sqref="H30">
    <cfRule type="cellIs" dxfId="42" priority="11" stopIfTrue="1" operator="equal">
      <formula>$B$6*10</formula>
    </cfRule>
    <cfRule type="cellIs" dxfId="41" priority="12" operator="notEqual">
      <formula>$B$6*10</formula>
    </cfRule>
  </conditionalFormatting>
  <conditionalFormatting sqref="I20:W21 I23:W29">
    <cfRule type="beginsWith" dxfId="40" priority="10" stopIfTrue="1" operator="beginsWith" text="0">
      <formula>LEFT(I20,LEN("0"))="0"</formula>
    </cfRule>
  </conditionalFormatting>
  <conditionalFormatting sqref="B18">
    <cfRule type="expression" dxfId="39" priority="9">
      <formula>B18&lt;&gt;$B$7</formula>
    </cfRule>
  </conditionalFormatting>
  <conditionalFormatting sqref="C18">
    <cfRule type="expression" dxfId="38" priority="8">
      <formula>$B$18&lt;&gt;$B$7</formula>
    </cfRule>
  </conditionalFormatting>
  <conditionalFormatting sqref="H31">
    <cfRule type="expression" dxfId="37" priority="7">
      <formula>ABS($H$30-$D$6&gt;=1)</formula>
    </cfRule>
  </conditionalFormatting>
  <conditionalFormatting sqref="B7">
    <cfRule type="expression" dxfId="36" priority="6">
      <formula>($B$7&lt;&gt;SUM($B$9:$B$17))</formula>
    </cfRule>
  </conditionalFormatting>
  <conditionalFormatting sqref="I31:T33">
    <cfRule type="beginsWith" dxfId="35" priority="4" stopIfTrue="1" operator="beginsWith" text="0">
      <formula>LEFT(I31,LEN("0"))="0"</formula>
    </cfRule>
  </conditionalFormatting>
  <conditionalFormatting sqref="N34">
    <cfRule type="beginsWith" dxfId="34" priority="5" stopIfTrue="1" operator="beginsWith" text="0">
      <formula>LEFT(N34,LEN("0"))="0"</formula>
    </cfRule>
  </conditionalFormatting>
  <conditionalFormatting sqref="D9:D17">
    <cfRule type="cellIs" dxfId="33" priority="3" operator="equal">
      <formula>0</formula>
    </cfRule>
  </conditionalFormatting>
  <conditionalFormatting sqref="X22:Y22">
    <cfRule type="beginsWith" dxfId="32" priority="2" stopIfTrue="1" operator="beginsWith" text="0">
      <formula>LEFT(X22,LEN("0"))="0"</formula>
    </cfRule>
  </conditionalFormatting>
  <conditionalFormatting sqref="I22:W22">
    <cfRule type="beginsWith" dxfId="31" priority="1" stopIfTrue="1" operator="beginsWith" text="0">
      <formula>LEFT(I22,LEN("0"))="0"</formula>
    </cfRule>
  </conditionalFormatting>
  <dataValidations count="7">
    <dataValidation type="whole" allowBlank="1" showInputMessage="1" showErrorMessage="1" promptTitle="When is this CA due?" prompt="Enter the week where the deadline for this CA is due." sqref="G9:G17" xr:uid="{B1C35CED-DDB5-44B3-9304-BB7FDB87891C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3D3B04A0-247A-4965-A012-560A67CAA850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568C97E6-9A48-46EE-A35D-F1EEF9EC2724}">
      <formula1>0</formula1>
      <formula2>100</formula2>
    </dataValidation>
    <dataValidation errorStyle="warning" allowBlank="1" showInputMessage="1" showErrorMessage="1" errorTitle="Non-standard credit weighting" promptTitle="Credit value" sqref="B6" xr:uid="{140EE40A-8CF6-47EE-BF12-0B814D795585}"/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76A7B056-43A4-468E-ABDB-AD25398B260F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E08D4059-AB4B-4EAF-8990-2FD35D18370C}">
      <formula1>"0,1,2,3"</formula1>
    </dataValidation>
    <dataValidation type="list" errorStyle="warning" allowBlank="1" showInputMessage="1" showErrorMessage="1" errorTitle="Non-standard credit weighting" promptTitle="Credit value" sqref="D5" xr:uid="{7C341B23-3706-43E3-BFE8-ACF23C7C2CDB}">
      <formula1>"Yes, No"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E11F-07EC-4A27-B7DF-79E19F8A4258}">
  <dimension ref="A1:AD53"/>
  <sheetViews>
    <sheetView zoomScale="120" zoomScaleNormal="120" workbookViewId="0">
      <selection activeCell="C10" sqref="C10"/>
    </sheetView>
  </sheetViews>
  <sheetFormatPr baseColWidth="10" defaultColWidth="11.5" defaultRowHeight="15" x14ac:dyDescent="0.2"/>
  <cols>
    <col min="1" max="1" width="16.33203125" customWidth="1"/>
    <col min="2" max="2" width="15.33203125" customWidth="1"/>
    <col min="3" max="3" width="15.5" customWidth="1"/>
    <col min="4" max="4" width="8.83203125" customWidth="1"/>
    <col min="5" max="5" width="11.1640625" customWidth="1"/>
    <col min="6" max="6" width="9.83203125" customWidth="1"/>
    <col min="7" max="7" width="13.1640625" customWidth="1"/>
    <col min="8" max="8" width="8.5" customWidth="1"/>
    <col min="9" max="9" width="4.83203125" style="10" customWidth="1"/>
    <col min="10" max="10" width="6" style="10" customWidth="1"/>
    <col min="11" max="18" width="4.83203125" style="10" customWidth="1"/>
    <col min="19" max="19" width="4.6640625" style="10" customWidth="1"/>
    <col min="20" max="20" width="4.83203125" style="10" customWidth="1"/>
    <col min="21" max="21" width="5.33203125" style="10" customWidth="1"/>
    <col min="22" max="22" width="7.1640625" style="10" customWidth="1"/>
    <col min="23" max="23" width="4.83203125" style="10" customWidth="1"/>
    <col min="26" max="26" width="7.5" customWidth="1"/>
    <col min="27" max="27" width="6.5" customWidth="1"/>
    <col min="28" max="28" width="7.5" customWidth="1"/>
    <col min="29" max="29" width="8" customWidth="1"/>
  </cols>
  <sheetData>
    <row r="1" spans="1:25" ht="25" thickBot="1" x14ac:dyDescent="0.35">
      <c r="A1" s="9" t="s">
        <v>63</v>
      </c>
      <c r="B1" s="6"/>
      <c r="I1" s="164" t="s">
        <v>80</v>
      </c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</row>
    <row r="2" spans="1:25" ht="32" x14ac:dyDescent="0.3">
      <c r="A2" s="8" t="s">
        <v>49</v>
      </c>
      <c r="B2" s="37">
        <v>476</v>
      </c>
      <c r="D2" s="136" t="s">
        <v>64</v>
      </c>
      <c r="E2" s="136" t="s">
        <v>69</v>
      </c>
      <c r="F2" s="136" t="s">
        <v>65</v>
      </c>
      <c r="G2" s="136" t="s">
        <v>66</v>
      </c>
      <c r="H2" s="136" t="s">
        <v>67</v>
      </c>
      <c r="I2" s="10">
        <v>1</v>
      </c>
      <c r="J2" s="10">
        <v>2</v>
      </c>
      <c r="K2" s="10">
        <v>3</v>
      </c>
      <c r="L2" s="10">
        <v>4</v>
      </c>
      <c r="M2" s="10">
        <v>5</v>
      </c>
      <c r="N2" s="10">
        <v>6</v>
      </c>
      <c r="O2" s="103">
        <v>7</v>
      </c>
      <c r="P2" s="10">
        <v>8</v>
      </c>
      <c r="Q2" s="10">
        <v>9</v>
      </c>
      <c r="R2" s="10">
        <v>10</v>
      </c>
      <c r="S2" s="10">
        <v>11</v>
      </c>
      <c r="T2" s="10">
        <v>12</v>
      </c>
      <c r="U2" s="10">
        <v>13</v>
      </c>
      <c r="V2" s="10">
        <v>14</v>
      </c>
      <c r="W2" s="10">
        <v>15</v>
      </c>
    </row>
    <row r="3" spans="1:25" ht="48" x14ac:dyDescent="0.2">
      <c r="A3" s="7" t="s">
        <v>52</v>
      </c>
      <c r="B3" s="48" t="s">
        <v>244</v>
      </c>
      <c r="F3" s="169" t="s">
        <v>97</v>
      </c>
      <c r="I3" s="137">
        <f>IFERROR(MATCH(I$2,$G$9:$G$17,0),0)</f>
        <v>0</v>
      </c>
      <c r="J3" s="137">
        <f t="shared" ref="J3:W3" si="0">IFERROR(MATCH(J$2,$G$9:$G$17,0),0)</f>
        <v>0</v>
      </c>
      <c r="K3" s="137">
        <f t="shared" si="0"/>
        <v>0</v>
      </c>
      <c r="L3" s="137">
        <f t="shared" si="0"/>
        <v>0</v>
      </c>
      <c r="M3" s="137">
        <f t="shared" si="0"/>
        <v>0</v>
      </c>
      <c r="N3" s="137">
        <f t="shared" si="0"/>
        <v>0</v>
      </c>
      <c r="O3" s="137">
        <f t="shared" si="0"/>
        <v>0</v>
      </c>
      <c r="P3" s="137">
        <f t="shared" si="0"/>
        <v>0</v>
      </c>
      <c r="Q3" s="137">
        <f t="shared" si="0"/>
        <v>0</v>
      </c>
      <c r="R3" s="137">
        <f t="shared" si="0"/>
        <v>0</v>
      </c>
      <c r="S3" s="137">
        <f t="shared" si="0"/>
        <v>0</v>
      </c>
      <c r="T3" s="137">
        <f t="shared" si="0"/>
        <v>1</v>
      </c>
      <c r="U3" s="137">
        <f t="shared" si="0"/>
        <v>0</v>
      </c>
      <c r="V3" s="137">
        <f t="shared" si="0"/>
        <v>0</v>
      </c>
      <c r="W3" s="137">
        <f t="shared" si="0"/>
        <v>0</v>
      </c>
      <c r="X3" s="91" t="s">
        <v>191</v>
      </c>
    </row>
    <row r="4" spans="1:25" x14ac:dyDescent="0.2">
      <c r="A4" s="7" t="s">
        <v>53</v>
      </c>
      <c r="B4" s="38" t="s">
        <v>245</v>
      </c>
      <c r="F4" s="170"/>
      <c r="I4" s="137">
        <f ca="1">IFERROR(MATCH(I$2, OFFSET($G$9,I3,0,ROWS($G9:$G$17)-I3),0)+I3,0)</f>
        <v>0</v>
      </c>
      <c r="J4" s="137">
        <f ca="1">IFERROR(MATCH(J$2, OFFSET($G$9,J3,0,ROWS($G9:$G$17)-J3),0)+J3,0)</f>
        <v>0</v>
      </c>
      <c r="K4" s="137">
        <f ca="1">IFERROR(MATCH(K$2, OFFSET($G$9,K3,0,ROWS($G9:$G$17)-K3),0)+K3,0)</f>
        <v>0</v>
      </c>
      <c r="L4" s="137">
        <f ca="1">IFERROR(MATCH(L$2, OFFSET($G$9,L3,0,ROWS($G9:$G$17)-L3),0)+L3,0)</f>
        <v>0</v>
      </c>
      <c r="M4" s="137">
        <f ca="1">IFERROR(MATCH(M$2, OFFSET($G$9,M3,0,ROWS($G9:$G$17)-M3),0)+M3,0)</f>
        <v>0</v>
      </c>
      <c r="N4" s="137">
        <f ca="1">IFERROR(MATCH(N$2, OFFSET($G$9,N3,0,ROWS($G9:$G$17)-N3),0)+N3,0)</f>
        <v>0</v>
      </c>
      <c r="O4" s="137">
        <f ca="1">IFERROR(MATCH(O$2, OFFSET($G$9,O3,0,ROWS($G9:$G$17)-O3),0)+O3,0)</f>
        <v>0</v>
      </c>
      <c r="P4" s="137">
        <f ca="1">IFERROR(MATCH(P$2, OFFSET($G$9,P3,0,ROWS($G9:$G$17)-P3),0)+P3,0)</f>
        <v>0</v>
      </c>
      <c r="Q4" s="137">
        <f ca="1">IFERROR(MATCH(Q$2, OFFSET($G$9,Q3,0,ROWS($G9:$G$17)-Q3),0)+Q3,0)</f>
        <v>0</v>
      </c>
      <c r="R4" s="137">
        <f ca="1">IFERROR(MATCH(R$2, OFFSET($G$9,R3,0,ROWS($G9:$G$17)-R3),0)+R3,0)</f>
        <v>0</v>
      </c>
      <c r="S4" s="137">
        <f ca="1">IFERROR(MATCH(S$2, OFFSET($G$9,S3,0,ROWS($G9:$G$17)-S3),0)+S3,0)</f>
        <v>0</v>
      </c>
      <c r="T4" s="137">
        <f ca="1">IFERROR(MATCH(T$2, OFFSET($G$9,T3,0,ROWS($G9:$G$17)-T3),0)+T3,0)</f>
        <v>0</v>
      </c>
      <c r="U4" s="137">
        <f ca="1">IFERROR(MATCH(U$2, OFFSET($G$9,U3,0,ROWS($G9:$G$17)-U3),0)+U3,0)</f>
        <v>0</v>
      </c>
      <c r="V4" s="137">
        <f ca="1">IFERROR(MATCH(V$2, OFFSET($G$9,V3,0,ROWS($G9:$G$17)-V3),0)+V3,0)</f>
        <v>0</v>
      </c>
      <c r="W4" s="137">
        <f ca="1">IFERROR(MATCH(W$2, OFFSET($G$9,W3,0,ROWS($G9:$G$17)-W3),0)+W3,0)</f>
        <v>0</v>
      </c>
      <c r="X4" s="91" t="s">
        <v>191</v>
      </c>
    </row>
    <row r="5" spans="1:25" x14ac:dyDescent="0.2">
      <c r="A5" t="s">
        <v>50</v>
      </c>
      <c r="B5" s="45">
        <v>1</v>
      </c>
      <c r="F5" s="170"/>
      <c r="I5" s="85">
        <f ca="1">OFFSET($E$9,I3-1,0)</f>
        <v>0</v>
      </c>
      <c r="J5" s="85">
        <f t="shared" ref="J5:W6" ca="1" si="1">OFFSET($E$9,J3-1,0)</f>
        <v>0</v>
      </c>
      <c r="K5" s="85">
        <f t="shared" ca="1" si="1"/>
        <v>0</v>
      </c>
      <c r="L5" s="85">
        <f t="shared" ca="1" si="1"/>
        <v>0</v>
      </c>
      <c r="M5" s="85">
        <f t="shared" ca="1" si="1"/>
        <v>0</v>
      </c>
      <c r="N5" s="85">
        <f t="shared" ca="1" si="1"/>
        <v>0</v>
      </c>
      <c r="O5" s="85">
        <f t="shared" ca="1" si="1"/>
        <v>0</v>
      </c>
      <c r="P5" s="85">
        <f t="shared" ca="1" si="1"/>
        <v>0</v>
      </c>
      <c r="Q5" s="85">
        <f t="shared" ca="1" si="1"/>
        <v>0</v>
      </c>
      <c r="R5" s="85">
        <f t="shared" ca="1" si="1"/>
        <v>0</v>
      </c>
      <c r="S5" s="85">
        <f t="shared" ca="1" si="1"/>
        <v>0</v>
      </c>
      <c r="T5" s="85">
        <f t="shared" ca="1" si="1"/>
        <v>4</v>
      </c>
      <c r="U5" s="85">
        <f t="shared" ca="1" si="1"/>
        <v>0</v>
      </c>
      <c r="V5" s="85">
        <f t="shared" ca="1" si="1"/>
        <v>0</v>
      </c>
      <c r="W5" s="85">
        <f t="shared" ca="1" si="1"/>
        <v>0</v>
      </c>
      <c r="X5" s="91" t="s">
        <v>192</v>
      </c>
    </row>
    <row r="6" spans="1:25" x14ac:dyDescent="0.2">
      <c r="A6" t="s">
        <v>51</v>
      </c>
      <c r="B6" s="45">
        <v>15</v>
      </c>
      <c r="D6">
        <f>B6*10</f>
        <v>150</v>
      </c>
      <c r="F6" s="170"/>
      <c r="I6" s="85">
        <f ca="1">OFFSET($E$9,I4-1,0)</f>
        <v>0</v>
      </c>
      <c r="J6" s="85">
        <f t="shared" ca="1" si="1"/>
        <v>0</v>
      </c>
      <c r="K6" s="85">
        <f t="shared" ca="1" si="1"/>
        <v>0</v>
      </c>
      <c r="L6" s="85">
        <f t="shared" ca="1" si="1"/>
        <v>0</v>
      </c>
      <c r="M6" s="85">
        <f t="shared" ca="1" si="1"/>
        <v>0</v>
      </c>
      <c r="N6" s="85">
        <f t="shared" ca="1" si="1"/>
        <v>0</v>
      </c>
      <c r="O6" s="85">
        <f t="shared" ca="1" si="1"/>
        <v>0</v>
      </c>
      <c r="P6" s="85">
        <f t="shared" ca="1" si="1"/>
        <v>0</v>
      </c>
      <c r="Q6" s="85">
        <f t="shared" ca="1" si="1"/>
        <v>0</v>
      </c>
      <c r="R6" s="85">
        <f t="shared" ca="1" si="1"/>
        <v>0</v>
      </c>
      <c r="S6" s="85">
        <f t="shared" ca="1" si="1"/>
        <v>0</v>
      </c>
      <c r="T6" s="85">
        <f t="shared" ca="1" si="1"/>
        <v>0</v>
      </c>
      <c r="U6" s="85">
        <f t="shared" ca="1" si="1"/>
        <v>0</v>
      </c>
      <c r="V6" s="85">
        <f t="shared" ca="1" si="1"/>
        <v>0</v>
      </c>
      <c r="W6" s="85">
        <f t="shared" ca="1" si="1"/>
        <v>0</v>
      </c>
      <c r="X6" s="91" t="s">
        <v>193</v>
      </c>
    </row>
    <row r="7" spans="1:25" x14ac:dyDescent="0.2">
      <c r="A7" t="s">
        <v>59</v>
      </c>
      <c r="B7" s="45">
        <v>30</v>
      </c>
      <c r="D7">
        <f>B6*10*B7/100</f>
        <v>45</v>
      </c>
      <c r="F7" s="170"/>
      <c r="I7" s="85">
        <f ca="1">SUM(I5:I6)</f>
        <v>0</v>
      </c>
      <c r="J7" s="85">
        <f t="shared" ref="J7:W7" ca="1" si="2">SUM(J5:J6)</f>
        <v>0</v>
      </c>
      <c r="K7" s="85">
        <f t="shared" ca="1" si="2"/>
        <v>0</v>
      </c>
      <c r="L7" s="85">
        <f t="shared" ca="1" si="2"/>
        <v>0</v>
      </c>
      <c r="M7" s="85">
        <f t="shared" ca="1" si="2"/>
        <v>0</v>
      </c>
      <c r="N7" s="85">
        <f t="shared" ca="1" si="2"/>
        <v>0</v>
      </c>
      <c r="O7" s="85">
        <f t="shared" ca="1" si="2"/>
        <v>0</v>
      </c>
      <c r="P7" s="85">
        <f t="shared" ca="1" si="2"/>
        <v>0</v>
      </c>
      <c r="Q7" s="85">
        <f t="shared" ca="1" si="2"/>
        <v>0</v>
      </c>
      <c r="R7" s="85">
        <f t="shared" ca="1" si="2"/>
        <v>0</v>
      </c>
      <c r="S7" s="85">
        <f t="shared" ca="1" si="2"/>
        <v>0</v>
      </c>
      <c r="T7" s="85">
        <f t="shared" ca="1" si="2"/>
        <v>4</v>
      </c>
      <c r="U7" s="85">
        <f t="shared" ca="1" si="2"/>
        <v>0</v>
      </c>
      <c r="V7" s="85">
        <f t="shared" ca="1" si="2"/>
        <v>0</v>
      </c>
      <c r="W7" s="85">
        <f t="shared" ca="1" si="2"/>
        <v>0</v>
      </c>
      <c r="X7" s="91" t="s">
        <v>194</v>
      </c>
    </row>
    <row r="8" spans="1:25" ht="16" thickBot="1" x14ac:dyDescent="0.25">
      <c r="A8" t="s">
        <v>55</v>
      </c>
      <c r="B8" s="45">
        <v>1</v>
      </c>
      <c r="H8" s="52" t="s">
        <v>87</v>
      </c>
      <c r="I8" s="81" t="str" cm="1">
        <f t="array" ref="I8">IFERROR(INDEX($C9:$C17,MATCH(TRUE,I9:I17&lt;&gt;"",0)),"")</f>
        <v/>
      </c>
      <c r="J8" s="81"/>
      <c r="K8" s="81" t="str" cm="1">
        <f t="array" ref="K8">IFERROR(INDEX($C9:$C17,MATCH(TRUE,K9:K17&lt;&gt;"",0)),"")</f>
        <v/>
      </c>
      <c r="L8" s="81"/>
      <c r="M8" s="81" t="str" cm="1">
        <f t="array" ref="M8">IFERROR(INDEX($C9:$C17,MATCH(TRUE,M9:M17&lt;&gt;"",0)),"")</f>
        <v/>
      </c>
      <c r="N8" s="81"/>
      <c r="O8" s="81" t="str" cm="1">
        <f t="array" ref="O8">IFERROR(INDEX($C9:$C17,MATCH(TRUE,O9:O17&lt;&gt;"",0)),"")</f>
        <v/>
      </c>
      <c r="P8" s="81"/>
      <c r="Q8" s="81" t="str" cm="1">
        <f t="array" ref="Q8">IFERROR(INDEX($C9:$C17,MATCH(TRUE,Q9:Q17&lt;&gt;"",0)),"")</f>
        <v/>
      </c>
      <c r="R8" s="81"/>
      <c r="S8" s="81" t="str" cm="1">
        <f t="array" ref="S8">IFERROR(INDEX($C9:$C17,MATCH(TRUE,S9:S17&lt;&gt;"",0)),"")</f>
        <v/>
      </c>
      <c r="T8" s="81"/>
      <c r="U8" s="81" t="str" cm="1">
        <f t="array" ref="U8">IFERROR(INDEX($C9:$C17,MATCH(TRUE,U9:U17&lt;&gt;"",0)),"")</f>
        <v/>
      </c>
      <c r="V8" s="81" t="str" cm="1">
        <f t="array" ref="V8">IFERROR(INDEX($C9:$C17,MATCH(TRUE,V9:V17&lt;&gt;"",0)),"")</f>
        <v/>
      </c>
      <c r="W8" s="81" t="str" cm="1">
        <f t="array" ref="W8">IFERROR(INDEX($C9:$C17,MATCH(TRUE,W9:W17&lt;&gt;"",0)),"")</f>
        <v/>
      </c>
    </row>
    <row r="9" spans="1:25" x14ac:dyDescent="0.2">
      <c r="A9" t="s">
        <v>58</v>
      </c>
      <c r="B9" s="46">
        <v>30</v>
      </c>
      <c r="C9" s="40" t="s">
        <v>236</v>
      </c>
      <c r="D9">
        <f>B$6*10*B9/100</f>
        <v>45</v>
      </c>
      <c r="E9" s="29">
        <v>4</v>
      </c>
      <c r="F9" s="42"/>
      <c r="G9" s="30">
        <v>12</v>
      </c>
      <c r="I9" s="19" t="str">
        <f>IF(I$2=$G9,"Yes",T(1))</f>
        <v/>
      </c>
      <c r="J9" s="19" t="str">
        <f>IF(J$2=$G9,"Yes",T(1))</f>
        <v/>
      </c>
      <c r="K9" s="19" t="str">
        <f t="shared" ref="K9:W9" si="3">IF(K$2=$G9,"Yes",T(1))</f>
        <v/>
      </c>
      <c r="L9" s="19" t="str">
        <f t="shared" si="3"/>
        <v/>
      </c>
      <c r="M9" s="19" t="str">
        <f t="shared" si="3"/>
        <v/>
      </c>
      <c r="N9" s="19" t="str">
        <f t="shared" si="3"/>
        <v/>
      </c>
      <c r="O9" s="104" t="str">
        <f t="shared" si="3"/>
        <v/>
      </c>
      <c r="P9" s="19" t="str">
        <f t="shared" si="3"/>
        <v/>
      </c>
      <c r="Q9" s="19" t="str">
        <f t="shared" si="3"/>
        <v/>
      </c>
      <c r="R9" s="19" t="str">
        <f t="shared" si="3"/>
        <v/>
      </c>
      <c r="S9" s="19" t="str">
        <f>IF(S$2=$G9,"Yes",T(1))</f>
        <v/>
      </c>
      <c r="T9" s="19" t="str">
        <f t="shared" si="3"/>
        <v>Yes</v>
      </c>
      <c r="U9" s="19" t="str">
        <f t="shared" si="3"/>
        <v/>
      </c>
      <c r="V9" s="19" t="str">
        <f t="shared" si="3"/>
        <v/>
      </c>
      <c r="W9" s="19" t="str">
        <f t="shared" si="3"/>
        <v/>
      </c>
      <c r="X9" s="135">
        <f>E9</f>
        <v>4</v>
      </c>
    </row>
    <row r="10" spans="1:25" x14ac:dyDescent="0.2">
      <c r="A10" t="s">
        <v>57</v>
      </c>
      <c r="B10" s="46"/>
      <c r="C10" s="40"/>
      <c r="D10">
        <f>B$6*10*B10/100</f>
        <v>0</v>
      </c>
      <c r="E10" s="31"/>
      <c r="F10" s="43"/>
      <c r="G10" s="32"/>
      <c r="I10" s="19" t="str">
        <f t="shared" ref="I10:W17" si="4">IF(I$2=$G10,"Yes",T(1))</f>
        <v/>
      </c>
      <c r="J10" s="19" t="str">
        <f t="shared" si="4"/>
        <v/>
      </c>
      <c r="K10" s="19" t="str">
        <f t="shared" si="4"/>
        <v/>
      </c>
      <c r="L10" s="19" t="str">
        <f t="shared" si="4"/>
        <v/>
      </c>
      <c r="M10" s="19" t="str">
        <f t="shared" si="4"/>
        <v/>
      </c>
      <c r="N10" s="19" t="str">
        <f t="shared" si="4"/>
        <v/>
      </c>
      <c r="O10" s="104" t="str">
        <f t="shared" si="4"/>
        <v/>
      </c>
      <c r="P10" s="19" t="str">
        <f t="shared" si="4"/>
        <v/>
      </c>
      <c r="Q10" s="19" t="str">
        <f t="shared" si="4"/>
        <v/>
      </c>
      <c r="R10" s="19" t="str">
        <f t="shared" si="4"/>
        <v/>
      </c>
      <c r="S10" s="19" t="str">
        <f t="shared" si="4"/>
        <v/>
      </c>
      <c r="T10" s="19" t="str">
        <f t="shared" si="4"/>
        <v/>
      </c>
      <c r="U10" s="19" t="str">
        <f t="shared" si="4"/>
        <v/>
      </c>
      <c r="V10" s="19" t="str">
        <f t="shared" si="4"/>
        <v/>
      </c>
      <c r="W10" s="19" t="str">
        <f t="shared" si="4"/>
        <v/>
      </c>
      <c r="X10" s="135">
        <f t="shared" ref="X10:X17" si="5">E10</f>
        <v>0</v>
      </c>
      <c r="Y10" t="s">
        <v>190</v>
      </c>
    </row>
    <row r="11" spans="1:25" x14ac:dyDescent="0.2">
      <c r="A11" t="s">
        <v>56</v>
      </c>
      <c r="B11" s="46"/>
      <c r="C11" s="40"/>
      <c r="D11">
        <f t="shared" ref="D11:D17" si="6">B$6*10*B11/100</f>
        <v>0</v>
      </c>
      <c r="E11" s="31"/>
      <c r="F11" s="43"/>
      <c r="G11" s="32"/>
      <c r="I11" s="19" t="str">
        <f t="shared" si="4"/>
        <v/>
      </c>
      <c r="J11" s="19" t="str">
        <f t="shared" si="4"/>
        <v/>
      </c>
      <c r="K11" s="19" t="str">
        <f t="shared" si="4"/>
        <v/>
      </c>
      <c r="L11" s="19" t="str">
        <f t="shared" si="4"/>
        <v/>
      </c>
      <c r="M11" s="19" t="str">
        <f t="shared" si="4"/>
        <v/>
      </c>
      <c r="N11" s="19" t="str">
        <f t="shared" si="4"/>
        <v/>
      </c>
      <c r="O11" s="104" t="str">
        <f t="shared" si="4"/>
        <v/>
      </c>
      <c r="P11" s="19" t="str">
        <f t="shared" si="4"/>
        <v/>
      </c>
      <c r="Q11" s="19" t="str">
        <f t="shared" si="4"/>
        <v/>
      </c>
      <c r="R11" s="19" t="str">
        <f t="shared" si="4"/>
        <v/>
      </c>
      <c r="S11" s="19" t="str">
        <f t="shared" si="4"/>
        <v/>
      </c>
      <c r="T11" s="19" t="str">
        <f t="shared" si="4"/>
        <v/>
      </c>
      <c r="U11" s="19" t="str">
        <f t="shared" si="4"/>
        <v/>
      </c>
      <c r="V11" s="19" t="str">
        <f t="shared" si="4"/>
        <v/>
      </c>
      <c r="W11" s="19" t="str">
        <f t="shared" si="4"/>
        <v/>
      </c>
      <c r="X11" s="135">
        <f t="shared" si="5"/>
        <v>0</v>
      </c>
    </row>
    <row r="12" spans="1:25" x14ac:dyDescent="0.2">
      <c r="A12" t="s">
        <v>60</v>
      </c>
      <c r="B12" s="46"/>
      <c r="C12" s="40"/>
      <c r="D12">
        <f t="shared" si="6"/>
        <v>0</v>
      </c>
      <c r="E12" s="31"/>
      <c r="F12" s="43"/>
      <c r="G12" s="32"/>
      <c r="I12" s="19" t="str">
        <f t="shared" si="4"/>
        <v/>
      </c>
      <c r="J12" s="19" t="str">
        <f t="shared" si="4"/>
        <v/>
      </c>
      <c r="K12" s="19" t="str">
        <f t="shared" si="4"/>
        <v/>
      </c>
      <c r="L12" s="19" t="str">
        <f t="shared" si="4"/>
        <v/>
      </c>
      <c r="M12" s="19" t="str">
        <f t="shared" si="4"/>
        <v/>
      </c>
      <c r="N12" s="19" t="str">
        <f t="shared" si="4"/>
        <v/>
      </c>
      <c r="O12" s="104" t="str">
        <f t="shared" si="4"/>
        <v/>
      </c>
      <c r="P12" s="19" t="str">
        <f t="shared" si="4"/>
        <v/>
      </c>
      <c r="Q12" s="19" t="str">
        <f t="shared" si="4"/>
        <v/>
      </c>
      <c r="R12" s="19" t="str">
        <f t="shared" si="4"/>
        <v/>
      </c>
      <c r="S12" s="19" t="str">
        <f t="shared" si="4"/>
        <v/>
      </c>
      <c r="T12" s="19" t="str">
        <f t="shared" si="4"/>
        <v/>
      </c>
      <c r="U12" s="19" t="str">
        <f t="shared" si="4"/>
        <v/>
      </c>
      <c r="V12" s="19" t="str">
        <f t="shared" si="4"/>
        <v/>
      </c>
      <c r="W12" s="19" t="str">
        <f t="shared" si="4"/>
        <v/>
      </c>
      <c r="X12" s="135">
        <f t="shared" si="5"/>
        <v>0</v>
      </c>
    </row>
    <row r="13" spans="1:25" x14ac:dyDescent="0.2">
      <c r="A13" t="s">
        <v>61</v>
      </c>
      <c r="B13" s="46"/>
      <c r="C13" s="40"/>
      <c r="D13">
        <f t="shared" si="6"/>
        <v>0</v>
      </c>
      <c r="E13" s="31"/>
      <c r="F13" s="43"/>
      <c r="G13" s="32"/>
      <c r="I13" s="19" t="str">
        <f t="shared" si="4"/>
        <v/>
      </c>
      <c r="J13" s="19" t="str">
        <f t="shared" si="4"/>
        <v/>
      </c>
      <c r="K13" s="19" t="str">
        <f t="shared" si="4"/>
        <v/>
      </c>
      <c r="L13" s="19" t="str">
        <f t="shared" si="4"/>
        <v/>
      </c>
      <c r="M13" s="19" t="str">
        <f t="shared" si="4"/>
        <v/>
      </c>
      <c r="N13" s="19" t="str">
        <f t="shared" si="4"/>
        <v/>
      </c>
      <c r="O13" s="104" t="str">
        <f t="shared" si="4"/>
        <v/>
      </c>
      <c r="P13" s="19" t="str">
        <f t="shared" si="4"/>
        <v/>
      </c>
      <c r="Q13" s="19" t="str">
        <f t="shared" si="4"/>
        <v/>
      </c>
      <c r="R13" s="19" t="str">
        <f t="shared" si="4"/>
        <v/>
      </c>
      <c r="S13" s="19" t="str">
        <f t="shared" si="4"/>
        <v/>
      </c>
      <c r="T13" s="19" t="str">
        <f t="shared" si="4"/>
        <v/>
      </c>
      <c r="U13" s="19" t="str">
        <f t="shared" si="4"/>
        <v/>
      </c>
      <c r="V13" s="19" t="str">
        <f t="shared" si="4"/>
        <v/>
      </c>
      <c r="W13" s="19" t="str">
        <f t="shared" si="4"/>
        <v/>
      </c>
      <c r="X13" s="135">
        <f t="shared" si="5"/>
        <v>0</v>
      </c>
    </row>
    <row r="14" spans="1:25" x14ac:dyDescent="0.2">
      <c r="A14" t="s">
        <v>62</v>
      </c>
      <c r="B14" s="46"/>
      <c r="C14" s="40"/>
      <c r="D14">
        <f t="shared" si="6"/>
        <v>0</v>
      </c>
      <c r="E14" s="31"/>
      <c r="F14" s="43"/>
      <c r="G14" s="32"/>
      <c r="I14" s="19" t="str">
        <f t="shared" si="4"/>
        <v/>
      </c>
      <c r="J14" s="19" t="str">
        <f t="shared" si="4"/>
        <v/>
      </c>
      <c r="K14" s="19" t="str">
        <f t="shared" si="4"/>
        <v/>
      </c>
      <c r="L14" s="19" t="str">
        <f t="shared" si="4"/>
        <v/>
      </c>
      <c r="M14" s="19" t="str">
        <f t="shared" si="4"/>
        <v/>
      </c>
      <c r="N14" s="19" t="str">
        <f t="shared" si="4"/>
        <v/>
      </c>
      <c r="O14" s="104" t="str">
        <f t="shared" si="4"/>
        <v/>
      </c>
      <c r="P14" s="19" t="str">
        <f t="shared" si="4"/>
        <v/>
      </c>
      <c r="Q14" s="19" t="str">
        <f t="shared" si="4"/>
        <v/>
      </c>
      <c r="R14" s="19" t="str">
        <f t="shared" si="4"/>
        <v/>
      </c>
      <c r="S14" s="19" t="str">
        <f t="shared" si="4"/>
        <v/>
      </c>
      <c r="T14" s="19" t="str">
        <f t="shared" si="4"/>
        <v/>
      </c>
      <c r="U14" s="19" t="str">
        <f t="shared" si="4"/>
        <v/>
      </c>
      <c r="V14" s="19" t="str">
        <f t="shared" si="4"/>
        <v/>
      </c>
      <c r="W14" s="19" t="str">
        <f t="shared" si="4"/>
        <v/>
      </c>
      <c r="X14" s="135">
        <f t="shared" si="5"/>
        <v>0</v>
      </c>
    </row>
    <row r="15" spans="1:25" x14ac:dyDescent="0.2">
      <c r="A15" t="s">
        <v>102</v>
      </c>
      <c r="B15" s="46"/>
      <c r="C15" s="40"/>
      <c r="D15">
        <f t="shared" si="6"/>
        <v>0</v>
      </c>
      <c r="E15" s="31"/>
      <c r="F15" s="43"/>
      <c r="G15" s="32"/>
      <c r="I15" s="19" t="str">
        <f t="shared" si="4"/>
        <v/>
      </c>
      <c r="J15" s="19" t="str">
        <f t="shared" si="4"/>
        <v/>
      </c>
      <c r="K15" s="19" t="str">
        <f t="shared" si="4"/>
        <v/>
      </c>
      <c r="L15" s="19" t="str">
        <f t="shared" si="4"/>
        <v/>
      </c>
      <c r="M15" s="19" t="str">
        <f t="shared" si="4"/>
        <v/>
      </c>
      <c r="N15" s="19" t="str">
        <f t="shared" si="4"/>
        <v/>
      </c>
      <c r="O15" s="104" t="str">
        <f t="shared" si="4"/>
        <v/>
      </c>
      <c r="P15" s="19" t="str">
        <f t="shared" si="4"/>
        <v/>
      </c>
      <c r="Q15" s="19" t="str">
        <f t="shared" si="4"/>
        <v/>
      </c>
      <c r="R15" s="19" t="str">
        <f t="shared" si="4"/>
        <v/>
      </c>
      <c r="S15" s="19" t="str">
        <f t="shared" si="4"/>
        <v/>
      </c>
      <c r="T15" s="19" t="str">
        <f t="shared" si="4"/>
        <v/>
      </c>
      <c r="U15" s="19" t="str">
        <f t="shared" si="4"/>
        <v/>
      </c>
      <c r="V15" s="19" t="str">
        <f t="shared" si="4"/>
        <v/>
      </c>
      <c r="W15" s="19" t="str">
        <f t="shared" si="4"/>
        <v/>
      </c>
      <c r="X15" s="135">
        <f t="shared" si="5"/>
        <v>0</v>
      </c>
    </row>
    <row r="16" spans="1:25" x14ac:dyDescent="0.2">
      <c r="A16" t="s">
        <v>103</v>
      </c>
      <c r="B16" s="46"/>
      <c r="C16" s="40"/>
      <c r="D16">
        <f t="shared" si="6"/>
        <v>0</v>
      </c>
      <c r="E16" s="31"/>
      <c r="F16" s="43"/>
      <c r="G16" s="32"/>
      <c r="I16" s="19" t="str">
        <f t="shared" si="4"/>
        <v/>
      </c>
      <c r="J16" s="19" t="str">
        <f t="shared" si="4"/>
        <v/>
      </c>
      <c r="K16" s="19" t="str">
        <f t="shared" si="4"/>
        <v/>
      </c>
      <c r="L16" s="19" t="str">
        <f t="shared" si="4"/>
        <v/>
      </c>
      <c r="M16" s="19" t="str">
        <f t="shared" si="4"/>
        <v/>
      </c>
      <c r="N16" s="19" t="str">
        <f t="shared" si="4"/>
        <v/>
      </c>
      <c r="O16" s="104" t="str">
        <f t="shared" si="4"/>
        <v/>
      </c>
      <c r="P16" s="19" t="str">
        <f t="shared" si="4"/>
        <v/>
      </c>
      <c r="Q16" s="19" t="str">
        <f t="shared" si="4"/>
        <v/>
      </c>
      <c r="R16" s="19" t="str">
        <f t="shared" si="4"/>
        <v/>
      </c>
      <c r="S16" s="19" t="str">
        <f t="shared" si="4"/>
        <v/>
      </c>
      <c r="T16" s="19" t="str">
        <f t="shared" si="4"/>
        <v/>
      </c>
      <c r="U16" s="19" t="str">
        <f t="shared" si="4"/>
        <v/>
      </c>
      <c r="V16" s="19" t="str">
        <f t="shared" si="4"/>
        <v/>
      </c>
      <c r="W16" s="19" t="str">
        <f t="shared" si="4"/>
        <v/>
      </c>
      <c r="X16" s="135">
        <f t="shared" si="5"/>
        <v>0</v>
      </c>
    </row>
    <row r="17" spans="1:30" ht="16" thickBot="1" x14ac:dyDescent="0.25">
      <c r="A17" t="s">
        <v>104</v>
      </c>
      <c r="B17" s="47"/>
      <c r="C17" s="41"/>
      <c r="D17">
        <f t="shared" si="6"/>
        <v>0</v>
      </c>
      <c r="E17" s="33"/>
      <c r="F17" s="44"/>
      <c r="G17" s="34"/>
      <c r="I17" s="19" t="str">
        <f t="shared" si="4"/>
        <v/>
      </c>
      <c r="J17" s="19" t="str">
        <f t="shared" si="4"/>
        <v/>
      </c>
      <c r="K17" s="19" t="str">
        <f t="shared" si="4"/>
        <v/>
      </c>
      <c r="L17" s="19" t="str">
        <f t="shared" si="4"/>
        <v/>
      </c>
      <c r="M17" s="19" t="str">
        <f t="shared" si="4"/>
        <v/>
      </c>
      <c r="N17" s="19" t="str">
        <f t="shared" si="4"/>
        <v/>
      </c>
      <c r="O17" s="104" t="str">
        <f t="shared" si="4"/>
        <v/>
      </c>
      <c r="P17" s="19" t="str">
        <f t="shared" si="4"/>
        <v/>
      </c>
      <c r="Q17" s="19" t="str">
        <f t="shared" si="4"/>
        <v/>
      </c>
      <c r="R17" s="19" t="str">
        <f t="shared" si="4"/>
        <v/>
      </c>
      <c r="S17" s="19" t="str">
        <f t="shared" si="4"/>
        <v/>
      </c>
      <c r="T17" s="19" t="str">
        <f t="shared" si="4"/>
        <v/>
      </c>
      <c r="U17" s="19" t="str">
        <f t="shared" si="4"/>
        <v/>
      </c>
      <c r="V17" s="19" t="str">
        <f t="shared" si="4"/>
        <v/>
      </c>
      <c r="W17" s="19" t="str">
        <f t="shared" si="4"/>
        <v/>
      </c>
      <c r="X17" s="135">
        <f t="shared" si="5"/>
        <v>0</v>
      </c>
    </row>
    <row r="18" spans="1:30" ht="16" customHeight="1" x14ac:dyDescent="0.2">
      <c r="A18" s="28" t="s">
        <v>77</v>
      </c>
      <c r="B18" s="28">
        <f>SUM(B9:B17)</f>
        <v>30</v>
      </c>
      <c r="C18" s="59" t="str">
        <f>IF(B18=B7,"% ok","% credits do not add up to stated value")</f>
        <v>% ok</v>
      </c>
      <c r="D18" s="59">
        <f>SUM(D9:D17)</f>
        <v>45</v>
      </c>
      <c r="E18" s="59"/>
    </row>
    <row r="19" spans="1:30" ht="16" thickBot="1" x14ac:dyDescent="0.25">
      <c r="A19" t="s">
        <v>68</v>
      </c>
      <c r="D19">
        <f>D6/15</f>
        <v>10</v>
      </c>
      <c r="U19" s="10" t="s">
        <v>22</v>
      </c>
    </row>
    <row r="20" spans="1:30" ht="34" thickTop="1" thickBot="1" x14ac:dyDescent="0.25">
      <c r="A20" s="63" t="s">
        <v>100</v>
      </c>
      <c r="B20" s="64">
        <f ca="1">SUM(I53:W53)</f>
        <v>1016.2650000000002</v>
      </c>
      <c r="G20" s="11" t="s">
        <v>82</v>
      </c>
      <c r="H20" s="21">
        <f>SUM(I20:W20)</f>
        <v>46</v>
      </c>
      <c r="I20" s="14">
        <v>5</v>
      </c>
      <c r="J20" s="14">
        <v>5</v>
      </c>
      <c r="K20" s="14">
        <v>5</v>
      </c>
      <c r="L20" s="14">
        <v>5</v>
      </c>
      <c r="M20" s="14">
        <v>1</v>
      </c>
      <c r="N20" s="14">
        <v>5</v>
      </c>
      <c r="O20" s="105">
        <v>0</v>
      </c>
      <c r="P20" s="14">
        <v>5</v>
      </c>
      <c r="Q20" s="14">
        <v>5</v>
      </c>
      <c r="R20" s="14">
        <v>5</v>
      </c>
      <c r="S20" s="14">
        <v>5</v>
      </c>
      <c r="T20" s="15">
        <v>0</v>
      </c>
      <c r="U20" s="14">
        <v>0</v>
      </c>
      <c r="V20" s="14">
        <v>0</v>
      </c>
      <c r="W20" s="14">
        <v>0</v>
      </c>
      <c r="X20" s="35" t="s">
        <v>70</v>
      </c>
    </row>
    <row r="21" spans="1:30" ht="17" thickTop="1" thickBot="1" x14ac:dyDescent="0.25">
      <c r="G21" s="11" t="s">
        <v>83</v>
      </c>
      <c r="H21" s="21">
        <f t="shared" ref="H21:H22" ca="1" si="7">SUM(I21:W21)</f>
        <v>71</v>
      </c>
      <c r="I21" s="14">
        <v>1</v>
      </c>
      <c r="J21" s="14">
        <v>1</v>
      </c>
      <c r="K21" s="14">
        <v>2</v>
      </c>
      <c r="L21" s="14">
        <v>1</v>
      </c>
      <c r="M21" s="14">
        <v>2</v>
      </c>
      <c r="N21" s="14">
        <v>1</v>
      </c>
      <c r="O21" s="105">
        <v>2</v>
      </c>
      <c r="P21" s="14">
        <v>1</v>
      </c>
      <c r="Q21" s="14">
        <v>2</v>
      </c>
      <c r="R21" s="14">
        <v>1</v>
      </c>
      <c r="S21" s="14">
        <v>2</v>
      </c>
      <c r="T21" s="15">
        <v>2</v>
      </c>
      <c r="U21" s="14">
        <f ca="1">U34*U31</f>
        <v>7.9499999999999993</v>
      </c>
      <c r="V21" s="14">
        <f ca="1">U34*V31</f>
        <v>15.899999999999999</v>
      </c>
      <c r="W21" s="14">
        <f ca="1">U34*W31</f>
        <v>29.150000000000002</v>
      </c>
      <c r="X21" s="36">
        <v>0</v>
      </c>
      <c r="Y21" t="s">
        <v>88</v>
      </c>
    </row>
    <row r="22" spans="1:30" x14ac:dyDescent="0.2">
      <c r="G22" s="11" t="s">
        <v>84</v>
      </c>
      <c r="H22" s="21">
        <f t="shared" ca="1" si="7"/>
        <v>5</v>
      </c>
      <c r="I22" s="10">
        <f ca="1">I7</f>
        <v>0</v>
      </c>
      <c r="J22" s="10">
        <f t="shared" ref="J22:W22" ca="1" si="8">J7</f>
        <v>0</v>
      </c>
      <c r="K22" s="10">
        <f t="shared" ca="1" si="8"/>
        <v>0</v>
      </c>
      <c r="L22" s="10">
        <f t="shared" ca="1" si="8"/>
        <v>0</v>
      </c>
      <c r="M22" s="10">
        <f t="shared" ca="1" si="8"/>
        <v>0</v>
      </c>
      <c r="N22" s="10">
        <f t="shared" ca="1" si="8"/>
        <v>0</v>
      </c>
      <c r="O22" s="103">
        <f t="shared" ca="1" si="8"/>
        <v>0</v>
      </c>
      <c r="P22" s="10">
        <f t="shared" ca="1" si="8"/>
        <v>0</v>
      </c>
      <c r="Q22" s="10">
        <f t="shared" ca="1" si="8"/>
        <v>0</v>
      </c>
      <c r="R22" s="10">
        <f t="shared" ca="1" si="8"/>
        <v>0</v>
      </c>
      <c r="S22" s="10">
        <f t="shared" ca="1" si="8"/>
        <v>0</v>
      </c>
      <c r="T22" s="10">
        <v>5</v>
      </c>
      <c r="U22" s="60">
        <f t="shared" ca="1" si="8"/>
        <v>0</v>
      </c>
      <c r="V22" s="10">
        <f t="shared" ca="1" si="8"/>
        <v>0</v>
      </c>
      <c r="W22" s="10">
        <f t="shared" ca="1" si="8"/>
        <v>0</v>
      </c>
    </row>
    <row r="23" spans="1:30" x14ac:dyDescent="0.2">
      <c r="G23" s="11" t="s">
        <v>98</v>
      </c>
      <c r="H23" s="21"/>
      <c r="I23" s="114">
        <f ca="1">SUM(I20:I22)</f>
        <v>6</v>
      </c>
      <c r="J23" s="114">
        <f ca="1">MIN(10,I23+SUM(J20:J22))</f>
        <v>10</v>
      </c>
      <c r="K23" s="114">
        <f ca="1">MIN(12,J23+SUM(K20:K22))</f>
        <v>12</v>
      </c>
      <c r="L23" s="114">
        <f ca="1">MIN(14,K23+SUM(L20:L22))</f>
        <v>14</v>
      </c>
      <c r="M23" s="114">
        <f ca="1">MIN(16,L23+SUM(M20:M22))</f>
        <v>16</v>
      </c>
      <c r="N23" s="114">
        <f ca="1">MIN(18,M23+SUM(N20:N22))</f>
        <v>18</v>
      </c>
      <c r="O23" s="114">
        <f t="shared" ref="O23:T23" ca="1" si="9">MIN(20,N23+SUM(O20:O22))</f>
        <v>20</v>
      </c>
      <c r="P23" s="114">
        <f t="shared" ca="1" si="9"/>
        <v>20</v>
      </c>
      <c r="Q23" s="114">
        <f t="shared" ca="1" si="9"/>
        <v>20</v>
      </c>
      <c r="R23" s="114">
        <f t="shared" ca="1" si="9"/>
        <v>20</v>
      </c>
      <c r="S23" s="114">
        <f t="shared" ca="1" si="9"/>
        <v>20</v>
      </c>
      <c r="T23" s="114">
        <f t="shared" ca="1" si="9"/>
        <v>20</v>
      </c>
      <c r="U23" s="60" t="s">
        <v>22</v>
      </c>
      <c r="V23" s="10" t="s">
        <v>22</v>
      </c>
      <c r="W23" s="10" t="s">
        <v>22</v>
      </c>
    </row>
    <row r="24" spans="1:30" x14ac:dyDescent="0.2">
      <c r="G24" t="s">
        <v>76</v>
      </c>
      <c r="I24" s="24">
        <f t="shared" ref="I24:M24" si="10">(IFERROR(_xlfn.XMATCH("Yes",I$9:I$17),0)&gt;0)*1</f>
        <v>0</v>
      </c>
      <c r="J24" s="24">
        <f t="shared" si="10"/>
        <v>0</v>
      </c>
      <c r="K24" s="24">
        <f t="shared" si="10"/>
        <v>0</v>
      </c>
      <c r="L24" s="24">
        <f t="shared" si="10"/>
        <v>0</v>
      </c>
      <c r="M24" s="24">
        <f t="shared" si="10"/>
        <v>0</v>
      </c>
      <c r="N24" s="24">
        <f>(IFERROR(_xlfn.XMATCH("Yes",N$9:N$17),0)&gt;0)*1</f>
        <v>0</v>
      </c>
      <c r="O24" s="107">
        <f t="shared" ref="O24:W24" si="11">(IFERROR(_xlfn.XMATCH("Yes",O$9:O$17),0)&gt;0)*1</f>
        <v>0</v>
      </c>
      <c r="P24" s="24">
        <f t="shared" si="11"/>
        <v>0</v>
      </c>
      <c r="Q24" s="24">
        <f t="shared" si="11"/>
        <v>0</v>
      </c>
      <c r="R24" s="24">
        <f t="shared" si="11"/>
        <v>0</v>
      </c>
      <c r="S24" s="24">
        <f t="shared" si="11"/>
        <v>0</v>
      </c>
      <c r="T24" s="26">
        <f t="shared" si="11"/>
        <v>1</v>
      </c>
      <c r="U24" s="24">
        <f t="shared" si="11"/>
        <v>0</v>
      </c>
      <c r="V24" s="24">
        <f t="shared" si="11"/>
        <v>0</v>
      </c>
      <c r="W24" s="24">
        <f t="shared" si="11"/>
        <v>0</v>
      </c>
      <c r="Y24" s="53" t="s">
        <v>93</v>
      </c>
      <c r="Z24" s="54"/>
      <c r="AA24" s="54"/>
      <c r="AB24" s="54"/>
      <c r="AC24" s="54"/>
    </row>
    <row r="25" spans="1:30" ht="32" x14ac:dyDescent="0.2">
      <c r="G25" s="11" t="s">
        <v>81</v>
      </c>
      <c r="H25" s="21"/>
      <c r="I25" s="22" cm="1">
        <f t="array" ref="I25">IFERROR((1+I$24)/(1+I$24)*(INDEX($D$9:$D$17,I$35)),0)</f>
        <v>0</v>
      </c>
      <c r="J25" s="22" cm="1">
        <f t="array" ref="J25">IFERROR((1+J$24)/(1+J$24)*(INDEX($D$9:$D$17,J$35)),0)</f>
        <v>0</v>
      </c>
      <c r="K25" s="22" cm="1">
        <f t="array" ref="K25">IFERROR((1+K$24)/(1+K$24)*(INDEX($D$9:$D$17,K$35)),0)</f>
        <v>0</v>
      </c>
      <c r="L25" s="22" cm="1">
        <f t="array" ref="L25">IFERROR((1+L$24)/(1+L$24)*(INDEX($D$9:$D$17,L$35)),0)</f>
        <v>0</v>
      </c>
      <c r="M25" s="22" cm="1">
        <f t="array" ref="M25">IFERROR((1+M$24)/(1+M$24)*(INDEX($D$9:$D$17,M$35)),0)</f>
        <v>0</v>
      </c>
      <c r="N25" s="22" cm="1">
        <f t="array" ref="N25">IFERROR((1+N$24)/(1+N$24)*(INDEX($D$9:$D$17,N$35)),0)</f>
        <v>0</v>
      </c>
      <c r="O25" s="108" cm="1">
        <f t="array" ref="O25">IFERROR((1+O$24)/(1+O$24)*(INDEX($D$9:$D$17,O$35)),0)</f>
        <v>0</v>
      </c>
      <c r="P25" s="22" cm="1">
        <f t="array" ref="P25">IFERROR((1+P$24)/(1+P$24)*(INDEX($D$9:$D$17,P$35)),0)</f>
        <v>0</v>
      </c>
      <c r="Q25" s="22" cm="1">
        <f t="array" ref="Q25">IFERROR((1+Q$24)/(1+Q$24)*(INDEX($D$9:$D$17,Q$35)),0)</f>
        <v>0</v>
      </c>
      <c r="R25" s="22" cm="1">
        <f t="array" ref="R25">IFERROR((1+R$24)/(1+R$24)*(INDEX($D$9:$D$17,R$35)),0)</f>
        <v>0</v>
      </c>
      <c r="S25" s="22" cm="1">
        <f t="array" ref="S25">IFERROR((1+S$24)/(1+S$24)*(INDEX($D$9:$D$17,S$35)),0)</f>
        <v>0</v>
      </c>
      <c r="T25" s="23" cm="1">
        <f t="array" ref="T25">IFERROR((1+T$24)/(1+T$24)*(INDEX($D$9:$D$17,T$35)),0)</f>
        <v>45</v>
      </c>
      <c r="U25" s="22" cm="1">
        <f t="array" ref="U25">IFERROR((1+U$24)/(1+U$24)*(INDEX($D$9:$D$17,U$35)),0)</f>
        <v>0</v>
      </c>
      <c r="V25" s="22" cm="1">
        <f t="array" ref="V25">IFERROR((1+V$24)/(1+V$24)*(INDEX($D$9:$D$17,V$35)),0)</f>
        <v>0</v>
      </c>
      <c r="W25" s="22" cm="1">
        <f t="array" ref="W25">IFERROR((1+W$24)/(1+W$24)*(INDEX($D$9:$D$17,W$35)),0)</f>
        <v>0</v>
      </c>
      <c r="Y25" s="55" t="s">
        <v>70</v>
      </c>
      <c r="Z25" s="55" t="s">
        <v>90</v>
      </c>
      <c r="AA25" s="55" t="s">
        <v>89</v>
      </c>
      <c r="AB25" s="55" t="s">
        <v>91</v>
      </c>
      <c r="AC25" s="55" t="s">
        <v>92</v>
      </c>
    </row>
    <row r="26" spans="1:30" x14ac:dyDescent="0.2">
      <c r="G26" s="11" t="s">
        <v>73</v>
      </c>
      <c r="H26" s="21"/>
      <c r="I26" s="22">
        <f t="shared" ref="I26:T26" si="12">-H23*I24</f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ca="1">-M23*N24</f>
        <v>0</v>
      </c>
      <c r="O26" s="108">
        <f t="shared" ca="1" si="12"/>
        <v>0</v>
      </c>
      <c r="P26" s="22">
        <f t="shared" ca="1" si="12"/>
        <v>0</v>
      </c>
      <c r="Q26" s="22">
        <f t="shared" ca="1" si="12"/>
        <v>0</v>
      </c>
      <c r="R26" s="22">
        <f t="shared" ca="1" si="12"/>
        <v>0</v>
      </c>
      <c r="S26" s="22">
        <f t="shared" ca="1" si="12"/>
        <v>0</v>
      </c>
      <c r="T26" s="22">
        <f t="shared" ca="1" si="12"/>
        <v>-20</v>
      </c>
      <c r="U26" s="62">
        <f ca="1">(IFERROR(-U$21-MAX(MAX(0,1*MIN(6,U$2))),0)-T28)*(1*U24&gt;0)</f>
        <v>0</v>
      </c>
      <c r="V26" s="22">
        <f ca="1">(IFERROR(-V$21-MAX(MAX(0,1*MIN(6,V$2))),0)-U28)*(1*V24&gt;0)</f>
        <v>0</v>
      </c>
      <c r="W26" s="22">
        <f ca="1">(IFERROR(-W$21-MAX(MAX(0,1*MIN(6,W$2))),0)-V28)*(1*W24&gt;0)</f>
        <v>0</v>
      </c>
      <c r="Y26" s="56">
        <v>0</v>
      </c>
      <c r="Z26" s="57">
        <v>0</v>
      </c>
      <c r="AA26" s="57">
        <v>0</v>
      </c>
      <c r="AB26" s="57">
        <v>0</v>
      </c>
      <c r="AC26" s="57">
        <v>1</v>
      </c>
      <c r="AD26" s="58">
        <v>0</v>
      </c>
    </row>
    <row r="27" spans="1:30" x14ac:dyDescent="0.2">
      <c r="G27" s="11" t="s">
        <v>75</v>
      </c>
      <c r="H27" s="21">
        <f ca="1">SUM(I27:W27)</f>
        <v>25</v>
      </c>
      <c r="I27" s="116">
        <f>(I25+I26)</f>
        <v>0</v>
      </c>
      <c r="J27" s="116">
        <f ca="1">(J25+J26)</f>
        <v>0</v>
      </c>
      <c r="K27" s="116">
        <f ca="1">(K25+K26)</f>
        <v>0</v>
      </c>
      <c r="L27" s="116">
        <f ca="1">(L25+L26)</f>
        <v>0</v>
      </c>
      <c r="M27" s="116">
        <f ca="1">(M25+M26)-SUM(K27)</f>
        <v>0</v>
      </c>
      <c r="N27" s="116">
        <f ca="1">(N$25+N$26)</f>
        <v>0</v>
      </c>
      <c r="O27" s="117">
        <f t="shared" ref="O27:W27" ca="1" si="13">(O25+O26)</f>
        <v>0</v>
      </c>
      <c r="P27" s="116">
        <f t="shared" ca="1" si="13"/>
        <v>0</v>
      </c>
      <c r="Q27" s="116">
        <f t="shared" ca="1" si="13"/>
        <v>0</v>
      </c>
      <c r="R27" s="116">
        <f t="shared" ca="1" si="13"/>
        <v>0</v>
      </c>
      <c r="S27" s="116">
        <f t="shared" ca="1" si="13"/>
        <v>0</v>
      </c>
      <c r="T27" s="118">
        <f ca="1">(T25+T26)-SUM(P28:S28)</f>
        <v>25</v>
      </c>
      <c r="U27" s="25">
        <f t="shared" ca="1" si="13"/>
        <v>0</v>
      </c>
      <c r="V27" s="25">
        <f t="shared" ca="1" si="13"/>
        <v>0</v>
      </c>
      <c r="W27" s="25">
        <f t="shared" ca="1" si="13"/>
        <v>0</v>
      </c>
      <c r="Y27" s="56">
        <v>1</v>
      </c>
      <c r="Z27" s="57">
        <f>0</f>
        <v>0</v>
      </c>
      <c r="AA27" s="57">
        <f>0</f>
        <v>0</v>
      </c>
      <c r="AB27" s="57">
        <f>1/3</f>
        <v>0.33333333333333331</v>
      </c>
      <c r="AC27" s="57">
        <f>2/3</f>
        <v>0.66666666666666663</v>
      </c>
      <c r="AD27" s="17">
        <v>0</v>
      </c>
    </row>
    <row r="28" spans="1:30" x14ac:dyDescent="0.2">
      <c r="G28" s="11" t="s">
        <v>72</v>
      </c>
      <c r="H28" s="21">
        <f t="shared" ref="H28" si="14">SUM(I28:W28)</f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3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60">
        <f>IF($X$21=1,2,0)*1*(V24&gt;0)</f>
        <v>0</v>
      </c>
      <c r="V28" s="10">
        <f>IF($X$21=1,2,0)*1*(W24&gt;0)</f>
        <v>0</v>
      </c>
      <c r="W28" s="10">
        <v>0</v>
      </c>
      <c r="Y28" s="56">
        <v>2</v>
      </c>
      <c r="Z28" s="57">
        <f>0</f>
        <v>0</v>
      </c>
      <c r="AA28" s="57">
        <f>1/6</f>
        <v>0.16666666666666666</v>
      </c>
      <c r="AB28" s="57">
        <f>2/6</f>
        <v>0.33333333333333331</v>
      </c>
      <c r="AC28" s="57">
        <f>3/6</f>
        <v>0.5</v>
      </c>
      <c r="AD28" s="17">
        <v>0</v>
      </c>
    </row>
    <row r="29" spans="1:30" x14ac:dyDescent="0.2">
      <c r="G29" s="11" t="s">
        <v>27</v>
      </c>
      <c r="H29" s="21">
        <f>SUM(I29:W29)</f>
        <v>3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05">
        <v>0</v>
      </c>
      <c r="P29" s="14">
        <v>0</v>
      </c>
      <c r="Q29" s="14">
        <v>0</v>
      </c>
      <c r="R29" s="14">
        <v>0</v>
      </c>
      <c r="S29" s="14">
        <v>0</v>
      </c>
      <c r="T29" s="15">
        <v>0</v>
      </c>
      <c r="U29" s="14">
        <v>0</v>
      </c>
      <c r="V29" s="14">
        <v>0</v>
      </c>
      <c r="W29" s="14">
        <v>3</v>
      </c>
      <c r="Y29" s="56">
        <v>3</v>
      </c>
      <c r="Z29" s="57">
        <f>1/10</f>
        <v>0.1</v>
      </c>
      <c r="AA29" s="57">
        <f>2/10</f>
        <v>0.2</v>
      </c>
      <c r="AB29" s="57">
        <f>3/10</f>
        <v>0.3</v>
      </c>
      <c r="AC29" s="57">
        <f>4/10</f>
        <v>0.4</v>
      </c>
      <c r="AD29" s="17">
        <v>0</v>
      </c>
    </row>
    <row r="30" spans="1:30" x14ac:dyDescent="0.2">
      <c r="G30" s="12" t="s">
        <v>28</v>
      </c>
      <c r="H30" s="21">
        <f t="shared" ref="H30" ca="1" si="15">SUM(I30:W30)</f>
        <v>150</v>
      </c>
      <c r="I30" s="119">
        <f t="shared" ref="I30:W30" ca="1" si="16">I20+I21+I22+I27+I28+I29</f>
        <v>6</v>
      </c>
      <c r="J30" s="119">
        <f t="shared" ca="1" si="16"/>
        <v>6</v>
      </c>
      <c r="K30" s="119">
        <f t="shared" ca="1" si="16"/>
        <v>7</v>
      </c>
      <c r="L30" s="119">
        <f t="shared" ca="1" si="16"/>
        <v>6</v>
      </c>
      <c r="M30" s="119">
        <f t="shared" ca="1" si="16"/>
        <v>3</v>
      </c>
      <c r="N30" s="119">
        <f t="shared" ca="1" si="16"/>
        <v>6</v>
      </c>
      <c r="O30" s="120">
        <f t="shared" ca="1" si="16"/>
        <v>2</v>
      </c>
      <c r="P30" s="119">
        <f t="shared" ca="1" si="16"/>
        <v>6</v>
      </c>
      <c r="Q30" s="119">
        <f t="shared" ca="1" si="16"/>
        <v>7</v>
      </c>
      <c r="R30" s="119">
        <f t="shared" ca="1" si="16"/>
        <v>6</v>
      </c>
      <c r="S30" s="119">
        <f t="shared" ca="1" si="16"/>
        <v>7</v>
      </c>
      <c r="T30" s="119">
        <f t="shared" ca="1" si="16"/>
        <v>32</v>
      </c>
      <c r="U30" s="121">
        <f t="shared" ca="1" si="16"/>
        <v>7.9499999999999993</v>
      </c>
      <c r="V30" s="119">
        <f t="shared" ca="1" si="16"/>
        <v>15.899999999999999</v>
      </c>
      <c r="W30" s="119">
        <f t="shared" ca="1" si="16"/>
        <v>32.150000000000006</v>
      </c>
    </row>
    <row r="31" spans="1:30" ht="21" customHeight="1" x14ac:dyDescent="0.2">
      <c r="G31" s="17" t="s">
        <v>94</v>
      </c>
      <c r="H31" s="50" t="str">
        <f ca="1">IF(ABS(H30-D6)&gt;=1,"Hours don't add up to nominal credits x 10","")</f>
        <v/>
      </c>
      <c r="I31" s="22">
        <f t="shared" ref="I31:M31" si="17">(IFERROR(-I$21-MAX(MAX(0,1*MIN(6,I$2))),0)+I$25)*(1*I$24&gt;0)</f>
        <v>0</v>
      </c>
      <c r="J31" s="22">
        <f t="shared" si="17"/>
        <v>0</v>
      </c>
      <c r="K31" s="22">
        <f t="shared" si="17"/>
        <v>0</v>
      </c>
      <c r="L31" s="22">
        <f t="shared" si="17"/>
        <v>0</v>
      </c>
      <c r="M31" s="22">
        <f t="shared" si="17"/>
        <v>0</v>
      </c>
      <c r="N31" s="22">
        <f>(IFERROR(-N$21-MAX(MAX(0,1*MIN(6,N$2))),0)+N$25)*(1*N$24&gt;0)</f>
        <v>0</v>
      </c>
      <c r="O31" s="108">
        <f t="shared" ref="O31:T31" si="18">(IFERROR(-O$21-MAX(MAX(0,1*MIN(6,O$2))),0)+O$25)*(1*O$24&gt;0)</f>
        <v>0</v>
      </c>
      <c r="P31" s="22">
        <f t="shared" si="18"/>
        <v>0</v>
      </c>
      <c r="Q31" s="22">
        <f t="shared" si="18"/>
        <v>0</v>
      </c>
      <c r="R31" s="22">
        <f t="shared" si="18"/>
        <v>0</v>
      </c>
      <c r="S31" s="22">
        <f t="shared" si="18"/>
        <v>0</v>
      </c>
      <c r="T31" s="22">
        <f t="shared" si="18"/>
        <v>37</v>
      </c>
      <c r="U31" s="66">
        <f>V31/2</f>
        <v>0.15</v>
      </c>
      <c r="V31" s="51">
        <f>0.3</f>
        <v>0.3</v>
      </c>
      <c r="W31" s="51">
        <f>1-SUM(U31:V31)</f>
        <v>0.55000000000000004</v>
      </c>
      <c r="X31" s="17" t="s">
        <v>86</v>
      </c>
    </row>
    <row r="32" spans="1:30" ht="21" customHeight="1" x14ac:dyDescent="0.2">
      <c r="G32" s="17" t="s">
        <v>95</v>
      </c>
      <c r="H32" s="50"/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108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66"/>
      <c r="V32" s="51"/>
      <c r="W32" s="51"/>
      <c r="X32" s="17"/>
    </row>
    <row r="33" spans="2:24" ht="21" customHeight="1" x14ac:dyDescent="0.2">
      <c r="G33" s="17" t="s">
        <v>96</v>
      </c>
      <c r="H33" s="50"/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108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66"/>
      <c r="V33" s="51"/>
      <c r="W33" s="51"/>
      <c r="X33" s="17"/>
    </row>
    <row r="34" spans="2:24" x14ac:dyDescent="0.2">
      <c r="N34" s="25"/>
      <c r="U34" s="67">
        <f ca="1">D6-SUM(I30:T30)-W29</f>
        <v>53</v>
      </c>
      <c r="V34" s="18" t="s">
        <v>85</v>
      </c>
    </row>
    <row r="35" spans="2:24" x14ac:dyDescent="0.2">
      <c r="G35" s="17" t="s">
        <v>71</v>
      </c>
      <c r="H35" s="17"/>
      <c r="I35" s="18" t="str">
        <f>IFERROR(_xlfn.XMATCH("Yes",I$9:I$17,1),T(1))</f>
        <v/>
      </c>
      <c r="J35" s="18" t="str">
        <f t="shared" ref="J35:W35" si="19">IFERROR(_xlfn.XMATCH("Yes",J$9:J$17,1),T(1))</f>
        <v/>
      </c>
      <c r="K35" s="18" t="str">
        <f t="shared" si="19"/>
        <v/>
      </c>
      <c r="L35" s="18" t="str">
        <f t="shared" si="19"/>
        <v/>
      </c>
      <c r="M35" s="18" t="str">
        <f t="shared" si="19"/>
        <v/>
      </c>
      <c r="N35" s="18" t="str">
        <f t="shared" si="19"/>
        <v/>
      </c>
      <c r="O35" s="18" t="str">
        <f t="shared" si="19"/>
        <v/>
      </c>
      <c r="P35" s="18" t="str">
        <f t="shared" si="19"/>
        <v/>
      </c>
      <c r="Q35" s="18" t="str">
        <f t="shared" si="19"/>
        <v/>
      </c>
      <c r="R35" s="18" t="str">
        <f t="shared" si="19"/>
        <v/>
      </c>
      <c r="S35" s="18" t="str">
        <f t="shared" si="19"/>
        <v/>
      </c>
      <c r="T35" s="18">
        <f t="shared" si="19"/>
        <v>1</v>
      </c>
      <c r="U35" s="18" t="str">
        <f t="shared" si="19"/>
        <v/>
      </c>
      <c r="V35" s="18" t="str">
        <f t="shared" si="19"/>
        <v/>
      </c>
      <c r="W35" s="18" t="str">
        <f t="shared" si="19"/>
        <v/>
      </c>
    </row>
    <row r="36" spans="2:24" x14ac:dyDescent="0.2">
      <c r="B36" t="str">
        <f>T(1)</f>
        <v/>
      </c>
      <c r="G36" s="20" t="s">
        <v>74</v>
      </c>
      <c r="I36" s="18" t="str" cm="1">
        <f t="array" ref="I36">IFERROR(INDEX( $G$9:$G$17, _xlfn.XMATCH("Yes", (I$9:I$17),1)),T(1))</f>
        <v/>
      </c>
      <c r="J36" s="18" t="str" cm="1">
        <f t="array" ref="J36">IFERROR(INDEX( $G$9:$G$17, _xlfn.XMATCH("Yes", (J$9:J$17),1)),T(1))</f>
        <v/>
      </c>
      <c r="K36" s="18" t="str" cm="1">
        <f t="array" ref="K36">IFERROR(INDEX( $G$9:$G$17, _xlfn.XMATCH("Yes", (K$9:K$17),1)),T(1))</f>
        <v/>
      </c>
      <c r="L36" s="18" t="str" cm="1">
        <f t="array" ref="L36">IFERROR(INDEX( $G$9:$G$17, _xlfn.XMATCH("Yes", (L$9:L$17),1)),T(1))</f>
        <v/>
      </c>
      <c r="M36" s="18" t="str" cm="1">
        <f t="array" ref="M36">IFERROR(INDEX( $G$9:$G$17, _xlfn.XMATCH("Yes", (M$9:M$17),1)),T(1))</f>
        <v/>
      </c>
      <c r="N36" s="18" t="str" cm="1">
        <f t="array" ref="N36">IFERROR(INDEX( $G$9:$G$17, _xlfn.XMATCH("Yes", (N$9:N$17),1)),T(1))</f>
        <v/>
      </c>
      <c r="O36" s="18" t="str" cm="1">
        <f t="array" ref="O36">IFERROR(INDEX( $G$9:$G$17, _xlfn.XMATCH("Yes", (O$9:O$17),1)),T(1))</f>
        <v/>
      </c>
      <c r="P36" s="18" t="str" cm="1">
        <f t="array" ref="P36">IFERROR(INDEX( $G$9:$G$17, _xlfn.XMATCH("Yes", (P$9:P$17),1)),T(1))</f>
        <v/>
      </c>
      <c r="Q36" s="18" t="str" cm="1">
        <f t="array" ref="Q36">IFERROR(INDEX( $G$9:$G$17, _xlfn.XMATCH("Yes", (Q$9:Q$17),1)),T(1))</f>
        <v/>
      </c>
      <c r="R36" s="18" t="str" cm="1">
        <f t="array" ref="R36">IFERROR(INDEX( $G$9:$G$17, _xlfn.XMATCH("Yes", (R$9:R$17),1)),T(1))</f>
        <v/>
      </c>
      <c r="S36" s="18" t="str" cm="1">
        <f t="array" ref="S36">IFERROR(INDEX( $G$9:$G$17, _xlfn.XMATCH("Yes", (S$9:S$17),1)),T(1))</f>
        <v/>
      </c>
      <c r="T36" s="18" cm="1">
        <f t="array" ref="T36">IFERROR(INDEX( $G$9:$G$17, _xlfn.XMATCH("Yes", (T$9:T$17),1)),T(1))</f>
        <v>12</v>
      </c>
      <c r="U36" s="18" t="str" cm="1">
        <f t="array" ref="U36">IFERROR(INDEX( $G$9:$G$17, _xlfn.XMATCH("Yes", (U$9:U$17),1)),T(1))</f>
        <v/>
      </c>
      <c r="V36" s="18" t="str" cm="1">
        <f t="array" ref="V36">IFERROR(INDEX( $G$9:$G$17, _xlfn.XMATCH("Yes", (V$9:V$17),1)),T(1))</f>
        <v/>
      </c>
      <c r="W36" s="18" t="str" cm="1">
        <f t="array" ref="W36">IFERROR(INDEX( $G$9:$G$17, _xlfn.XMATCH("Yes", (W$9:W$17),1)),T(1))</f>
        <v/>
      </c>
    </row>
    <row r="52" spans="7:23" x14ac:dyDescent="0.2">
      <c r="G52" t="s">
        <v>99</v>
      </c>
      <c r="I52" s="18">
        <f ca="1">I30</f>
        <v>6</v>
      </c>
      <c r="J52" s="18">
        <f ca="1">(J30-I30)*(J30&gt;I30)</f>
        <v>0</v>
      </c>
      <c r="K52" s="18">
        <f t="shared" ref="K52:W52" ca="1" si="20">(K30-J30)*(K30&gt;J30)</f>
        <v>1</v>
      </c>
      <c r="L52" s="18">
        <f t="shared" ca="1" si="20"/>
        <v>0</v>
      </c>
      <c r="M52" s="18">
        <f t="shared" ca="1" si="20"/>
        <v>0</v>
      </c>
      <c r="N52" s="18">
        <f t="shared" ca="1" si="20"/>
        <v>3</v>
      </c>
      <c r="O52" s="18">
        <f t="shared" ca="1" si="20"/>
        <v>0</v>
      </c>
      <c r="P52" s="18">
        <f t="shared" ca="1" si="20"/>
        <v>4</v>
      </c>
      <c r="Q52" s="18">
        <f t="shared" ca="1" si="20"/>
        <v>1</v>
      </c>
      <c r="R52" s="18">
        <f t="shared" ca="1" si="20"/>
        <v>0</v>
      </c>
      <c r="S52" s="18">
        <f t="shared" ca="1" si="20"/>
        <v>1</v>
      </c>
      <c r="T52" s="18">
        <f t="shared" ca="1" si="20"/>
        <v>25</v>
      </c>
      <c r="U52" s="18">
        <f t="shared" ca="1" si="20"/>
        <v>0</v>
      </c>
      <c r="V52" s="18">
        <f t="shared" ca="1" si="20"/>
        <v>7.9499999999999993</v>
      </c>
      <c r="W52" s="18">
        <f t="shared" ca="1" si="20"/>
        <v>16.250000000000007</v>
      </c>
    </row>
    <row r="53" spans="7:23" x14ac:dyDescent="0.2">
      <c r="G53" t="s">
        <v>101</v>
      </c>
      <c r="I53" s="18">
        <f ca="1">I52^2</f>
        <v>36</v>
      </c>
      <c r="J53" s="18">
        <f t="shared" ref="J53:W53" ca="1" si="21">J52^2</f>
        <v>0</v>
      </c>
      <c r="K53" s="18">
        <f t="shared" ca="1" si="21"/>
        <v>1</v>
      </c>
      <c r="L53" s="18">
        <f t="shared" ca="1" si="21"/>
        <v>0</v>
      </c>
      <c r="M53" s="18">
        <f t="shared" ca="1" si="21"/>
        <v>0</v>
      </c>
      <c r="N53" s="18">
        <f t="shared" ca="1" si="21"/>
        <v>9</v>
      </c>
      <c r="O53" s="18">
        <f t="shared" ca="1" si="21"/>
        <v>0</v>
      </c>
      <c r="P53" s="18">
        <f t="shared" ca="1" si="21"/>
        <v>16</v>
      </c>
      <c r="Q53" s="18">
        <f t="shared" ca="1" si="21"/>
        <v>1</v>
      </c>
      <c r="R53" s="18">
        <f t="shared" ca="1" si="21"/>
        <v>0</v>
      </c>
      <c r="S53" s="18">
        <f t="shared" ca="1" si="21"/>
        <v>1</v>
      </c>
      <c r="T53" s="18">
        <f t="shared" ca="1" si="21"/>
        <v>625</v>
      </c>
      <c r="U53" s="18">
        <f t="shared" ca="1" si="21"/>
        <v>0</v>
      </c>
      <c r="V53" s="18">
        <f t="shared" ca="1" si="21"/>
        <v>63.202499999999986</v>
      </c>
      <c r="W53" s="18">
        <f t="shared" ca="1" si="21"/>
        <v>264.06250000000023</v>
      </c>
    </row>
  </sheetData>
  <mergeCells count="2">
    <mergeCell ref="I1:W1"/>
    <mergeCell ref="F3:F7"/>
  </mergeCells>
  <conditionalFormatting sqref="I30:W30">
    <cfRule type="cellIs" dxfId="30" priority="11" operator="between">
      <formula>(2/3)*$D$19</formula>
      <formula>(3/2)*$D$19</formula>
    </cfRule>
    <cfRule type="cellIs" dxfId="29" priority="12" operator="lessThan">
      <formula>(2/3)*$D$19</formula>
    </cfRule>
    <cfRule type="cellIs" dxfId="28" priority="13" operator="greaterThanOrEqual">
      <formula>1.5*$D$19</formula>
    </cfRule>
  </conditionalFormatting>
  <conditionalFormatting sqref="H30">
    <cfRule type="cellIs" dxfId="27" priority="9" stopIfTrue="1" operator="equal">
      <formula>$B$6*10</formula>
    </cfRule>
    <cfRule type="cellIs" dxfId="26" priority="10" operator="notEqual">
      <formula>$B$6*10</formula>
    </cfRule>
  </conditionalFormatting>
  <conditionalFormatting sqref="I20:W29">
    <cfRule type="beginsWith" dxfId="25" priority="8" stopIfTrue="1" operator="beginsWith" text="0">
      <formula>LEFT(I20,LEN("0"))="0"</formula>
    </cfRule>
  </conditionalFormatting>
  <conditionalFormatting sqref="B18">
    <cfRule type="expression" dxfId="24" priority="7">
      <formula>B18&lt;&gt;$B$7</formula>
    </cfRule>
  </conditionalFormatting>
  <conditionalFormatting sqref="C18">
    <cfRule type="expression" dxfId="23" priority="6">
      <formula>$B$18&lt;&gt;$B$7</formula>
    </cfRule>
  </conditionalFormatting>
  <conditionalFormatting sqref="H31:H33">
    <cfRule type="expression" dxfId="22" priority="5">
      <formula>ABS($H$30-$D$6&gt;=1)</formula>
    </cfRule>
  </conditionalFormatting>
  <conditionalFormatting sqref="B7">
    <cfRule type="expression" dxfId="21" priority="4">
      <formula>($B$7&lt;&gt;SUM($B$9:$B$17))</formula>
    </cfRule>
  </conditionalFormatting>
  <conditionalFormatting sqref="I31:T33">
    <cfRule type="beginsWith" dxfId="20" priority="2" stopIfTrue="1" operator="beginsWith" text="0">
      <formula>LEFT(I31,LEN("0"))="0"</formula>
    </cfRule>
  </conditionalFormatting>
  <conditionalFormatting sqref="N34">
    <cfRule type="beginsWith" dxfId="19" priority="3" stopIfTrue="1" operator="beginsWith" text="0">
      <formula>LEFT(N34,LEN("0"))="0"</formula>
    </cfRule>
  </conditionalFormatting>
  <conditionalFormatting sqref="D9:D17">
    <cfRule type="cellIs" dxfId="18" priority="1" operator="equal">
      <formula>0</formula>
    </cfRule>
  </conditionalFormatting>
  <dataValidations count="6">
    <dataValidation type="whole" allowBlank="1" showInputMessage="1" showErrorMessage="1" promptTitle="When is this CA due?" prompt="Enter the week where the deadline for this CA is due." sqref="G9:G17" xr:uid="{F606305D-4258-4876-95ED-A0B41445A5B2}">
      <formula1>1</formula1>
      <formula2>15</formula2>
    </dataValidation>
    <dataValidation type="decimal" allowBlank="1" showInputMessage="1" showErrorMessage="1" promptTitle="Timetabled hours for this CA" prompt="Enter a number between 0 and 20 (can be decimal) for the TOTAL timetabled hours assigned to this CA item. _x000a__x000a_For example, a 1 hour class test that had a 30 minute briefing session would be 1.5 hours. A 6 hour lab with a 1 hour briefing session would be 7 h" sqref="E9:E17" xr:uid="{574D1A69-D87F-4D50-BB64-02160E32CA3A}">
      <formula1>0</formula1>
      <formula2>20</formula2>
    </dataValidation>
    <dataValidation type="decimal" allowBlank="1" showInputMessage="1" showErrorMessage="1" promptTitle="What percentage is CA?" prompt="What percentage of the final module mark is the result of continuous assessment? Enter a number between 0 and 100 (without the % symbol)_x000a_" sqref="B7" xr:uid="{131D2359-14D5-4906-A875-E1C6319EB66A}">
      <formula1>0</formula1>
      <formula2>100</formula2>
    </dataValidation>
    <dataValidation type="list" errorStyle="warning" allowBlank="1" showInputMessage="1" showErrorMessage="1" errorTitle="Non-standard credit weighting" promptTitle="Credit value" sqref="B6" xr:uid="{60277818-0E2A-4356-B824-21536DBF6928}">
      <formula1>"7.5, 15, 22.5, 30, 45, 60"</formula1>
    </dataValidation>
    <dataValidation type="list" allowBlank="1" showInputMessage="1" showErrorMessage="1" errorTitle="Please enter 1 or 2 only" error="For modules spanning both semesters, choose either 1 or 2, depening on which semester you are modelling. The module will be modelled as 2 separate half-modules, but don't change the credit weightings please." promptTitle="Select semester (1 or 2)" prompt="For modules spanning both semesters, choose either 1 or 2, depening on which semester you are modelling." sqref="B5" xr:uid="{6647B851-E7E4-4BA5-A5CA-B46E4F6F18E3}">
      <formula1>"1,2"</formula1>
    </dataValidation>
    <dataValidation type="list" allowBlank="1" showInputMessage="1" showErrorMessage="1" errorTitle="Must be integer between 0 and 3" error="Select time constant of 0, 1, 2 or 3 weeks" promptTitle="Time constant of revision style" prompt="Enter 0 for last minute work, _x000a_1 for week head start,_x000a_2 for 2 weeks head start,_x000a_3 for 3 weeks head start." sqref="X21" xr:uid="{9C1C8678-2F93-4D18-9A9C-78DEE79A712E}">
      <formula1>"0,1,2,3"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B2CF6-9916-4B68-B4B8-E706EB178CF4}">
  <dimension ref="A1:U24"/>
  <sheetViews>
    <sheetView workbookViewId="0">
      <selection activeCell="J33" sqref="J33"/>
    </sheetView>
  </sheetViews>
  <sheetFormatPr baseColWidth="10" defaultColWidth="8.83203125" defaultRowHeight="15" x14ac:dyDescent="0.2"/>
  <cols>
    <col min="2" max="2" width="10.83203125" customWidth="1"/>
    <col min="3" max="3" width="7.5" customWidth="1"/>
    <col min="6" max="21" width="6.83203125" customWidth="1"/>
  </cols>
  <sheetData>
    <row r="1" spans="1:21" x14ac:dyDescent="0.2">
      <c r="R1" t="s">
        <v>33</v>
      </c>
      <c r="S1" s="177" t="s">
        <v>32</v>
      </c>
      <c r="T1" s="177"/>
      <c r="U1" s="177"/>
    </row>
    <row r="2" spans="1:21" x14ac:dyDescent="0.2">
      <c r="E2" s="1" t="s">
        <v>23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3" t="s">
        <v>17</v>
      </c>
      <c r="S2" s="1" t="s">
        <v>18</v>
      </c>
      <c r="T2" s="1" t="s">
        <v>19</v>
      </c>
      <c r="U2" s="1" t="s">
        <v>20</v>
      </c>
    </row>
    <row r="3" spans="1:21" x14ac:dyDescent="0.2">
      <c r="A3" t="s">
        <v>0</v>
      </c>
      <c r="B3" t="s">
        <v>2</v>
      </c>
      <c r="D3" t="s">
        <v>21</v>
      </c>
      <c r="E3">
        <f>SUM(F3:U3)</f>
        <v>17</v>
      </c>
      <c r="F3">
        <v>1</v>
      </c>
      <c r="G3">
        <v>2</v>
      </c>
      <c r="H3">
        <v>1</v>
      </c>
      <c r="I3">
        <v>2</v>
      </c>
      <c r="J3">
        <v>1</v>
      </c>
      <c r="K3">
        <v>2</v>
      </c>
      <c r="L3">
        <v>1</v>
      </c>
      <c r="M3">
        <v>2</v>
      </c>
      <c r="N3">
        <v>1</v>
      </c>
      <c r="O3">
        <v>2</v>
      </c>
      <c r="P3">
        <v>2</v>
      </c>
      <c r="Q3">
        <v>0</v>
      </c>
      <c r="R3" s="2" t="s">
        <v>22</v>
      </c>
      <c r="S3" t="s">
        <v>22</v>
      </c>
    </row>
    <row r="4" spans="1:21" x14ac:dyDescent="0.2">
      <c r="B4" t="s">
        <v>3</v>
      </c>
      <c r="D4" t="s">
        <v>24</v>
      </c>
      <c r="E4">
        <f t="shared" ref="E4:E7" si="0">SUM(F4:U4)</f>
        <v>55</v>
      </c>
      <c r="F4">
        <v>1</v>
      </c>
      <c r="G4">
        <v>2</v>
      </c>
      <c r="H4">
        <v>2</v>
      </c>
      <c r="I4">
        <v>2</v>
      </c>
      <c r="J4">
        <v>3</v>
      </c>
      <c r="K4">
        <v>3</v>
      </c>
      <c r="L4">
        <v>4</v>
      </c>
      <c r="M4">
        <v>3</v>
      </c>
      <c r="N4">
        <v>2</v>
      </c>
      <c r="O4">
        <v>2</v>
      </c>
      <c r="P4">
        <v>2</v>
      </c>
      <c r="Q4">
        <v>2</v>
      </c>
      <c r="R4" s="2">
        <v>5</v>
      </c>
      <c r="S4">
        <v>6</v>
      </c>
      <c r="T4">
        <v>7</v>
      </c>
      <c r="U4">
        <v>9</v>
      </c>
    </row>
    <row r="5" spans="1:21" x14ac:dyDescent="0.2">
      <c r="B5" t="s">
        <v>4</v>
      </c>
      <c r="D5" t="s">
        <v>25</v>
      </c>
      <c r="E5">
        <f t="shared" si="0"/>
        <v>0</v>
      </c>
      <c r="R5" s="2"/>
    </row>
    <row r="6" spans="1:21" x14ac:dyDescent="0.2">
      <c r="D6" t="s">
        <v>26</v>
      </c>
      <c r="E6">
        <f t="shared" si="0"/>
        <v>0</v>
      </c>
      <c r="R6" s="2"/>
    </row>
    <row r="7" spans="1:21" x14ac:dyDescent="0.2">
      <c r="D7" t="s">
        <v>27</v>
      </c>
      <c r="E7">
        <f t="shared" si="0"/>
        <v>3</v>
      </c>
      <c r="R7" s="2"/>
      <c r="U7">
        <v>3</v>
      </c>
    </row>
    <row r="8" spans="1:21" x14ac:dyDescent="0.2">
      <c r="D8" t="s">
        <v>28</v>
      </c>
      <c r="E8" s="1">
        <f>SUM(E3:E7)</f>
        <v>75</v>
      </c>
      <c r="F8" s="1">
        <f t="shared" ref="F8:U8" si="1">SUM(F3:F7)</f>
        <v>2</v>
      </c>
      <c r="G8" s="1">
        <f t="shared" si="1"/>
        <v>4</v>
      </c>
      <c r="H8" s="1">
        <f t="shared" si="1"/>
        <v>3</v>
      </c>
      <c r="I8" s="1">
        <f t="shared" si="1"/>
        <v>4</v>
      </c>
      <c r="J8" s="1">
        <f t="shared" si="1"/>
        <v>4</v>
      </c>
      <c r="K8" s="1">
        <f t="shared" si="1"/>
        <v>5</v>
      </c>
      <c r="L8" s="1">
        <f t="shared" si="1"/>
        <v>5</v>
      </c>
      <c r="M8" s="1">
        <f t="shared" si="1"/>
        <v>5</v>
      </c>
      <c r="N8" s="1">
        <f t="shared" si="1"/>
        <v>3</v>
      </c>
      <c r="O8" s="1">
        <f t="shared" si="1"/>
        <v>4</v>
      </c>
      <c r="P8" s="1">
        <f t="shared" si="1"/>
        <v>4</v>
      </c>
      <c r="Q8" s="1">
        <f t="shared" si="1"/>
        <v>2</v>
      </c>
      <c r="R8" s="3">
        <f t="shared" si="1"/>
        <v>5</v>
      </c>
      <c r="S8" s="1">
        <f t="shared" si="1"/>
        <v>6</v>
      </c>
      <c r="T8" s="1">
        <f t="shared" si="1"/>
        <v>7</v>
      </c>
      <c r="U8" s="1">
        <f t="shared" si="1"/>
        <v>12</v>
      </c>
    </row>
    <row r="9" spans="1:21" x14ac:dyDescent="0.2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1" spans="1:21" x14ac:dyDescent="0.2">
      <c r="A11" t="s">
        <v>29</v>
      </c>
      <c r="B11" t="s">
        <v>30</v>
      </c>
      <c r="D11" t="s">
        <v>21</v>
      </c>
      <c r="E11">
        <f>SUM(F11:U11)</f>
        <v>17</v>
      </c>
      <c r="F11">
        <v>1</v>
      </c>
      <c r="G11">
        <v>2</v>
      </c>
      <c r="H11">
        <v>1</v>
      </c>
      <c r="I11">
        <v>2</v>
      </c>
      <c r="J11">
        <v>1</v>
      </c>
      <c r="K11">
        <v>2</v>
      </c>
      <c r="L11">
        <v>1</v>
      </c>
      <c r="M11">
        <v>2</v>
      </c>
      <c r="N11">
        <v>1</v>
      </c>
      <c r="O11">
        <v>2</v>
      </c>
      <c r="P11">
        <v>2</v>
      </c>
      <c r="Q11">
        <v>0</v>
      </c>
      <c r="R11" s="2" t="s">
        <v>22</v>
      </c>
      <c r="S11" t="s">
        <v>22</v>
      </c>
    </row>
    <row r="12" spans="1:21" x14ac:dyDescent="0.2">
      <c r="B12" t="s">
        <v>3</v>
      </c>
      <c r="D12" t="s">
        <v>24</v>
      </c>
      <c r="E12">
        <f t="shared" ref="E12:E15" si="2">SUM(F12:U12)</f>
        <v>49</v>
      </c>
      <c r="F12">
        <v>1</v>
      </c>
      <c r="G12">
        <v>2</v>
      </c>
      <c r="H12">
        <v>2</v>
      </c>
      <c r="I12">
        <v>2</v>
      </c>
      <c r="J12">
        <v>4</v>
      </c>
      <c r="K12">
        <v>5</v>
      </c>
      <c r="L12">
        <v>4</v>
      </c>
      <c r="M12">
        <v>3</v>
      </c>
      <c r="N12">
        <v>2</v>
      </c>
      <c r="O12">
        <v>4</v>
      </c>
      <c r="P12">
        <v>5</v>
      </c>
      <c r="Q12">
        <v>4</v>
      </c>
      <c r="R12" s="2">
        <v>1</v>
      </c>
      <c r="S12">
        <v>2</v>
      </c>
      <c r="T12">
        <v>3</v>
      </c>
      <c r="U12">
        <v>5</v>
      </c>
    </row>
    <row r="13" spans="1:21" x14ac:dyDescent="0.2">
      <c r="B13" t="s">
        <v>4</v>
      </c>
      <c r="D13" t="s">
        <v>25</v>
      </c>
      <c r="E13">
        <f t="shared" si="2"/>
        <v>6</v>
      </c>
      <c r="L13">
        <v>2</v>
      </c>
      <c r="Q13">
        <v>4</v>
      </c>
      <c r="R13" s="2"/>
    </row>
    <row r="14" spans="1:21" x14ac:dyDescent="0.2">
      <c r="D14" t="s">
        <v>26</v>
      </c>
      <c r="E14">
        <f t="shared" si="2"/>
        <v>0</v>
      </c>
      <c r="R14" s="2"/>
    </row>
    <row r="15" spans="1:21" x14ac:dyDescent="0.2">
      <c r="D15" t="s">
        <v>27</v>
      </c>
      <c r="E15">
        <f t="shared" si="2"/>
        <v>3</v>
      </c>
      <c r="R15" s="2"/>
      <c r="U15">
        <v>3</v>
      </c>
    </row>
    <row r="16" spans="1:21" x14ac:dyDescent="0.2">
      <c r="D16" t="s">
        <v>28</v>
      </c>
      <c r="E16" s="1">
        <f>SUM(E11:E15)</f>
        <v>75</v>
      </c>
      <c r="F16" s="1">
        <f t="shared" ref="F16" si="3">SUM(F11:F15)</f>
        <v>2</v>
      </c>
      <c r="G16" s="1">
        <f t="shared" ref="G16" si="4">SUM(G11:G15)</f>
        <v>4</v>
      </c>
      <c r="H16" s="1">
        <f t="shared" ref="H16" si="5">SUM(H11:H15)</f>
        <v>3</v>
      </c>
      <c r="I16" s="1">
        <f t="shared" ref="I16" si="6">SUM(I11:I15)</f>
        <v>4</v>
      </c>
      <c r="J16" s="1">
        <f t="shared" ref="J16" si="7">SUM(J11:J15)</f>
        <v>5</v>
      </c>
      <c r="K16" s="1">
        <f t="shared" ref="K16" si="8">SUM(K11:K15)</f>
        <v>7</v>
      </c>
      <c r="L16" s="1">
        <f t="shared" ref="L16" si="9">SUM(L11:L15)</f>
        <v>7</v>
      </c>
      <c r="M16" s="1">
        <f t="shared" ref="M16" si="10">SUM(M11:M15)</f>
        <v>5</v>
      </c>
      <c r="N16" s="1">
        <f t="shared" ref="N16" si="11">SUM(N11:N15)</f>
        <v>3</v>
      </c>
      <c r="O16" s="1">
        <f t="shared" ref="O16" si="12">SUM(O11:O15)</f>
        <v>6</v>
      </c>
      <c r="P16" s="1">
        <f t="shared" ref="P16" si="13">SUM(P11:P15)</f>
        <v>7</v>
      </c>
      <c r="Q16" s="1">
        <f t="shared" ref="Q16" si="14">SUM(Q11:Q15)</f>
        <v>8</v>
      </c>
      <c r="R16" s="3">
        <f t="shared" ref="R16" si="15">SUM(R11:R15)</f>
        <v>1</v>
      </c>
      <c r="S16" s="1">
        <f t="shared" ref="S16" si="16">SUM(S11:S15)</f>
        <v>2</v>
      </c>
      <c r="T16" s="1">
        <f t="shared" ref="T16" si="17">SUM(T11:T15)</f>
        <v>3</v>
      </c>
      <c r="U16" s="1">
        <f t="shared" ref="U16" si="18">SUM(U11:U15)</f>
        <v>8</v>
      </c>
    </row>
    <row r="19" spans="1:21" x14ac:dyDescent="0.2">
      <c r="A19" t="s">
        <v>31</v>
      </c>
      <c r="B19" t="s">
        <v>1</v>
      </c>
      <c r="D19" t="s">
        <v>21</v>
      </c>
      <c r="E19">
        <f>SUM(F19:U19)</f>
        <v>8</v>
      </c>
      <c r="F19">
        <v>1</v>
      </c>
      <c r="G19">
        <v>1</v>
      </c>
      <c r="H19">
        <v>1</v>
      </c>
      <c r="I19">
        <v>1</v>
      </c>
      <c r="K19">
        <v>1</v>
      </c>
      <c r="M19">
        <v>1</v>
      </c>
      <c r="O19">
        <v>1</v>
      </c>
      <c r="P19">
        <v>1</v>
      </c>
      <c r="Q19">
        <v>0</v>
      </c>
      <c r="R19" s="2" t="s">
        <v>22</v>
      </c>
      <c r="S19" t="s">
        <v>22</v>
      </c>
    </row>
    <row r="20" spans="1:21" x14ac:dyDescent="0.2">
      <c r="B20" t="s">
        <v>3</v>
      </c>
      <c r="D20" t="s">
        <v>24</v>
      </c>
      <c r="E20">
        <f t="shared" ref="E20:E23" si="19">SUM(F20:U20)</f>
        <v>23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1</v>
      </c>
      <c r="R20" s="2"/>
    </row>
    <row r="21" spans="1:21" x14ac:dyDescent="0.2">
      <c r="B21" t="s">
        <v>4</v>
      </c>
      <c r="D21" t="s">
        <v>25</v>
      </c>
      <c r="E21">
        <f t="shared" si="19"/>
        <v>11</v>
      </c>
      <c r="H21">
        <v>2</v>
      </c>
      <c r="J21">
        <v>2</v>
      </c>
      <c r="K21">
        <v>1</v>
      </c>
      <c r="L21">
        <v>2</v>
      </c>
      <c r="M21" t="s">
        <v>22</v>
      </c>
      <c r="N21">
        <v>2</v>
      </c>
      <c r="O21" t="s">
        <v>22</v>
      </c>
      <c r="P21">
        <v>2</v>
      </c>
      <c r="R21" s="2"/>
    </row>
    <row r="22" spans="1:21" x14ac:dyDescent="0.2">
      <c r="D22" t="s">
        <v>26</v>
      </c>
      <c r="E22">
        <f t="shared" si="19"/>
        <v>33</v>
      </c>
      <c r="F22">
        <v>1</v>
      </c>
      <c r="G22">
        <v>6</v>
      </c>
      <c r="I22">
        <v>6</v>
      </c>
      <c r="K22">
        <v>6</v>
      </c>
      <c r="M22">
        <v>6</v>
      </c>
      <c r="O22">
        <v>6</v>
      </c>
      <c r="Q22">
        <v>2</v>
      </c>
      <c r="R22" s="2"/>
    </row>
    <row r="23" spans="1:21" x14ac:dyDescent="0.2">
      <c r="D23" t="s">
        <v>27</v>
      </c>
      <c r="E23">
        <f t="shared" si="19"/>
        <v>0</v>
      </c>
      <c r="R23" s="2"/>
    </row>
    <row r="24" spans="1:21" x14ac:dyDescent="0.2">
      <c r="D24" t="s">
        <v>28</v>
      </c>
      <c r="E24" s="1">
        <f>SUM(E19:E23)</f>
        <v>75</v>
      </c>
      <c r="F24" s="1">
        <f t="shared" ref="F24" si="20">SUM(F19:F23)</f>
        <v>4</v>
      </c>
      <c r="G24" s="1">
        <f t="shared" ref="G24" si="21">SUM(G19:G23)</f>
        <v>9</v>
      </c>
      <c r="H24" s="1">
        <f t="shared" ref="H24" si="22">SUM(H19:H23)</f>
        <v>5</v>
      </c>
      <c r="I24" s="1">
        <f t="shared" ref="I24" si="23">SUM(I19:I23)</f>
        <v>9</v>
      </c>
      <c r="J24" s="1">
        <f t="shared" ref="J24" si="24">SUM(J19:J23)</f>
        <v>4</v>
      </c>
      <c r="K24" s="1">
        <f t="shared" ref="K24" si="25">SUM(K19:K23)</f>
        <v>10</v>
      </c>
      <c r="L24" s="1">
        <f t="shared" ref="L24" si="26">SUM(L19:L23)</f>
        <v>4</v>
      </c>
      <c r="M24" s="1">
        <f t="shared" ref="M24" si="27">SUM(M19:M23)</f>
        <v>9</v>
      </c>
      <c r="N24" s="1">
        <f t="shared" ref="N24" si="28">SUM(N19:N23)</f>
        <v>4</v>
      </c>
      <c r="O24" s="1">
        <f t="shared" ref="O24" si="29">SUM(O19:O23)</f>
        <v>9</v>
      </c>
      <c r="P24" s="1">
        <f t="shared" ref="P24" si="30">SUM(P19:P23)</f>
        <v>5</v>
      </c>
      <c r="Q24" s="1">
        <f t="shared" ref="Q24" si="31">SUM(Q19:Q23)</f>
        <v>3</v>
      </c>
      <c r="R24" s="3">
        <f t="shared" ref="R24" si="32">SUM(R19:R23)</f>
        <v>0</v>
      </c>
      <c r="S24" s="1">
        <f t="shared" ref="S24" si="33">SUM(S19:S23)</f>
        <v>0</v>
      </c>
      <c r="T24" s="1">
        <f t="shared" ref="T24" si="34">SUM(T19:T23)</f>
        <v>0</v>
      </c>
      <c r="U24" s="1">
        <f t="shared" ref="U24" si="35">SUM(U19:U23)</f>
        <v>0</v>
      </c>
    </row>
  </sheetData>
  <mergeCells count="1">
    <mergeCell ref="S1:U1"/>
  </mergeCells>
  <conditionalFormatting sqref="F8:U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:U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:U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34BE-3302-4B86-BDB6-249950136EAB}">
  <dimension ref="A1:U57"/>
  <sheetViews>
    <sheetView zoomScaleNormal="100" workbookViewId="0">
      <selection activeCell="J33" sqref="J33"/>
    </sheetView>
  </sheetViews>
  <sheetFormatPr baseColWidth="10" defaultColWidth="8.83203125" defaultRowHeight="15" x14ac:dyDescent="0.2"/>
  <cols>
    <col min="4" max="4" width="14.6640625" customWidth="1"/>
  </cols>
  <sheetData>
    <row r="1" spans="1:21" ht="24" x14ac:dyDescent="0.3">
      <c r="A1" s="6" t="s">
        <v>48</v>
      </c>
    </row>
    <row r="2" spans="1:21" x14ac:dyDescent="0.2">
      <c r="R2" t="s">
        <v>33</v>
      </c>
      <c r="S2" s="177" t="s">
        <v>32</v>
      </c>
      <c r="T2" s="177"/>
      <c r="U2" s="177"/>
    </row>
    <row r="3" spans="1:21" x14ac:dyDescent="0.2">
      <c r="E3" s="1" t="s">
        <v>23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3" t="s">
        <v>17</v>
      </c>
      <c r="S3" s="1" t="s">
        <v>18</v>
      </c>
      <c r="T3" s="1" t="s">
        <v>19</v>
      </c>
      <c r="U3" s="1" t="s">
        <v>20</v>
      </c>
    </row>
    <row r="4" spans="1:21" x14ac:dyDescent="0.2">
      <c r="A4" t="s">
        <v>0</v>
      </c>
      <c r="B4" t="s">
        <v>2</v>
      </c>
      <c r="D4" t="s">
        <v>21</v>
      </c>
      <c r="E4">
        <f>SUM(F4:U4)</f>
        <v>17</v>
      </c>
      <c r="F4">
        <v>1</v>
      </c>
      <c r="G4">
        <v>2</v>
      </c>
      <c r="H4">
        <v>1</v>
      </c>
      <c r="I4">
        <v>2</v>
      </c>
      <c r="J4">
        <v>1</v>
      </c>
      <c r="K4">
        <v>2</v>
      </c>
      <c r="L4">
        <v>1</v>
      </c>
      <c r="M4">
        <v>2</v>
      </c>
      <c r="N4">
        <v>1</v>
      </c>
      <c r="O4">
        <v>2</v>
      </c>
      <c r="P4">
        <v>2</v>
      </c>
      <c r="Q4">
        <v>0</v>
      </c>
      <c r="R4" s="2"/>
    </row>
    <row r="5" spans="1:21" x14ac:dyDescent="0.2">
      <c r="A5" s="4" t="s">
        <v>34</v>
      </c>
      <c r="B5" t="s">
        <v>3</v>
      </c>
      <c r="D5" t="s">
        <v>24</v>
      </c>
      <c r="E5">
        <f t="shared" ref="E5:E8" si="0">SUM(F5:U5)</f>
        <v>55</v>
      </c>
      <c r="F5">
        <v>1</v>
      </c>
      <c r="G5">
        <v>2</v>
      </c>
      <c r="H5">
        <v>2</v>
      </c>
      <c r="I5">
        <v>2</v>
      </c>
      <c r="J5">
        <v>3</v>
      </c>
      <c r="K5">
        <v>3</v>
      </c>
      <c r="L5">
        <v>4</v>
      </c>
      <c r="M5">
        <v>3</v>
      </c>
      <c r="N5">
        <v>2</v>
      </c>
      <c r="O5">
        <v>2</v>
      </c>
      <c r="P5">
        <v>2</v>
      </c>
      <c r="Q5">
        <v>2</v>
      </c>
      <c r="R5" s="2">
        <v>5</v>
      </c>
      <c r="S5">
        <v>6</v>
      </c>
      <c r="T5">
        <v>7</v>
      </c>
      <c r="U5">
        <v>9</v>
      </c>
    </row>
    <row r="6" spans="1:21" x14ac:dyDescent="0.2">
      <c r="B6" t="s">
        <v>4</v>
      </c>
      <c r="D6" t="s">
        <v>25</v>
      </c>
      <c r="E6">
        <f t="shared" si="0"/>
        <v>0</v>
      </c>
      <c r="R6" s="2"/>
    </row>
    <row r="7" spans="1:21" x14ac:dyDescent="0.2">
      <c r="D7" t="s">
        <v>26</v>
      </c>
      <c r="E7">
        <f t="shared" si="0"/>
        <v>0</v>
      </c>
      <c r="R7" s="2"/>
    </row>
    <row r="8" spans="1:21" x14ac:dyDescent="0.2">
      <c r="D8" t="s">
        <v>27</v>
      </c>
      <c r="E8">
        <f t="shared" si="0"/>
        <v>3</v>
      </c>
      <c r="R8" s="2"/>
      <c r="U8">
        <v>3</v>
      </c>
    </row>
    <row r="9" spans="1:21" x14ac:dyDescent="0.2">
      <c r="D9" t="s">
        <v>28</v>
      </c>
      <c r="E9" s="1">
        <f>SUM(E4:E8)</f>
        <v>75</v>
      </c>
      <c r="F9" s="1">
        <f t="shared" ref="F9:U9" si="1">SUM(F4:F8)</f>
        <v>2</v>
      </c>
      <c r="G9" s="1">
        <f t="shared" si="1"/>
        <v>4</v>
      </c>
      <c r="H9" s="1">
        <f t="shared" si="1"/>
        <v>3</v>
      </c>
      <c r="I9" s="1">
        <f t="shared" si="1"/>
        <v>4</v>
      </c>
      <c r="J9" s="1">
        <f t="shared" si="1"/>
        <v>4</v>
      </c>
      <c r="K9" s="1">
        <f t="shared" si="1"/>
        <v>5</v>
      </c>
      <c r="L9" s="1">
        <f t="shared" si="1"/>
        <v>5</v>
      </c>
      <c r="M9" s="1">
        <f t="shared" si="1"/>
        <v>5</v>
      </c>
      <c r="N9" s="1">
        <f t="shared" si="1"/>
        <v>3</v>
      </c>
      <c r="O9" s="1">
        <f t="shared" si="1"/>
        <v>4</v>
      </c>
      <c r="P9" s="1">
        <f t="shared" si="1"/>
        <v>4</v>
      </c>
      <c r="Q9" s="1">
        <f t="shared" si="1"/>
        <v>2</v>
      </c>
      <c r="R9" s="3">
        <f t="shared" si="1"/>
        <v>5</v>
      </c>
      <c r="S9" s="1">
        <f t="shared" si="1"/>
        <v>6</v>
      </c>
      <c r="T9" s="1">
        <f t="shared" si="1"/>
        <v>7</v>
      </c>
      <c r="U9" s="1">
        <f t="shared" si="1"/>
        <v>12</v>
      </c>
    </row>
    <row r="10" spans="1:21" x14ac:dyDescent="0.2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2" spans="1:21" x14ac:dyDescent="0.2">
      <c r="A12" t="s">
        <v>29</v>
      </c>
      <c r="B12" t="s">
        <v>30</v>
      </c>
      <c r="D12" t="s">
        <v>21</v>
      </c>
      <c r="E12">
        <f>SUM(F12:U12)</f>
        <v>17</v>
      </c>
      <c r="F12">
        <v>1</v>
      </c>
      <c r="G12">
        <v>2</v>
      </c>
      <c r="H12">
        <v>1</v>
      </c>
      <c r="I12">
        <v>2</v>
      </c>
      <c r="J12">
        <v>1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0</v>
      </c>
      <c r="R12" s="2"/>
    </row>
    <row r="13" spans="1:21" x14ac:dyDescent="0.2">
      <c r="A13" s="4" t="s">
        <v>35</v>
      </c>
      <c r="B13" t="s">
        <v>3</v>
      </c>
      <c r="D13" t="s">
        <v>24</v>
      </c>
      <c r="E13">
        <f t="shared" ref="E13:E16" si="2">SUM(F13:U13)</f>
        <v>49</v>
      </c>
      <c r="F13">
        <v>1</v>
      </c>
      <c r="G13">
        <v>2</v>
      </c>
      <c r="H13">
        <v>2</v>
      </c>
      <c r="I13">
        <v>2</v>
      </c>
      <c r="J13">
        <v>4</v>
      </c>
      <c r="K13">
        <v>5</v>
      </c>
      <c r="L13">
        <v>4</v>
      </c>
      <c r="M13">
        <v>3</v>
      </c>
      <c r="N13">
        <v>2</v>
      </c>
      <c r="O13">
        <v>4</v>
      </c>
      <c r="P13">
        <v>5</v>
      </c>
      <c r="Q13">
        <v>4</v>
      </c>
      <c r="R13" s="2">
        <v>1</v>
      </c>
      <c r="S13">
        <v>2</v>
      </c>
      <c r="T13">
        <v>3</v>
      </c>
      <c r="U13">
        <v>5</v>
      </c>
    </row>
    <row r="14" spans="1:21" x14ac:dyDescent="0.2">
      <c r="B14" t="s">
        <v>4</v>
      </c>
      <c r="D14" t="s">
        <v>25</v>
      </c>
      <c r="E14">
        <f t="shared" si="2"/>
        <v>6</v>
      </c>
      <c r="L14">
        <v>2</v>
      </c>
      <c r="Q14">
        <v>4</v>
      </c>
      <c r="R14" s="2"/>
    </row>
    <row r="15" spans="1:21" x14ac:dyDescent="0.2">
      <c r="D15" t="s">
        <v>26</v>
      </c>
      <c r="E15">
        <f t="shared" si="2"/>
        <v>0</v>
      </c>
      <c r="R15" s="2"/>
    </row>
    <row r="16" spans="1:21" x14ac:dyDescent="0.2">
      <c r="D16" t="s">
        <v>27</v>
      </c>
      <c r="E16">
        <f t="shared" si="2"/>
        <v>3</v>
      </c>
      <c r="R16" s="2"/>
      <c r="U16">
        <v>3</v>
      </c>
    </row>
    <row r="17" spans="1:21" x14ac:dyDescent="0.2">
      <c r="D17" t="s">
        <v>28</v>
      </c>
      <c r="E17" s="1">
        <f>SUM(E12:E16)</f>
        <v>75</v>
      </c>
      <c r="F17" s="1">
        <f t="shared" ref="F17:U17" si="3">SUM(F12:F16)</f>
        <v>2</v>
      </c>
      <c r="G17" s="1">
        <f t="shared" si="3"/>
        <v>4</v>
      </c>
      <c r="H17" s="1">
        <f t="shared" si="3"/>
        <v>3</v>
      </c>
      <c r="I17" s="1">
        <f t="shared" si="3"/>
        <v>4</v>
      </c>
      <c r="J17" s="1">
        <f t="shared" si="3"/>
        <v>5</v>
      </c>
      <c r="K17" s="1">
        <f t="shared" si="3"/>
        <v>7</v>
      </c>
      <c r="L17" s="1">
        <f t="shared" si="3"/>
        <v>7</v>
      </c>
      <c r="M17" s="1">
        <f t="shared" si="3"/>
        <v>5</v>
      </c>
      <c r="N17" s="1">
        <f t="shared" si="3"/>
        <v>3</v>
      </c>
      <c r="O17" s="1">
        <f t="shared" si="3"/>
        <v>6</v>
      </c>
      <c r="P17" s="1">
        <f t="shared" si="3"/>
        <v>7</v>
      </c>
      <c r="Q17" s="1">
        <f t="shared" si="3"/>
        <v>8</v>
      </c>
      <c r="R17" s="3">
        <f t="shared" si="3"/>
        <v>1</v>
      </c>
      <c r="S17" s="1">
        <f t="shared" si="3"/>
        <v>2</v>
      </c>
      <c r="T17" s="1">
        <f t="shared" si="3"/>
        <v>3</v>
      </c>
      <c r="U17" s="1">
        <f t="shared" si="3"/>
        <v>8</v>
      </c>
    </row>
    <row r="20" spans="1:21" x14ac:dyDescent="0.2">
      <c r="A20" t="s">
        <v>31</v>
      </c>
      <c r="B20" t="s">
        <v>1</v>
      </c>
      <c r="D20" t="s">
        <v>21</v>
      </c>
      <c r="E20">
        <f>SUM(F20:U20)</f>
        <v>8</v>
      </c>
      <c r="F20">
        <v>1</v>
      </c>
      <c r="G20">
        <v>1</v>
      </c>
      <c r="H20">
        <v>1</v>
      </c>
      <c r="I20">
        <v>1</v>
      </c>
      <c r="K20">
        <v>1</v>
      </c>
      <c r="M20">
        <v>1</v>
      </c>
      <c r="O20">
        <v>1</v>
      </c>
      <c r="P20">
        <v>1</v>
      </c>
      <c r="Q20">
        <v>0</v>
      </c>
      <c r="R20" s="2"/>
    </row>
    <row r="21" spans="1:21" x14ac:dyDescent="0.2">
      <c r="A21" s="4" t="s">
        <v>36</v>
      </c>
      <c r="B21" t="s">
        <v>3</v>
      </c>
      <c r="D21" t="s">
        <v>24</v>
      </c>
      <c r="E21">
        <f t="shared" ref="E21:E24" si="4">SUM(F21:U21)</f>
        <v>23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1</v>
      </c>
      <c r="R21" s="2"/>
    </row>
    <row r="22" spans="1:21" x14ac:dyDescent="0.2">
      <c r="B22" t="s">
        <v>4</v>
      </c>
      <c r="D22" t="s">
        <v>25</v>
      </c>
      <c r="E22">
        <f t="shared" si="4"/>
        <v>11</v>
      </c>
      <c r="H22">
        <v>2</v>
      </c>
      <c r="J22">
        <v>2</v>
      </c>
      <c r="K22">
        <v>1</v>
      </c>
      <c r="L22">
        <v>2</v>
      </c>
      <c r="N22">
        <v>2</v>
      </c>
      <c r="P22">
        <v>2</v>
      </c>
      <c r="R22" s="2"/>
    </row>
    <row r="23" spans="1:21" x14ac:dyDescent="0.2">
      <c r="D23" t="s">
        <v>26</v>
      </c>
      <c r="E23">
        <f t="shared" si="4"/>
        <v>33</v>
      </c>
      <c r="F23">
        <v>1</v>
      </c>
      <c r="G23">
        <v>6</v>
      </c>
      <c r="I23">
        <v>6</v>
      </c>
      <c r="K23">
        <v>6</v>
      </c>
      <c r="M23">
        <v>6</v>
      </c>
      <c r="O23">
        <v>6</v>
      </c>
      <c r="Q23">
        <v>2</v>
      </c>
      <c r="R23" s="2"/>
    </row>
    <row r="24" spans="1:21" x14ac:dyDescent="0.2">
      <c r="D24" t="s">
        <v>27</v>
      </c>
      <c r="E24">
        <f t="shared" si="4"/>
        <v>0</v>
      </c>
      <c r="R24" s="2"/>
    </row>
    <row r="25" spans="1:21" x14ac:dyDescent="0.2">
      <c r="D25" t="s">
        <v>28</v>
      </c>
      <c r="E25" s="1">
        <f>SUM(E20:E24)</f>
        <v>75</v>
      </c>
      <c r="F25" s="1">
        <f t="shared" ref="F25:U25" si="5">SUM(F20:F24)</f>
        <v>4</v>
      </c>
      <c r="G25" s="1">
        <f t="shared" si="5"/>
        <v>9</v>
      </c>
      <c r="H25" s="1">
        <f t="shared" si="5"/>
        <v>5</v>
      </c>
      <c r="I25" s="1">
        <f t="shared" si="5"/>
        <v>9</v>
      </c>
      <c r="J25" s="1">
        <f t="shared" si="5"/>
        <v>4</v>
      </c>
      <c r="K25" s="1">
        <f t="shared" si="5"/>
        <v>10</v>
      </c>
      <c r="L25" s="1">
        <f t="shared" si="5"/>
        <v>4</v>
      </c>
      <c r="M25" s="1">
        <f t="shared" si="5"/>
        <v>9</v>
      </c>
      <c r="N25" s="1">
        <f t="shared" si="5"/>
        <v>4</v>
      </c>
      <c r="O25" s="1">
        <f t="shared" si="5"/>
        <v>9</v>
      </c>
      <c r="P25" s="1">
        <f t="shared" si="5"/>
        <v>5</v>
      </c>
      <c r="Q25" s="1">
        <f t="shared" si="5"/>
        <v>3</v>
      </c>
      <c r="R25" s="3">
        <f t="shared" si="5"/>
        <v>0</v>
      </c>
      <c r="S25" s="1">
        <f t="shared" si="5"/>
        <v>0</v>
      </c>
      <c r="T25" s="1">
        <f t="shared" si="5"/>
        <v>0</v>
      </c>
      <c r="U25" s="1">
        <f t="shared" si="5"/>
        <v>0</v>
      </c>
    </row>
    <row r="28" spans="1:21" x14ac:dyDescent="0.2">
      <c r="A28" t="s">
        <v>0</v>
      </c>
      <c r="B28" t="s">
        <v>2</v>
      </c>
      <c r="D28" t="s">
        <v>21</v>
      </c>
      <c r="E28">
        <f>SUM(F28:U28)</f>
        <v>35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2</v>
      </c>
      <c r="R28" s="2"/>
    </row>
    <row r="29" spans="1:21" x14ac:dyDescent="0.2">
      <c r="A29" s="4" t="s">
        <v>37</v>
      </c>
      <c r="B29" t="s">
        <v>40</v>
      </c>
      <c r="D29" t="s">
        <v>24</v>
      </c>
      <c r="E29">
        <f t="shared" ref="E29:E32" si="6">SUM(F29:U29)</f>
        <v>112</v>
      </c>
      <c r="F29">
        <v>3</v>
      </c>
      <c r="G29">
        <v>4</v>
      </c>
      <c r="H29">
        <v>4</v>
      </c>
      <c r="I29">
        <v>4</v>
      </c>
      <c r="J29">
        <v>5</v>
      </c>
      <c r="K29">
        <v>6</v>
      </c>
      <c r="L29">
        <v>8</v>
      </c>
      <c r="M29">
        <v>6</v>
      </c>
      <c r="N29">
        <v>4</v>
      </c>
      <c r="O29">
        <v>4</v>
      </c>
      <c r="P29">
        <v>4</v>
      </c>
      <c r="Q29">
        <v>4</v>
      </c>
      <c r="R29" s="2">
        <v>10</v>
      </c>
      <c r="S29">
        <v>13</v>
      </c>
      <c r="T29">
        <v>15</v>
      </c>
      <c r="U29">
        <v>18</v>
      </c>
    </row>
    <row r="30" spans="1:21" x14ac:dyDescent="0.2">
      <c r="B30" t="s">
        <v>41</v>
      </c>
      <c r="D30" t="s">
        <v>25</v>
      </c>
      <c r="E30">
        <f t="shared" si="6"/>
        <v>0</v>
      </c>
      <c r="R30" s="2"/>
    </row>
    <row r="31" spans="1:21" x14ac:dyDescent="0.2">
      <c r="D31" t="s">
        <v>26</v>
      </c>
      <c r="E31">
        <f t="shared" si="6"/>
        <v>0</v>
      </c>
      <c r="R31" s="2"/>
    </row>
    <row r="32" spans="1:21" x14ac:dyDescent="0.2">
      <c r="D32" t="s">
        <v>27</v>
      </c>
      <c r="E32">
        <f t="shared" si="6"/>
        <v>3</v>
      </c>
      <c r="R32" s="2"/>
      <c r="U32">
        <v>3</v>
      </c>
    </row>
    <row r="33" spans="1:21" x14ac:dyDescent="0.2">
      <c r="D33" t="s">
        <v>28</v>
      </c>
      <c r="E33" s="1">
        <f>SUM(E28:E32)</f>
        <v>150</v>
      </c>
      <c r="F33" s="1">
        <f t="shared" ref="F33:U33" si="7">SUM(F28:F32)</f>
        <v>6</v>
      </c>
      <c r="G33" s="1">
        <f t="shared" si="7"/>
        <v>7</v>
      </c>
      <c r="H33" s="1">
        <f t="shared" si="7"/>
        <v>7</v>
      </c>
      <c r="I33" s="1">
        <f t="shared" si="7"/>
        <v>7</v>
      </c>
      <c r="J33" s="1">
        <f t="shared" si="7"/>
        <v>8</v>
      </c>
      <c r="K33" s="1">
        <f t="shared" si="7"/>
        <v>9</v>
      </c>
      <c r="L33" s="1">
        <f t="shared" si="7"/>
        <v>11</v>
      </c>
      <c r="M33" s="1">
        <f t="shared" si="7"/>
        <v>9</v>
      </c>
      <c r="N33" s="1">
        <f t="shared" si="7"/>
        <v>7</v>
      </c>
      <c r="O33" s="1">
        <f t="shared" si="7"/>
        <v>7</v>
      </c>
      <c r="P33" s="1">
        <f t="shared" si="7"/>
        <v>7</v>
      </c>
      <c r="Q33" s="1">
        <f t="shared" si="7"/>
        <v>6</v>
      </c>
      <c r="R33" s="3">
        <f t="shared" si="7"/>
        <v>10</v>
      </c>
      <c r="S33" s="1">
        <f t="shared" si="7"/>
        <v>13</v>
      </c>
      <c r="T33" s="1">
        <f t="shared" si="7"/>
        <v>15</v>
      </c>
      <c r="U33" s="1">
        <f t="shared" si="7"/>
        <v>21</v>
      </c>
    </row>
    <row r="34" spans="1:21" x14ac:dyDescent="0.2"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6" spans="1:21" x14ac:dyDescent="0.2">
      <c r="A36" t="s">
        <v>29</v>
      </c>
      <c r="B36" t="s">
        <v>30</v>
      </c>
      <c r="D36" t="s">
        <v>21</v>
      </c>
      <c r="E36">
        <f>SUM(F36:U36)</f>
        <v>17</v>
      </c>
      <c r="F36">
        <v>1</v>
      </c>
      <c r="G36">
        <v>2</v>
      </c>
      <c r="H36">
        <v>1</v>
      </c>
      <c r="I36">
        <v>2</v>
      </c>
      <c r="J36">
        <v>1</v>
      </c>
      <c r="K36">
        <v>2</v>
      </c>
      <c r="L36">
        <v>1</v>
      </c>
      <c r="M36">
        <v>2</v>
      </c>
      <c r="N36">
        <v>1</v>
      </c>
      <c r="O36">
        <v>2</v>
      </c>
      <c r="P36">
        <v>2</v>
      </c>
      <c r="Q36">
        <v>0</v>
      </c>
      <c r="R36" s="2"/>
    </row>
    <row r="37" spans="1:21" x14ac:dyDescent="0.2">
      <c r="A37" s="4" t="s">
        <v>38</v>
      </c>
      <c r="B37" t="s">
        <v>3</v>
      </c>
      <c r="D37" t="s">
        <v>24</v>
      </c>
      <c r="E37">
        <f t="shared" ref="E37:E40" si="8">SUM(F37:U37)</f>
        <v>49</v>
      </c>
      <c r="F37">
        <v>1</v>
      </c>
      <c r="G37">
        <v>2</v>
      </c>
      <c r="H37">
        <v>2</v>
      </c>
      <c r="I37">
        <v>2</v>
      </c>
      <c r="J37">
        <v>4</v>
      </c>
      <c r="K37">
        <v>5</v>
      </c>
      <c r="L37">
        <v>4</v>
      </c>
      <c r="M37">
        <v>3</v>
      </c>
      <c r="N37">
        <v>2</v>
      </c>
      <c r="O37">
        <v>4</v>
      </c>
      <c r="P37">
        <v>5</v>
      </c>
      <c r="Q37">
        <v>4</v>
      </c>
      <c r="R37" s="2">
        <v>1</v>
      </c>
      <c r="S37">
        <v>2</v>
      </c>
      <c r="T37">
        <v>3</v>
      </c>
      <c r="U37">
        <v>5</v>
      </c>
    </row>
    <row r="38" spans="1:21" x14ac:dyDescent="0.2">
      <c r="B38" t="s">
        <v>4</v>
      </c>
      <c r="D38" t="s">
        <v>25</v>
      </c>
      <c r="E38">
        <f t="shared" si="8"/>
        <v>6</v>
      </c>
      <c r="L38">
        <v>2</v>
      </c>
      <c r="Q38">
        <v>4</v>
      </c>
      <c r="R38" s="2"/>
    </row>
    <row r="39" spans="1:21" x14ac:dyDescent="0.2">
      <c r="D39" t="s">
        <v>26</v>
      </c>
      <c r="E39">
        <f t="shared" si="8"/>
        <v>0</v>
      </c>
      <c r="R39" s="2"/>
    </row>
    <row r="40" spans="1:21" x14ac:dyDescent="0.2">
      <c r="D40" t="s">
        <v>27</v>
      </c>
      <c r="E40">
        <f t="shared" si="8"/>
        <v>3</v>
      </c>
      <c r="R40" s="2"/>
      <c r="U40">
        <v>3</v>
      </c>
    </row>
    <row r="41" spans="1:21" x14ac:dyDescent="0.2">
      <c r="D41" t="s">
        <v>28</v>
      </c>
      <c r="E41" s="1">
        <f>SUM(E36:E40)</f>
        <v>75</v>
      </c>
      <c r="F41" s="1">
        <f t="shared" ref="F41:U41" si="9">SUM(F36:F40)</f>
        <v>2</v>
      </c>
      <c r="G41" s="1">
        <f t="shared" si="9"/>
        <v>4</v>
      </c>
      <c r="H41" s="1">
        <f t="shared" si="9"/>
        <v>3</v>
      </c>
      <c r="I41" s="1">
        <f t="shared" si="9"/>
        <v>4</v>
      </c>
      <c r="J41" s="1">
        <f t="shared" si="9"/>
        <v>5</v>
      </c>
      <c r="K41" s="1">
        <f t="shared" si="9"/>
        <v>7</v>
      </c>
      <c r="L41" s="1">
        <f t="shared" si="9"/>
        <v>7</v>
      </c>
      <c r="M41" s="1">
        <f t="shared" si="9"/>
        <v>5</v>
      </c>
      <c r="N41" s="1">
        <f t="shared" si="9"/>
        <v>3</v>
      </c>
      <c r="O41" s="1">
        <f t="shared" si="9"/>
        <v>6</v>
      </c>
      <c r="P41" s="1">
        <f t="shared" si="9"/>
        <v>7</v>
      </c>
      <c r="Q41" s="1">
        <f t="shared" si="9"/>
        <v>8</v>
      </c>
      <c r="R41" s="3">
        <f t="shared" si="9"/>
        <v>1</v>
      </c>
      <c r="S41" s="1">
        <f t="shared" si="9"/>
        <v>2</v>
      </c>
      <c r="T41" s="1">
        <f t="shared" si="9"/>
        <v>3</v>
      </c>
      <c r="U41" s="1">
        <f t="shared" si="9"/>
        <v>8</v>
      </c>
    </row>
    <row r="44" spans="1:21" x14ac:dyDescent="0.2">
      <c r="A44" t="s">
        <v>31</v>
      </c>
      <c r="B44" t="s">
        <v>1</v>
      </c>
      <c r="D44" t="s">
        <v>21</v>
      </c>
      <c r="E44">
        <f>SUM(F44:U44)</f>
        <v>8</v>
      </c>
      <c r="F44">
        <v>1</v>
      </c>
      <c r="G44">
        <v>1</v>
      </c>
      <c r="H44">
        <v>1</v>
      </c>
      <c r="I44">
        <v>1</v>
      </c>
      <c r="K44">
        <v>1</v>
      </c>
      <c r="M44">
        <v>1</v>
      </c>
      <c r="O44">
        <v>1</v>
      </c>
      <c r="P44">
        <v>1</v>
      </c>
      <c r="Q44">
        <v>0</v>
      </c>
      <c r="R44" s="2"/>
    </row>
    <row r="45" spans="1:21" x14ac:dyDescent="0.2">
      <c r="A45" s="4" t="s">
        <v>39</v>
      </c>
      <c r="B45" t="s">
        <v>3</v>
      </c>
      <c r="D45" t="s">
        <v>24</v>
      </c>
      <c r="E45">
        <f t="shared" ref="E45:E48" si="10">SUM(F45:U45)</f>
        <v>23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1</v>
      </c>
      <c r="R45" s="2"/>
    </row>
    <row r="46" spans="1:21" x14ac:dyDescent="0.2">
      <c r="B46" t="s">
        <v>4</v>
      </c>
      <c r="D46" t="s">
        <v>25</v>
      </c>
      <c r="E46">
        <f t="shared" si="10"/>
        <v>11</v>
      </c>
      <c r="H46">
        <v>2</v>
      </c>
      <c r="J46">
        <v>2</v>
      </c>
      <c r="K46">
        <v>1</v>
      </c>
      <c r="L46">
        <v>2</v>
      </c>
      <c r="N46">
        <v>2</v>
      </c>
      <c r="P46">
        <v>2</v>
      </c>
      <c r="R46" s="2"/>
    </row>
    <row r="47" spans="1:21" x14ac:dyDescent="0.2">
      <c r="D47" t="s">
        <v>26</v>
      </c>
      <c r="E47">
        <f t="shared" si="10"/>
        <v>33</v>
      </c>
      <c r="F47">
        <v>1</v>
      </c>
      <c r="G47">
        <v>6</v>
      </c>
      <c r="I47">
        <v>6</v>
      </c>
      <c r="K47">
        <v>6</v>
      </c>
      <c r="M47">
        <v>6</v>
      </c>
      <c r="O47">
        <v>6</v>
      </c>
      <c r="Q47">
        <v>2</v>
      </c>
      <c r="R47" s="2"/>
    </row>
    <row r="48" spans="1:21" x14ac:dyDescent="0.2">
      <c r="D48" t="s">
        <v>27</v>
      </c>
      <c r="E48">
        <f t="shared" si="10"/>
        <v>0</v>
      </c>
      <c r="R48" s="2"/>
    </row>
    <row r="49" spans="4:21" x14ac:dyDescent="0.2">
      <c r="D49" t="s">
        <v>28</v>
      </c>
      <c r="E49" s="1">
        <f>SUM(E44:E48)</f>
        <v>75</v>
      </c>
      <c r="F49" s="1">
        <f t="shared" ref="F49:U49" si="11">SUM(F44:F48)</f>
        <v>4</v>
      </c>
      <c r="G49" s="1">
        <f t="shared" si="11"/>
        <v>9</v>
      </c>
      <c r="H49" s="1">
        <f t="shared" si="11"/>
        <v>5</v>
      </c>
      <c r="I49" s="1">
        <f t="shared" si="11"/>
        <v>9</v>
      </c>
      <c r="J49" s="1">
        <f t="shared" si="11"/>
        <v>4</v>
      </c>
      <c r="K49" s="1">
        <f t="shared" si="11"/>
        <v>10</v>
      </c>
      <c r="L49" s="1">
        <f t="shared" si="11"/>
        <v>4</v>
      </c>
      <c r="M49" s="1">
        <f t="shared" si="11"/>
        <v>9</v>
      </c>
      <c r="N49" s="1">
        <f t="shared" si="11"/>
        <v>4</v>
      </c>
      <c r="O49" s="1">
        <f t="shared" si="11"/>
        <v>9</v>
      </c>
      <c r="P49" s="1">
        <f t="shared" si="11"/>
        <v>5</v>
      </c>
      <c r="Q49" s="1">
        <f t="shared" si="11"/>
        <v>3</v>
      </c>
      <c r="R49" s="3">
        <f t="shared" si="11"/>
        <v>0</v>
      </c>
      <c r="S49" s="1">
        <f t="shared" si="11"/>
        <v>0</v>
      </c>
      <c r="T49" s="1">
        <f t="shared" si="11"/>
        <v>0</v>
      </c>
      <c r="U49" s="1">
        <f t="shared" si="11"/>
        <v>0</v>
      </c>
    </row>
    <row r="52" spans="4:21" x14ac:dyDescent="0.2">
      <c r="D52" t="s">
        <v>47</v>
      </c>
      <c r="E52">
        <v>52.5</v>
      </c>
      <c r="F52" t="s">
        <v>22</v>
      </c>
      <c r="G52" t="s">
        <v>22</v>
      </c>
      <c r="H52" t="s">
        <v>22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U52" t="s">
        <v>22</v>
      </c>
    </row>
    <row r="53" spans="4:21" x14ac:dyDescent="0.2">
      <c r="D53" t="s">
        <v>42</v>
      </c>
      <c r="E53">
        <f>E4+E12+E20+E28+E36+E44</f>
        <v>102</v>
      </c>
      <c r="F53">
        <f t="shared" ref="F53:U56" si="12">F4+F12+F20+F28+F36+F44</f>
        <v>8</v>
      </c>
      <c r="G53">
        <f t="shared" si="12"/>
        <v>11</v>
      </c>
      <c r="H53">
        <f t="shared" si="12"/>
        <v>8</v>
      </c>
      <c r="I53">
        <f t="shared" si="12"/>
        <v>11</v>
      </c>
      <c r="J53">
        <f t="shared" si="12"/>
        <v>6</v>
      </c>
      <c r="K53">
        <f t="shared" si="12"/>
        <v>11</v>
      </c>
      <c r="L53">
        <f t="shared" si="12"/>
        <v>6</v>
      </c>
      <c r="M53">
        <f t="shared" si="12"/>
        <v>11</v>
      </c>
      <c r="N53">
        <f t="shared" si="12"/>
        <v>6</v>
      </c>
      <c r="O53">
        <f t="shared" si="12"/>
        <v>11</v>
      </c>
      <c r="P53">
        <f t="shared" si="12"/>
        <v>11</v>
      </c>
      <c r="Q53">
        <f t="shared" si="12"/>
        <v>2</v>
      </c>
      <c r="R53">
        <f t="shared" si="12"/>
        <v>0</v>
      </c>
      <c r="S53">
        <f t="shared" si="12"/>
        <v>0</v>
      </c>
      <c r="T53">
        <f t="shared" si="12"/>
        <v>0</v>
      </c>
      <c r="U53">
        <f t="shared" si="12"/>
        <v>0</v>
      </c>
    </row>
    <row r="54" spans="4:21" x14ac:dyDescent="0.2">
      <c r="D54" t="s">
        <v>43</v>
      </c>
      <c r="E54">
        <f t="shared" ref="E54:T56" si="13">E5+E13+E21+E29+E37+E45</f>
        <v>311</v>
      </c>
      <c r="F54">
        <f t="shared" si="13"/>
        <v>10</v>
      </c>
      <c r="G54">
        <f t="shared" si="13"/>
        <v>14</v>
      </c>
      <c r="H54">
        <f t="shared" si="13"/>
        <v>14</v>
      </c>
      <c r="I54">
        <f t="shared" si="13"/>
        <v>14</v>
      </c>
      <c r="J54">
        <f t="shared" si="13"/>
        <v>20</v>
      </c>
      <c r="K54">
        <f t="shared" si="13"/>
        <v>23</v>
      </c>
      <c r="L54">
        <f t="shared" si="13"/>
        <v>24</v>
      </c>
      <c r="M54">
        <f t="shared" si="13"/>
        <v>19</v>
      </c>
      <c r="N54">
        <f t="shared" si="13"/>
        <v>14</v>
      </c>
      <c r="O54">
        <f t="shared" si="13"/>
        <v>18</v>
      </c>
      <c r="P54">
        <f t="shared" si="13"/>
        <v>20</v>
      </c>
      <c r="Q54">
        <f t="shared" si="13"/>
        <v>16</v>
      </c>
      <c r="R54">
        <f t="shared" si="13"/>
        <v>17</v>
      </c>
      <c r="S54">
        <f t="shared" si="13"/>
        <v>23</v>
      </c>
      <c r="T54">
        <f t="shared" si="13"/>
        <v>28</v>
      </c>
      <c r="U54">
        <f t="shared" si="12"/>
        <v>37</v>
      </c>
    </row>
    <row r="55" spans="4:21" x14ac:dyDescent="0.2">
      <c r="D55" t="s">
        <v>44</v>
      </c>
      <c r="E55">
        <f t="shared" si="13"/>
        <v>34</v>
      </c>
      <c r="F55">
        <f t="shared" si="12"/>
        <v>0</v>
      </c>
      <c r="G55">
        <f t="shared" si="12"/>
        <v>0</v>
      </c>
      <c r="H55">
        <f t="shared" si="12"/>
        <v>4</v>
      </c>
      <c r="I55">
        <f t="shared" si="12"/>
        <v>0</v>
      </c>
      <c r="J55">
        <f t="shared" si="12"/>
        <v>4</v>
      </c>
      <c r="K55">
        <f t="shared" si="12"/>
        <v>2</v>
      </c>
      <c r="L55">
        <f t="shared" si="12"/>
        <v>8</v>
      </c>
      <c r="M55">
        <f t="shared" si="12"/>
        <v>0</v>
      </c>
      <c r="N55">
        <f t="shared" si="12"/>
        <v>4</v>
      </c>
      <c r="O55">
        <f>O6+O14+O22+O30+O38+O46</f>
        <v>0</v>
      </c>
      <c r="P55">
        <f t="shared" si="12"/>
        <v>4</v>
      </c>
      <c r="Q55">
        <f t="shared" si="12"/>
        <v>8</v>
      </c>
      <c r="R55">
        <f t="shared" si="12"/>
        <v>0</v>
      </c>
      <c r="S55">
        <f t="shared" si="12"/>
        <v>0</v>
      </c>
      <c r="T55">
        <f t="shared" si="12"/>
        <v>0</v>
      </c>
      <c r="U55">
        <f t="shared" si="12"/>
        <v>0</v>
      </c>
    </row>
    <row r="56" spans="4:21" x14ac:dyDescent="0.2">
      <c r="D56" t="s">
        <v>45</v>
      </c>
      <c r="E56">
        <f t="shared" si="13"/>
        <v>66</v>
      </c>
      <c r="F56">
        <f t="shared" si="12"/>
        <v>2</v>
      </c>
      <c r="G56">
        <f t="shared" si="12"/>
        <v>12</v>
      </c>
      <c r="H56">
        <f t="shared" si="12"/>
        <v>0</v>
      </c>
      <c r="I56">
        <f t="shared" si="12"/>
        <v>12</v>
      </c>
      <c r="J56">
        <f t="shared" si="12"/>
        <v>0</v>
      </c>
      <c r="K56">
        <f t="shared" si="12"/>
        <v>12</v>
      </c>
      <c r="L56">
        <f t="shared" si="12"/>
        <v>0</v>
      </c>
      <c r="M56">
        <f t="shared" si="12"/>
        <v>12</v>
      </c>
      <c r="N56">
        <f t="shared" si="12"/>
        <v>0</v>
      </c>
      <c r="O56">
        <f t="shared" si="12"/>
        <v>12</v>
      </c>
      <c r="P56">
        <f t="shared" si="12"/>
        <v>0</v>
      </c>
      <c r="Q56">
        <f t="shared" si="12"/>
        <v>4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</row>
    <row r="57" spans="4:21" ht="21" x14ac:dyDescent="0.25">
      <c r="D57" s="5" t="s">
        <v>46</v>
      </c>
      <c r="E57" s="5">
        <f>E9+E17+E25+E33+E41+E49</f>
        <v>525</v>
      </c>
      <c r="F57" s="5">
        <f t="shared" ref="F57:U57" si="14">F9+F17+F25+F33+F41+F49</f>
        <v>20</v>
      </c>
      <c r="G57" s="5">
        <f t="shared" si="14"/>
        <v>37</v>
      </c>
      <c r="H57" s="5">
        <f t="shared" si="14"/>
        <v>26</v>
      </c>
      <c r="I57" s="5">
        <f t="shared" si="14"/>
        <v>37</v>
      </c>
      <c r="J57" s="5">
        <f t="shared" si="14"/>
        <v>30</v>
      </c>
      <c r="K57" s="5">
        <f t="shared" si="14"/>
        <v>48</v>
      </c>
      <c r="L57" s="5">
        <f t="shared" si="14"/>
        <v>38</v>
      </c>
      <c r="M57" s="5">
        <f t="shared" si="14"/>
        <v>42</v>
      </c>
      <c r="N57" s="5">
        <f t="shared" si="14"/>
        <v>24</v>
      </c>
      <c r="O57" s="5">
        <f t="shared" si="14"/>
        <v>41</v>
      </c>
      <c r="P57" s="5">
        <f t="shared" si="14"/>
        <v>35</v>
      </c>
      <c r="Q57" s="5">
        <f t="shared" si="14"/>
        <v>30</v>
      </c>
      <c r="R57" s="1">
        <f t="shared" si="14"/>
        <v>17</v>
      </c>
      <c r="S57" s="1">
        <f t="shared" si="14"/>
        <v>23</v>
      </c>
      <c r="T57" s="1">
        <f t="shared" si="14"/>
        <v>28</v>
      </c>
      <c r="U57" s="1">
        <f t="shared" si="14"/>
        <v>49</v>
      </c>
    </row>
  </sheetData>
  <mergeCells count="1">
    <mergeCell ref="S2:U2"/>
  </mergeCells>
  <conditionalFormatting sqref="F9:U1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U1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U2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Q3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Q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:Q4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3:U3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1:U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9:U4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:U57">
    <cfRule type="aboveAverage" dxfId="17" priority="1" stdDev="1"/>
    <cfRule type="expression" dxfId="16" priority="2">
      <formula>"&gt;30"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9F58-A3B7-40D5-B28E-FB3608F45ED5}">
  <dimension ref="A1:K10"/>
  <sheetViews>
    <sheetView workbookViewId="0">
      <selection activeCell="J33" sqref="J33"/>
    </sheetView>
  </sheetViews>
  <sheetFormatPr baseColWidth="10" defaultColWidth="8.83203125" defaultRowHeight="15" x14ac:dyDescent="0.2"/>
  <sheetData>
    <row r="1" spans="1:11" x14ac:dyDescent="0.2">
      <c r="A1" t="s">
        <v>135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 t="s">
        <v>136</v>
      </c>
      <c r="B2" t="str" cm="1">
        <f t="array" ref="B2">INDEX($A1:$A10, _xlfn.AGGREGATE(15, 6, ROW(1:10)/SIGN(LEN($A1:$A10)), B$1))</f>
        <v>First</v>
      </c>
      <c r="C2" t="str" cm="1">
        <f t="array" ref="C2">INDEX($A1:$A10, _xlfn.AGGREGATE(15, 6, ROW(1:10)/SIGN(LEN($A1:$A10)), C$1))</f>
        <v>Second</v>
      </c>
      <c r="D2" t="str" cm="1">
        <f t="array" ref="D2">INDEX($A1:$A10, _xlfn.AGGREGATE(15, 6, ROW(1:10)/SIGN(LEN($A1:$A10)), D$1))</f>
        <v>Third</v>
      </c>
      <c r="E2" t="str" cm="1">
        <f t="array" ref="E2">INDEX($A1:$A10, _xlfn.AGGREGATE(15, 6, ROW(1:10)/SIGN(LEN($A1:$A10)), E$1))</f>
        <v>Fourth</v>
      </c>
      <c r="F2" t="str" cm="1">
        <f t="array" ref="F2">INDEX($A1:$A10, _xlfn.AGGREGATE(15, 6, ROW(1:10)/SIGN(LEN($A1:$A10)), F$1))</f>
        <v>Fifth</v>
      </c>
      <c r="G2" t="str" cm="1">
        <f t="array" ref="G2">INDEX($A1:$A10, _xlfn.AGGREGATE(15, 6, ROW(1:10)/SIGN(LEN($A1:$A10)), G$1))</f>
        <v>Sixth</v>
      </c>
      <c r="H2" t="str" cm="1">
        <f t="array" ref="H2">INDEX($A1:$A10, _xlfn.AGGREGATE(15, 6, ROW(1:10)/SIGN(LEN($A1:$A10)), H$1))</f>
        <v>Seventh</v>
      </c>
      <c r="I2" t="str" cm="1">
        <f t="array" ref="I2">INDEX($A1:$A10, _xlfn.AGGREGATE(15, 6, ROW(1:10)/SIGN(LEN($A1:$A10)), I$1))</f>
        <v>Eighth</v>
      </c>
      <c r="J2" t="str" cm="1">
        <f t="array" ref="J2">INDEX($A1:$A10, _xlfn.AGGREGATE(15, 6, ROW(1:10)/SIGN(LEN($A1:$A10)), J$1))</f>
        <v>Ninth</v>
      </c>
      <c r="K2" t="str" cm="1">
        <f t="array" ref="K2">INDEX($A1:$A10, _xlfn.AGGREGATE(15, 6, ROW(1:10)/SIGN(LEN($A1:$A10)), K$1))</f>
        <v>Tenth</v>
      </c>
    </row>
    <row r="3" spans="1:11" x14ac:dyDescent="0.2">
      <c r="A3" t="s">
        <v>137</v>
      </c>
    </row>
    <row r="4" spans="1:11" x14ac:dyDescent="0.2">
      <c r="A4" t="s">
        <v>138</v>
      </c>
    </row>
    <row r="5" spans="1:11" x14ac:dyDescent="0.2">
      <c r="A5" t="s">
        <v>139</v>
      </c>
    </row>
    <row r="6" spans="1:11" x14ac:dyDescent="0.2">
      <c r="A6" t="s">
        <v>140</v>
      </c>
    </row>
    <row r="7" spans="1:11" x14ac:dyDescent="0.2">
      <c r="A7" t="s">
        <v>141</v>
      </c>
    </row>
    <row r="8" spans="1:11" x14ac:dyDescent="0.2">
      <c r="A8" t="s">
        <v>142</v>
      </c>
    </row>
    <row r="9" spans="1:11" x14ac:dyDescent="0.2">
      <c r="A9" t="s">
        <v>143</v>
      </c>
    </row>
    <row r="10" spans="1:11" x14ac:dyDescent="0.2">
      <c r="A10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EEE Y1 sem1</vt:lpstr>
      <vt:lpstr>EEE Y2 sem1</vt:lpstr>
      <vt:lpstr>Y3 sem1</vt:lpstr>
      <vt:lpstr>Y4 sem1</vt:lpstr>
      <vt:lpstr>MSC EP sem1</vt:lpstr>
      <vt:lpstr>MSC ME sem1</vt:lpstr>
      <vt:lpstr>MSC TW sem1</vt:lpstr>
      <vt:lpstr>old CW Calendars</vt:lpstr>
      <vt:lpstr>ELEC104</vt:lpstr>
      <vt:lpstr>ELEC142</vt:lpstr>
      <vt:lpstr>ELEC191</vt:lpstr>
      <vt:lpstr>ELEC129</vt:lpstr>
      <vt:lpstr>ELEC171</vt:lpstr>
      <vt:lpstr>AERO110</vt:lpstr>
      <vt:lpstr>ELEC207</vt:lpstr>
      <vt:lpstr>ELEC209</vt:lpstr>
      <vt:lpstr>ELEC270</vt:lpstr>
      <vt:lpstr>ELEC273</vt:lpstr>
      <vt:lpstr>ELEC230</vt:lpstr>
      <vt:lpstr>MATH28x</vt:lpstr>
      <vt:lpstr>ELEC330</vt:lpstr>
      <vt:lpstr>COMP305</vt:lpstr>
      <vt:lpstr>COMP323</vt:lpstr>
      <vt:lpstr>COMP327</vt:lpstr>
      <vt:lpstr>COMP523</vt:lpstr>
      <vt:lpstr>COMP390</vt:lpstr>
      <vt:lpstr>COMP521</vt:lpstr>
      <vt:lpstr>ELEC340</vt:lpstr>
      <vt:lpstr>ELEC352</vt:lpstr>
      <vt:lpstr>ELEC362</vt:lpstr>
      <vt:lpstr>ELEC370</vt:lpstr>
      <vt:lpstr>ELEC372</vt:lpstr>
      <vt:lpstr>ELEC373</vt:lpstr>
      <vt:lpstr>ELEC483</vt:lpstr>
      <vt:lpstr>ELEC431</vt:lpstr>
      <vt:lpstr>ELEC421</vt:lpstr>
      <vt:lpstr>ELEC432</vt:lpstr>
      <vt:lpstr>ELEC402</vt:lpstr>
      <vt:lpstr>ELEC470</vt:lpstr>
      <vt:lpstr>ELEC423</vt:lpstr>
      <vt:lpstr>ELEC473</vt:lpstr>
      <vt:lpstr>ELEC472</vt:lpstr>
      <vt:lpstr>ELEC477</vt:lpstr>
      <vt:lpstr>ELEC462</vt:lpstr>
      <vt:lpstr>ELEC474</vt:lpstr>
      <vt:lpstr>ELEC450</vt:lpstr>
      <vt:lpstr>ELEC476</vt:lpstr>
      <vt:lpstr>Module types</vt:lpstr>
      <vt:lpstr>cohort year 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Waleed</dc:creator>
  <cp:lastModifiedBy>Microsoft Office User</cp:lastModifiedBy>
  <cp:lastPrinted>2022-09-07T09:17:35Z</cp:lastPrinted>
  <dcterms:created xsi:type="dcterms:W3CDTF">2022-03-15T14:08:07Z</dcterms:created>
  <dcterms:modified xsi:type="dcterms:W3CDTF">2022-10-02T20:32:17Z</dcterms:modified>
</cp:coreProperties>
</file>