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velopment\The Dragon's Den\documentation\"/>
    </mc:Choice>
  </mc:AlternateContent>
  <xr:revisionPtr revIDLastSave="0" documentId="8_{F6C8BF64-BD6F-4D60-AD9D-A535A4F27025}" xr6:coauthVersionLast="45" xr6:coauthVersionMax="45" xr10:uidLastSave="{00000000-0000-0000-0000-000000000000}"/>
  <bookViews>
    <workbookView xWindow="-120" yWindow="-120" windowWidth="29040" windowHeight="15390" xr2:uid="{00000000-000D-0000-FFFF-FFFF00000000}"/>
  </bookViews>
  <sheets>
    <sheet name="Installed" sheetId="30" r:id="rId1"/>
    <sheet name="Installed (Old)" sheetId="19" r:id="rId2"/>
    <sheet name="NPCs" sheetId="4" r:id="rId3"/>
    <sheet name="Combat" sheetId="22" r:id="rId4"/>
    <sheet name="RPG" sheetId="6" r:id="rId5"/>
    <sheet name="Player Advancement" sheetId="27" r:id="rId6"/>
    <sheet name="Economy" sheetId="3" r:id="rId7"/>
    <sheet name="Multiverse" sheetId="5" r:id="rId8"/>
    <sheet name="Tracks" sheetId="29" r:id="rId9"/>
    <sheet name="Potentials" sheetId="21" r:id="rId10"/>
    <sheet name="Bug Tracker" sheetId="23" r:id="rId11"/>
    <sheet name="Loot Tables" sheetId="24" r:id="rId12"/>
    <sheet name="Horse Stats" sheetId="26" r:id="rId13"/>
    <sheet name="Commands" sheetId="28" r:id="rId14"/>
    <sheet name="--Data Validation--" sheetId="12" state="hidden" r:id="rId15"/>
    <sheet name="--Hidden--" sheetId="17" state="hidden" r:id="rId16"/>
  </sheets>
  <definedNames>
    <definedName name="_xlnm._FilterDatabase" localSheetId="10" hidden="1">'Bug Tracker'!$A$1:$H$63</definedName>
    <definedName name="_xlnm._FilterDatabase" localSheetId="11" hidden="1">'Loot Tables'!$AI$3:$AI$14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9" l="1"/>
  <c r="A3" i="30" l="1"/>
  <c r="A90" i="19"/>
  <c r="A4" i="30" l="1"/>
  <c r="A6" i="30" l="1"/>
  <c r="A57" i="21" l="1"/>
  <c r="A58" i="21"/>
  <c r="A55" i="19" l="1"/>
  <c r="A58" i="19" l="1"/>
  <c r="A6" i="19"/>
  <c r="A48" i="19" l="1"/>
  <c r="A79" i="19" l="1"/>
  <c r="A69" i="19" l="1"/>
  <c r="A84" i="19"/>
  <c r="A68" i="19" l="1"/>
  <c r="A41" i="19" l="1"/>
  <c r="A27" i="19"/>
  <c r="A9" i="21"/>
  <c r="A52" i="21" l="1"/>
  <c r="A55" i="21" l="1"/>
  <c r="A6" i="21"/>
  <c r="A74" i="19" l="1"/>
  <c r="A9" i="19"/>
  <c r="A66" i="21"/>
  <c r="A65" i="21"/>
  <c r="A36" i="21" l="1"/>
  <c r="A62" i="21" l="1"/>
  <c r="A77" i="19" l="1"/>
  <c r="A37" i="21"/>
  <c r="A38" i="21"/>
  <c r="A22" i="19"/>
  <c r="A60" i="21"/>
  <c r="A61" i="21"/>
  <c r="A40" i="21"/>
  <c r="A41" i="21"/>
  <c r="A14" i="22"/>
  <c r="A13" i="22"/>
  <c r="A63" i="21"/>
  <c r="A49" i="19"/>
  <c r="A17" i="27"/>
  <c r="A18" i="27"/>
  <c r="A33" i="19"/>
  <c r="A56" i="21"/>
  <c r="A21" i="19"/>
  <c r="A87" i="19" l="1"/>
  <c r="A76" i="19"/>
  <c r="A8" i="21"/>
  <c r="A3" i="22"/>
  <c r="A24" i="21"/>
  <c r="A32" i="19"/>
  <c r="A28" i="19"/>
  <c r="A29" i="6"/>
  <c r="A35" i="6"/>
  <c r="A34" i="6"/>
  <c r="A33" i="6"/>
  <c r="A3" i="6"/>
  <c r="A5" i="6"/>
  <c r="A6" i="6"/>
  <c r="A7" i="6"/>
  <c r="A8" i="6"/>
  <c r="A10" i="6"/>
  <c r="A11" i="6"/>
  <c r="A18" i="22"/>
  <c r="A19" i="22"/>
  <c r="A11" i="4"/>
  <c r="A2" i="4"/>
  <c r="A9" i="3" l="1"/>
  <c r="A10" i="5"/>
  <c r="A33" i="21"/>
  <c r="A21" i="27"/>
  <c r="A24" i="27"/>
  <c r="A12" i="27"/>
  <c r="A23" i="27"/>
  <c r="A22" i="27"/>
  <c r="A20" i="27"/>
  <c r="A19" i="27"/>
  <c r="A15" i="27"/>
  <c r="A14" i="27"/>
  <c r="A35" i="27"/>
  <c r="A34" i="27"/>
  <c r="A33" i="27"/>
  <c r="A32" i="27"/>
  <c r="A11" i="27"/>
  <c r="A9" i="27"/>
  <c r="A8" i="27"/>
  <c r="A7" i="27"/>
  <c r="A6" i="27"/>
  <c r="A4" i="27"/>
  <c r="A3" i="27"/>
  <c r="A28" i="27"/>
  <c r="A30" i="27"/>
  <c r="A29" i="27"/>
  <c r="A27" i="27"/>
  <c r="A26" i="27"/>
  <c r="A16" i="3"/>
  <c r="A15" i="3"/>
  <c r="A14" i="3"/>
  <c r="A44" i="21" l="1"/>
  <c r="A14" i="19"/>
  <c r="A26" i="21" l="1"/>
  <c r="A27" i="21"/>
  <c r="A4" i="21"/>
  <c r="A13" i="21"/>
  <c r="A45" i="21"/>
  <c r="A46" i="21"/>
  <c r="A35" i="19" l="1"/>
  <c r="A81" i="19" l="1"/>
  <c r="A43" i="21"/>
  <c r="A48" i="21"/>
  <c r="A4" i="22"/>
  <c r="A10" i="19"/>
  <c r="A8" i="19" l="1"/>
  <c r="A12" i="22"/>
  <c r="A44" i="6"/>
  <c r="A30" i="21"/>
  <c r="A3" i="21"/>
  <c r="A34" i="21"/>
  <c r="A3" i="3"/>
  <c r="A2" i="3"/>
  <c r="D3" i="26"/>
  <c r="D19" i="26" s="1"/>
  <c r="B3" i="26"/>
  <c r="B19" i="26" s="1"/>
  <c r="A16" i="19"/>
  <c r="A17" i="19"/>
  <c r="A29" i="21"/>
  <c r="A80" i="19"/>
  <c r="A52" i="19"/>
  <c r="A64" i="19"/>
  <c r="A31" i="21"/>
  <c r="A15" i="19"/>
  <c r="A13" i="19"/>
  <c r="A59" i="19"/>
  <c r="A83" i="19"/>
  <c r="A4" i="19"/>
  <c r="A19" i="21"/>
  <c r="A21" i="21"/>
  <c r="A18" i="21"/>
  <c r="B12" i="26" l="1"/>
  <c r="D11" i="26"/>
  <c r="B4" i="26"/>
  <c r="B13" i="26"/>
  <c r="D4" i="26"/>
  <c r="D13" i="26"/>
  <c r="B5" i="26"/>
  <c r="B14" i="26"/>
  <c r="D5" i="26"/>
  <c r="D14" i="26"/>
  <c r="D6" i="26"/>
  <c r="B8" i="26"/>
  <c r="B16" i="26"/>
  <c r="D7" i="26"/>
  <c r="D16" i="26"/>
  <c r="B6" i="26"/>
  <c r="B9" i="26"/>
  <c r="B17" i="26"/>
  <c r="D8" i="26"/>
  <c r="D17" i="26"/>
  <c r="B15" i="26"/>
  <c r="B10" i="26"/>
  <c r="B18" i="26"/>
  <c r="D9" i="26"/>
  <c r="D18" i="26"/>
  <c r="D15" i="26"/>
  <c r="B11" i="26"/>
  <c r="D10" i="26"/>
  <c r="A51" i="19"/>
  <c r="A46" i="19" l="1"/>
  <c r="A22" i="21" l="1"/>
  <c r="A12" i="21" l="1"/>
  <c r="A7" i="21"/>
  <c r="A18" i="19"/>
  <c r="A29" i="19"/>
  <c r="A38" i="19"/>
  <c r="A11" i="21"/>
  <c r="A36" i="19"/>
  <c r="A41" i="6"/>
  <c r="A23" i="6"/>
  <c r="A30" i="19"/>
  <c r="A16" i="21"/>
  <c r="C79" i="24" l="1"/>
  <c r="B79" i="24"/>
  <c r="F56" i="24"/>
  <c r="G56" i="24"/>
  <c r="F36" i="24"/>
  <c r="B52" i="24"/>
  <c r="AZ20" i="24"/>
  <c r="AY20" i="24"/>
  <c r="AP36" i="24"/>
  <c r="AO36" i="24"/>
  <c r="G36" i="24"/>
  <c r="G17" i="24"/>
  <c r="F17" i="24"/>
  <c r="C61" i="24"/>
  <c r="B61" i="24"/>
  <c r="C34" i="24"/>
  <c r="B34" i="24"/>
  <c r="C8" i="24"/>
  <c r="B8" i="24"/>
  <c r="C52" i="24"/>
  <c r="B25" i="24"/>
  <c r="AO19" i="24"/>
  <c r="U29" i="24"/>
  <c r="L31" i="24"/>
  <c r="Q54" i="24"/>
  <c r="Q46" i="24"/>
  <c r="Q16" i="24"/>
  <c r="Q34" i="24"/>
  <c r="P34" i="24"/>
  <c r="Q25" i="24"/>
  <c r="P25" i="24"/>
  <c r="Q9" i="24"/>
  <c r="P9" i="24"/>
  <c r="AA36" i="24"/>
  <c r="V17" i="24"/>
  <c r="U17" i="24"/>
  <c r="V29" i="24"/>
  <c r="AF11" i="24"/>
  <c r="AU15" i="24"/>
  <c r="AA13" i="24"/>
  <c r="AU37" i="24"/>
  <c r="AK15" i="24"/>
  <c r="C25" i="24"/>
  <c r="AF29" i="24"/>
  <c r="AE29" i="24"/>
  <c r="Z13" i="24"/>
  <c r="AP19" i="24" s="1"/>
  <c r="AT37" i="24"/>
  <c r="P54" i="24"/>
  <c r="P46" i="24"/>
  <c r="AJ37" i="24"/>
  <c r="AU25" i="24" s="1"/>
  <c r="AT25" i="24"/>
  <c r="AT15" i="24"/>
  <c r="AJ15" i="24"/>
  <c r="AE11" i="24"/>
  <c r="AK37" i="24" s="1"/>
  <c r="Z36" i="24"/>
  <c r="P16" i="24"/>
  <c r="K31" i="24"/>
  <c r="A43" i="19" l="1"/>
  <c r="A72" i="19"/>
  <c r="A25" i="19"/>
  <c r="A63" i="19" l="1"/>
  <c r="A61" i="19"/>
  <c r="A34" i="19"/>
  <c r="A57" i="19"/>
  <c r="A37" i="19"/>
  <c r="A39" i="19"/>
  <c r="A66" i="19"/>
  <c r="A3" i="19" l="1"/>
  <c r="A24" i="19" l="1"/>
  <c r="A53" i="21" l="1"/>
  <c r="A54" i="21"/>
  <c r="A50" i="21"/>
  <c r="A5" i="5"/>
  <c r="A40" i="6"/>
  <c r="A31" i="6"/>
  <c r="A30" i="6"/>
  <c r="A27" i="6"/>
  <c r="A26" i="6"/>
  <c r="A25" i="6"/>
  <c r="A22" i="6"/>
  <c r="A20" i="6"/>
  <c r="A19" i="6"/>
  <c r="A18" i="6"/>
  <c r="A7" i="22"/>
  <c r="A8" i="22"/>
  <c r="A9" i="22"/>
  <c r="A10" i="22"/>
  <c r="A5" i="22"/>
  <c r="A24" i="22"/>
  <c r="A22" i="22"/>
  <c r="A21" i="22"/>
  <c r="A23" i="22"/>
  <c r="A42" i="6"/>
  <c r="A39" i="6"/>
  <c r="A16" i="22"/>
  <c r="A26" i="22"/>
  <c r="A32" i="21"/>
  <c r="A15" i="21"/>
  <c r="A26" i="19"/>
  <c r="A11" i="19"/>
  <c r="A40" i="19"/>
  <c r="A82" i="19"/>
  <c r="A23" i="19"/>
  <c r="A50" i="19"/>
  <c r="A20" i="19"/>
  <c r="A75" i="19"/>
  <c r="A62" i="19"/>
  <c r="A19" i="19"/>
  <c r="A60" i="19"/>
  <c r="A73" i="19"/>
  <c r="A71" i="19"/>
  <c r="A45" i="19"/>
  <c r="A67" i="19"/>
  <c r="A5" i="19"/>
  <c r="A86" i="19"/>
  <c r="A85" i="19"/>
  <c r="A12" i="3" l="1"/>
  <c r="A6" i="3" l="1"/>
  <c r="A16" i="6"/>
  <c r="A7" i="4"/>
  <c r="A38" i="6"/>
  <c r="A37" i="6" l="1"/>
  <c r="A13" i="6"/>
  <c r="A10" i="3"/>
  <c r="A8" i="3"/>
  <c r="A5" i="3"/>
  <c r="A18" i="3"/>
  <c r="A11" i="5"/>
  <c r="A15" i="6"/>
  <c r="A2" i="17"/>
  <c r="F2" i="17"/>
  <c r="A2" i="5"/>
  <c r="A4" i="5"/>
  <c r="A10" i="4"/>
  <c r="A4" i="4"/>
  <c r="A3" i="5"/>
  <c r="A6" i="4"/>
  <c r="A7" i="5"/>
  <c r="A9" i="4"/>
  <c r="A14" i="6"/>
  <c r="A3" i="4"/>
  <c r="A8" i="5"/>
  <c r="A43" i="6"/>
</calcChain>
</file>

<file path=xl/sharedStrings.xml><?xml version="1.0" encoding="utf-8"?>
<sst xmlns="http://schemas.openxmlformats.org/spreadsheetml/2006/main" count="2072" uniqueCount="826">
  <si>
    <t>Name</t>
  </si>
  <si>
    <t>Description</t>
  </si>
  <si>
    <t>Version</t>
  </si>
  <si>
    <t>Mobs level up based on distance  from spawn.</t>
  </si>
  <si>
    <t>Price</t>
  </si>
  <si>
    <t>FREE</t>
  </si>
  <si>
    <t>Designate regions with auto-refilling containers</t>
  </si>
  <si>
    <t>Capture mobs with a configurable item.</t>
  </si>
  <si>
    <t>Works With…</t>
  </si>
  <si>
    <t>Requirements</t>
  </si>
  <si>
    <t>Go To…</t>
  </si>
  <si>
    <t>Customizable skills, classes, races, attributes and more...</t>
  </si>
  <si>
    <t>Use adventuring parties to share experience.</t>
  </si>
  <si>
    <t>Fully customizable items.</t>
  </si>
  <si>
    <t>Players can become vampires.</t>
  </si>
  <si>
    <t>http://wiki.sk89q.com/wiki/WorldGuard</t>
  </si>
  <si>
    <t>Adds multiple skills and allows players to level up.</t>
  </si>
  <si>
    <t>Damage markers display when damaged/healed.</t>
  </si>
  <si>
    <t>Health, food, teleport, command, etc signs.</t>
  </si>
  <si>
    <t>Adds a variety of custom enchantments.</t>
  </si>
  <si>
    <t>Block commands from use and tab complete.</t>
  </si>
  <si>
    <t>Adds ability to craft a notch apple.</t>
  </si>
  <si>
    <t>Allows headshots with a bow.</t>
  </si>
  <si>
    <t>Alerts you when tools/weapons/armor have low durability.</t>
  </si>
  <si>
    <t>Locks server for maintenance.</t>
  </si>
  <si>
    <t>Can add static light sources.</t>
  </si>
  <si>
    <t>Players can send requests to admins to run commands.</t>
  </si>
  <si>
    <t>Inventory is different per world.</t>
  </si>
  <si>
    <t>Create NPCs that can run commands.</t>
  </si>
  <si>
    <t>Add a lag monitor to the GUI.</t>
  </si>
  <si>
    <t>Custom quest Design.</t>
  </si>
  <si>
    <t>Go To..</t>
  </si>
  <si>
    <t>Create basic NPCs.</t>
  </si>
  <si>
    <t>Configurable level &amp; advancement system.</t>
  </si>
  <si>
    <t>Create keys out of tripwire to lock chests, doors, etc…</t>
  </si>
  <si>
    <t>Use tokens to buy enchantments.</t>
  </si>
  <si>
    <t>Decorative heads.</t>
  </si>
  <si>
    <t>Automate NPC travel.</t>
  </si>
  <si>
    <t>Harvest and replant crops with one click.</t>
  </si>
  <si>
    <t>Players may send a message to all online admins and email.</t>
  </si>
  <si>
    <t>Create chests that refill based on variuos criteria.</t>
  </si>
  <si>
    <t>Build ships that move using signs.</t>
  </si>
  <si>
    <t>Hides you presence on the server.</t>
  </si>
  <si>
    <t>Use signs to mark places that players must activate before they can teleport there.</t>
  </si>
  <si>
    <t>Adds randomized loot chests.</t>
  </si>
  <si>
    <t>Create shops to sell permissions.</t>
  </si>
  <si>
    <t>Create towns with special buildings.</t>
  </si>
  <si>
    <t>Extensive Scripting engine.</t>
  </si>
  <si>
    <t>Generates epic worlds.</t>
  </si>
  <si>
    <t>Add custom lores to items.</t>
  </si>
  <si>
    <t>Allow players to pick up arrows from any source.</t>
  </si>
  <si>
    <t>Create regenerating chests.</t>
  </si>
  <si>
    <t>Create NPCs.</t>
  </si>
  <si>
    <t>Adds a person-to-person trading GUI.</t>
  </si>
  <si>
    <t>Adds a party system.</t>
  </si>
  <si>
    <t>Add potion effects to worldguard regions.</t>
  </si>
  <si>
    <t>Combat NPCs.</t>
  </si>
  <si>
    <t>Configurable mob drops and dungeon chests.</t>
  </si>
  <si>
    <t>Customizable item drops, gems and more.</t>
  </si>
  <si>
    <t>Store horses in sadles.</t>
  </si>
  <si>
    <t>Generate Star Wars themed worlds.</t>
  </si>
  <si>
    <t>Generates worlds made up of cities.</t>
  </si>
  <si>
    <t>Environmental management system.</t>
  </si>
  <si>
    <t>Customize appearance of server in client's server list.</t>
  </si>
  <si>
    <t>Gives a chance that ores will drop extra drops.</t>
  </si>
  <si>
    <t>Catch mobs with eggs.</t>
  </si>
  <si>
    <t>Add Herobrine to  the game.</t>
  </si>
  <si>
    <t>Herobrine AI-WW</t>
  </si>
  <si>
    <t>http://towny.palmergames.com/</t>
  </si>
  <si>
    <t>https://www.spigotmc.org/resources/residence-reloaded-1-8-x.2697/</t>
  </si>
  <si>
    <t>https://www.spigotmc.org/resources/griefprevention.1884/</t>
  </si>
  <si>
    <t>https://www.spigotmc.org/resources/preciousstones.5270/</t>
  </si>
  <si>
    <t>Create instances.</t>
  </si>
  <si>
    <t>Inventory is different per world. *Recommended by Multiverse*</t>
  </si>
  <si>
    <t>Train with trainers to level up.</t>
  </si>
  <si>
    <t>3D Map of the server on a website.</t>
  </si>
  <si>
    <t>Heal when you sleep.</t>
  </si>
  <si>
    <t>Shows an entities health on the action bar.</t>
  </si>
  <si>
    <t>Allow players to get spawners.</t>
  </si>
  <si>
    <t>Gain more health with experience.</t>
  </si>
  <si>
    <t>Customizable quest system.</t>
  </si>
  <si>
    <t>Allow players to bind items to themselves.</t>
  </si>
  <si>
    <t>Customize mobs and create bosses.</t>
  </si>
  <si>
    <t>Drops automatically go to inventory.</t>
  </si>
  <si>
    <t>Adds doublejump ability.</t>
  </si>
  <si>
    <t>Sell blocks that contain buildings based off of schematics.</t>
  </si>
  <si>
    <t>Makes mobs drop money.</t>
  </si>
  <si>
    <t>Adds a GUI to armor stands.</t>
  </si>
  <si>
    <t>Create and manage multiple worlds.</t>
  </si>
  <si>
    <t>Store books in bookshelves.</t>
  </si>
  <si>
    <t>Adds player stats.</t>
  </si>
  <si>
    <t>Turn PVP on only during the day or night.</t>
  </si>
  <si>
    <t>Allow players to withdraw money onto a physical representation.</t>
  </si>
  <si>
    <t>Create shops using chests.</t>
  </si>
  <si>
    <t>Pay experience to use commands.</t>
  </si>
  <si>
    <t>Gain money for fighting mobs.</t>
  </si>
  <si>
    <t>One store where prices automatically adjust based on demand.</t>
  </si>
  <si>
    <t>Provides a GUI for DynaPrice</t>
  </si>
  <si>
    <t>Full feature economy plugin.</t>
  </si>
  <si>
    <t>Action bar mcMMO stats.</t>
  </si>
  <si>
    <t>Torches, glowstone, lava buckets and redstone torches generate light when held.</t>
  </si>
  <si>
    <t>Adds a damage indicator with blood splatter.</t>
  </si>
  <si>
    <t>Add quests to kill specific MythicMobs.</t>
  </si>
  <si>
    <t>Run commands when players enter/exit a region.</t>
  </si>
  <si>
    <t>Extensive chat control plugin.</t>
  </si>
  <si>
    <t>Moves mcMMO messages to the action bar.</t>
  </si>
  <si>
    <t>Customizable death messages.</t>
  </si>
  <si>
    <t>Customizable /list command.</t>
  </si>
  <si>
    <t>Players can get married.</t>
  </si>
  <si>
    <t>Magic wands and items.</t>
  </si>
  <si>
    <t>Adds extra space to players inventory.</t>
  </si>
  <si>
    <t>Add special customizable items.</t>
  </si>
  <si>
    <t>Allows players to double jump.</t>
  </si>
  <si>
    <t>Customizable epic mobs.</t>
  </si>
  <si>
    <t>Mobs randomly spawn as Infernal mobs.</t>
  </si>
  <si>
    <t>Build an altar and gather knowledge to learn spells.</t>
  </si>
  <si>
    <t>Allow players to cast spells.</t>
  </si>
  <si>
    <t>Adds particle and sound effects when you hit mobs.</t>
  </si>
  <si>
    <t>Gives players explosive arrows.</t>
  </si>
  <si>
    <t>Make barbecues in game.</t>
  </si>
  <si>
    <t>Adds smoking pipes.</t>
  </si>
  <si>
    <t>Adds a variety of creepers to the game.</t>
  </si>
  <si>
    <t>Adds blood when hit.</t>
  </si>
  <si>
    <t>Turns players into mules.</t>
  </si>
  <si>
    <t>Displays the progress of the furnace that you are looking at in the action bar.</t>
  </si>
  <si>
    <t>Adds a worldedit UI.</t>
  </si>
  <si>
    <t>Allows players to edit signs by sneaking and right-clicking.</t>
  </si>
  <si>
    <t>Sign based locking.</t>
  </si>
  <si>
    <t>Adds different functions to the maps.</t>
  </si>
  <si>
    <t>Allows players to heal themselves.</t>
  </si>
  <si>
    <t>Configurable menus.</t>
  </si>
  <si>
    <t>Gives players the ability to activate a force field.</t>
  </si>
  <si>
    <t>Tracks combat stats of players.</t>
  </si>
  <si>
    <t>Adds an xp bar for mcMMO to the GUI.</t>
  </si>
  <si>
    <t>Runs commands when a player first joins.</t>
  </si>
  <si>
    <t>Adds a label to pets indicating the owner.</t>
  </si>
  <si>
    <t>Adds NPCs that can run commands.</t>
  </si>
  <si>
    <t>Left-click chests and other storage items to sort them.</t>
  </si>
  <si>
    <t>Right-click to equip horse equipment.</t>
  </si>
  <si>
    <t>Removes fallback aliases.</t>
  </si>
  <si>
    <t>Custom quest design with a GUI.</t>
  </si>
  <si>
    <t>Add new slots for items.</t>
  </si>
  <si>
    <t>$7.50/FREE</t>
  </si>
  <si>
    <t>$10.00/FREE</t>
  </si>
  <si>
    <t>Customizable player leveling system.</t>
  </si>
  <si>
    <t>Create shops using item frames.</t>
  </si>
  <si>
    <t>Generates an underground world.</t>
  </si>
  <si>
    <t>Manage the lore of your server.</t>
  </si>
  <si>
    <t>Customizable world generator.</t>
  </si>
  <si>
    <t>Adds gems that you can attach to items.</t>
  </si>
  <si>
    <t>Tools to quickly build and manage your world.</t>
  </si>
  <si>
    <t>A suite of basic commands.</t>
  </si>
  <si>
    <t>Link your items in chat.</t>
  </si>
  <si>
    <t>Adds lots of mechanical contraptions.</t>
  </si>
  <si>
    <t>Adds a maximum size to the world.</t>
  </si>
  <si>
    <t>World protection suite.</t>
  </si>
  <si>
    <t>Add multiple worlds and create portals to travel between them.</t>
  </si>
  <si>
    <t>Release Phase</t>
  </si>
  <si>
    <t>?</t>
  </si>
  <si>
    <t>World Design</t>
  </si>
  <si>
    <t>Miscellaneous</t>
  </si>
  <si>
    <t>Permissions</t>
  </si>
  <si>
    <t>Config</t>
  </si>
  <si>
    <t>Help</t>
  </si>
  <si>
    <t>I.1</t>
  </si>
  <si>
    <t>Allows you to export your Worldedit selection as a BO3 object file.</t>
  </si>
  <si>
    <t>-</t>
  </si>
  <si>
    <t>1.0</t>
  </si>
  <si>
    <t>R - New World</t>
  </si>
  <si>
    <t>R - General</t>
  </si>
  <si>
    <t>Complete</t>
  </si>
  <si>
    <t>Admin Tools</t>
  </si>
  <si>
    <t>A requirement for many plugins.</t>
  </si>
  <si>
    <t>R - Metrics</t>
  </si>
  <si>
    <t>User Interface</t>
  </si>
  <si>
    <t>I.2</t>
  </si>
  <si>
    <t>R - New World/Region, PVP</t>
  </si>
  <si>
    <t>2.0.1</t>
  </si>
  <si>
    <t>Items</t>
  </si>
  <si>
    <t>1.2.0</t>
  </si>
  <si>
    <t>0.1.1</t>
  </si>
  <si>
    <t>R - Perms Review 1</t>
  </si>
  <si>
    <t>Mechanics</t>
  </si>
  <si>
    <t>R - Economy</t>
  </si>
  <si>
    <t>R - Monetization</t>
  </si>
  <si>
    <t>Creates holographic displays.</t>
  </si>
  <si>
    <t>3.4.7</t>
  </si>
  <si>
    <t>1.6.0</t>
  </si>
  <si>
    <t>Allows for the creation of invisible light sources.</t>
  </si>
  <si>
    <t>Customize the tab display.</t>
  </si>
  <si>
    <t>Players will have to consume water bottles to keep hydrated.</t>
  </si>
  <si>
    <t>1.9b</t>
  </si>
  <si>
    <t>I.3</t>
  </si>
  <si>
    <t>II.2</t>
  </si>
  <si>
    <t>II.4</t>
  </si>
  <si>
    <t>I.5</t>
  </si>
  <si>
    <t>I.4</t>
  </si>
  <si>
    <t>II.1</t>
  </si>
  <si>
    <t>II.3</t>
  </si>
  <si>
    <t>II.5</t>
  </si>
  <si>
    <t>ID</t>
  </si>
  <si>
    <t>Title</t>
  </si>
  <si>
    <t>A '…moved wrongly' warning is showing up in the console after players lay in beds.</t>
  </si>
  <si>
    <t>A '…moved wrongly' warning is showing up in the console after players teleport between worlds.</t>
  </si>
  <si>
    <t>Removed ForceResourcePack Plugin.</t>
  </si>
  <si>
    <t>The BBQ messages having spelling and gramar erorrs.</t>
  </si>
  <si>
    <t>Sleeping Causes a Moved Wrongly Warning</t>
  </si>
  <si>
    <t>Riding Horses Causes a Moved Wrongly Warning</t>
  </si>
  <si>
    <t>Changing Worlds Causes a Moved Wrongly Warning</t>
  </si>
  <si>
    <t>A '…moved wrongly' warning is showing up in the console when players are riding horses.</t>
  </si>
  <si>
    <t>Permissions nodes for WorldEdit and related plugins are not working.</t>
  </si>
  <si>
    <t>Water Bottle Stacking Bug</t>
  </si>
  <si>
    <t>Dynmap and ServerListPlus Displaying Incorrect Player Name</t>
  </si>
  <si>
    <t>ServerListPlus and Dynmap are mixing up names of players in the same house.</t>
  </si>
  <si>
    <t>Moved Too Quickly Errors</t>
  </si>
  <si>
    <t>Still getting a few '...moved too quickly!' messages.</t>
  </si>
  <si>
    <t>Not all players systems can handle the server resource pack.</t>
  </si>
  <si>
    <t>Resource Pack Not Working for Some Players</t>
  </si>
  <si>
    <t>WorldEdit Permissions issue</t>
  </si>
  <si>
    <t>Gravestone Not Reliable</t>
  </si>
  <si>
    <t>Cannot loot some gravestones and cannot destroy others.</t>
  </si>
  <si>
    <t>Water bottles sometimes dissapear and/or won't stack when stacking them.</t>
  </si>
  <si>
    <t>Enabled resolvers in WEPIF.yml.</t>
  </si>
  <si>
    <t>Sleeping sometimes pops you right back up without skipping night (still get buffs).</t>
  </si>
  <si>
    <t>handleDisonnect() Called Twice</t>
  </si>
  <si>
    <t>This warning displayed in the console "WARN handleDisconnection() called twice".</t>
  </si>
  <si>
    <t>Horses Are Named EntityHorse on Health Bar</t>
  </si>
  <si>
    <t>Horses Are Named EntityHorse on Health Bar.</t>
  </si>
  <si>
    <t>Added message to ConsoleSpamFix, research indicated it was harmless.</t>
  </si>
  <si>
    <t>No SHA1 for Resource Pack</t>
  </si>
  <si>
    <t>Do not have a SHA1 set for the server resource pack in server.properties.</t>
  </si>
  <si>
    <t>Spigot</t>
  </si>
  <si>
    <t>Suspected Component(s)</t>
  </si>
  <si>
    <t>ForceResourcePack</t>
  </si>
  <si>
    <t>WurmBarbeque</t>
  </si>
  <si>
    <t>Review WurmBarbeque Messages</t>
  </si>
  <si>
    <t>WorldEdit</t>
  </si>
  <si>
    <t>Thirst</t>
  </si>
  <si>
    <t>Dynmap/ServerListPlus</t>
  </si>
  <si>
    <t>Gravestones</t>
  </si>
  <si>
    <t>Resource Pack</t>
  </si>
  <si>
    <t>ActionHealth</t>
  </si>
  <si>
    <t>Harvesting Negative  Items</t>
  </si>
  <si>
    <t>Harvest</t>
  </si>
  <si>
    <t>Players will get negative amounts of items when harvesting sometimes.</t>
  </si>
  <si>
    <t>Spigot/HealthReset/PercentSleep</t>
  </si>
  <si>
    <t>HealthReset/PercentSleep</t>
  </si>
  <si>
    <t>Status</t>
  </si>
  <si>
    <t>Severity</t>
  </si>
  <si>
    <t>Analysis</t>
  </si>
  <si>
    <t>Minor</t>
  </si>
  <si>
    <t>Major</t>
  </si>
  <si>
    <t>Breaking</t>
  </si>
  <si>
    <t>Testing</t>
  </si>
  <si>
    <t>Error Messages Blocked by CSP</t>
  </si>
  <si>
    <t>ConsoleSpamFix</t>
  </si>
  <si>
    <t>Discovered some error messages being blocked by CSP during testing to update to 1.11.</t>
  </si>
  <si>
    <t>Adjusted block patterns.</t>
  </si>
  <si>
    <t>CraftBook Auto-Updater Disabled</t>
  </si>
  <si>
    <t>CraftBook</t>
  </si>
  <si>
    <t>CraftBook Auto-Updater is disabled for this version.</t>
  </si>
  <si>
    <t>Turned off name change in config, fixed by MC v1.11.</t>
  </si>
  <si>
    <t>Players have noticed a lack of monsters since the last update.</t>
  </si>
  <si>
    <t>Mob Spawn Tweaking</t>
  </si>
  <si>
    <t>Installed SavageDeathChests.</t>
  </si>
  <si>
    <t>Places your items in a chest when you die.</t>
  </si>
  <si>
    <t>TerrainControl</t>
  </si>
  <si>
    <t>The permission node for /biome is not working.</t>
  </si>
  <si>
    <t>FurnaceNotify Notify Permission Node Broken</t>
  </si>
  <si>
    <t>/biome Permission Node Broken</t>
  </si>
  <si>
    <t>FurnaceNotify</t>
  </si>
  <si>
    <t>The main permission node for FurnaceNotify is not working.</t>
  </si>
  <si>
    <t>ConsoleSpamFix Filters Are Too Broad</t>
  </si>
  <si>
    <t>I should make the filters more specific where possible.</t>
  </si>
  <si>
    <t>SecretChests Spawn Frequency Needs Improved</t>
  </si>
  <si>
    <t>SecretChests</t>
  </si>
  <si>
    <t>SecretChests spawn frequency needs to be looked into.</t>
  </si>
  <si>
    <t>1.3.2</t>
  </si>
  <si>
    <t>PercentSleep Does Not Recognize AFK</t>
  </si>
  <si>
    <t>PercentSleep</t>
  </si>
  <si>
    <t>AFK players are still counted in the sleep percentage.</t>
  </si>
  <si>
    <t>Allows players to keep items and/or experience on death.</t>
  </si>
  <si>
    <t>Release Notes Book</t>
  </si>
  <si>
    <t>Release notes from early releases are not in alphabetical order.</t>
  </si>
  <si>
    <t>Release Notes Are disorganized</t>
  </si>
  <si>
    <t>Used http://onlinemd5.com/ to get SHA1 for resource pack.</t>
  </si>
  <si>
    <t>Terrain control command is /tc biome.</t>
  </si>
  <si>
    <t>Organized notes.</t>
  </si>
  <si>
    <t>ArrowPickup</t>
  </si>
  <si>
    <t>Can Pickup Infinity Bow Arrows</t>
  </si>
  <si>
    <t>Players can pick up arrows from infinity bows.</t>
  </si>
  <si>
    <t>Disabled collection of creative mode arrows in config.</t>
  </si>
  <si>
    <t>Changes/Notes</t>
  </si>
  <si>
    <t>DISABLED</t>
  </si>
  <si>
    <t>Cobblestone Stairs do not Work as Chairs</t>
  </si>
  <si>
    <t>Cobblestone stairs no longer need to be disabled as chairs since the Gravestones plugin was removed.</t>
  </si>
  <si>
    <t>Added cobblestone stairs to block list for chairs.</t>
  </si>
  <si>
    <t>Chair Permission Node not Working</t>
  </si>
  <si>
    <t>SecretChests Spawn on Top of Water</t>
  </si>
  <si>
    <t>SecretChests are still spawning on top of liquids.</t>
  </si>
  <si>
    <t>Cartographers Don't Offer Treasure Maps</t>
  </si>
  <si>
    <t>Cartographers are not offering the new exploration maps.</t>
  </si>
  <si>
    <t>Allow Items to Drop If Inventory Full</t>
  </si>
  <si>
    <t>Auto-Pickup</t>
  </si>
  <si>
    <t>Allow items to drop normally if the players inventory is full.</t>
  </si>
  <si>
    <t>Fix Version</t>
  </si>
  <si>
    <t>0.2.1</t>
  </si>
  <si>
    <t>0.3.0</t>
  </si>
  <si>
    <t>LightAPI is Out of Date</t>
  </si>
  <si>
    <t>LightAPI</t>
  </si>
  <si>
    <t>LightAPI has not been update  for MCv1.11 yet.</t>
  </si>
  <si>
    <t>A light fantasy themed 32x resource pack.</t>
  </si>
  <si>
    <t>Llamas Not Following Pack Correctly</t>
  </si>
  <si>
    <t>Adds a variety of new challenging gameplay mechanics.</t>
  </si>
  <si>
    <t>Adventure Gear</t>
  </si>
  <si>
    <t>Item</t>
  </si>
  <si>
    <t>Weight</t>
  </si>
  <si>
    <t>Apple</t>
  </si>
  <si>
    <t>Arrow</t>
  </si>
  <si>
    <t>Bow</t>
  </si>
  <si>
    <t>Bread</t>
  </si>
  <si>
    <t>Count</t>
  </si>
  <si>
    <t>Bucket</t>
  </si>
  <si>
    <t>Clock</t>
  </si>
  <si>
    <t>Compass</t>
  </si>
  <si>
    <t>Cookie</t>
  </si>
  <si>
    <t>Fishing Rod</t>
  </si>
  <si>
    <t>Flint and Steel</t>
  </si>
  <si>
    <t>Glass Bottle</t>
  </si>
  <si>
    <t>Golden Apple</t>
  </si>
  <si>
    <t>Golden Carrot</t>
  </si>
  <si>
    <t>Gold Nugget</t>
  </si>
  <si>
    <t>Lead</t>
  </si>
  <si>
    <t>Leather Boots</t>
  </si>
  <si>
    <t>Leather Chestplate</t>
  </si>
  <si>
    <t>Leather Leggings</t>
  </si>
  <si>
    <t>Mutton</t>
  </si>
  <si>
    <t>Rabbit Foot</t>
  </si>
  <si>
    <t>Saddle</t>
  </si>
  <si>
    <t>Shield</t>
  </si>
  <si>
    <t>Sign</t>
  </si>
  <si>
    <t>Speckled Melon</t>
  </si>
  <si>
    <t>1-2</t>
  </si>
  <si>
    <t>Wooden Axe</t>
  </si>
  <si>
    <t>Wooden Sword</t>
  </si>
  <si>
    <t>Total Weight</t>
  </si>
  <si>
    <t>Cooked Mutton</t>
  </si>
  <si>
    <t>Combat Gear</t>
  </si>
  <si>
    <t>Diamond Horse Armor</t>
  </si>
  <si>
    <t>Golden Horse Armor</t>
  </si>
  <si>
    <t>Iron Horse Armor</t>
  </si>
  <si>
    <t>Leather Helmet</t>
  </si>
  <si>
    <t>Skull</t>
  </si>
  <si>
    <t>Diamond Armor</t>
  </si>
  <si>
    <t>Leather Armor</t>
  </si>
  <si>
    <t>Iron Armor</t>
  </si>
  <si>
    <t>Golden Armor</t>
  </si>
  <si>
    <t>Chainmail Armor</t>
  </si>
  <si>
    <t>Horse Armor</t>
  </si>
  <si>
    <t>Boots</t>
  </si>
  <si>
    <t>Chestplate</t>
  </si>
  <si>
    <t>Helmet</t>
  </si>
  <si>
    <t>Leggings</t>
  </si>
  <si>
    <t>Weapons</t>
  </si>
  <si>
    <t>Axe</t>
  </si>
  <si>
    <t>Sword</t>
  </si>
  <si>
    <t>Armor</t>
  </si>
  <si>
    <t>Baked Potato</t>
  </si>
  <si>
    <t>Beef</t>
  </si>
  <si>
    <t>Beetroot</t>
  </si>
  <si>
    <t>Beetroot Soup</t>
  </si>
  <si>
    <t>Cake</t>
  </si>
  <si>
    <t>Carrot</t>
  </si>
  <si>
    <t>Chorus Fruit</t>
  </si>
  <si>
    <t>Chicken</t>
  </si>
  <si>
    <t>Cooked Beef</t>
  </si>
  <si>
    <t>Cooked Chicken</t>
  </si>
  <si>
    <t>Cooked Fish</t>
  </si>
  <si>
    <t>Cooked Rabbit</t>
  </si>
  <si>
    <t>Egg</t>
  </si>
  <si>
    <t>Fish</t>
  </si>
  <si>
    <t>Notch' Apple</t>
  </si>
  <si>
    <t>Melon</t>
  </si>
  <si>
    <t>Mushroom Stew</t>
  </si>
  <si>
    <t>Poisonous Potato</t>
  </si>
  <si>
    <t>Porkchop</t>
  </si>
  <si>
    <t>Potato</t>
  </si>
  <si>
    <t>Pumpkin Pie</t>
  </si>
  <si>
    <t>Rabbit</t>
  </si>
  <si>
    <t>Rabbit Stew</t>
  </si>
  <si>
    <t>Sugar</t>
  </si>
  <si>
    <t>Wheat</t>
  </si>
  <si>
    <t>Milk Bucket</t>
  </si>
  <si>
    <t>Cooked Porkchop</t>
  </si>
  <si>
    <t>Dragon Breath</t>
  </si>
  <si>
    <t>Elytra</t>
  </si>
  <si>
    <t>Ender Pearl</t>
  </si>
  <si>
    <t>Ender Eye</t>
  </si>
  <si>
    <t>Ghast Tear</t>
  </si>
  <si>
    <t>Glowstone Dust</t>
  </si>
  <si>
    <t>Magma Cream</t>
  </si>
  <si>
    <t>Nether Star</t>
  </si>
  <si>
    <t>Quartz</t>
  </si>
  <si>
    <t>Blaze Powder</t>
  </si>
  <si>
    <t>Blaze Rod</t>
  </si>
  <si>
    <t>Diamond Weapons</t>
  </si>
  <si>
    <t>Golden Weapons</t>
  </si>
  <si>
    <t>Iron Weapons</t>
  </si>
  <si>
    <t>Stone Weapons</t>
  </si>
  <si>
    <t>Wooden Weapons</t>
  </si>
  <si>
    <t>Writable Book</t>
  </si>
  <si>
    <t>Chorus Fruit Popped</t>
  </si>
  <si>
    <t>Armor Stand</t>
  </si>
  <si>
    <t>Bed</t>
  </si>
  <si>
    <t>Beetroot Seeds</t>
  </si>
  <si>
    <t>Boat</t>
  </si>
  <si>
    <t>Bone</t>
  </si>
  <si>
    <t>Book (Enchanted)</t>
  </si>
  <si>
    <t>Bowl</t>
  </si>
  <si>
    <t>Brewing Stand</t>
  </si>
  <si>
    <t>Cauldron</t>
  </si>
  <si>
    <t>Feather</t>
  </si>
  <si>
    <t>Fermented Spider Eye</t>
  </si>
  <si>
    <t>Firework Charge</t>
  </si>
  <si>
    <t>Flower Pot</t>
  </si>
  <si>
    <t>Gunpowder</t>
  </si>
  <si>
    <t>Iron Door</t>
  </si>
  <si>
    <t>Lava Bucket</t>
  </si>
  <si>
    <t>Leather</t>
  </si>
  <si>
    <t>Melon Seeds</t>
  </si>
  <si>
    <t>Minecart</t>
  </si>
  <si>
    <t>Name Tag</t>
  </si>
  <si>
    <t>Painting</t>
  </si>
  <si>
    <t>Pumpkin Seeds</t>
  </si>
  <si>
    <t>Prismarine Crystals</t>
  </si>
  <si>
    <t>Prismarine Shard</t>
  </si>
  <si>
    <t>Rabbit Hide</t>
  </si>
  <si>
    <t>Reeds</t>
  </si>
  <si>
    <t>Rotten Flesh</t>
  </si>
  <si>
    <t>Slime Ball</t>
  </si>
  <si>
    <t>Spider Eye</t>
  </si>
  <si>
    <t>Stick</t>
  </si>
  <si>
    <t>String</t>
  </si>
  <si>
    <t>Water Bucket</t>
  </si>
  <si>
    <t>Wooden Door</t>
  </si>
  <si>
    <t>Golden Apple ('Notch)</t>
  </si>
  <si>
    <t>Miscellaneous Items</t>
  </si>
  <si>
    <t>Materials</t>
  </si>
  <si>
    <t>Redstone</t>
  </si>
  <si>
    <t>Iron Ingot</t>
  </si>
  <si>
    <t>Gold Ingot</t>
  </si>
  <si>
    <t>Flint</t>
  </si>
  <si>
    <t>Emerald</t>
  </si>
  <si>
    <t>Diamond</t>
  </si>
  <si>
    <t>Coal</t>
  </si>
  <si>
    <t>Clay</t>
  </si>
  <si>
    <t>Records</t>
  </si>
  <si>
    <t>Tools</t>
  </si>
  <si>
    <t>Record 13</t>
  </si>
  <si>
    <t>Record Cat</t>
  </si>
  <si>
    <t>Record Blocks</t>
  </si>
  <si>
    <t>Record Chirp</t>
  </si>
  <si>
    <t>Record Far</t>
  </si>
  <si>
    <t>Record Mall</t>
  </si>
  <si>
    <t>Record Mellohi</t>
  </si>
  <si>
    <t>Record Stal</t>
  </si>
  <si>
    <t>Record Strad</t>
  </si>
  <si>
    <t>Record Ward</t>
  </si>
  <si>
    <t>Record 11</t>
  </si>
  <si>
    <t>Record Wait</t>
  </si>
  <si>
    <t>Diamond Tools</t>
  </si>
  <si>
    <t>Golden Tools</t>
  </si>
  <si>
    <t>Iron Tools</t>
  </si>
  <si>
    <t>Shears</t>
  </si>
  <si>
    <t>Stone Tools</t>
  </si>
  <si>
    <t>Wooden Tools</t>
  </si>
  <si>
    <t>Hoe</t>
  </si>
  <si>
    <t>Pickaxe</t>
  </si>
  <si>
    <t>Shovel</t>
  </si>
  <si>
    <t>Paper</t>
  </si>
  <si>
    <t>Boots (Enchanted)</t>
  </si>
  <si>
    <t>Chestplate (Enchanted)</t>
  </si>
  <si>
    <t>Helmet (Enchanted)</t>
  </si>
  <si>
    <t>Leggings (Enchanted)</t>
  </si>
  <si>
    <t>Axe (Enchanted)</t>
  </si>
  <si>
    <t>Sword (Enchanted)</t>
  </si>
  <si>
    <t>Hoe (Enchanted)</t>
  </si>
  <si>
    <t>Pickaxe (Enchanted)</t>
  </si>
  <si>
    <t>Shovel (Enchanted)</t>
  </si>
  <si>
    <t>Furniture</t>
  </si>
  <si>
    <t>Junk</t>
  </si>
  <si>
    <t>Carrot on a Stick</t>
  </si>
  <si>
    <t>Totem of Undying</t>
  </si>
  <si>
    <t>Item Frame</t>
  </si>
  <si>
    <t>Jukebox</t>
  </si>
  <si>
    <t>Potion Ingredients</t>
  </si>
  <si>
    <t>Quality</t>
  </si>
  <si>
    <t>Totals</t>
  </si>
  <si>
    <t>Bookshelf</t>
  </si>
  <si>
    <t>Iron Nugget</t>
  </si>
  <si>
    <t>Repeater (Redstone)</t>
  </si>
  <si>
    <t>Comparator (Redstone)</t>
  </si>
  <si>
    <t>Common Chest</t>
  </si>
  <si>
    <t>Misc</t>
  </si>
  <si>
    <t>Nether Items</t>
  </si>
  <si>
    <t>End Items</t>
  </si>
  <si>
    <t>Raw Food</t>
  </si>
  <si>
    <t>Cooked Food</t>
  </si>
  <si>
    <t>Armor (Master)</t>
  </si>
  <si>
    <t>Tools (Master)</t>
  </si>
  <si>
    <t>Melee Weapons</t>
  </si>
  <si>
    <t>Nether Wart</t>
  </si>
  <si>
    <t>Shulker Shell</t>
  </si>
  <si>
    <t>Brick</t>
  </si>
  <si>
    <t>End Crystal</t>
  </si>
  <si>
    <t>Dye</t>
  </si>
  <si>
    <t>Uncommon Chest</t>
  </si>
  <si>
    <t>Rare Chest</t>
  </si>
  <si>
    <t>Rolls</t>
  </si>
  <si>
    <t>2-4</t>
  </si>
  <si>
    <t>4-6</t>
  </si>
  <si>
    <t>Common Chest (Locked)</t>
  </si>
  <si>
    <t>Condition</t>
  </si>
  <si>
    <t>Chance</t>
  </si>
  <si>
    <t>Common Chest Key</t>
  </si>
  <si>
    <t>Uncommon Chest Key</t>
  </si>
  <si>
    <t>Rare Chest Key</t>
  </si>
  <si>
    <t>Pool 1</t>
  </si>
  <si>
    <t>Pool 2</t>
  </si>
  <si>
    <t>Uncommon Items</t>
  </si>
  <si>
    <t>Rare Items</t>
  </si>
  <si>
    <t>Uncommon Chest (Locked)</t>
  </si>
  <si>
    <t>3-12/+3</t>
  </si>
  <si>
    <t>4-13/+3</t>
  </si>
  <si>
    <t>6-15/+3</t>
  </si>
  <si>
    <t>7-16/+3</t>
  </si>
  <si>
    <t>9-18/+3</t>
  </si>
  <si>
    <t>Rare Chest (Locked)</t>
  </si>
  <si>
    <t>10-19/+3</t>
  </si>
  <si>
    <t>Replaced SecretChest with loot tables.</t>
  </si>
  <si>
    <t>Sleeping Does Not Always Skip Night</t>
  </si>
  <si>
    <t>Stone Blocks are Acting Like Chairs</t>
  </si>
  <si>
    <t>Players can sit on stone blocks by right-clicking.</t>
  </si>
  <si>
    <t>Fixed by updates.</t>
  </si>
  <si>
    <t>Fixed list of blocks that work for chairs in mechanisms.yml.</t>
  </si>
  <si>
    <t>Fixed by update to Craftbook v3.9u12.</t>
  </si>
  <si>
    <t>Updated to the official version 3.2.4 (v0.3.0).  Compiled new jar file from source posted in the LightAPI discussion thread (v0.2.1).</t>
  </si>
  <si>
    <t>Water Sources Do Not Flow on Spawn</t>
  </si>
  <si>
    <t>Water sources spawned inside walls do not flow on generation.</t>
  </si>
  <si>
    <t>Bug Tracker - Status</t>
  </si>
  <si>
    <t>Bug Tracker - Severity</t>
  </si>
  <si>
    <t>NotchApples</t>
  </si>
  <si>
    <t>Allows for the creation of custom recipes.</t>
  </si>
  <si>
    <t>Changes to the base game to make survival a bit more difficult.</t>
  </si>
  <si>
    <t xml:space="preserve">Fixed Cooked Rabbit recipe (v0.3.0).
Improved BBQ recipes and disabled recipe book permission by default (v0.2.1). </t>
  </si>
  <si>
    <t>Adds diseases and environmental hazards for players to contend with.</t>
  </si>
  <si>
    <t>Players will have to sleep or suffer negative effects.</t>
  </si>
  <si>
    <t>Players Do Not Go Below ~-60 Naturally</t>
  </si>
  <si>
    <t>Disease</t>
  </si>
  <si>
    <t>Cold conditions do not drop the players temperature below about -60 naturally.</t>
  </si>
  <si>
    <t>If you put a campsite fire out by placing a block on top of it the Netherack will not change to dirt.</t>
  </si>
  <si>
    <t>Use compasses to access a menu with saved locations to point towards.</t>
  </si>
  <si>
    <t>Allows for custom achievemtents.</t>
  </si>
  <si>
    <t>Allows for customization of recipes and automatic recipe books.</t>
  </si>
  <si>
    <t>Allow for purchasing server membership/perks.</t>
  </si>
  <si>
    <t>Llamas do not follow as closely as expected.</t>
  </si>
  <si>
    <t>Campsites Can be Farmed for Netherack</t>
  </si>
  <si>
    <t>2.5.1</t>
  </si>
  <si>
    <t>Players cannot sit on stairs.</t>
  </si>
  <si>
    <t>Treasure Chests Not Working</t>
  </si>
  <si>
    <t>Loot Tables</t>
  </si>
  <si>
    <t>Error:WARN Couldn't find resource table treasure_chests:uncommonchest.</t>
  </si>
  <si>
    <t>Pickaxe Durability Bug</t>
  </si>
  <si>
    <t>ExtraHardMode</t>
  </si>
  <si>
    <t>Pickaxe durability seems off.</t>
  </si>
  <si>
    <t>Backpacks Equip When Opened</t>
  </si>
  <si>
    <t>Bags</t>
  </si>
  <si>
    <t>Bags are automatically equipped when opened.</t>
  </si>
  <si>
    <t>ArmorStandGUI</t>
  </si>
  <si>
    <t>Resolved</t>
  </si>
  <si>
    <t>Normal behavior for armor.</t>
  </si>
  <si>
    <t>In-game NBT editor.</t>
  </si>
  <si>
    <t>Adjusted pickaxe durabilities in EHM config.</t>
  </si>
  <si>
    <t>Caused by case sensitivity discrepancy between local server and hosted server.  Loot table names must be all lower case.</t>
  </si>
  <si>
    <t>Permission node was incorrect.</t>
  </si>
  <si>
    <t>Fixed (cause unknown).</t>
  </si>
  <si>
    <t>Trade</t>
  </si>
  <si>
    <t>Error: See 'Trade Error.txt'.</t>
  </si>
  <si>
    <t>Error: See 'ArmorStandGUI Error.txt'.</t>
  </si>
  <si>
    <t>1.5.6</t>
  </si>
  <si>
    <t>0.4.0</t>
  </si>
  <si>
    <t>This is a bug in the MCv1.11 version of TerrainControl.  Updated Terrain Control to build 179 and replaced "minecraft:water/lava" with "minecraft:flowing_water/lava" in config files.</t>
  </si>
  <si>
    <t>0.6.1</t>
  </si>
  <si>
    <t>Tweaks the bed mechanics.</t>
  </si>
  <si>
    <t>1.6</t>
  </si>
  <si>
    <t>3.12.1</t>
  </si>
  <si>
    <t>1.3.2.9</t>
  </si>
  <si>
    <t>Makes improvements to ender chests.</t>
  </si>
  <si>
    <t>Requires specific tools to break blocks.</t>
  </si>
  <si>
    <t>Adds giants as naturally spawning monsters.</t>
  </si>
  <si>
    <t>2.3.9</t>
  </si>
  <si>
    <t>Efficiency Causes  Rubberbanding</t>
  </si>
  <si>
    <t>Efficiency causes blocks to come back after being broken.</t>
  </si>
  <si>
    <t>Create custom commands.</t>
  </si>
  <si>
    <t>0.9</t>
  </si>
  <si>
    <t>Displays WorldGuard regions on the Dynmap map.</t>
  </si>
  <si>
    <t>Adds extra flags for worldguard regions.</t>
  </si>
  <si>
    <t>Allows players to open shulker boxes without placing them.</t>
  </si>
  <si>
    <t>Improvements to horses.</t>
  </si>
  <si>
    <t>API that allows plugins to utilize the boss bar.</t>
  </si>
  <si>
    <t>Adds a command to open up a trash can UI to dispose of unwanted items.</t>
  </si>
  <si>
    <t>Makes villagers into players with skins and otherwise improves them.</t>
  </si>
  <si>
    <t>Dependency for RealVillagerTowns.</t>
  </si>
  <si>
    <t>Adds pets that give benefits when they are in your inventory.</t>
  </si>
  <si>
    <t>Percentage</t>
  </si>
  <si>
    <t>Raw Value</t>
  </si>
  <si>
    <t>Speed</t>
  </si>
  <si>
    <t>Jump</t>
  </si>
  <si>
    <t>A GUI shop plugin.</t>
  </si>
  <si>
    <t>An addon for BossShopPro that allows players to create shops.</t>
  </si>
  <si>
    <t>Adds an enchantment that decapitates others.</t>
  </si>
  <si>
    <t>Portals that link to other portals with the same block combination.</t>
  </si>
  <si>
    <t>Kingdoms, bases, diplomacy and war.</t>
  </si>
  <si>
    <t>A variety of improvements for books.</t>
  </si>
  <si>
    <t>Players can become werewolves.</t>
  </si>
  <si>
    <t>Use lava under a furnace as an unlimited fuel source.</t>
  </si>
  <si>
    <t>Build steam baths that heal players.</t>
  </si>
  <si>
    <t>Mechanicism that automatically crafts items.</t>
  </si>
  <si>
    <t>Makes improvments to horse combat.</t>
  </si>
  <si>
    <t>Adds a few minor features to horses.</t>
  </si>
  <si>
    <t>FurnaceNotify Not Working With GeoFurnace</t>
  </si>
  <si>
    <t>The FurnaceNotify graphic does not display on GeoFurnaces.</t>
  </si>
  <si>
    <t>Customizable plugin that adds new functionality to pets.</t>
  </si>
  <si>
    <t>ConsoleSpamFix functionality replaced by ChatControl.</t>
  </si>
  <si>
    <t>PercentSleep functionality replaced by BetterBeds.</t>
  </si>
  <si>
    <t>Requested FurnaceNotify author to update plugin with GeoFurnace compatibility (11/13/2017).</t>
  </si>
  <si>
    <t>Adds customizable boss monsters.</t>
  </si>
  <si>
    <t>Links in-game chat with a discord server.</t>
  </si>
  <si>
    <t>Sets up a server/world for automated mini-games</t>
  </si>
  <si>
    <t>9.5.0_b173</t>
  </si>
  <si>
    <t>1.7.0-beta4</t>
  </si>
  <si>
    <t>1.2.7</t>
  </si>
  <si>
    <t>2.8.3_b182</t>
  </si>
  <si>
    <t>Not seeing this anymore (likely due to replacement of PercentSleep), will reopen if it occurs again.</t>
  </si>
  <si>
    <t>Changed spawn-limits:monsters from 80 to 90, spawn-limits:animals from 15 to 30 (larger due to addition of giants)and spawn-limits:water-animals from 5 to 15 (due to addition of guardians) in bukkit.yml(v0.4.0).
Changed spawn-limits:monsters from 70 to 80 and spawn-limits:ambient from 15 to 30 in bukkit.yml.  Changed  mob-spawn-range from 4 to 3 in Spigot.yml (v0.3.0).
Changed ticks-per:monster-spawns from 2 to 1 in bukkit.yml (v0.2.1).</t>
  </si>
  <si>
    <t>The Netherack now disappears when you try to harvest it.</t>
  </si>
  <si>
    <t>On Hold</t>
  </si>
  <si>
    <t>Creates lootable corpses when players die.</t>
  </si>
  <si>
    <t>1.5.0</t>
  </si>
  <si>
    <t>Issues Collecting Lava</t>
  </si>
  <si>
    <t>WorldGuard</t>
  </si>
  <si>
    <t>Players are having issues collecting lava from the wilderness.</t>
  </si>
  <si>
    <t>Had to disable FurnaceNotify due to all of the errors.</t>
  </si>
  <si>
    <t>Campsites Do Not Stay Lit</t>
  </si>
  <si>
    <t>Campsites are not staying lit.</t>
  </si>
  <si>
    <t>Some Treasure Chests Do Not Have Protection Signs</t>
  </si>
  <si>
    <t>Some chests do not have signs.</t>
  </si>
  <si>
    <t>Plugin to change the default mob spawn rates.</t>
  </si>
  <si>
    <t>Players Cannot Succesfully Loot Vanilla Adventure Structures</t>
  </si>
  <si>
    <t>Desert Temples cannot be completed.</t>
  </si>
  <si>
    <t>WARN handleDisconnection() called twice</t>
  </si>
  <si>
    <t>Choking Prevents Consuming Water</t>
  </si>
  <si>
    <t>Disease/Thirst</t>
  </si>
  <si>
    <t>Water is not consumed when drunk while choking (You are still refreshed).</t>
  </si>
  <si>
    <t>Automatically pickup items and XP.</t>
  </si>
  <si>
    <t>Wolf Kills Don't Give Items</t>
  </si>
  <si>
    <t>Items don't drop from mobs killed by wolves.</t>
  </si>
  <si>
    <t>Frost Walker Enchantment Broken</t>
  </si>
  <si>
    <t>Frost Walker boots are not working in the wild.</t>
  </si>
  <si>
    <t>Sleeping Does Not Restore Energy</t>
  </si>
  <si>
    <t>BetterBeds</t>
  </si>
  <si>
    <t>Sleeping does not restore energy when night is sped up instead of skipped.</t>
  </si>
  <si>
    <t>Minigame where players defend a village against a zombie onslaught.</t>
  </si>
  <si>
    <t>Minigame where one player is the thing disguised as a player.</t>
  </si>
  <si>
    <t>Provides improved elytra abilities.</t>
  </si>
  <si>
    <t>Customizable recipes with advanced features.</t>
  </si>
  <si>
    <t>Require a permission for swimming.</t>
  </si>
  <si>
    <t>More realistic swimming animations and mechanics.</t>
  </si>
  <si>
    <t>Creatures randomly enter love mode.</t>
  </si>
  <si>
    <t>Adds details to animals/mobs and allows hunting tournaments.</t>
  </si>
  <si>
    <t>Provides information on villages.</t>
  </si>
  <si>
    <t>Increases wolf spawns and gives them a chance to be hostile.</t>
  </si>
  <si>
    <t>Automatically consumes cooked &amp; crafted food.</t>
  </si>
  <si>
    <t>Adds a Christmas event with an upgradable tree.</t>
  </si>
  <si>
    <t>Adds a Halloween themed scavenger hunt.</t>
  </si>
  <si>
    <t>ArmorStandGUI Console Errors</t>
  </si>
  <si>
    <t>Trade Console Errors</t>
  </si>
  <si>
    <t>FurnaceNotify Console Errors</t>
  </si>
  <si>
    <t>DurabilityStats Console Errors</t>
  </si>
  <si>
    <t>DurabilityStats</t>
  </si>
  <si>
    <t>Error: See 'DurabilityStats Error.txt'.</t>
  </si>
  <si>
    <t>Eye of Ender Console Errors</t>
  </si>
  <si>
    <t>Zhorse</t>
  </si>
  <si>
    <t>Zhorse Console Errors</t>
  </si>
  <si>
    <t>Error: See 'Zhorse Error.txt'.</t>
  </si>
  <si>
    <t>Adds a GUI for editing armor stands.</t>
  </si>
  <si>
    <t>R- General</t>
  </si>
  <si>
    <t>Adds inventory based mini-games.</t>
  </si>
  <si>
    <t>Mobs</t>
  </si>
  <si>
    <t>NPCs</t>
  </si>
  <si>
    <t>Devices</t>
  </si>
  <si>
    <t>0.5.0</t>
  </si>
  <si>
    <t>Replaced ArmorStandGUI with ArmorStandEditor.</t>
  </si>
  <si>
    <t>Quests</t>
  </si>
  <si>
    <t>Abilities</t>
  </si>
  <si>
    <t>Stats, Levels &amp; Skills</t>
  </si>
  <si>
    <t>II.6</t>
  </si>
  <si>
    <t>Holidays</t>
  </si>
  <si>
    <t>Mini-Games</t>
  </si>
  <si>
    <t>Misc.</t>
  </si>
  <si>
    <t>Adds a karma system to the game.</t>
  </si>
  <si>
    <t>Adds bags that turn into random items.</t>
  </si>
  <si>
    <t>Lockette</t>
  </si>
  <si>
    <r>
      <t>'</t>
    </r>
    <r>
      <rPr>
        <sz val="10"/>
        <color rgb="FFCB4B16"/>
        <rFont val="Consolas"/>
        <family val="3"/>
      </rPr>
      <t xml:space="preserve">WARN </t>
    </r>
    <r>
      <rPr>
        <sz val="10"/>
        <color rgb="FF002B36"/>
        <rFont val="Consolas"/>
        <family val="3"/>
      </rPr>
      <t>Player gabriellamorrel just tried to change non-editable sign'.</t>
    </r>
  </si>
  <si>
    <t>FurnaceNotify/GeoFurnace</t>
  </si>
  <si>
    <t>'Player just tried to change a non-editable sign' Error</t>
  </si>
  <si>
    <t>Allows NPCs to wander around.</t>
  </si>
  <si>
    <t>Flaw in plugin, consider replacing.  Disabled stacking in Thirst config and installed StackableItems.</t>
  </si>
  <si>
    <t>Customizable stacking limits.</t>
  </si>
  <si>
    <t>1.0.5</t>
  </si>
  <si>
    <t>Pumpkin Scuba</t>
  </si>
  <si>
    <t>5.0.3</t>
  </si>
  <si>
    <t>Not possible with current plugin, consider replacing.  Installed AutoPickup.</t>
  </si>
  <si>
    <t>Installed AutoPickup.</t>
  </si>
  <si>
    <t>Downgraded FurnaceNotify to v11.0.</t>
  </si>
  <si>
    <t>Fixed on live.  Strongholds may not have generated.</t>
  </si>
  <si>
    <t>Added message to ChatControl's Console Filter.</t>
  </si>
  <si>
    <t>Nether Walk Burns When Sneaking</t>
  </si>
  <si>
    <t>Zenchantments</t>
  </si>
  <si>
    <t>Players get burned when sneaking while using the nether walk enchantment.</t>
  </si>
  <si>
    <t>NR.</t>
  </si>
  <si>
    <t>Requires build flag set to allow.</t>
  </si>
  <si>
    <t>[Server] WARN Wolf_Lyra was kicked for floating too long!
[Disconnect] User Wolf_Lyra has disconnected, reason: Flying is not enabled on this server'</t>
  </si>
  <si>
    <t>Players Getting Kicked for Floating Too Long</t>
  </si>
  <si>
    <t>Changed allow-flight to true in server.properties (v0.5.0).</t>
  </si>
  <si>
    <t>Changed moved-too-quickly-multiplier from 12 to 13 in Spigot.yml (v0.2.1).  Changed moved-too-quickly-multiplier from 13 to 14 in Spigot.yml (v0.5.0).</t>
  </si>
  <si>
    <t>Adds a chance for a blood moon at night.</t>
  </si>
  <si>
    <t>Made adjustments to BetterBeds and NeedToSleep on the live server  (BetterBeds\config.yml, NeedToSleep\config.yml).</t>
  </si>
  <si>
    <t>Mistaken report.</t>
  </si>
  <si>
    <t>Tried to load unrecognized recipe: bukkit:b80a89bd-e960-406d-b1b4-48cf2b9c8bf8 removed now.</t>
  </si>
  <si>
    <t>Tried to load Unrecognized Recipe</t>
  </si>
  <si>
    <t>Spigot/TerrainControl</t>
  </si>
  <si>
    <t>Occurs when trying to trade with a player whose inventory is full.</t>
  </si>
  <si>
    <t>Various tweaks and admin tools.</t>
  </si>
  <si>
    <t>Pumpkins used in the helmet slot grant water breathing.</t>
  </si>
  <si>
    <t>Occurs when an item with no durability (ex: pumpkin) is damaged.</t>
  </si>
  <si>
    <t>0.4.1.LF</t>
  </si>
  <si>
    <t>Upgraded to LockettePro.</t>
  </si>
  <si>
    <t>2.9.0</t>
  </si>
  <si>
    <t>Allows items to be smelted down into components.</t>
  </si>
  <si>
    <t>6.0</t>
  </si>
  <si>
    <t>1.4.1</t>
  </si>
  <si>
    <t>Play sounds when events happen.</t>
  </si>
  <si>
    <t>Broken/Good Ideas</t>
  </si>
  <si>
    <t>b20150121</t>
  </si>
  <si>
    <t>Live Testing</t>
  </si>
  <si>
    <t>0.4.1LF</t>
  </si>
  <si>
    <t>Error: See 'Eye of Ender Error.txt'.</t>
  </si>
  <si>
    <t>Possible that no strongholds generated.</t>
  </si>
  <si>
    <t>Membership</t>
  </si>
  <si>
    <t>x</t>
  </si>
  <si>
    <t>1.19.2</t>
  </si>
  <si>
    <t>1.5.4</t>
  </si>
  <si>
    <t>Changed entity-activation-range:animals from 6 to 24 and entity-activation-range:monsters from 16 to 32 (v0.5.0).</t>
  </si>
  <si>
    <t>Some Players Unable to use ZEnchant Books</t>
  </si>
  <si>
    <t>Default players unable to enchant items with Meador and Persephone books.</t>
  </si>
  <si>
    <t>Allows players to pluck chickens to obtain feathers.</t>
  </si>
  <si>
    <t>ZEnchantments</t>
  </si>
  <si>
    <t>Many changes to give the feel of a zombie apocalypse.</t>
  </si>
  <si>
    <t>Phase I Potentials</t>
  </si>
  <si>
    <t>Adds speech bubbles above players' heads.</t>
  </si>
  <si>
    <t>Adds holographic gravestones.</t>
  </si>
  <si>
    <t>Allows a separate mode for admins.</t>
  </si>
  <si>
    <t>Custom terrain generator.</t>
  </si>
  <si>
    <t>Increased moved-wrongly-threshold from 0.0625 to 0.0825 (v0.3.0).  Increased moved-wrongly-threshold from 0.0825 to 0.1000 (v0.5.0).</t>
  </si>
  <si>
    <t>Increased moved-wrongly-threshold from 0.0825 to 0.1000 (v0.5.0).</t>
  </si>
  <si>
    <t>Allows creation of dragon transportation systems.</t>
  </si>
  <si>
    <t>Terrain control is no longer being supported and has been removed.</t>
  </si>
  <si>
    <t>6.0.5</t>
  </si>
  <si>
    <t>1.8.7</t>
  </si>
  <si>
    <t>1.21</t>
  </si>
  <si>
    <t>2.1.2</t>
  </si>
  <si>
    <t>1.6.3</t>
  </si>
  <si>
    <t>3.2.6</t>
  </si>
  <si>
    <t>1.0.0</t>
  </si>
  <si>
    <t>1.3.6.4</t>
  </si>
  <si>
    <t>12.0</t>
  </si>
  <si>
    <t>1.5.1</t>
  </si>
  <si>
    <t>v4.0.0</t>
  </si>
  <si>
    <t>2.3.0</t>
  </si>
  <si>
    <t>2.5.2</t>
  </si>
  <si>
    <t>4.0.0</t>
  </si>
  <si>
    <t>3.0.1</t>
  </si>
  <si>
    <t>4.3.0_b415</t>
  </si>
  <si>
    <t>1.8.3</t>
  </si>
  <si>
    <t>1.7.1</t>
  </si>
  <si>
    <t>3.2.7</t>
  </si>
  <si>
    <t>4.2.0</t>
  </si>
  <si>
    <t>2.8.3</t>
  </si>
  <si>
    <t>Permission manager.</t>
  </si>
  <si>
    <t>4.2.58</t>
  </si>
  <si>
    <t>7.0.0_b1744</t>
  </si>
  <si>
    <t>7.0.0_b3860</t>
  </si>
  <si>
    <t>4.0_b4440</t>
  </si>
  <si>
    <t>Last Updated</t>
  </si>
  <si>
    <t>3.3.3_b3429</t>
  </si>
  <si>
    <t>7.9.19</t>
  </si>
  <si>
    <t>1.3</t>
  </si>
  <si>
    <t>Default</t>
  </si>
  <si>
    <t>User</t>
  </si>
  <si>
    <t>Moderator</t>
  </si>
  <si>
    <t>Admin</t>
  </si>
  <si>
    <t>Owner</t>
  </si>
  <si>
    <t>Basic user level, where most players will be placed.</t>
  </si>
  <si>
    <t>The owner of the server.</t>
  </si>
  <si>
    <t>Allows scheduling of world resets.</t>
  </si>
  <si>
    <t>Randomly generates schematics during world generation.</t>
  </si>
  <si>
    <t>Manages the server.</t>
  </si>
  <si>
    <t>Manages the players and the worlds.</t>
  </si>
  <si>
    <t>The default user group, applied to all players who join the server initially.</t>
  </si>
  <si>
    <t>3.0_beta_2</t>
  </si>
  <si>
    <t>1.0.6</t>
  </si>
  <si>
    <t>Allows target selectors to be used by plugin commands used in command blocks.</t>
  </si>
  <si>
    <t>1.16</t>
  </si>
  <si>
    <t>3.1_beta_1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</si>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</sst>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F400]h:mm:ss\ AM/PM"/>
    <numFmt numFmtId="165" formatCode="000"/>
    <numFmt numFmtId="166" formatCode="0.00\ &quot;bl/s&quot;"/>
    <numFmt numFmtId="167" formatCode="0.00\ &quot;bl&quot;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CB4B16"/>
      <name val="Consolas"/>
      <family val="3"/>
    </font>
    <font>
      <sz val="10"/>
      <color rgb="FF002B36"/>
      <name val="Consolas"/>
      <family val="3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3" applyNumberFormat="0" applyFill="0" applyAlignment="0" applyProtection="0"/>
  </cellStyleXfs>
  <cellXfs count="107">
    <xf numFmtId="0" fontId="0" fillId="0" borderId="0" xfId="0"/>
    <xf numFmtId="0" fontId="1" fillId="0" borderId="0" xfId="1"/>
    <xf numFmtId="44" fontId="0" fillId="0" borderId="0" xfId="2" applyFont="1"/>
    <xf numFmtId="0" fontId="3" fillId="0" borderId="1" xfId="3"/>
    <xf numFmtId="0" fontId="3" fillId="0" borderId="1" xfId="3" applyAlignment="1">
      <alignment horizontal="left"/>
    </xf>
    <xf numFmtId="44" fontId="3" fillId="0" borderId="1" xfId="2" applyFont="1" applyBorder="1"/>
    <xf numFmtId="0" fontId="0" fillId="0" borderId="0" xfId="0" applyAlignment="1"/>
    <xf numFmtId="0" fontId="1" fillId="0" borderId="2" xfId="1" applyBorder="1" applyAlignment="1">
      <alignment horizontal="left"/>
    </xf>
    <xf numFmtId="0" fontId="1" fillId="0" borderId="0" xfId="1" applyAlignment="1"/>
    <xf numFmtId="0" fontId="1" fillId="0" borderId="0" xfId="1" applyAlignment="1">
      <alignment horizontal="left"/>
    </xf>
    <xf numFmtId="0" fontId="1" fillId="0" borderId="0" xfId="1" applyBorder="1"/>
    <xf numFmtId="0" fontId="1" fillId="0" borderId="0" xfId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4" fontId="3" fillId="0" borderId="1" xfId="2" applyFont="1" applyBorder="1" applyAlignment="1">
      <alignment horizontal="left"/>
    </xf>
    <xf numFmtId="49" fontId="3" fillId="0" borderId="1" xfId="3" applyNumberFormat="1" applyAlignment="1">
      <alignment horizontal="lef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1" xfId="3" applyNumberFormat="1" applyAlignment="1">
      <alignment horizontal="center"/>
    </xf>
    <xf numFmtId="0" fontId="3" fillId="0" borderId="1" xfId="3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5" xfId="0" applyBorder="1"/>
    <xf numFmtId="49" fontId="0" fillId="0" borderId="5" xfId="0" applyNumberFormat="1" applyBorder="1" applyAlignment="1">
      <alignment horizontal="center"/>
    </xf>
    <xf numFmtId="0" fontId="0" fillId="0" borderId="0" xfId="0" quotePrefix="1"/>
    <xf numFmtId="0" fontId="0" fillId="0" borderId="0" xfId="0" applyBorder="1"/>
    <xf numFmtId="49" fontId="0" fillId="0" borderId="5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3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4" applyBorder="1" applyAlignment="1">
      <alignment horizontal="center"/>
    </xf>
    <xf numFmtId="0" fontId="1" fillId="0" borderId="0" xfId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6" fontId="0" fillId="0" borderId="0" xfId="0" applyNumberFormat="1"/>
    <xf numFmtId="9" fontId="6" fillId="0" borderId="0" xfId="0" applyNumberFormat="1" applyFont="1"/>
    <xf numFmtId="167" fontId="6" fillId="0" borderId="0" xfId="0" applyNumberFormat="1" applyFont="1"/>
    <xf numFmtId="167" fontId="7" fillId="0" borderId="0" xfId="0" applyNumberFormat="1" applyFont="1"/>
    <xf numFmtId="166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44" fontId="0" fillId="0" borderId="8" xfId="2" applyFont="1" applyBorder="1"/>
    <xf numFmtId="0" fontId="0" fillId="0" borderId="0" xfId="0" quotePrefix="1" applyFill="1"/>
    <xf numFmtId="0" fontId="10" fillId="0" borderId="0" xfId="0" quotePrefix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Border="1" applyAlignment="1"/>
    <xf numFmtId="0" fontId="0" fillId="0" borderId="0" xfId="0" applyBorder="1" applyAlignment="1">
      <alignment horizontal="center"/>
    </xf>
    <xf numFmtId="44" fontId="0" fillId="0" borderId="0" xfId="2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2" applyFont="1" applyFill="1"/>
    <xf numFmtId="164" fontId="0" fillId="2" borderId="0" xfId="0" applyNumberFormat="1" applyFill="1" applyAlignment="1">
      <alignment horizontal="center"/>
    </xf>
    <xf numFmtId="0" fontId="1" fillId="2" borderId="0" xfId="1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3" borderId="0" xfId="1" applyFill="1" applyAlignment="1">
      <alignment horizontal="left"/>
    </xf>
    <xf numFmtId="0" fontId="1" fillId="3" borderId="0" xfId="1" applyFill="1"/>
    <xf numFmtId="0" fontId="1" fillId="0" borderId="0" xfId="1" applyFill="1" applyAlignment="1">
      <alignment horizontal="left"/>
    </xf>
    <xf numFmtId="0" fontId="1" fillId="0" borderId="0" xfId="1" applyFill="1" applyBorder="1" applyAlignment="1">
      <alignment horizontal="left"/>
    </xf>
    <xf numFmtId="0" fontId="1" fillId="2" borderId="0" xfId="1" applyFill="1"/>
    <xf numFmtId="0" fontId="1" fillId="3" borderId="0" xfId="1" applyFill="1" applyBorder="1" applyAlignment="1">
      <alignment horizontal="left"/>
    </xf>
    <xf numFmtId="14" fontId="3" fillId="0" borderId="1" xfId="3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3" xfId="4" applyBorder="1" applyAlignment="1">
      <alignment horizontal="center"/>
    </xf>
    <xf numFmtId="0" fontId="4" fillId="0" borderId="7" xfId="4" applyBorder="1" applyAlignment="1">
      <alignment horizontal="center"/>
    </xf>
    <xf numFmtId="0" fontId="4" fillId="0" borderId="6" xfId="4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</cellXfs>
  <cellStyles count="5">
    <cellStyle name="Currency" xfId="2" builtinId="4"/>
    <cellStyle name="Heading 1" xfId="3" builtinId="16"/>
    <cellStyle name="Heading 2" xfId="4" builtinId="17"/>
    <cellStyle name="Hyperlink" xfId="1" builtinId="8"/>
    <cellStyle name="Normal" xfId="0" builtinId="0"/>
  </cellStyles>
  <dxfs count="14"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igotmc.org/resources/griefprevention.1884/" TargetMode="External"/><Relationship Id="rId2" Type="http://schemas.openxmlformats.org/officeDocument/2006/relationships/hyperlink" Target="https://www.spigotmc.org/resources/residence-reloaded-1-8-x.2697/" TargetMode="External"/><Relationship Id="rId1" Type="http://schemas.openxmlformats.org/officeDocument/2006/relationships/hyperlink" Target="http://towny.palmergames.com/" TargetMode="External"/><Relationship Id="rId5" Type="http://schemas.openxmlformats.org/officeDocument/2006/relationships/hyperlink" Target="http://wiki.sk89q.com/wiki/WorldGuard" TargetMode="External"/><Relationship Id="rId4" Type="http://schemas.openxmlformats.org/officeDocument/2006/relationships/hyperlink" Target="https://www.spigotmc.org/resources/preciousstones.527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6611-A390-4229-9F28-C37EFF325CCA}">
  <dimension ref="A1:I72"/>
  <sheetViews>
    <sheetView tabSelected="1" workbookViewId="0">
      <selection activeCell="A4" sqref="A4"/>
    </sheetView>
  </sheetViews>
  <sheetFormatPr defaultRowHeight="15" x14ac:dyDescent="0.25"/>
  <cols>
    <col min="1" max="1" width="31.140625" bestFit="1" customWidth="1"/>
    <col min="2" max="2" width="18.5703125" bestFit="1" customWidth="1"/>
    <col min="3" max="3" width="11.42578125" style="17" bestFit="1" customWidth="1"/>
    <col min="4" max="4" width="17.28515625" style="94" bestFit="1" customWidth="1"/>
    <col min="5" max="5" width="74.5703125" bestFit="1" customWidth="1"/>
    <col min="6" max="6" width="8.85546875" bestFit="1" customWidth="1"/>
    <col min="7" max="7" width="25.85546875" style="96" bestFit="1" customWidth="1"/>
    <col min="8" max="8" width="18" style="96" bestFit="1" customWidth="1"/>
    <col min="9" max="9" width="8.5703125" style="96" bestFit="1" customWidth="1"/>
    <col min="10" max="10" width="11.28515625" bestFit="1" customWidth="1"/>
  </cols>
  <sheetData>
    <row r="1" spans="1:9" ht="20.100000000000001" customHeight="1" thickBot="1" x14ac:dyDescent="0.35">
      <c r="A1" s="4" t="s">
        <v>0</v>
      </c>
      <c r="B1" s="4" t="s">
        <v>157</v>
      </c>
      <c r="C1" s="16" t="s">
        <v>2</v>
      </c>
      <c r="D1" s="93" t="s">
        <v>804</v>
      </c>
      <c r="E1" s="3" t="s">
        <v>1</v>
      </c>
      <c r="F1" s="5" t="s">
        <v>4</v>
      </c>
      <c r="G1" s="37" t="s">
        <v>162</v>
      </c>
      <c r="H1" s="15" t="s">
        <v>161</v>
      </c>
      <c r="I1" s="15" t="s">
        <v>163</v>
      </c>
    </row>
    <row r="2" spans="1:9" ht="18" customHeight="1" thickTop="1" thickBot="1" x14ac:dyDescent="0.35">
      <c r="A2" s="98" t="s">
        <v>825</v>
      </c>
      <c r="B2" s="98"/>
      <c r="C2" s="98"/>
      <c r="D2" s="98"/>
      <c r="E2" s="98"/>
      <c r="F2" s="98"/>
      <c r="G2" s="98"/>
      <c r="H2" s="98"/>
      <c r="I2" s="98"/>
    </row>
    <row r="3" spans="1:9" ht="15" customHeight="1" thickTop="1" x14ac:dyDescent="0.3">
      <c r="A3" s="89" t="str">
        <f>HYPERLINK("http://www.enginehub.org/commandhelper", "CommandHelper")</f>
        <v>CommandHelper</v>
      </c>
      <c r="B3" s="50" t="s">
        <v>158</v>
      </c>
      <c r="C3" s="17" t="s">
        <v>805</v>
      </c>
      <c r="D3" s="94">
        <v>43348</v>
      </c>
      <c r="E3" t="s">
        <v>603</v>
      </c>
      <c r="F3" s="2" t="s">
        <v>5</v>
      </c>
      <c r="G3" s="50" t="s">
        <v>181</v>
      </c>
      <c r="H3" s="50" t="s">
        <v>181</v>
      </c>
      <c r="I3" s="48"/>
    </row>
    <row r="4" spans="1:9" ht="18" customHeight="1" thickBot="1" x14ac:dyDescent="0.3">
      <c r="A4" s="49" t="str">
        <f>HYPERLINK("https://www.spigotmc.org/resources/dynmap.274/", "dynmap")</f>
        <v>dynmap</v>
      </c>
      <c r="B4" s="97" t="s">
        <v>158</v>
      </c>
      <c r="C4" s="17" t="s">
        <v>824</v>
      </c>
      <c r="D4" s="94">
        <v>44021</v>
      </c>
      <c r="E4" t="s">
        <v>75</v>
      </c>
      <c r="F4" s="2" t="s">
        <v>5</v>
      </c>
      <c r="G4" s="13" t="s">
        <v>166</v>
      </c>
      <c r="H4" s="13" t="s">
        <v>166</v>
      </c>
      <c r="I4" s="97"/>
    </row>
    <row r="5" spans="1:9" ht="15" customHeight="1" thickTop="1" thickBot="1" x14ac:dyDescent="0.35">
      <c r="A5" s="99" t="s">
        <v>240</v>
      </c>
      <c r="B5" s="99"/>
      <c r="C5" s="99"/>
      <c r="D5" s="99"/>
      <c r="E5" s="99"/>
      <c r="F5" s="99"/>
      <c r="G5" s="99"/>
      <c r="H5" s="99"/>
      <c r="I5" s="99"/>
    </row>
    <row r="6" spans="1:9" ht="15" customHeight="1" thickTop="1" x14ac:dyDescent="0.25">
      <c r="A6" s="49" t="str">
        <f>HYPERLINK("https://www.dokucraft.co.uk/resource-packs/light", "Dokucraft Light")</f>
        <v>Dokucraft Light</v>
      </c>
      <c r="B6" s="96" t="s">
        <v>158</v>
      </c>
      <c r="C6" s="32" t="s">
        <v>823</v>
      </c>
      <c r="D6" s="94">
        <v>44019</v>
      </c>
      <c r="E6" t="s">
        <v>311</v>
      </c>
      <c r="F6" s="2" t="s">
        <v>5</v>
      </c>
      <c r="G6" s="96" t="s">
        <v>166</v>
      </c>
      <c r="H6" s="96" t="s">
        <v>166</v>
      </c>
    </row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5" customHeight="1" x14ac:dyDescent="0.25"/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2">
    <mergeCell ref="A2:I2"/>
    <mergeCell ref="A5:I5"/>
  </mergeCells>
  <conditionalFormatting sqref="D6">
    <cfRule type="expression" dxfId="13" priority="3">
      <formula>D6&lt;=TODAY()-365</formula>
    </cfRule>
  </conditionalFormatting>
  <conditionalFormatting sqref="D4">
    <cfRule type="expression" dxfId="12" priority="2">
      <formula>D4&lt;=TODAY()-365</formula>
    </cfRule>
  </conditionalFormatting>
  <conditionalFormatting sqref="D3">
    <cfRule type="expression" dxfId="11" priority="1">
      <formula>D3&lt;=TODAY()-365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6"/>
  <sheetViews>
    <sheetView topLeftCell="A40" workbookViewId="0">
      <selection activeCell="A68" sqref="A68"/>
    </sheetView>
  </sheetViews>
  <sheetFormatPr defaultRowHeight="15" x14ac:dyDescent="0.25"/>
  <cols>
    <col min="1" max="1" width="36.42578125" bestFit="1" customWidth="1"/>
    <col min="2" max="2" width="18.5703125" bestFit="1" customWidth="1"/>
    <col min="3" max="3" width="10.42578125" bestFit="1" customWidth="1"/>
    <col min="4" max="4" width="64.140625" bestFit="1" customWidth="1"/>
    <col min="5" max="5" width="8.85546875" bestFit="1" customWidth="1"/>
  </cols>
  <sheetData>
    <row r="1" spans="1:7" ht="20.25" thickBot="1" x14ac:dyDescent="0.35">
      <c r="A1" s="4" t="s">
        <v>0</v>
      </c>
      <c r="B1" s="4" t="s">
        <v>157</v>
      </c>
      <c r="C1" s="3" t="s">
        <v>2</v>
      </c>
      <c r="D1" s="3" t="s">
        <v>1</v>
      </c>
      <c r="E1" s="5" t="s">
        <v>4</v>
      </c>
    </row>
    <row r="2" spans="1:7" ht="18.75" thickTop="1" thickBot="1" x14ac:dyDescent="0.35">
      <c r="A2" s="98" t="s">
        <v>704</v>
      </c>
      <c r="B2" s="98"/>
      <c r="C2" s="98"/>
      <c r="D2" s="98"/>
      <c r="E2" s="98"/>
    </row>
    <row r="3" spans="1:7" ht="15.75" thickTop="1" x14ac:dyDescent="0.25">
      <c r="A3" s="1" t="str">
        <f>HYPERLINK("https://www.spigotmc.org/resources/enderpads.42711/", "EnderPads")</f>
        <v>EnderPads</v>
      </c>
      <c r="B3" s="50" t="s">
        <v>158</v>
      </c>
      <c r="C3" s="50"/>
      <c r="D3" t="s">
        <v>621</v>
      </c>
      <c r="E3" s="2" t="s">
        <v>5</v>
      </c>
    </row>
    <row r="4" spans="1:7" x14ac:dyDescent="0.25">
      <c r="A4" s="11" t="str">
        <f>HYPERLINK("https://www.spigotmc.org/resources/no-swimming.43346/", "NoSwimming")</f>
        <v>NoSwimming</v>
      </c>
      <c r="B4" s="60" t="s">
        <v>158</v>
      </c>
      <c r="C4" s="60"/>
      <c r="D4" t="s">
        <v>676</v>
      </c>
      <c r="E4" s="2" t="s">
        <v>5</v>
      </c>
    </row>
    <row r="5" spans="1:7" ht="18" thickBot="1" x14ac:dyDescent="0.35">
      <c r="A5" s="98" t="s">
        <v>171</v>
      </c>
      <c r="B5" s="98"/>
      <c r="C5" s="98"/>
      <c r="D5" s="98"/>
      <c r="E5" s="98"/>
    </row>
    <row r="6" spans="1:7" ht="15.75" thickTop="1" x14ac:dyDescent="0.25">
      <c r="A6" s="1" t="str">
        <f>HYPERLINK("https://www.spigotmc.org/resources/adminmode.10479/", "AdminMode")</f>
        <v>AdminMode</v>
      </c>
      <c r="B6" s="79" t="s">
        <v>158</v>
      </c>
      <c r="C6" s="79"/>
      <c r="D6" t="s">
        <v>772</v>
      </c>
      <c r="E6" s="2" t="s">
        <v>5</v>
      </c>
    </row>
    <row r="7" spans="1:7" x14ac:dyDescent="0.25">
      <c r="A7" s="1" t="str">
        <f>HYPERLINK("https://www.spigotmc.org/resources/advanced-achievements.6239/", "AdvancedAchievements")</f>
        <v>AdvancedAchievements</v>
      </c>
      <c r="B7" s="12" t="s">
        <v>158</v>
      </c>
      <c r="C7" s="38"/>
      <c r="D7" t="s">
        <v>562</v>
      </c>
      <c r="E7" s="2" t="s">
        <v>5</v>
      </c>
    </row>
    <row r="8" spans="1:7" x14ac:dyDescent="0.25">
      <c r="A8" s="1" t="str">
        <f>HYPERLINK("https://www.spigotmc.org/resources/cmi-ranks-kits-portals-essentials-mysql-sqlite-bungeecord.3742/", "CMI")</f>
        <v>CMI</v>
      </c>
      <c r="B8" s="63" t="s">
        <v>158</v>
      </c>
      <c r="C8" s="63"/>
      <c r="D8" t="s">
        <v>743</v>
      </c>
      <c r="E8" s="2" t="s">
        <v>5</v>
      </c>
    </row>
    <row r="9" spans="1:7" ht="15" customHeight="1" x14ac:dyDescent="0.25">
      <c r="A9" s="9" t="str">
        <f>HYPERLINK("https://www.spigotmc.org/resources/command-blocker-ultimate.296/", "Command Blocker Ultimate")</f>
        <v>Command Blocker Ultimate</v>
      </c>
      <c r="B9" s="12" t="s">
        <v>195</v>
      </c>
      <c r="C9" s="70" t="s">
        <v>762</v>
      </c>
      <c r="D9" t="s">
        <v>20</v>
      </c>
      <c r="E9" s="2" t="s">
        <v>5</v>
      </c>
      <c r="F9" s="33"/>
      <c r="G9" s="86"/>
    </row>
    <row r="10" spans="1:7" x14ac:dyDescent="0.25">
      <c r="A10" s="1"/>
      <c r="B10" s="61"/>
      <c r="C10" s="61"/>
      <c r="E10" s="2"/>
    </row>
    <row r="11" spans="1:7" x14ac:dyDescent="0.25">
      <c r="A11" s="1" t="str">
        <f>HYPERLINK("https://www.spigotmc.org/resources/custom-recipes.11440/", "CustomRecipes")</f>
        <v>CustomRecipes</v>
      </c>
      <c r="B11" s="38" t="s">
        <v>158</v>
      </c>
      <c r="C11" s="38"/>
      <c r="D11" t="s">
        <v>552</v>
      </c>
      <c r="E11" s="2" t="s">
        <v>5</v>
      </c>
    </row>
    <row r="12" spans="1:7" x14ac:dyDescent="0.25">
      <c r="A12" s="1" t="str">
        <f>HYPERLINK("https://dev.bukkit.org/projects/recipemanager", "RecipeManager")</f>
        <v>RecipeManager</v>
      </c>
      <c r="B12" s="38" t="s">
        <v>158</v>
      </c>
      <c r="C12" s="38"/>
      <c r="D12" t="s">
        <v>563</v>
      </c>
      <c r="E12" s="2" t="s">
        <v>5</v>
      </c>
    </row>
    <row r="13" spans="1:7" x14ac:dyDescent="0.25">
      <c r="A13" s="1" t="str">
        <f>HYPERLINK("https://www.spigotmc.org/resources/recipesredone-1-8-1-12-api-hooks.49733/", "RecipesRedone")</f>
        <v>RecipesRedone</v>
      </c>
      <c r="B13" s="60" t="s">
        <v>158</v>
      </c>
      <c r="C13" s="60"/>
      <c r="D13" t="s">
        <v>675</v>
      </c>
      <c r="E13" s="2" t="s">
        <v>5</v>
      </c>
    </row>
    <row r="14" spans="1:7" x14ac:dyDescent="0.25">
      <c r="A14" s="1"/>
      <c r="B14" s="61"/>
      <c r="C14" s="61"/>
      <c r="E14" s="2"/>
    </row>
    <row r="15" spans="1:7" x14ac:dyDescent="0.25">
      <c r="A15" s="1" t="str">
        <f>HYPERLINK("https://www.spigotmc.org/resources/deluxemenus.11734/", "Deluxe Menus")</f>
        <v>Deluxe Menus</v>
      </c>
      <c r="B15" s="12" t="s">
        <v>158</v>
      </c>
      <c r="C15" s="38"/>
      <c r="D15" t="s">
        <v>130</v>
      </c>
      <c r="E15" s="2" t="s">
        <v>5</v>
      </c>
    </row>
    <row r="16" spans="1:7" x14ac:dyDescent="0.25">
      <c r="A16" s="1" t="str">
        <f>HYPERLINK("https://www.spigotmc.org/resources/first-join-commands.16188/", "FirstJoinCommands")</f>
        <v>FirstJoinCommands</v>
      </c>
      <c r="B16" s="12" t="s">
        <v>158</v>
      </c>
      <c r="C16" s="38"/>
      <c r="D16" t="s">
        <v>134</v>
      </c>
      <c r="E16" s="2" t="s">
        <v>5</v>
      </c>
    </row>
    <row r="17" spans="1:5" x14ac:dyDescent="0.25">
      <c r="A17" s="9"/>
      <c r="B17" s="61"/>
      <c r="C17" s="61"/>
      <c r="E17" s="2"/>
    </row>
    <row r="18" spans="1:5" x14ac:dyDescent="0.25">
      <c r="A18" s="1" t="str">
        <f>HYPERLINK("https://www.spigotmc.org/resources/helpop-email.21332/", "HelpOP Email")</f>
        <v>HelpOP Email</v>
      </c>
      <c r="B18" s="12" t="s">
        <v>158</v>
      </c>
      <c r="D18" t="s">
        <v>39</v>
      </c>
      <c r="E18" s="2" t="s">
        <v>5</v>
      </c>
    </row>
    <row r="19" spans="1:5" x14ac:dyDescent="0.25">
      <c r="A19" s="9" t="str">
        <f>HYPERLINK("https://www.spigotmc.org/resources/request.13674/", "Request")</f>
        <v>Request</v>
      </c>
      <c r="B19" s="12" t="s">
        <v>158</v>
      </c>
      <c r="D19" t="s">
        <v>26</v>
      </c>
      <c r="E19" s="2" t="s">
        <v>5</v>
      </c>
    </row>
    <row r="20" spans="1:5" x14ac:dyDescent="0.25">
      <c r="A20" s="1"/>
      <c r="B20" s="61"/>
      <c r="E20" s="2"/>
    </row>
    <row r="21" spans="1:5" x14ac:dyDescent="0.25">
      <c r="A21" s="9" t="str">
        <f>HYPERLINK("https://www.spigotmc.org/resources/lagmonitor.21348/", "LagMonitor")</f>
        <v>LagMonitor</v>
      </c>
      <c r="B21" s="12" t="s">
        <v>158</v>
      </c>
      <c r="D21" t="s">
        <v>29</v>
      </c>
      <c r="E21" s="2" t="s">
        <v>5</v>
      </c>
    </row>
    <row r="22" spans="1:5" x14ac:dyDescent="0.25">
      <c r="A22" s="1" t="str">
        <f>HYPERLINK("https://www.spigotmc.org/resources/powernbt.9098/", "PowerNBT")</f>
        <v>PowerNBT</v>
      </c>
      <c r="B22" s="41" t="s">
        <v>158</v>
      </c>
      <c r="C22" s="41"/>
      <c r="D22" t="s">
        <v>581</v>
      </c>
      <c r="E22" s="2" t="s">
        <v>5</v>
      </c>
    </row>
    <row r="23" spans="1:5" ht="18" thickBot="1" x14ac:dyDescent="0.35">
      <c r="A23" s="98" t="s">
        <v>700</v>
      </c>
      <c r="B23" s="98"/>
      <c r="C23" s="98"/>
      <c r="D23" s="98"/>
      <c r="E23" s="98"/>
    </row>
    <row r="24" spans="1:5" ht="15.75" thickTop="1" x14ac:dyDescent="0.25">
      <c r="A24" s="64" t="str">
        <f>HYPERLINK("https://www.spigotmc.org/resources/geofurnace-1-8-1-12-1.45647/", "Geofurnace")</f>
        <v>Geofurnace</v>
      </c>
      <c r="B24" s="65" t="s">
        <v>158</v>
      </c>
      <c r="C24" s="65"/>
      <c r="D24" s="66" t="s">
        <v>625</v>
      </c>
      <c r="E24" s="67" t="s">
        <v>5</v>
      </c>
    </row>
    <row r="25" spans="1:5" ht="18" thickBot="1" x14ac:dyDescent="0.35">
      <c r="A25" s="98" t="s">
        <v>707</v>
      </c>
      <c r="B25" s="98"/>
      <c r="C25" s="98"/>
      <c r="D25" s="98"/>
      <c r="E25" s="98"/>
    </row>
    <row r="26" spans="1:5" ht="15.75" thickTop="1" x14ac:dyDescent="0.25">
      <c r="A26" s="11" t="str">
        <f>HYPERLINK("https://www.spigotmc.org/resources/ghostscavengerhunt-1-8-1-9-1-10-1-11-1-12.48523/", "GhostScavengerHunt")</f>
        <v>GhostScavengerHunt</v>
      </c>
      <c r="B26" s="60" t="s">
        <v>158</v>
      </c>
      <c r="C26" s="60"/>
      <c r="D26" t="s">
        <v>684</v>
      </c>
      <c r="E26" s="2" t="s">
        <v>5</v>
      </c>
    </row>
    <row r="27" spans="1:5" x14ac:dyDescent="0.25">
      <c r="A27" s="11" t="str">
        <f>HYPERLINK("https://www.spigotmc.org/resources/x-mas-upgradeable-christmas-tree-event.2672/", "X-Mas")</f>
        <v>X-Mas</v>
      </c>
      <c r="B27" s="60" t="s">
        <v>158</v>
      </c>
      <c r="C27" s="60"/>
      <c r="D27" t="s">
        <v>683</v>
      </c>
      <c r="E27" s="2" t="s">
        <v>5</v>
      </c>
    </row>
    <row r="28" spans="1:5" ht="18" thickBot="1" x14ac:dyDescent="0.35">
      <c r="A28" s="98" t="s">
        <v>178</v>
      </c>
      <c r="B28" s="98"/>
      <c r="C28" s="98"/>
      <c r="D28" s="98"/>
      <c r="E28" s="98"/>
    </row>
    <row r="29" spans="1:5" ht="15.75" thickTop="1" x14ac:dyDescent="0.25">
      <c r="A29" s="1" t="str">
        <f>HYPERLINK("https://www.spigotmc.org/resources/inventory-pets.24315/", "InventoryPets")</f>
        <v>InventoryPets</v>
      </c>
      <c r="B29" s="50" t="s">
        <v>158</v>
      </c>
      <c r="D29" t="s">
        <v>613</v>
      </c>
      <c r="E29" s="2" t="s">
        <v>5</v>
      </c>
    </row>
    <row r="30" spans="1:5" x14ac:dyDescent="0.25">
      <c r="A30" s="9" t="str">
        <f>HYPERLINK("https://www.massivecraft.com/massivebooks", "MassiveBooks")</f>
        <v>MassiveBooks</v>
      </c>
      <c r="B30" s="50" t="s">
        <v>158</v>
      </c>
      <c r="D30" t="s">
        <v>623</v>
      </c>
      <c r="E30" s="2" t="s">
        <v>5</v>
      </c>
    </row>
    <row r="31" spans="1:5" x14ac:dyDescent="0.25">
      <c r="A31" s="1" t="str">
        <f>HYPERLINK("https://www.spigotmc.org/resources/mystery-bags-1-9-1-12.27612/", "MysteryBags")</f>
        <v>MysteryBags</v>
      </c>
      <c r="B31" s="50" t="s">
        <v>158</v>
      </c>
      <c r="C31" s="50"/>
      <c r="D31" t="s">
        <v>711</v>
      </c>
      <c r="E31" s="2" t="s">
        <v>5</v>
      </c>
    </row>
    <row r="32" spans="1:5" x14ac:dyDescent="0.25">
      <c r="A32" s="1" t="str">
        <f>HYPERLINK("https://www.spigotmc.org/resources/playermap.6150/", "Player Map")</f>
        <v>Player Map</v>
      </c>
      <c r="B32" s="12" t="s">
        <v>158</v>
      </c>
      <c r="C32" s="38"/>
      <c r="D32" t="s">
        <v>128</v>
      </c>
      <c r="E32" s="2" t="s">
        <v>5</v>
      </c>
    </row>
    <row r="33" spans="1:5" x14ac:dyDescent="0.25">
      <c r="A33" s="11" t="str">
        <f>HYPERLINK("https://www.spigotmc.org/resources/tokenenchant-supports-1-9.2287/", "TokenEnchant")</f>
        <v>TokenEnchant</v>
      </c>
      <c r="B33" s="38" t="s">
        <v>158</v>
      </c>
      <c r="C33" s="38"/>
      <c r="D33" t="s">
        <v>35</v>
      </c>
      <c r="E33" s="2">
        <v>15</v>
      </c>
    </row>
    <row r="34" spans="1:5" x14ac:dyDescent="0.25">
      <c r="A34" s="11" t="str">
        <f>HYPERLINK("https://www.spigotmc.org/resources/te-decapitateenchant.9663/", "-----TE-DecapitateEnchant")</f>
        <v>-----TE-DecapitateEnchant</v>
      </c>
      <c r="B34" s="50" t="s">
        <v>158</v>
      </c>
      <c r="C34" s="50"/>
      <c r="D34" t="s">
        <v>620</v>
      </c>
      <c r="E34" s="2" t="s">
        <v>5</v>
      </c>
    </row>
    <row r="35" spans="1:5" ht="18" thickBot="1" x14ac:dyDescent="0.35">
      <c r="A35" s="98" t="s">
        <v>182</v>
      </c>
      <c r="B35" s="98"/>
      <c r="C35" s="98"/>
      <c r="D35" s="98"/>
      <c r="E35" s="98"/>
    </row>
    <row r="36" spans="1:5" ht="15.75" thickTop="1" x14ac:dyDescent="0.25">
      <c r="A36" s="9" t="str">
        <f>HYPERLINK("https://www.spigotmc.org/resources/myz-zombie-apocalypse-%E2%98%85%E2%98%85%E2%98%85%E2%98%85%E2%98%85.3826/", "MyZ")</f>
        <v>MyZ</v>
      </c>
      <c r="B36" s="77" t="s">
        <v>158</v>
      </c>
      <c r="D36" t="s">
        <v>768</v>
      </c>
      <c r="E36" s="2" t="s">
        <v>5</v>
      </c>
    </row>
    <row r="37" spans="1:5" x14ac:dyDescent="0.25">
      <c r="A37" s="9" t="str">
        <f>HYPERLINK("https://mods.curse.com/bukkit-plugins/minecraft/specified-break", "SpecifiedBreak")</f>
        <v>SpecifiedBreak</v>
      </c>
      <c r="B37" s="61" t="s">
        <v>158</v>
      </c>
      <c r="D37" t="s">
        <v>598</v>
      </c>
      <c r="E37" s="2" t="s">
        <v>5</v>
      </c>
    </row>
    <row r="38" spans="1:5" x14ac:dyDescent="0.25">
      <c r="A38" s="9" t="str">
        <f>HYPERLINK("https://www.spigotmc.org/resources/survivalplus-survival.20174/", "SurvivalPlus")</f>
        <v>SurvivalPlus</v>
      </c>
      <c r="B38" s="61" t="s">
        <v>158</v>
      </c>
      <c r="C38" s="38"/>
      <c r="D38" t="s">
        <v>553</v>
      </c>
      <c r="E38" s="2" t="s">
        <v>5</v>
      </c>
    </row>
    <row r="39" spans="1:5" ht="18" thickBot="1" x14ac:dyDescent="0.35">
      <c r="A39" s="98" t="s">
        <v>759</v>
      </c>
      <c r="B39" s="98"/>
      <c r="C39" s="98"/>
      <c r="D39" s="98"/>
      <c r="E39" s="98"/>
    </row>
    <row r="40" spans="1:5" ht="15.75" thickTop="1" x14ac:dyDescent="0.25">
      <c r="A40" s="8" t="str">
        <f>HYPERLINK("https://www.spigotmc.org/resources/buycraft.336/", "Buycraft")</f>
        <v>Buycraft</v>
      </c>
      <c r="B40" s="38" t="s">
        <v>158</v>
      </c>
      <c r="D40" t="s">
        <v>564</v>
      </c>
      <c r="E40" s="2" t="s">
        <v>5</v>
      </c>
    </row>
    <row r="41" spans="1:5" x14ac:dyDescent="0.25">
      <c r="A41" s="8" t="str">
        <f>HYPERLINK("https://www.spigotmc.org/resources/elsweyrs-decoration-heads-collections.20332/", "Elsweyr's Decoration Heaads Collection")</f>
        <v>Elsweyr's Decoration Heaads Collection</v>
      </c>
      <c r="B41" s="38" t="s">
        <v>158</v>
      </c>
      <c r="D41" t="s">
        <v>36</v>
      </c>
      <c r="E41" s="2" t="s">
        <v>5</v>
      </c>
    </row>
    <row r="42" spans="1:5" ht="18" thickBot="1" x14ac:dyDescent="0.35">
      <c r="A42" s="98" t="s">
        <v>708</v>
      </c>
      <c r="B42" s="98"/>
      <c r="C42" s="98"/>
      <c r="D42" s="98"/>
      <c r="E42" s="98"/>
    </row>
    <row r="43" spans="1:5" ht="15.75" thickTop="1" x14ac:dyDescent="0.25">
      <c r="A43" s="1" t="str">
        <f>HYPERLINK("https://github.com/kangarko/AutoPlay/wiki/What-is-AutoPlay", "AutoPlay")</f>
        <v>AutoPlay</v>
      </c>
      <c r="B43" s="52" t="s">
        <v>158</v>
      </c>
      <c r="C43" s="52"/>
      <c r="D43" t="s">
        <v>638</v>
      </c>
      <c r="E43" s="2" t="s">
        <v>5</v>
      </c>
    </row>
    <row r="44" spans="1:5" x14ac:dyDescent="0.25">
      <c r="A44" s="1" t="str">
        <f>HYPERLINK("https://www.spigotmc.org/resources/inventory-games.20937/", "InventoryGames")</f>
        <v>InventoryGames</v>
      </c>
      <c r="B44" s="60" t="s">
        <v>158</v>
      </c>
      <c r="D44" t="s">
        <v>697</v>
      </c>
      <c r="E44" s="2" t="s">
        <v>5</v>
      </c>
    </row>
    <row r="45" spans="1:5" x14ac:dyDescent="0.25">
      <c r="A45" s="11" t="str">
        <f>HYPERLINK("https://www.spigotmc.org/resources/the-thing-minigame.47659/", "TheThing")</f>
        <v>TheThing</v>
      </c>
      <c r="B45" s="60" t="s">
        <v>158</v>
      </c>
      <c r="C45" s="60"/>
      <c r="D45" t="s">
        <v>673</v>
      </c>
      <c r="E45" s="2" t="s">
        <v>5</v>
      </c>
    </row>
    <row r="46" spans="1:5" x14ac:dyDescent="0.25">
      <c r="A46" s="11" t="str">
        <f>HYPERLINK("https://www.spigotmc.org/resources/village-defence-1-8-8-and-1-12.41869/", "VillageDefence")</f>
        <v>VillageDefence</v>
      </c>
      <c r="B46" s="60" t="s">
        <v>158</v>
      </c>
      <c r="C46" s="60"/>
      <c r="D46" t="s">
        <v>672</v>
      </c>
      <c r="E46" s="2" t="s">
        <v>5</v>
      </c>
    </row>
    <row r="47" spans="1:5" ht="18" thickBot="1" x14ac:dyDescent="0.35">
      <c r="A47" s="98" t="s">
        <v>709</v>
      </c>
      <c r="B47" s="98"/>
      <c r="C47" s="98"/>
      <c r="D47" s="98"/>
      <c r="E47" s="98"/>
    </row>
    <row r="48" spans="1:5" ht="15.75" thickTop="1" x14ac:dyDescent="0.25">
      <c r="A48" s="1" t="str">
        <f>HYPERLINK("https://www.spigotmc.org/resources/discordsrv.18494/", "DiscordSRV")</f>
        <v>DiscordSRV</v>
      </c>
      <c r="B48" s="52" t="s">
        <v>158</v>
      </c>
      <c r="C48" s="52"/>
      <c r="D48" t="s">
        <v>637</v>
      </c>
      <c r="E48" s="2" t="s">
        <v>5</v>
      </c>
    </row>
    <row r="49" spans="1:5" ht="18" thickBot="1" x14ac:dyDescent="0.35">
      <c r="A49" s="98" t="s">
        <v>699</v>
      </c>
      <c r="B49" s="98"/>
      <c r="C49" s="98"/>
      <c r="D49" s="98"/>
      <c r="E49" s="98"/>
    </row>
    <row r="50" spans="1:5" ht="15.75" thickTop="1" x14ac:dyDescent="0.25">
      <c r="A50" s="1" t="str">
        <f>HYPERLINK("https://www.spigotmc.org/resources/denizen.21039/", "Denizen")</f>
        <v>Denizen</v>
      </c>
      <c r="B50" s="12" t="s">
        <v>158</v>
      </c>
      <c r="C50" s="38"/>
      <c r="D50" t="s">
        <v>47</v>
      </c>
      <c r="E50" s="2" t="s">
        <v>5</v>
      </c>
    </row>
    <row r="51" spans="1:5" ht="18" thickBot="1" x14ac:dyDescent="0.35">
      <c r="A51" s="98" t="s">
        <v>159</v>
      </c>
      <c r="B51" s="98"/>
      <c r="C51" s="98"/>
      <c r="D51" s="98"/>
      <c r="E51" s="98"/>
    </row>
    <row r="52" spans="1:5" ht="15.75" thickTop="1" x14ac:dyDescent="0.25">
      <c r="A52" s="1" t="str">
        <f>HYPERLINK("https://dev.bukkit.org/projects/dragontravel", "DragonTravel")</f>
        <v>DragonTravel</v>
      </c>
      <c r="B52" s="81" t="s">
        <v>158</v>
      </c>
      <c r="C52" s="81"/>
      <c r="D52" t="s">
        <v>776</v>
      </c>
      <c r="E52" s="2" t="s">
        <v>5</v>
      </c>
    </row>
    <row r="53" spans="1:5" x14ac:dyDescent="0.25">
      <c r="A53" s="1" t="str">
        <f>HYPERLINK("https://www.spigotmc.org/resources/natura-environmental-management-system.17912/", "Natura")</f>
        <v>Natura</v>
      </c>
      <c r="B53" s="12" t="s">
        <v>158</v>
      </c>
      <c r="C53" s="38"/>
      <c r="D53" t="s">
        <v>62</v>
      </c>
      <c r="E53" s="2" t="s">
        <v>5</v>
      </c>
    </row>
    <row r="54" spans="1:5" x14ac:dyDescent="0.25">
      <c r="A54" s="1" t="str">
        <f>HYPERLINK("https://www.spigotmc.org/resources/night-attack-day-night-pvp-mode-absolutely-free.21436/", "Night Attack")</f>
        <v>Night Attack</v>
      </c>
      <c r="B54" s="12" t="s">
        <v>158</v>
      </c>
      <c r="C54" s="38"/>
      <c r="D54" t="s">
        <v>91</v>
      </c>
      <c r="E54" s="2" t="s">
        <v>5</v>
      </c>
    </row>
    <row r="55" spans="1:5" x14ac:dyDescent="0.25">
      <c r="A55" s="1" t="str">
        <f>HYPERLINK("https://minecraft.curseforge.com/projects/open-terrain-generator", "OpenTerrainGenerator")</f>
        <v>OpenTerrainGenerator</v>
      </c>
      <c r="B55" s="79" t="s">
        <v>158</v>
      </c>
      <c r="C55" s="79"/>
      <c r="D55" t="s">
        <v>773</v>
      </c>
      <c r="E55" s="2" t="s">
        <v>5</v>
      </c>
    </row>
    <row r="56" spans="1:5" x14ac:dyDescent="0.25">
      <c r="A56" s="1" t="str">
        <f>HYPERLINK("https://www.spigotmc.org/resources/playmoresounds.37429/", "PlayMoreSounds")</f>
        <v>PlayMoreSounds</v>
      </c>
      <c r="B56" s="70" t="s">
        <v>158</v>
      </c>
      <c r="C56" s="70"/>
      <c r="D56" t="s">
        <v>752</v>
      </c>
      <c r="E56" s="2" t="s">
        <v>5</v>
      </c>
    </row>
    <row r="57" spans="1:5" x14ac:dyDescent="0.25">
      <c r="A57" s="1" t="str">
        <f>HYPERLINK("https://www.spigotmc.org/resources/worldresetplus-api-scheduler-no-restart-needed-1-13-support.31666/", "WorldResetPlus")</f>
        <v>WorldResetPlus</v>
      </c>
      <c r="B57" s="95" t="s">
        <v>158</v>
      </c>
      <c r="C57" s="95"/>
      <c r="D57" t="s">
        <v>815</v>
      </c>
      <c r="E57" s="2" t="s">
        <v>5</v>
      </c>
    </row>
    <row r="58" spans="1:5" x14ac:dyDescent="0.25">
      <c r="A58" s="1" t="str">
        <f>HYPERLINK("https://www.spigotmc.org/resources/worldschematics2.28411/", "WorldSchematics")</f>
        <v>WorldSchematics</v>
      </c>
      <c r="B58" s="95" t="s">
        <v>158</v>
      </c>
      <c r="C58" s="95"/>
      <c r="D58" t="s">
        <v>816</v>
      </c>
      <c r="E58" s="2" t="s">
        <v>5</v>
      </c>
    </row>
    <row r="59" spans="1:5" ht="18" thickBot="1" x14ac:dyDescent="0.35">
      <c r="A59" s="98" t="s">
        <v>753</v>
      </c>
      <c r="B59" s="98"/>
      <c r="C59" s="98"/>
      <c r="D59" s="98"/>
      <c r="E59" s="98"/>
    </row>
    <row r="60" spans="1:5" ht="15.75" thickTop="1" x14ac:dyDescent="0.25">
      <c r="A60" s="1" t="str">
        <f>HYPERLINK("https://www.spigotmc.org/resources/corpsereborn.29875/", "CorpseReborn")</f>
        <v>CorpseReborn</v>
      </c>
      <c r="B60" s="61" t="s">
        <v>760</v>
      </c>
      <c r="C60" s="52"/>
      <c r="D60" t="s">
        <v>647</v>
      </c>
      <c r="E60" s="2" t="s">
        <v>5</v>
      </c>
    </row>
    <row r="61" spans="1:5" x14ac:dyDescent="0.25">
      <c r="A61" s="11" t="str">
        <f>HYPERLINK("https://www.spigotmc.org/resources/horseoverhaul.11105/", "HorseOverhaul")</f>
        <v>HorseOverhaul</v>
      </c>
      <c r="B61" s="61" t="s">
        <v>760</v>
      </c>
      <c r="C61" s="50"/>
      <c r="D61" t="s">
        <v>629</v>
      </c>
      <c r="E61" s="2" t="s">
        <v>5</v>
      </c>
    </row>
    <row r="62" spans="1:5" x14ac:dyDescent="0.25">
      <c r="A62" s="11" t="str">
        <f>HYPERLINK("https://minecraft.curseforge.com/projects/pluckable-chickens", "PluckableChickens")</f>
        <v>PluckableChickens</v>
      </c>
      <c r="B62" s="70" t="s">
        <v>760</v>
      </c>
      <c r="C62" s="70"/>
      <c r="D62" t="s">
        <v>766</v>
      </c>
      <c r="E62" s="2" t="s">
        <v>5</v>
      </c>
    </row>
    <row r="63" spans="1:5" x14ac:dyDescent="0.25">
      <c r="A63" s="11" t="str">
        <f>HYPERLINK("https://www.spigotmc.org/resources/wildsex.14129/", "WildSex")</f>
        <v>WildSex</v>
      </c>
      <c r="B63" s="61" t="s">
        <v>760</v>
      </c>
      <c r="C63" s="60"/>
      <c r="D63" t="s">
        <v>678</v>
      </c>
      <c r="E63" s="2" t="s">
        <v>5</v>
      </c>
    </row>
    <row r="64" spans="1:5" ht="18" thickBot="1" x14ac:dyDescent="0.35">
      <c r="A64" s="98" t="s">
        <v>769</v>
      </c>
      <c r="B64" s="98"/>
      <c r="C64" s="98"/>
      <c r="D64" s="98"/>
      <c r="E64" s="98"/>
    </row>
    <row r="65" spans="1:5" ht="15.75" thickTop="1" x14ac:dyDescent="0.25">
      <c r="A65" s="11" t="str">
        <f>HYPERLINK("https://dev.bukkit.org/projects/speechbubbles-reloaded", "SpeechBubblesReloaded")</f>
        <v>SpeechBubblesReloaded</v>
      </c>
      <c r="B65" s="78" t="s">
        <v>760</v>
      </c>
      <c r="C65" s="78"/>
      <c r="D65" t="s">
        <v>770</v>
      </c>
      <c r="E65" s="2" t="s">
        <v>5</v>
      </c>
    </row>
    <row r="66" spans="1:5" x14ac:dyDescent="0.25">
      <c r="A66" s="11" t="str">
        <f>HYPERLINK("https://dev.bukkit.org/projects/holographic-graves", "HolographicGraves")</f>
        <v>HolographicGraves</v>
      </c>
      <c r="B66" s="78" t="s">
        <v>760</v>
      </c>
      <c r="C66" s="78"/>
      <c r="D66" t="s">
        <v>771</v>
      </c>
      <c r="E66" s="2" t="s">
        <v>5</v>
      </c>
    </row>
  </sheetData>
  <mergeCells count="13">
    <mergeCell ref="A64:E64"/>
    <mergeCell ref="A2:E2"/>
    <mergeCell ref="A25:E25"/>
    <mergeCell ref="A42:E42"/>
    <mergeCell ref="A5:E5"/>
    <mergeCell ref="A28:E28"/>
    <mergeCell ref="A23:E23"/>
    <mergeCell ref="A59:E59"/>
    <mergeCell ref="A39:E39"/>
    <mergeCell ref="A35:E35"/>
    <mergeCell ref="A49:E49"/>
    <mergeCell ref="A47:E47"/>
    <mergeCell ref="A51:E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3"/>
  <sheetViews>
    <sheetView workbookViewId="0">
      <selection activeCell="B1" sqref="B1"/>
    </sheetView>
  </sheetViews>
  <sheetFormatPr defaultRowHeight="15" x14ac:dyDescent="0.25"/>
  <cols>
    <col min="1" max="1" width="8.42578125" style="18" bestFit="1" customWidth="1"/>
    <col min="2" max="2" width="56" bestFit="1" customWidth="1"/>
    <col min="3" max="3" width="13.28515625" bestFit="1" customWidth="1"/>
    <col min="4" max="4" width="15.28515625" bestFit="1" customWidth="1"/>
    <col min="5" max="5" width="19.140625" style="12" bestFit="1" customWidth="1"/>
    <col min="6" max="6" width="36.42578125" bestFit="1" customWidth="1"/>
    <col min="7" max="7" width="93.7109375" bestFit="1" customWidth="1"/>
    <col min="8" max="8" width="164.85546875" bestFit="1" customWidth="1"/>
  </cols>
  <sheetData>
    <row r="1" spans="1:8" ht="20.25" thickBot="1" x14ac:dyDescent="0.35">
      <c r="A1" s="19" t="s">
        <v>200</v>
      </c>
      <c r="B1" s="20" t="s">
        <v>201</v>
      </c>
      <c r="C1" s="20" t="s">
        <v>247</v>
      </c>
      <c r="D1" s="20" t="s">
        <v>248</v>
      </c>
      <c r="E1" s="20" t="s">
        <v>305</v>
      </c>
      <c r="F1" s="20" t="s">
        <v>232</v>
      </c>
      <c r="G1" s="20" t="s">
        <v>1</v>
      </c>
      <c r="H1" s="20" t="s">
        <v>292</v>
      </c>
    </row>
    <row r="2" spans="1:8" ht="15.75" thickTop="1" x14ac:dyDescent="0.25">
      <c r="A2" s="18">
        <v>1</v>
      </c>
      <c r="B2" t="s">
        <v>206</v>
      </c>
      <c r="C2" t="s">
        <v>755</v>
      </c>
      <c r="D2" t="s">
        <v>250</v>
      </c>
      <c r="E2" s="12" t="s">
        <v>701</v>
      </c>
      <c r="F2" t="s">
        <v>246</v>
      </c>
      <c r="G2" t="s">
        <v>202</v>
      </c>
      <c r="H2" t="s">
        <v>774</v>
      </c>
    </row>
    <row r="3" spans="1:8" x14ac:dyDescent="0.25">
      <c r="A3" s="18">
        <v>2</v>
      </c>
      <c r="B3" t="s">
        <v>207</v>
      </c>
      <c r="C3" t="s">
        <v>755</v>
      </c>
      <c r="D3" t="s">
        <v>250</v>
      </c>
      <c r="E3" s="12" t="s">
        <v>701</v>
      </c>
      <c r="F3" t="s">
        <v>231</v>
      </c>
      <c r="G3" t="s">
        <v>209</v>
      </c>
      <c r="H3" t="s">
        <v>774</v>
      </c>
    </row>
    <row r="4" spans="1:8" x14ac:dyDescent="0.25">
      <c r="A4" s="18">
        <v>3</v>
      </c>
      <c r="B4" t="s">
        <v>208</v>
      </c>
      <c r="C4" t="s">
        <v>579</v>
      </c>
      <c r="D4" t="s">
        <v>250</v>
      </c>
      <c r="E4" s="12" t="s">
        <v>306</v>
      </c>
      <c r="F4" t="s">
        <v>233</v>
      </c>
      <c r="G4" t="s">
        <v>203</v>
      </c>
      <c r="H4" t="s">
        <v>204</v>
      </c>
    </row>
    <row r="5" spans="1:8" ht="30" x14ac:dyDescent="0.25">
      <c r="A5" s="18">
        <v>4</v>
      </c>
      <c r="B5" t="s">
        <v>235</v>
      </c>
      <c r="C5" t="s">
        <v>755</v>
      </c>
      <c r="D5" t="s">
        <v>250</v>
      </c>
      <c r="E5" s="12" t="s">
        <v>307</v>
      </c>
      <c r="F5" t="s">
        <v>234</v>
      </c>
      <c r="G5" t="s">
        <v>205</v>
      </c>
      <c r="H5" s="40" t="s">
        <v>554</v>
      </c>
    </row>
    <row r="6" spans="1:8" x14ac:dyDescent="0.25">
      <c r="A6" s="18">
        <v>5</v>
      </c>
      <c r="B6" t="s">
        <v>218</v>
      </c>
      <c r="C6" t="s">
        <v>579</v>
      </c>
      <c r="D6" t="s">
        <v>252</v>
      </c>
      <c r="E6" s="12" t="s">
        <v>306</v>
      </c>
      <c r="F6" t="s">
        <v>236</v>
      </c>
      <c r="G6" t="s">
        <v>210</v>
      </c>
      <c r="H6" t="s">
        <v>222</v>
      </c>
    </row>
    <row r="7" spans="1:8" x14ac:dyDescent="0.25">
      <c r="A7" s="18">
        <v>6</v>
      </c>
      <c r="B7" t="s">
        <v>211</v>
      </c>
      <c r="C7" t="s">
        <v>579</v>
      </c>
      <c r="D7" t="s">
        <v>250</v>
      </c>
      <c r="E7" s="12" t="s">
        <v>701</v>
      </c>
      <c r="F7" t="s">
        <v>237</v>
      </c>
      <c r="G7" t="s">
        <v>221</v>
      </c>
      <c r="H7" t="s">
        <v>717</v>
      </c>
    </row>
    <row r="8" spans="1:8" x14ac:dyDescent="0.25">
      <c r="A8" s="18">
        <v>7</v>
      </c>
      <c r="B8" t="s">
        <v>212</v>
      </c>
      <c r="C8" t="s">
        <v>646</v>
      </c>
      <c r="D8" t="s">
        <v>250</v>
      </c>
      <c r="E8" s="12" t="s">
        <v>158</v>
      </c>
      <c r="F8" t="s">
        <v>238</v>
      </c>
      <c r="G8" t="s">
        <v>213</v>
      </c>
    </row>
    <row r="9" spans="1:8" x14ac:dyDescent="0.25">
      <c r="A9" s="18">
        <v>8</v>
      </c>
      <c r="B9" t="s">
        <v>219</v>
      </c>
      <c r="C9" t="s">
        <v>579</v>
      </c>
      <c r="D9" t="s">
        <v>252</v>
      </c>
      <c r="E9" s="12" t="s">
        <v>306</v>
      </c>
      <c r="F9" t="s">
        <v>239</v>
      </c>
      <c r="G9" t="s">
        <v>220</v>
      </c>
      <c r="H9" t="s">
        <v>264</v>
      </c>
    </row>
    <row r="10" spans="1:8" x14ac:dyDescent="0.25">
      <c r="A10" s="18">
        <v>9</v>
      </c>
      <c r="B10" t="s">
        <v>214</v>
      </c>
      <c r="C10" t="s">
        <v>755</v>
      </c>
      <c r="D10" t="s">
        <v>250</v>
      </c>
      <c r="E10" s="12" t="s">
        <v>701</v>
      </c>
      <c r="F10" t="s">
        <v>231</v>
      </c>
      <c r="G10" t="s">
        <v>215</v>
      </c>
      <c r="H10" t="s">
        <v>735</v>
      </c>
    </row>
    <row r="11" spans="1:8" x14ac:dyDescent="0.25">
      <c r="A11" s="18">
        <v>10</v>
      </c>
      <c r="B11" t="s">
        <v>217</v>
      </c>
      <c r="C11" t="s">
        <v>579</v>
      </c>
      <c r="D11" t="s">
        <v>252</v>
      </c>
      <c r="E11" s="12" t="s">
        <v>306</v>
      </c>
      <c r="F11" t="s">
        <v>240</v>
      </c>
      <c r="G11" t="s">
        <v>216</v>
      </c>
      <c r="H11" t="s">
        <v>204</v>
      </c>
    </row>
    <row r="12" spans="1:8" x14ac:dyDescent="0.25">
      <c r="A12" s="18">
        <v>11</v>
      </c>
      <c r="B12" t="s">
        <v>540</v>
      </c>
      <c r="C12" t="s">
        <v>579</v>
      </c>
      <c r="D12" t="s">
        <v>250</v>
      </c>
      <c r="E12" s="12" t="s">
        <v>590</v>
      </c>
      <c r="F12" t="s">
        <v>245</v>
      </c>
      <c r="G12" t="s">
        <v>223</v>
      </c>
      <c r="H12" t="s">
        <v>643</v>
      </c>
    </row>
    <row r="13" spans="1:8" x14ac:dyDescent="0.25">
      <c r="A13" s="18">
        <v>12</v>
      </c>
      <c r="B13" t="s">
        <v>224</v>
      </c>
      <c r="C13" t="s">
        <v>579</v>
      </c>
      <c r="D13" t="s">
        <v>250</v>
      </c>
      <c r="E13" s="12" t="s">
        <v>306</v>
      </c>
      <c r="F13" t="s">
        <v>231</v>
      </c>
      <c r="G13" t="s">
        <v>225</v>
      </c>
      <c r="H13" t="s">
        <v>228</v>
      </c>
    </row>
    <row r="14" spans="1:8" x14ac:dyDescent="0.25">
      <c r="A14" s="18">
        <v>13</v>
      </c>
      <c r="B14" t="s">
        <v>226</v>
      </c>
      <c r="C14" t="s">
        <v>579</v>
      </c>
      <c r="D14" t="s">
        <v>250</v>
      </c>
      <c r="E14" s="12" t="s">
        <v>306</v>
      </c>
      <c r="F14" t="s">
        <v>241</v>
      </c>
      <c r="G14" t="s">
        <v>227</v>
      </c>
      <c r="H14" t="s">
        <v>261</v>
      </c>
    </row>
    <row r="15" spans="1:8" x14ac:dyDescent="0.25">
      <c r="A15" s="18">
        <v>14</v>
      </c>
      <c r="B15" t="s">
        <v>229</v>
      </c>
      <c r="C15" t="s">
        <v>579</v>
      </c>
      <c r="D15" t="s">
        <v>250</v>
      </c>
      <c r="E15" s="12" t="s">
        <v>306</v>
      </c>
      <c r="F15" t="s">
        <v>231</v>
      </c>
      <c r="G15" t="s">
        <v>230</v>
      </c>
      <c r="H15" t="s">
        <v>285</v>
      </c>
    </row>
    <row r="16" spans="1:8" x14ac:dyDescent="0.25">
      <c r="A16" s="18">
        <v>15</v>
      </c>
      <c r="B16" t="s">
        <v>242</v>
      </c>
      <c r="C16" t="s">
        <v>579</v>
      </c>
      <c r="D16" t="s">
        <v>250</v>
      </c>
      <c r="E16" s="12" t="s">
        <v>306</v>
      </c>
      <c r="F16" t="s">
        <v>243</v>
      </c>
      <c r="G16" t="s">
        <v>244</v>
      </c>
      <c r="H16" t="s">
        <v>543</v>
      </c>
    </row>
    <row r="17" spans="1:8" x14ac:dyDescent="0.25">
      <c r="A17" s="18">
        <v>16</v>
      </c>
      <c r="B17" t="s">
        <v>254</v>
      </c>
      <c r="C17" t="s">
        <v>579</v>
      </c>
      <c r="D17" t="s">
        <v>250</v>
      </c>
      <c r="E17" s="12" t="s">
        <v>306</v>
      </c>
      <c r="F17" t="s">
        <v>255</v>
      </c>
      <c r="G17" t="s">
        <v>256</v>
      </c>
      <c r="H17" t="s">
        <v>257</v>
      </c>
    </row>
    <row r="18" spans="1:8" x14ac:dyDescent="0.25">
      <c r="A18" s="18">
        <v>17</v>
      </c>
      <c r="B18" t="s">
        <v>258</v>
      </c>
      <c r="C18" t="s">
        <v>579</v>
      </c>
      <c r="D18" t="s">
        <v>250</v>
      </c>
      <c r="E18" s="12" t="s">
        <v>307</v>
      </c>
      <c r="F18" t="s">
        <v>259</v>
      </c>
      <c r="G18" t="s">
        <v>260</v>
      </c>
      <c r="H18" t="s">
        <v>545</v>
      </c>
    </row>
    <row r="19" spans="1:8" ht="60" x14ac:dyDescent="0.25">
      <c r="A19" s="18">
        <v>18</v>
      </c>
      <c r="B19" s="33" t="s">
        <v>263</v>
      </c>
      <c r="C19" t="s">
        <v>755</v>
      </c>
      <c r="D19" t="s">
        <v>250</v>
      </c>
      <c r="E19" s="12" t="s">
        <v>590</v>
      </c>
      <c r="F19" t="s">
        <v>231</v>
      </c>
      <c r="G19" t="s">
        <v>262</v>
      </c>
      <c r="H19" s="40" t="s">
        <v>644</v>
      </c>
    </row>
    <row r="20" spans="1:8" x14ac:dyDescent="0.25">
      <c r="A20" s="18">
        <v>19</v>
      </c>
      <c r="B20" t="s">
        <v>269</v>
      </c>
      <c r="C20" t="s">
        <v>579</v>
      </c>
      <c r="D20" t="s">
        <v>250</v>
      </c>
      <c r="E20" s="12" t="s">
        <v>306</v>
      </c>
      <c r="F20" t="s">
        <v>266</v>
      </c>
      <c r="G20" t="s">
        <v>267</v>
      </c>
      <c r="H20" t="s">
        <v>286</v>
      </c>
    </row>
    <row r="21" spans="1:8" x14ac:dyDescent="0.25">
      <c r="A21" s="18">
        <v>20</v>
      </c>
      <c r="B21" s="33" t="s">
        <v>268</v>
      </c>
      <c r="C21" t="s">
        <v>579</v>
      </c>
      <c r="D21" t="s">
        <v>252</v>
      </c>
      <c r="E21" s="12" t="s">
        <v>307</v>
      </c>
      <c r="F21" t="s">
        <v>270</v>
      </c>
      <c r="G21" t="s">
        <v>271</v>
      </c>
      <c r="H21" t="s">
        <v>585</v>
      </c>
    </row>
    <row r="22" spans="1:8" x14ac:dyDescent="0.25">
      <c r="A22" s="18">
        <v>21</v>
      </c>
      <c r="B22" t="s">
        <v>272</v>
      </c>
      <c r="C22" t="s">
        <v>579</v>
      </c>
      <c r="D22" t="s">
        <v>250</v>
      </c>
      <c r="E22" s="12" t="s">
        <v>590</v>
      </c>
      <c r="F22" t="s">
        <v>255</v>
      </c>
      <c r="G22" t="s">
        <v>273</v>
      </c>
      <c r="H22" t="s">
        <v>633</v>
      </c>
    </row>
    <row r="23" spans="1:8" x14ac:dyDescent="0.25">
      <c r="A23" s="18">
        <v>22</v>
      </c>
      <c r="B23" t="s">
        <v>274</v>
      </c>
      <c r="C23" t="s">
        <v>579</v>
      </c>
      <c r="D23" t="s">
        <v>251</v>
      </c>
      <c r="E23" s="12" t="s">
        <v>307</v>
      </c>
      <c r="F23" t="s">
        <v>275</v>
      </c>
      <c r="G23" t="s">
        <v>276</v>
      </c>
      <c r="H23" t="s">
        <v>539</v>
      </c>
    </row>
    <row r="24" spans="1:8" x14ac:dyDescent="0.25">
      <c r="A24" s="18">
        <v>23</v>
      </c>
      <c r="B24" s="33" t="s">
        <v>278</v>
      </c>
      <c r="C24" t="s">
        <v>579</v>
      </c>
      <c r="D24" t="s">
        <v>250</v>
      </c>
      <c r="E24" s="12" t="s">
        <v>590</v>
      </c>
      <c r="F24" t="s">
        <v>279</v>
      </c>
      <c r="G24" t="s">
        <v>280</v>
      </c>
      <c r="H24" t="s">
        <v>634</v>
      </c>
    </row>
    <row r="25" spans="1:8" x14ac:dyDescent="0.25">
      <c r="A25" s="18">
        <v>24</v>
      </c>
      <c r="B25" t="s">
        <v>284</v>
      </c>
      <c r="C25" t="s">
        <v>579</v>
      </c>
      <c r="D25" t="s">
        <v>250</v>
      </c>
      <c r="E25" s="12" t="s">
        <v>306</v>
      </c>
      <c r="F25" t="s">
        <v>282</v>
      </c>
      <c r="G25" t="s">
        <v>283</v>
      </c>
      <c r="H25" t="s">
        <v>287</v>
      </c>
    </row>
    <row r="26" spans="1:8" x14ac:dyDescent="0.25">
      <c r="A26" s="18">
        <v>25</v>
      </c>
      <c r="B26" t="s">
        <v>289</v>
      </c>
      <c r="C26" t="s">
        <v>579</v>
      </c>
      <c r="D26" t="s">
        <v>251</v>
      </c>
      <c r="E26" s="12" t="s">
        <v>306</v>
      </c>
      <c r="F26" t="s">
        <v>288</v>
      </c>
      <c r="G26" t="s">
        <v>290</v>
      </c>
      <c r="H26" t="s">
        <v>291</v>
      </c>
    </row>
    <row r="27" spans="1:8" x14ac:dyDescent="0.25">
      <c r="A27" s="18">
        <v>26</v>
      </c>
      <c r="B27" s="33" t="s">
        <v>294</v>
      </c>
      <c r="C27" t="s">
        <v>579</v>
      </c>
      <c r="D27" t="s">
        <v>250</v>
      </c>
      <c r="E27" s="12" t="s">
        <v>307</v>
      </c>
      <c r="F27" t="s">
        <v>259</v>
      </c>
      <c r="G27" t="s">
        <v>295</v>
      </c>
      <c r="H27" t="s">
        <v>296</v>
      </c>
    </row>
    <row r="28" spans="1:8" x14ac:dyDescent="0.25">
      <c r="A28" s="18">
        <v>27</v>
      </c>
      <c r="B28" s="33" t="s">
        <v>297</v>
      </c>
      <c r="C28" t="s">
        <v>579</v>
      </c>
      <c r="D28" t="s">
        <v>250</v>
      </c>
      <c r="E28" s="12" t="s">
        <v>307</v>
      </c>
      <c r="F28" t="s">
        <v>259</v>
      </c>
      <c r="G28" t="s">
        <v>568</v>
      </c>
      <c r="H28" t="s">
        <v>584</v>
      </c>
    </row>
    <row r="29" spans="1:8" x14ac:dyDescent="0.25">
      <c r="A29" s="18">
        <v>28</v>
      </c>
      <c r="B29" t="s">
        <v>298</v>
      </c>
      <c r="C29" t="s">
        <v>579</v>
      </c>
      <c r="D29" t="s">
        <v>251</v>
      </c>
      <c r="E29" s="12" t="s">
        <v>307</v>
      </c>
      <c r="F29" t="s">
        <v>275</v>
      </c>
      <c r="G29" t="s">
        <v>299</v>
      </c>
      <c r="H29" t="s">
        <v>539</v>
      </c>
    </row>
    <row r="30" spans="1:8" x14ac:dyDescent="0.25">
      <c r="A30" s="18">
        <v>29</v>
      </c>
      <c r="B30" s="33" t="s">
        <v>300</v>
      </c>
      <c r="C30" t="s">
        <v>579</v>
      </c>
      <c r="D30" t="s">
        <v>251</v>
      </c>
      <c r="E30" s="12" t="s">
        <v>307</v>
      </c>
      <c r="F30" t="s">
        <v>231</v>
      </c>
      <c r="G30" t="s">
        <v>301</v>
      </c>
      <c r="H30" t="s">
        <v>543</v>
      </c>
    </row>
    <row r="31" spans="1:8" x14ac:dyDescent="0.25">
      <c r="A31" s="18">
        <v>30</v>
      </c>
      <c r="B31" t="s">
        <v>302</v>
      </c>
      <c r="C31" t="s">
        <v>579</v>
      </c>
      <c r="D31" t="s">
        <v>250</v>
      </c>
      <c r="E31" s="12" t="s">
        <v>701</v>
      </c>
      <c r="F31" t="s">
        <v>303</v>
      </c>
      <c r="G31" t="s">
        <v>304</v>
      </c>
      <c r="H31" t="s">
        <v>722</v>
      </c>
    </row>
    <row r="32" spans="1:8" x14ac:dyDescent="0.25">
      <c r="A32" s="18">
        <v>31</v>
      </c>
      <c r="B32" s="33" t="s">
        <v>308</v>
      </c>
      <c r="C32" t="s">
        <v>579</v>
      </c>
      <c r="D32" t="s">
        <v>251</v>
      </c>
      <c r="E32" s="12" t="s">
        <v>307</v>
      </c>
      <c r="F32" t="s">
        <v>309</v>
      </c>
      <c r="G32" t="s">
        <v>310</v>
      </c>
      <c r="H32" t="s">
        <v>546</v>
      </c>
    </row>
    <row r="33" spans="1:8" x14ac:dyDescent="0.25">
      <c r="A33" s="18">
        <v>32</v>
      </c>
      <c r="B33" s="33" t="s">
        <v>312</v>
      </c>
      <c r="C33" t="s">
        <v>579</v>
      </c>
      <c r="D33" t="s">
        <v>250</v>
      </c>
      <c r="E33" s="12" t="s">
        <v>701</v>
      </c>
      <c r="F33" t="s">
        <v>231</v>
      </c>
      <c r="G33" t="s">
        <v>565</v>
      </c>
      <c r="H33" s="40" t="s">
        <v>763</v>
      </c>
    </row>
    <row r="34" spans="1:8" x14ac:dyDescent="0.25">
      <c r="A34" s="18">
        <v>33</v>
      </c>
      <c r="B34" s="33" t="s">
        <v>547</v>
      </c>
      <c r="C34" t="s">
        <v>579</v>
      </c>
      <c r="D34" t="s">
        <v>251</v>
      </c>
      <c r="E34" s="12" t="s">
        <v>590</v>
      </c>
      <c r="F34" t="s">
        <v>266</v>
      </c>
      <c r="G34" t="s">
        <v>548</v>
      </c>
      <c r="H34" t="s">
        <v>591</v>
      </c>
    </row>
    <row r="35" spans="1:8" x14ac:dyDescent="0.25">
      <c r="A35" s="18">
        <v>34</v>
      </c>
      <c r="B35" s="33" t="s">
        <v>541</v>
      </c>
      <c r="C35" t="s">
        <v>579</v>
      </c>
      <c r="D35" t="s">
        <v>251</v>
      </c>
      <c r="E35" s="12" t="s">
        <v>307</v>
      </c>
      <c r="F35" t="s">
        <v>259</v>
      </c>
      <c r="G35" t="s">
        <v>542</v>
      </c>
      <c r="H35" t="s">
        <v>544</v>
      </c>
    </row>
    <row r="36" spans="1:8" x14ac:dyDescent="0.25">
      <c r="A36" s="18">
        <v>35</v>
      </c>
      <c r="B36" s="33" t="s">
        <v>557</v>
      </c>
      <c r="C36" t="s">
        <v>579</v>
      </c>
      <c r="D36" t="s">
        <v>250</v>
      </c>
      <c r="E36" s="12" t="s">
        <v>166</v>
      </c>
      <c r="F36" t="s">
        <v>558</v>
      </c>
      <c r="G36" t="s">
        <v>559</v>
      </c>
      <c r="H36" t="s">
        <v>730</v>
      </c>
    </row>
    <row r="37" spans="1:8" x14ac:dyDescent="0.25">
      <c r="A37" s="18">
        <v>36</v>
      </c>
      <c r="B37" s="33" t="s">
        <v>566</v>
      </c>
      <c r="C37" t="s">
        <v>579</v>
      </c>
      <c r="D37" t="s">
        <v>250</v>
      </c>
      <c r="E37" s="12" t="s">
        <v>590</v>
      </c>
      <c r="F37" t="s">
        <v>558</v>
      </c>
      <c r="G37" t="s">
        <v>560</v>
      </c>
      <c r="H37" t="s">
        <v>645</v>
      </c>
    </row>
    <row r="38" spans="1:8" x14ac:dyDescent="0.25">
      <c r="A38" s="18">
        <v>37</v>
      </c>
      <c r="B38" s="33" t="s">
        <v>569</v>
      </c>
      <c r="C38" t="s">
        <v>579</v>
      </c>
      <c r="D38" t="s">
        <v>251</v>
      </c>
      <c r="E38" s="12" t="s">
        <v>307</v>
      </c>
      <c r="F38" t="s">
        <v>570</v>
      </c>
      <c r="G38" t="s">
        <v>571</v>
      </c>
      <c r="H38" t="s">
        <v>583</v>
      </c>
    </row>
    <row r="39" spans="1:8" x14ac:dyDescent="0.25">
      <c r="A39" s="18">
        <v>38</v>
      </c>
      <c r="B39" s="33" t="s">
        <v>572</v>
      </c>
      <c r="C39" t="s">
        <v>579</v>
      </c>
      <c r="D39" t="s">
        <v>251</v>
      </c>
      <c r="E39" s="12" t="s">
        <v>307</v>
      </c>
      <c r="F39" t="s">
        <v>573</v>
      </c>
      <c r="G39" t="s">
        <v>574</v>
      </c>
      <c r="H39" t="s">
        <v>582</v>
      </c>
    </row>
    <row r="40" spans="1:8" x14ac:dyDescent="0.25">
      <c r="A40" s="18">
        <v>39</v>
      </c>
      <c r="B40" s="33" t="s">
        <v>575</v>
      </c>
      <c r="C40" t="s">
        <v>579</v>
      </c>
      <c r="D40" t="s">
        <v>250</v>
      </c>
      <c r="E40" s="12" t="s">
        <v>307</v>
      </c>
      <c r="F40" t="s">
        <v>576</v>
      </c>
      <c r="G40" t="s">
        <v>577</v>
      </c>
      <c r="H40" t="s">
        <v>580</v>
      </c>
    </row>
    <row r="41" spans="1:8" x14ac:dyDescent="0.25">
      <c r="A41" s="18">
        <v>40</v>
      </c>
      <c r="B41" s="33" t="s">
        <v>685</v>
      </c>
      <c r="C41" t="s">
        <v>579</v>
      </c>
      <c r="D41" t="s">
        <v>250</v>
      </c>
      <c r="E41" s="12" t="s">
        <v>701</v>
      </c>
      <c r="F41" t="s">
        <v>578</v>
      </c>
      <c r="G41" t="s">
        <v>588</v>
      </c>
      <c r="H41" t="s">
        <v>702</v>
      </c>
    </row>
    <row r="42" spans="1:8" x14ac:dyDescent="0.25">
      <c r="A42" s="18">
        <v>41</v>
      </c>
      <c r="B42" s="33" t="s">
        <v>686</v>
      </c>
      <c r="C42" t="s">
        <v>249</v>
      </c>
      <c r="D42" t="s">
        <v>250</v>
      </c>
      <c r="E42" s="42" t="s">
        <v>158</v>
      </c>
      <c r="F42" t="s">
        <v>586</v>
      </c>
      <c r="G42" t="s">
        <v>587</v>
      </c>
      <c r="H42" t="s">
        <v>742</v>
      </c>
    </row>
    <row r="43" spans="1:8" x14ac:dyDescent="0.25">
      <c r="A43" s="18">
        <v>42</v>
      </c>
      <c r="B43" s="33" t="s">
        <v>601</v>
      </c>
      <c r="C43" t="s">
        <v>755</v>
      </c>
      <c r="D43" t="s">
        <v>250</v>
      </c>
      <c r="E43" s="12" t="s">
        <v>701</v>
      </c>
      <c r="F43" t="s">
        <v>231</v>
      </c>
      <c r="G43" t="s">
        <v>602</v>
      </c>
      <c r="H43" t="s">
        <v>775</v>
      </c>
    </row>
    <row r="44" spans="1:8" x14ac:dyDescent="0.25">
      <c r="A44" s="18">
        <v>43</v>
      </c>
      <c r="B44" s="33" t="s">
        <v>630</v>
      </c>
      <c r="C44" t="s">
        <v>646</v>
      </c>
      <c r="D44" t="s">
        <v>250</v>
      </c>
      <c r="E44" s="12" t="s">
        <v>158</v>
      </c>
      <c r="F44" t="s">
        <v>714</v>
      </c>
      <c r="G44" t="s">
        <v>631</v>
      </c>
      <c r="H44" t="s">
        <v>635</v>
      </c>
    </row>
    <row r="45" spans="1:8" x14ac:dyDescent="0.25">
      <c r="A45" s="18">
        <v>44</v>
      </c>
      <c r="B45" s="33" t="s">
        <v>649</v>
      </c>
      <c r="C45" t="s">
        <v>579</v>
      </c>
      <c r="D45" t="s">
        <v>250</v>
      </c>
      <c r="E45" s="12" t="s">
        <v>166</v>
      </c>
      <c r="F45" t="s">
        <v>650</v>
      </c>
      <c r="G45" t="s">
        <v>651</v>
      </c>
      <c r="H45" t="s">
        <v>730</v>
      </c>
    </row>
    <row r="46" spans="1:8" x14ac:dyDescent="0.25">
      <c r="A46" s="18">
        <v>45</v>
      </c>
      <c r="B46" s="33" t="s">
        <v>687</v>
      </c>
      <c r="C46" t="s">
        <v>579</v>
      </c>
      <c r="D46" t="s">
        <v>250</v>
      </c>
      <c r="E46" s="12" t="s">
        <v>701</v>
      </c>
      <c r="F46" t="s">
        <v>270</v>
      </c>
      <c r="G46" t="s">
        <v>652</v>
      </c>
      <c r="H46" t="s">
        <v>724</v>
      </c>
    </row>
    <row r="47" spans="1:8" x14ac:dyDescent="0.25">
      <c r="A47" s="18">
        <v>46</v>
      </c>
      <c r="B47" s="33" t="s">
        <v>653</v>
      </c>
      <c r="C47" t="s">
        <v>579</v>
      </c>
      <c r="D47" t="s">
        <v>250</v>
      </c>
      <c r="E47" s="12" t="s">
        <v>166</v>
      </c>
      <c r="F47" t="s">
        <v>558</v>
      </c>
      <c r="G47" t="s">
        <v>654</v>
      </c>
      <c r="H47" t="s">
        <v>738</v>
      </c>
    </row>
    <row r="48" spans="1:8" x14ac:dyDescent="0.25">
      <c r="A48" s="18">
        <v>47</v>
      </c>
      <c r="B48" s="33" t="s">
        <v>655</v>
      </c>
      <c r="C48" t="s">
        <v>579</v>
      </c>
      <c r="D48" t="s">
        <v>250</v>
      </c>
      <c r="E48" s="12" t="s">
        <v>701</v>
      </c>
      <c r="F48" t="s">
        <v>266</v>
      </c>
      <c r="G48" t="s">
        <v>656</v>
      </c>
      <c r="H48" t="s">
        <v>777</v>
      </c>
    </row>
    <row r="49" spans="1:8" x14ac:dyDescent="0.25">
      <c r="A49" s="18">
        <v>48</v>
      </c>
      <c r="B49" s="33" t="s">
        <v>658</v>
      </c>
      <c r="C49" t="s">
        <v>249</v>
      </c>
      <c r="D49" t="s">
        <v>251</v>
      </c>
      <c r="E49" s="12" t="s">
        <v>756</v>
      </c>
      <c r="F49" t="s">
        <v>650</v>
      </c>
      <c r="G49" t="s">
        <v>659</v>
      </c>
      <c r="H49" t="s">
        <v>725</v>
      </c>
    </row>
    <row r="50" spans="1:8" x14ac:dyDescent="0.25">
      <c r="A50" s="18">
        <v>49</v>
      </c>
      <c r="B50" s="33" t="s">
        <v>660</v>
      </c>
      <c r="C50" t="s">
        <v>755</v>
      </c>
      <c r="D50" t="s">
        <v>250</v>
      </c>
      <c r="E50" s="12" t="s">
        <v>701</v>
      </c>
      <c r="F50" t="s">
        <v>231</v>
      </c>
      <c r="G50" t="s">
        <v>660</v>
      </c>
      <c r="H50" t="s">
        <v>726</v>
      </c>
    </row>
    <row r="51" spans="1:8" x14ac:dyDescent="0.25">
      <c r="A51" s="18">
        <v>50</v>
      </c>
      <c r="B51" s="33" t="s">
        <v>661</v>
      </c>
      <c r="C51" t="s">
        <v>249</v>
      </c>
      <c r="D51" t="s">
        <v>250</v>
      </c>
      <c r="E51" s="12" t="s">
        <v>158</v>
      </c>
      <c r="F51" t="s">
        <v>662</v>
      </c>
      <c r="G51" t="s">
        <v>663</v>
      </c>
    </row>
    <row r="52" spans="1:8" x14ac:dyDescent="0.25">
      <c r="A52" s="18">
        <v>51</v>
      </c>
      <c r="B52" s="33" t="s">
        <v>665</v>
      </c>
      <c r="C52" t="s">
        <v>755</v>
      </c>
      <c r="D52" t="s">
        <v>250</v>
      </c>
      <c r="E52" s="12" t="s">
        <v>701</v>
      </c>
      <c r="F52" t="s">
        <v>303</v>
      </c>
      <c r="G52" t="s">
        <v>666</v>
      </c>
      <c r="H52" t="s">
        <v>723</v>
      </c>
    </row>
    <row r="53" spans="1:8" x14ac:dyDescent="0.25">
      <c r="A53" s="18">
        <v>52</v>
      </c>
      <c r="B53" s="33" t="s">
        <v>667</v>
      </c>
      <c r="C53" t="s">
        <v>579</v>
      </c>
      <c r="D53" t="s">
        <v>250</v>
      </c>
      <c r="E53" s="12" t="s">
        <v>746</v>
      </c>
      <c r="F53" t="s">
        <v>650</v>
      </c>
      <c r="G53" t="s">
        <v>668</v>
      </c>
      <c r="H53" t="s">
        <v>731</v>
      </c>
    </row>
    <row r="54" spans="1:8" x14ac:dyDescent="0.25">
      <c r="A54" s="18">
        <v>53</v>
      </c>
      <c r="B54" s="33" t="s">
        <v>669</v>
      </c>
      <c r="C54" t="s">
        <v>755</v>
      </c>
      <c r="D54" t="s">
        <v>251</v>
      </c>
      <c r="E54" s="12" t="s">
        <v>746</v>
      </c>
      <c r="F54" t="s">
        <v>670</v>
      </c>
      <c r="G54" t="s">
        <v>671</v>
      </c>
      <c r="H54" t="s">
        <v>737</v>
      </c>
    </row>
    <row r="55" spans="1:8" x14ac:dyDescent="0.25">
      <c r="A55" s="18">
        <v>54</v>
      </c>
      <c r="B55" s="33" t="s">
        <v>688</v>
      </c>
      <c r="C55" t="s">
        <v>249</v>
      </c>
      <c r="D55" t="s">
        <v>250</v>
      </c>
      <c r="E55" s="12" t="s">
        <v>158</v>
      </c>
      <c r="F55" t="s">
        <v>689</v>
      </c>
      <c r="G55" t="s">
        <v>690</v>
      </c>
      <c r="H55" t="s">
        <v>745</v>
      </c>
    </row>
    <row r="56" spans="1:8" x14ac:dyDescent="0.25">
      <c r="A56" s="18">
        <v>55</v>
      </c>
      <c r="B56" s="33" t="s">
        <v>691</v>
      </c>
      <c r="C56" t="s">
        <v>249</v>
      </c>
      <c r="D56" t="s">
        <v>251</v>
      </c>
      <c r="E56" s="12" t="s">
        <v>158</v>
      </c>
      <c r="F56" t="s">
        <v>266</v>
      </c>
      <c r="G56" t="s">
        <v>757</v>
      </c>
      <c r="H56" t="s">
        <v>758</v>
      </c>
    </row>
    <row r="57" spans="1:8" x14ac:dyDescent="0.25">
      <c r="A57" s="18">
        <v>56</v>
      </c>
      <c r="B57" s="33" t="s">
        <v>693</v>
      </c>
      <c r="C57" t="s">
        <v>249</v>
      </c>
      <c r="D57" t="s">
        <v>250</v>
      </c>
      <c r="E57" s="12" t="s">
        <v>158</v>
      </c>
      <c r="F57" t="s">
        <v>692</v>
      </c>
      <c r="G57" t="s">
        <v>694</v>
      </c>
    </row>
    <row r="58" spans="1:8" x14ac:dyDescent="0.25">
      <c r="A58" s="18">
        <v>57</v>
      </c>
      <c r="B58" s="68" t="s">
        <v>715</v>
      </c>
      <c r="C58" t="s">
        <v>579</v>
      </c>
      <c r="D58" t="s">
        <v>250</v>
      </c>
      <c r="E58" s="12" t="s">
        <v>701</v>
      </c>
      <c r="F58" t="s">
        <v>712</v>
      </c>
      <c r="G58" s="69" t="s">
        <v>713</v>
      </c>
      <c r="H58" t="s">
        <v>747</v>
      </c>
    </row>
    <row r="59" spans="1:8" x14ac:dyDescent="0.25">
      <c r="A59" s="18">
        <v>58</v>
      </c>
      <c r="B59" s="33" t="s">
        <v>720</v>
      </c>
      <c r="C59" t="s">
        <v>646</v>
      </c>
      <c r="D59" t="s">
        <v>250</v>
      </c>
      <c r="E59" s="12" t="s">
        <v>158</v>
      </c>
      <c r="F59" t="s">
        <v>650</v>
      </c>
      <c r="G59" t="s">
        <v>744</v>
      </c>
    </row>
    <row r="60" spans="1:8" x14ac:dyDescent="0.25">
      <c r="A60" s="18">
        <v>59</v>
      </c>
      <c r="B60" s="33" t="s">
        <v>727</v>
      </c>
      <c r="C60" t="s">
        <v>579</v>
      </c>
      <c r="D60" t="s">
        <v>250</v>
      </c>
      <c r="E60" s="12" t="s">
        <v>166</v>
      </c>
      <c r="F60" t="s">
        <v>728</v>
      </c>
      <c r="G60" t="s">
        <v>729</v>
      </c>
      <c r="H60" t="s">
        <v>730</v>
      </c>
    </row>
    <row r="61" spans="1:8" ht="30" x14ac:dyDescent="0.25">
      <c r="A61" s="18">
        <v>60</v>
      </c>
      <c r="B61" s="33" t="s">
        <v>733</v>
      </c>
      <c r="C61" t="s">
        <v>755</v>
      </c>
      <c r="D61" t="s">
        <v>250</v>
      </c>
      <c r="E61" s="12" t="s">
        <v>701</v>
      </c>
      <c r="F61" t="s">
        <v>231</v>
      </c>
      <c r="G61" s="75" t="s">
        <v>732</v>
      </c>
      <c r="H61" t="s">
        <v>734</v>
      </c>
    </row>
    <row r="62" spans="1:8" x14ac:dyDescent="0.25">
      <c r="A62" s="18">
        <v>61</v>
      </c>
      <c r="B62" s="33" t="s">
        <v>740</v>
      </c>
      <c r="C62" t="s">
        <v>249</v>
      </c>
      <c r="D62" t="s">
        <v>250</v>
      </c>
      <c r="E62" s="12" t="s">
        <v>158</v>
      </c>
      <c r="F62" t="s">
        <v>741</v>
      </c>
      <c r="G62" t="s">
        <v>739</v>
      </c>
    </row>
    <row r="63" spans="1:8" x14ac:dyDescent="0.25">
      <c r="A63" s="18">
        <v>62</v>
      </c>
      <c r="B63" s="33" t="s">
        <v>764</v>
      </c>
      <c r="C63" t="s">
        <v>249</v>
      </c>
      <c r="D63" t="s">
        <v>250</v>
      </c>
      <c r="E63" s="12" t="s">
        <v>158</v>
      </c>
      <c r="F63" t="s">
        <v>767</v>
      </c>
      <c r="G63" t="s">
        <v>765</v>
      </c>
    </row>
  </sheetData>
  <autoFilter ref="A1:H63" xr:uid="{00000000-0009-0000-0000-00000B000000}"/>
  <dataConsolidate link="1"/>
  <dataValidations count="1">
    <dataValidation type="custom" allowBlank="1" showInputMessage="1" showErrorMessage="1" errorTitle="Unique ID" error="Please enter a unique ID!" sqref="A1:A1048576" xr:uid="{00000000-0002-0000-0B00-000000000000}">
      <formula1>COUNTIF(A:A,A1)=1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'--Data Validation--'!$C$2:$C$4</xm:f>
          </x14:formula1>
          <xm:sqref>D1:D1048576</xm:sqref>
        </x14:dataValidation>
        <x14:dataValidation type="list" allowBlank="1" showInputMessage="1" showErrorMessage="1" xr:uid="{00000000-0002-0000-0B00-000002000000}">
          <x14:formula1>
            <xm:f>'--Data Validation--'!$A$2:$A$6</xm:f>
          </x14:formula1>
          <xm:sqref>C1:C1048576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79"/>
  <sheetViews>
    <sheetView workbookViewId="0">
      <selection sqref="A1:C1"/>
    </sheetView>
  </sheetViews>
  <sheetFormatPr defaultRowHeight="15" x14ac:dyDescent="0.25"/>
  <cols>
    <col min="1" max="1" width="21" bestFit="1" customWidth="1"/>
    <col min="2" max="2" width="10.85546875" style="29" bestFit="1" customWidth="1"/>
    <col min="3" max="3" width="12" bestFit="1" customWidth="1"/>
    <col min="4" max="4" width="12" customWidth="1"/>
    <col min="5" max="5" width="21" bestFit="1" customWidth="1"/>
    <col min="6" max="6" width="10.85546875" bestFit="1" customWidth="1"/>
    <col min="7" max="7" width="12" bestFit="1" customWidth="1"/>
    <col min="8" max="8" width="12" customWidth="1"/>
    <col min="9" max="9" width="21" bestFit="1" customWidth="1"/>
    <col min="10" max="10" width="10.85546875" style="17" bestFit="1" customWidth="1"/>
    <col min="11" max="11" width="12" bestFit="1" customWidth="1"/>
    <col min="12" max="12" width="12" customWidth="1"/>
    <col min="14" max="14" width="22.140625" bestFit="1" customWidth="1"/>
    <col min="15" max="15" width="10.85546875" style="17" bestFit="1" customWidth="1"/>
    <col min="16" max="16" width="12" bestFit="1" customWidth="1"/>
    <col min="17" max="17" width="12" customWidth="1"/>
    <col min="19" max="19" width="20.85546875" bestFit="1" customWidth="1"/>
    <col min="20" max="20" width="10.85546875" bestFit="1" customWidth="1"/>
    <col min="21" max="21" width="12" bestFit="1" customWidth="1"/>
    <col min="22" max="22" width="12" customWidth="1"/>
    <col min="24" max="24" width="20.85546875" bestFit="1" customWidth="1"/>
    <col min="25" max="25" width="10.85546875" bestFit="1" customWidth="1"/>
    <col min="26" max="26" width="12" bestFit="1" customWidth="1"/>
    <col min="27" max="27" width="12" customWidth="1"/>
    <col min="29" max="29" width="20.85546875" bestFit="1" customWidth="1"/>
    <col min="30" max="30" width="10.85546875" bestFit="1" customWidth="1"/>
    <col min="31" max="31" width="12" bestFit="1" customWidth="1"/>
    <col min="32" max="32" width="12" customWidth="1"/>
    <col min="34" max="34" width="22.140625" bestFit="1" customWidth="1"/>
    <col min="35" max="35" width="10.85546875" style="22" bestFit="1" customWidth="1"/>
    <col min="36" max="36" width="12" bestFit="1" customWidth="1"/>
    <col min="37" max="37" width="12" customWidth="1"/>
    <col min="39" max="39" width="20.85546875" bestFit="1" customWidth="1"/>
    <col min="40" max="40" width="10.85546875" bestFit="1" customWidth="1"/>
    <col min="41" max="41" width="12" bestFit="1" customWidth="1"/>
    <col min="42" max="42" width="12" customWidth="1"/>
    <col min="44" max="44" width="20.85546875" bestFit="1" customWidth="1"/>
    <col min="45" max="45" width="10.85546875" bestFit="1" customWidth="1"/>
    <col min="46" max="46" width="12" bestFit="1" customWidth="1"/>
    <col min="47" max="47" width="12" customWidth="1"/>
    <col min="49" max="49" width="20.85546875" bestFit="1" customWidth="1"/>
    <col min="50" max="50" width="10.85546875" bestFit="1" customWidth="1"/>
    <col min="51" max="51" width="12" bestFit="1" customWidth="1"/>
    <col min="54" max="54" width="20.85546875" bestFit="1" customWidth="1"/>
    <col min="55" max="55" width="10.85546875" bestFit="1" customWidth="1"/>
    <col min="56" max="56" width="12" bestFit="1" customWidth="1"/>
    <col min="59" max="59" width="20.85546875" bestFit="1" customWidth="1"/>
    <col min="60" max="60" width="10.85546875" bestFit="1" customWidth="1"/>
    <col min="61" max="61" width="12" bestFit="1" customWidth="1"/>
  </cols>
  <sheetData>
    <row r="1" spans="1:53" ht="18.75" x14ac:dyDescent="0.3">
      <c r="A1" s="101" t="s">
        <v>502</v>
      </c>
      <c r="B1" s="101"/>
      <c r="C1" s="101"/>
      <c r="D1" s="12"/>
      <c r="E1" s="101" t="s">
        <v>521</v>
      </c>
      <c r="F1" s="101"/>
      <c r="G1" s="101"/>
      <c r="H1" s="12"/>
      <c r="I1" s="102" t="s">
        <v>314</v>
      </c>
      <c r="J1" s="102"/>
      <c r="K1" s="102"/>
      <c r="L1" s="102"/>
      <c r="N1" s="102" t="s">
        <v>347</v>
      </c>
      <c r="O1" s="102"/>
      <c r="P1" s="102"/>
      <c r="Q1" s="102"/>
      <c r="S1" s="102" t="s">
        <v>507</v>
      </c>
      <c r="T1" s="102"/>
      <c r="U1" s="102"/>
      <c r="V1" s="102"/>
      <c r="X1" s="102" t="s">
        <v>489</v>
      </c>
      <c r="Y1" s="102"/>
      <c r="Z1" s="102"/>
      <c r="AA1" s="102"/>
      <c r="AC1" s="102" t="s">
        <v>504</v>
      </c>
      <c r="AD1" s="102"/>
      <c r="AE1" s="102"/>
      <c r="AF1" s="102"/>
      <c r="AH1" s="102" t="s">
        <v>447</v>
      </c>
      <c r="AI1" s="102"/>
      <c r="AJ1" s="102"/>
      <c r="AK1" s="102"/>
      <c r="AM1" s="102" t="s">
        <v>495</v>
      </c>
      <c r="AN1" s="102"/>
      <c r="AO1" s="102"/>
      <c r="AP1" s="102"/>
      <c r="AQ1" s="12"/>
      <c r="AR1" s="102" t="s">
        <v>456</v>
      </c>
      <c r="AS1" s="102"/>
      <c r="AT1" s="102"/>
      <c r="AU1" s="102"/>
      <c r="AW1" s="102" t="s">
        <v>529</v>
      </c>
      <c r="AX1" s="102"/>
      <c r="AY1" s="102"/>
      <c r="AZ1" s="102"/>
    </row>
    <row r="2" spans="1:53" ht="15.75" thickBot="1" x14ac:dyDescent="0.3">
      <c r="A2" s="105" t="s">
        <v>527</v>
      </c>
      <c r="B2" s="105"/>
      <c r="C2" s="105"/>
      <c r="D2" s="17"/>
      <c r="E2" s="103" t="s">
        <v>518</v>
      </c>
      <c r="F2" s="103"/>
      <c r="G2" s="17" t="s">
        <v>533</v>
      </c>
      <c r="H2" s="17"/>
      <c r="I2" s="12" t="s">
        <v>315</v>
      </c>
      <c r="J2" s="17" t="s">
        <v>321</v>
      </c>
      <c r="K2" s="12" t="s">
        <v>316</v>
      </c>
      <c r="L2" s="12" t="s">
        <v>496</v>
      </c>
      <c r="N2" s="12" t="s">
        <v>315</v>
      </c>
      <c r="O2" s="17" t="s">
        <v>321</v>
      </c>
      <c r="P2" s="12" t="s">
        <v>316</v>
      </c>
      <c r="Q2" s="12" t="s">
        <v>496</v>
      </c>
      <c r="S2" s="12" t="s">
        <v>315</v>
      </c>
      <c r="T2" s="17" t="s">
        <v>321</v>
      </c>
      <c r="U2" s="12" t="s">
        <v>316</v>
      </c>
      <c r="V2" s="12" t="s">
        <v>496</v>
      </c>
      <c r="X2" s="12" t="s">
        <v>315</v>
      </c>
      <c r="Y2" s="17" t="s">
        <v>321</v>
      </c>
      <c r="Z2" s="12" t="s">
        <v>316</v>
      </c>
      <c r="AA2" s="12" t="s">
        <v>496</v>
      </c>
      <c r="AC2" s="12" t="s">
        <v>315</v>
      </c>
      <c r="AD2" s="17" t="s">
        <v>321</v>
      </c>
      <c r="AE2" s="12" t="s">
        <v>316</v>
      </c>
      <c r="AF2" s="12" t="s">
        <v>496</v>
      </c>
      <c r="AH2" s="12" t="s">
        <v>315</v>
      </c>
      <c r="AI2" s="17" t="s">
        <v>321</v>
      </c>
      <c r="AJ2" s="12" t="s">
        <v>316</v>
      </c>
      <c r="AK2" s="12" t="s">
        <v>496</v>
      </c>
      <c r="AM2" s="12" t="s">
        <v>315</v>
      </c>
      <c r="AN2" s="17" t="s">
        <v>321</v>
      </c>
      <c r="AO2" s="12" t="s">
        <v>316</v>
      </c>
      <c r="AP2" s="12" t="s">
        <v>496</v>
      </c>
      <c r="AQ2" s="12"/>
      <c r="AR2" s="12" t="s">
        <v>315</v>
      </c>
      <c r="AS2" s="17" t="s">
        <v>321</v>
      </c>
      <c r="AT2" s="12" t="s">
        <v>316</v>
      </c>
      <c r="AU2" s="12" t="s">
        <v>496</v>
      </c>
      <c r="AW2" s="12" t="s">
        <v>315</v>
      </c>
      <c r="AX2" s="17" t="s">
        <v>321</v>
      </c>
      <c r="AY2" s="12" t="s">
        <v>316</v>
      </c>
      <c r="AZ2" s="12" t="s">
        <v>496</v>
      </c>
    </row>
    <row r="3" spans="1:53" x14ac:dyDescent="0.25">
      <c r="A3" s="31" t="s">
        <v>522</v>
      </c>
      <c r="B3" s="34" t="s">
        <v>523</v>
      </c>
      <c r="C3" s="35">
        <v>0.03</v>
      </c>
      <c r="D3" s="12"/>
      <c r="E3" s="12" t="s">
        <v>315</v>
      </c>
      <c r="F3" s="29" t="s">
        <v>316</v>
      </c>
      <c r="G3" s="12" t="s">
        <v>496</v>
      </c>
      <c r="H3" s="12"/>
      <c r="I3" t="s">
        <v>317</v>
      </c>
      <c r="J3" s="17" t="s">
        <v>519</v>
      </c>
      <c r="K3">
        <v>4</v>
      </c>
      <c r="N3" s="6" t="s">
        <v>366</v>
      </c>
      <c r="O3" s="32" t="s">
        <v>166</v>
      </c>
      <c r="P3" s="6">
        <v>40</v>
      </c>
      <c r="Q3" s="6"/>
      <c r="S3" t="s">
        <v>367</v>
      </c>
      <c r="T3" s="17" t="s">
        <v>342</v>
      </c>
      <c r="U3">
        <v>5</v>
      </c>
      <c r="X3" t="s">
        <v>412</v>
      </c>
      <c r="Y3" s="23">
        <v>1</v>
      </c>
      <c r="Z3">
        <v>15</v>
      </c>
      <c r="AC3" t="s">
        <v>403</v>
      </c>
      <c r="AD3" s="23">
        <v>1</v>
      </c>
      <c r="AE3" s="33">
        <v>7</v>
      </c>
      <c r="AH3" t="s">
        <v>455</v>
      </c>
      <c r="AI3" s="17" t="s">
        <v>342</v>
      </c>
      <c r="AJ3" s="33">
        <v>14</v>
      </c>
      <c r="AK3" s="33"/>
      <c r="AM3" t="s">
        <v>403</v>
      </c>
      <c r="AN3" s="23">
        <v>1</v>
      </c>
      <c r="AO3">
        <v>12</v>
      </c>
      <c r="AR3" t="s">
        <v>458</v>
      </c>
      <c r="AS3" s="23">
        <v>1</v>
      </c>
      <c r="AT3">
        <v>7</v>
      </c>
      <c r="AW3" t="s">
        <v>370</v>
      </c>
      <c r="AX3" s="23">
        <v>1</v>
      </c>
      <c r="AY3">
        <v>8</v>
      </c>
      <c r="AZ3">
        <v>-1</v>
      </c>
    </row>
    <row r="4" spans="1:53" x14ac:dyDescent="0.25">
      <c r="A4" s="12" t="s">
        <v>315</v>
      </c>
      <c r="B4" s="29" t="s">
        <v>316</v>
      </c>
      <c r="C4" s="12" t="s">
        <v>496</v>
      </c>
      <c r="E4" t="s">
        <v>314</v>
      </c>
      <c r="F4" s="29">
        <v>13</v>
      </c>
      <c r="G4">
        <v>1</v>
      </c>
      <c r="I4" t="s">
        <v>318</v>
      </c>
      <c r="J4" s="17" t="s">
        <v>519</v>
      </c>
      <c r="K4">
        <v>5</v>
      </c>
      <c r="N4" t="s">
        <v>319</v>
      </c>
      <c r="O4" s="23">
        <v>1</v>
      </c>
      <c r="P4" s="33">
        <v>15</v>
      </c>
      <c r="S4" t="s">
        <v>370</v>
      </c>
      <c r="T4" s="23">
        <v>1</v>
      </c>
      <c r="U4">
        <v>7</v>
      </c>
      <c r="X4" t="s">
        <v>413</v>
      </c>
      <c r="Y4" s="17">
        <v>1</v>
      </c>
      <c r="Z4">
        <v>15</v>
      </c>
      <c r="AC4" t="s">
        <v>404</v>
      </c>
      <c r="AD4" s="23">
        <v>1</v>
      </c>
      <c r="AE4" s="33">
        <v>13</v>
      </c>
      <c r="AH4" t="s">
        <v>454</v>
      </c>
      <c r="AI4" s="17" t="s">
        <v>520</v>
      </c>
      <c r="AJ4" s="33">
        <v>18</v>
      </c>
      <c r="AK4" s="33"/>
      <c r="AM4" t="s">
        <v>394</v>
      </c>
      <c r="AN4" s="23">
        <v>1</v>
      </c>
      <c r="AO4">
        <v>2</v>
      </c>
      <c r="AR4" t="s">
        <v>459</v>
      </c>
      <c r="AS4" s="17">
        <v>1</v>
      </c>
      <c r="AT4">
        <v>9</v>
      </c>
      <c r="AW4" t="s">
        <v>371</v>
      </c>
      <c r="AX4" s="23">
        <v>1</v>
      </c>
      <c r="AY4">
        <v>8</v>
      </c>
      <c r="AZ4">
        <v>-1</v>
      </c>
    </row>
    <row r="5" spans="1:53" x14ac:dyDescent="0.25">
      <c r="A5" s="31" t="s">
        <v>524</v>
      </c>
      <c r="B5" s="34">
        <v>65</v>
      </c>
      <c r="C5" s="34">
        <v>-5</v>
      </c>
      <c r="E5" t="s">
        <v>347</v>
      </c>
      <c r="F5" s="29">
        <v>6</v>
      </c>
      <c r="I5" t="s">
        <v>415</v>
      </c>
      <c r="J5" s="23">
        <v>1</v>
      </c>
      <c r="K5">
        <v>3</v>
      </c>
      <c r="N5" t="s">
        <v>358</v>
      </c>
      <c r="O5" s="23">
        <v>1</v>
      </c>
      <c r="P5" s="33">
        <v>10</v>
      </c>
      <c r="S5" t="s">
        <v>320</v>
      </c>
      <c r="T5" s="17" t="s">
        <v>519</v>
      </c>
      <c r="U5">
        <v>5</v>
      </c>
      <c r="X5" t="s">
        <v>498</v>
      </c>
      <c r="Y5" s="23">
        <v>1</v>
      </c>
      <c r="Z5">
        <v>10</v>
      </c>
      <c r="AC5" t="s">
        <v>398</v>
      </c>
      <c r="AD5" s="23">
        <v>1</v>
      </c>
      <c r="AE5" s="33">
        <v>10</v>
      </c>
      <c r="AH5" t="s">
        <v>453</v>
      </c>
      <c r="AI5" s="23">
        <v>1</v>
      </c>
      <c r="AJ5" s="33">
        <v>1</v>
      </c>
      <c r="AK5" s="33"/>
      <c r="AM5" t="s">
        <v>422</v>
      </c>
      <c r="AN5" s="17" t="s">
        <v>519</v>
      </c>
      <c r="AO5">
        <v>10</v>
      </c>
      <c r="AR5" t="s">
        <v>460</v>
      </c>
      <c r="AS5" s="23">
        <v>1</v>
      </c>
      <c r="AT5">
        <v>8</v>
      </c>
      <c r="AW5" t="s">
        <v>357</v>
      </c>
      <c r="AX5" s="23">
        <v>1</v>
      </c>
      <c r="AY5">
        <v>4</v>
      </c>
      <c r="AZ5">
        <v>1</v>
      </c>
    </row>
    <row r="6" spans="1:53" x14ac:dyDescent="0.25">
      <c r="A6" s="31" t="s">
        <v>525</v>
      </c>
      <c r="B6" s="34">
        <v>30</v>
      </c>
      <c r="C6" s="34">
        <v>3</v>
      </c>
      <c r="E6" t="s">
        <v>507</v>
      </c>
      <c r="F6" s="29">
        <v>8</v>
      </c>
      <c r="G6">
        <v>1</v>
      </c>
      <c r="I6" t="s">
        <v>320</v>
      </c>
      <c r="J6" s="17" t="s">
        <v>519</v>
      </c>
      <c r="K6">
        <v>4</v>
      </c>
      <c r="N6" t="s">
        <v>510</v>
      </c>
      <c r="O6" s="23">
        <v>1</v>
      </c>
      <c r="P6" s="33">
        <v>20</v>
      </c>
      <c r="S6" t="s">
        <v>371</v>
      </c>
      <c r="T6" s="23">
        <v>1</v>
      </c>
      <c r="U6">
        <v>3</v>
      </c>
      <c r="X6" t="s">
        <v>419</v>
      </c>
      <c r="Y6" s="17">
        <v>1</v>
      </c>
      <c r="Z6">
        <v>10</v>
      </c>
      <c r="AC6" t="s">
        <v>399</v>
      </c>
      <c r="AD6" s="17" t="s">
        <v>519</v>
      </c>
      <c r="AE6" s="33">
        <v>30</v>
      </c>
      <c r="AH6" t="s">
        <v>452</v>
      </c>
      <c r="AI6" s="17" t="s">
        <v>342</v>
      </c>
      <c r="AJ6" s="33">
        <v>3</v>
      </c>
      <c r="AK6" s="33"/>
      <c r="AM6" t="s">
        <v>380</v>
      </c>
      <c r="AN6" s="17" t="s">
        <v>519</v>
      </c>
      <c r="AO6">
        <v>8</v>
      </c>
      <c r="AR6" t="s">
        <v>461</v>
      </c>
      <c r="AS6" s="23">
        <v>1</v>
      </c>
      <c r="AT6">
        <v>8</v>
      </c>
      <c r="AW6" t="s">
        <v>323</v>
      </c>
      <c r="AX6" s="23">
        <v>1</v>
      </c>
      <c r="AY6">
        <v>6</v>
      </c>
    </row>
    <row r="7" spans="1:53" ht="15.75" thickBot="1" x14ac:dyDescent="0.3">
      <c r="A7" s="31" t="s">
        <v>526</v>
      </c>
      <c r="B7" s="34">
        <v>5</v>
      </c>
      <c r="C7" s="34">
        <v>2</v>
      </c>
      <c r="E7" t="s">
        <v>505</v>
      </c>
      <c r="F7" s="29">
        <v>1</v>
      </c>
      <c r="G7">
        <v>1</v>
      </c>
      <c r="I7" t="s">
        <v>322</v>
      </c>
      <c r="J7" s="23">
        <v>1</v>
      </c>
      <c r="K7">
        <v>3</v>
      </c>
      <c r="N7" t="s">
        <v>339</v>
      </c>
      <c r="O7" s="23">
        <v>1</v>
      </c>
      <c r="P7" s="33">
        <v>14</v>
      </c>
      <c r="S7" t="s">
        <v>375</v>
      </c>
      <c r="T7" s="17" t="s">
        <v>342</v>
      </c>
      <c r="U7">
        <v>9</v>
      </c>
      <c r="X7" t="s">
        <v>420</v>
      </c>
      <c r="Y7" s="17">
        <v>1</v>
      </c>
      <c r="Z7">
        <v>5</v>
      </c>
      <c r="AC7" t="s">
        <v>400</v>
      </c>
      <c r="AD7" s="23">
        <v>1</v>
      </c>
      <c r="AE7" s="33">
        <v>5</v>
      </c>
      <c r="AH7" t="s">
        <v>451</v>
      </c>
      <c r="AI7" s="17" t="s">
        <v>519</v>
      </c>
      <c r="AJ7" s="33">
        <v>14</v>
      </c>
      <c r="AK7" s="33"/>
      <c r="AM7" t="s">
        <v>398</v>
      </c>
      <c r="AN7" s="23">
        <v>1</v>
      </c>
      <c r="AO7">
        <v>4</v>
      </c>
      <c r="AR7" t="s">
        <v>462</v>
      </c>
      <c r="AS7" s="17">
        <v>1</v>
      </c>
      <c r="AT7">
        <v>9</v>
      </c>
      <c r="AW7" t="s">
        <v>324</v>
      </c>
      <c r="AX7" s="23">
        <v>1</v>
      </c>
      <c r="AY7">
        <v>6</v>
      </c>
    </row>
    <row r="8" spans="1:53" ht="15.75" thickBot="1" x14ac:dyDescent="0.3">
      <c r="A8" s="28" t="s">
        <v>497</v>
      </c>
      <c r="B8" s="30">
        <f>SUM(B5:B7)</f>
        <v>100</v>
      </c>
      <c r="C8" s="30">
        <f>SUM(C5:C7)</f>
        <v>0</v>
      </c>
      <c r="E8" t="s">
        <v>489</v>
      </c>
      <c r="F8" s="29">
        <v>9</v>
      </c>
      <c r="I8" t="s">
        <v>323</v>
      </c>
      <c r="J8" s="23">
        <v>1</v>
      </c>
      <c r="K8">
        <v>1</v>
      </c>
      <c r="N8" t="s">
        <v>492</v>
      </c>
      <c r="O8" s="23">
        <v>1</v>
      </c>
      <c r="P8" s="33">
        <v>1</v>
      </c>
      <c r="S8" t="s">
        <v>376</v>
      </c>
      <c r="T8" s="17" t="s">
        <v>342</v>
      </c>
      <c r="U8">
        <v>11</v>
      </c>
      <c r="X8" t="s">
        <v>426</v>
      </c>
      <c r="Y8" s="23">
        <v>1</v>
      </c>
      <c r="Z8">
        <v>5</v>
      </c>
      <c r="AC8" t="s">
        <v>401</v>
      </c>
      <c r="AD8" s="23">
        <v>1</v>
      </c>
      <c r="AE8" s="33">
        <v>1</v>
      </c>
      <c r="AH8" t="s">
        <v>450</v>
      </c>
      <c r="AI8" s="17" t="s">
        <v>342</v>
      </c>
      <c r="AJ8" s="33">
        <v>4</v>
      </c>
      <c r="AK8" s="33"/>
      <c r="AM8" t="s">
        <v>330</v>
      </c>
      <c r="AN8" s="23">
        <v>1</v>
      </c>
      <c r="AO8">
        <v>8</v>
      </c>
      <c r="AR8" t="s">
        <v>463</v>
      </c>
      <c r="AS8" s="17">
        <v>1</v>
      </c>
      <c r="AT8">
        <v>9</v>
      </c>
      <c r="AW8" t="s">
        <v>325</v>
      </c>
      <c r="AX8" s="17" t="s">
        <v>342</v>
      </c>
      <c r="AY8">
        <v>8</v>
      </c>
      <c r="AZ8">
        <v>-1</v>
      </c>
    </row>
    <row r="9" spans="1:53" ht="15.75" thickBot="1" x14ac:dyDescent="0.3">
      <c r="A9" s="105" t="s">
        <v>528</v>
      </c>
      <c r="B9" s="105"/>
      <c r="C9" s="105"/>
      <c r="E9" t="s">
        <v>490</v>
      </c>
      <c r="F9" s="29">
        <v>11</v>
      </c>
      <c r="G9">
        <v>-1</v>
      </c>
      <c r="I9" t="s">
        <v>324</v>
      </c>
      <c r="J9" s="23">
        <v>1</v>
      </c>
      <c r="K9">
        <v>1</v>
      </c>
      <c r="N9" s="104" t="s">
        <v>497</v>
      </c>
      <c r="O9" s="104"/>
      <c r="P9" s="24">
        <f>SUM(P3:P8)</f>
        <v>100</v>
      </c>
      <c r="Q9" s="24">
        <f>SUM(Q3:Q8)</f>
        <v>0</v>
      </c>
      <c r="S9" t="s">
        <v>377</v>
      </c>
      <c r="T9" s="17" t="s">
        <v>342</v>
      </c>
      <c r="U9">
        <v>9</v>
      </c>
      <c r="X9" t="s">
        <v>493</v>
      </c>
      <c r="Y9" s="23">
        <v>1</v>
      </c>
      <c r="Z9">
        <v>10</v>
      </c>
      <c r="AC9" t="s">
        <v>511</v>
      </c>
      <c r="AD9" s="17" t="s">
        <v>342</v>
      </c>
      <c r="AE9" s="33">
        <v>15</v>
      </c>
      <c r="AH9" t="s">
        <v>331</v>
      </c>
      <c r="AI9" s="17" t="s">
        <v>342</v>
      </c>
      <c r="AJ9" s="33">
        <v>6</v>
      </c>
      <c r="AK9" s="33">
        <v>-1</v>
      </c>
      <c r="AM9" t="s">
        <v>328</v>
      </c>
      <c r="AN9" s="17" t="s">
        <v>519</v>
      </c>
      <c r="AO9">
        <v>12</v>
      </c>
      <c r="AR9" t="s">
        <v>464</v>
      </c>
      <c r="AS9" s="17">
        <v>1</v>
      </c>
      <c r="AT9">
        <v>9</v>
      </c>
      <c r="AW9" t="s">
        <v>395</v>
      </c>
      <c r="AX9" s="23">
        <v>1</v>
      </c>
      <c r="AY9" s="33">
        <v>2</v>
      </c>
      <c r="AZ9">
        <v>1</v>
      </c>
    </row>
    <row r="10" spans="1:53" ht="15.75" thickBot="1" x14ac:dyDescent="0.3">
      <c r="A10" s="103" t="s">
        <v>518</v>
      </c>
      <c r="B10" s="103"/>
      <c r="C10" s="17" t="s">
        <v>532</v>
      </c>
      <c r="E10" t="s">
        <v>447</v>
      </c>
      <c r="F10" s="29">
        <v>12</v>
      </c>
      <c r="I10" t="s">
        <v>346</v>
      </c>
      <c r="J10" s="17" t="s">
        <v>342</v>
      </c>
      <c r="K10">
        <v>4</v>
      </c>
      <c r="S10" t="s">
        <v>346</v>
      </c>
      <c r="T10" s="17" t="s">
        <v>342</v>
      </c>
      <c r="U10">
        <v>9</v>
      </c>
      <c r="X10" t="s">
        <v>494</v>
      </c>
      <c r="Y10" s="23">
        <v>1</v>
      </c>
      <c r="Z10">
        <v>5</v>
      </c>
      <c r="AC10" t="s">
        <v>402</v>
      </c>
      <c r="AD10" s="23">
        <v>1</v>
      </c>
      <c r="AE10" s="33">
        <v>19</v>
      </c>
      <c r="AH10" t="s">
        <v>449</v>
      </c>
      <c r="AI10" s="17" t="s">
        <v>519</v>
      </c>
      <c r="AJ10" s="33">
        <v>5</v>
      </c>
      <c r="AK10" s="33">
        <v>1</v>
      </c>
      <c r="AM10" t="s">
        <v>399</v>
      </c>
      <c r="AN10" s="17" t="s">
        <v>519</v>
      </c>
      <c r="AO10">
        <v>2</v>
      </c>
      <c r="AR10" t="s">
        <v>465</v>
      </c>
      <c r="AS10" s="17">
        <v>1</v>
      </c>
      <c r="AT10">
        <v>8</v>
      </c>
      <c r="AW10" t="s">
        <v>452</v>
      </c>
      <c r="AX10" s="17" t="s">
        <v>342</v>
      </c>
      <c r="AY10" s="33">
        <v>6</v>
      </c>
    </row>
    <row r="11" spans="1:53" x14ac:dyDescent="0.25">
      <c r="A11" s="12" t="s">
        <v>315</v>
      </c>
      <c r="B11" s="29" t="s">
        <v>316</v>
      </c>
      <c r="C11" s="12" t="s">
        <v>496</v>
      </c>
      <c r="E11" t="s">
        <v>503</v>
      </c>
      <c r="F11" s="29">
        <v>12</v>
      </c>
      <c r="G11">
        <v>-1</v>
      </c>
      <c r="I11" t="s">
        <v>325</v>
      </c>
      <c r="J11" s="17" t="s">
        <v>342</v>
      </c>
      <c r="K11">
        <v>2</v>
      </c>
      <c r="N11" s="102" t="s">
        <v>358</v>
      </c>
      <c r="O11" s="102"/>
      <c r="P11" s="102"/>
      <c r="Q11" s="102"/>
      <c r="S11" t="s">
        <v>393</v>
      </c>
      <c r="T11" s="17" t="s">
        <v>342</v>
      </c>
      <c r="U11">
        <v>11</v>
      </c>
      <c r="X11" t="s">
        <v>432</v>
      </c>
      <c r="Y11" s="23">
        <v>1</v>
      </c>
      <c r="Z11">
        <v>15</v>
      </c>
      <c r="AC11" s="104" t="s">
        <v>497</v>
      </c>
      <c r="AD11" s="104"/>
      <c r="AE11" s="24">
        <f>SUM(AE3:AE10)</f>
        <v>100</v>
      </c>
      <c r="AF11" s="24">
        <f>SUM(AF3:AF10)</f>
        <v>0</v>
      </c>
      <c r="AH11" t="s">
        <v>499</v>
      </c>
      <c r="AI11" s="17" t="s">
        <v>519</v>
      </c>
      <c r="AJ11" s="33">
        <v>7</v>
      </c>
      <c r="AK11" s="33">
        <v>-1</v>
      </c>
      <c r="AM11" t="s">
        <v>425</v>
      </c>
      <c r="AN11" s="17" t="s">
        <v>342</v>
      </c>
      <c r="AO11">
        <v>2</v>
      </c>
      <c r="AR11" t="s">
        <v>466</v>
      </c>
      <c r="AS11" s="23">
        <v>1</v>
      </c>
      <c r="AT11">
        <v>8</v>
      </c>
      <c r="AW11" t="s">
        <v>400</v>
      </c>
      <c r="AX11" s="23">
        <v>1</v>
      </c>
      <c r="AY11" s="33">
        <v>4</v>
      </c>
      <c r="AZ11">
        <v>1</v>
      </c>
    </row>
    <row r="12" spans="1:53" ht="15.75" thickBot="1" x14ac:dyDescent="0.3">
      <c r="A12" t="s">
        <v>314</v>
      </c>
      <c r="B12" s="29">
        <v>12</v>
      </c>
      <c r="C12">
        <v>1</v>
      </c>
      <c r="E12" t="s">
        <v>504</v>
      </c>
      <c r="F12" s="29">
        <v>1</v>
      </c>
      <c r="G12">
        <v>1</v>
      </c>
      <c r="I12" t="s">
        <v>326</v>
      </c>
      <c r="J12" s="23">
        <v>1</v>
      </c>
      <c r="K12">
        <v>3</v>
      </c>
      <c r="N12" s="12" t="s">
        <v>315</v>
      </c>
      <c r="O12" s="17" t="s">
        <v>321</v>
      </c>
      <c r="P12" s="12" t="s">
        <v>316</v>
      </c>
      <c r="Q12" s="12" t="s">
        <v>496</v>
      </c>
      <c r="S12" t="s">
        <v>378</v>
      </c>
      <c r="T12" s="17" t="s">
        <v>342</v>
      </c>
      <c r="U12">
        <v>11</v>
      </c>
      <c r="X12" t="s">
        <v>444</v>
      </c>
      <c r="Y12" s="23">
        <v>1</v>
      </c>
      <c r="Z12">
        <v>10</v>
      </c>
      <c r="AH12" t="s">
        <v>428</v>
      </c>
      <c r="AI12" s="17" t="s">
        <v>520</v>
      </c>
      <c r="AJ12" s="33">
        <v>6</v>
      </c>
      <c r="AK12" s="33">
        <v>1</v>
      </c>
      <c r="AM12" t="s">
        <v>400</v>
      </c>
      <c r="AN12" s="23">
        <v>1</v>
      </c>
      <c r="AO12">
        <v>4</v>
      </c>
      <c r="AR12" t="s">
        <v>467</v>
      </c>
      <c r="AS12" s="17">
        <v>1</v>
      </c>
      <c r="AT12">
        <v>9</v>
      </c>
      <c r="AW12" t="s">
        <v>382</v>
      </c>
      <c r="AX12" s="17" t="s">
        <v>342</v>
      </c>
      <c r="AY12">
        <v>8</v>
      </c>
      <c r="AZ12">
        <v>-1</v>
      </c>
    </row>
    <row r="13" spans="1:53" x14ac:dyDescent="0.25">
      <c r="A13" t="s">
        <v>347</v>
      </c>
      <c r="B13" s="29">
        <v>5</v>
      </c>
      <c r="E13" t="s">
        <v>495</v>
      </c>
      <c r="F13" s="29">
        <v>6</v>
      </c>
      <c r="I13" t="s">
        <v>327</v>
      </c>
      <c r="J13" s="23">
        <v>1</v>
      </c>
      <c r="K13">
        <v>3</v>
      </c>
      <c r="N13" t="s">
        <v>348</v>
      </c>
      <c r="O13" s="23">
        <v>1</v>
      </c>
      <c r="P13">
        <v>1</v>
      </c>
      <c r="Q13">
        <v>3</v>
      </c>
      <c r="S13" t="s">
        <v>325</v>
      </c>
      <c r="T13" s="17" t="s">
        <v>342</v>
      </c>
      <c r="U13">
        <v>3</v>
      </c>
      <c r="X13" s="104" t="s">
        <v>497</v>
      </c>
      <c r="Y13" s="104"/>
      <c r="Z13" s="24">
        <f>SUM(Z3:Z12)</f>
        <v>100</v>
      </c>
      <c r="AA13" s="24">
        <f>SUM(AA3:AA12)</f>
        <v>0</v>
      </c>
      <c r="AC13" s="102" t="s">
        <v>490</v>
      </c>
      <c r="AD13" s="102"/>
      <c r="AE13" s="102"/>
      <c r="AF13" s="102"/>
      <c r="AH13" t="s">
        <v>436</v>
      </c>
      <c r="AI13" s="17" t="s">
        <v>520</v>
      </c>
      <c r="AJ13" s="33">
        <v>12</v>
      </c>
      <c r="AK13" s="33">
        <v>-1</v>
      </c>
      <c r="AM13" t="s">
        <v>511</v>
      </c>
      <c r="AN13" s="17" t="s">
        <v>342</v>
      </c>
      <c r="AO13">
        <v>10</v>
      </c>
      <c r="AR13" t="s">
        <v>468</v>
      </c>
      <c r="AS13" s="17">
        <v>1</v>
      </c>
      <c r="AT13">
        <v>7</v>
      </c>
      <c r="AW13" t="s">
        <v>383</v>
      </c>
      <c r="AX13" s="23">
        <v>1</v>
      </c>
      <c r="AY13">
        <v>8</v>
      </c>
      <c r="AZ13">
        <v>-1</v>
      </c>
    </row>
    <row r="14" spans="1:53" ht="15.75" thickBot="1" x14ac:dyDescent="0.3">
      <c r="A14" t="s">
        <v>507</v>
      </c>
      <c r="B14" s="29">
        <v>7</v>
      </c>
      <c r="C14">
        <v>1</v>
      </c>
      <c r="E14" t="s">
        <v>506</v>
      </c>
      <c r="F14" s="29">
        <v>11</v>
      </c>
      <c r="G14">
        <v>-1</v>
      </c>
      <c r="I14" t="s">
        <v>328</v>
      </c>
      <c r="J14" s="17" t="s">
        <v>519</v>
      </c>
      <c r="K14">
        <v>6</v>
      </c>
      <c r="N14" t="s">
        <v>349</v>
      </c>
      <c r="O14" s="23">
        <v>1</v>
      </c>
      <c r="P14">
        <v>33</v>
      </c>
      <c r="Q14">
        <v>-1</v>
      </c>
      <c r="S14" t="s">
        <v>383</v>
      </c>
      <c r="T14" s="23">
        <v>1</v>
      </c>
      <c r="U14">
        <v>7</v>
      </c>
      <c r="AC14" s="12" t="s">
        <v>315</v>
      </c>
      <c r="AD14" s="17" t="s">
        <v>321</v>
      </c>
      <c r="AE14" s="12" t="s">
        <v>316</v>
      </c>
      <c r="AF14" s="12" t="s">
        <v>496</v>
      </c>
      <c r="AH14" t="s">
        <v>448</v>
      </c>
      <c r="AI14" s="17" t="s">
        <v>342</v>
      </c>
      <c r="AJ14" s="33">
        <v>10</v>
      </c>
      <c r="AK14" s="33">
        <v>1</v>
      </c>
      <c r="AM14" t="s">
        <v>337</v>
      </c>
      <c r="AN14" s="17" t="s">
        <v>519</v>
      </c>
      <c r="AO14">
        <v>8</v>
      </c>
      <c r="AR14" t="s">
        <v>469</v>
      </c>
      <c r="AS14" s="17">
        <v>1</v>
      </c>
      <c r="AT14">
        <v>9</v>
      </c>
      <c r="AW14" t="s">
        <v>431</v>
      </c>
      <c r="AX14" s="23">
        <v>1</v>
      </c>
      <c r="AY14">
        <v>6</v>
      </c>
      <c r="AZ14">
        <v>1</v>
      </c>
    </row>
    <row r="15" spans="1:53" ht="15.75" thickBot="1" x14ac:dyDescent="0.3">
      <c r="A15" t="s">
        <v>505</v>
      </c>
      <c r="B15" s="29">
        <v>1</v>
      </c>
      <c r="C15">
        <v>1</v>
      </c>
      <c r="E15" t="s">
        <v>456</v>
      </c>
      <c r="F15" s="29">
        <v>3</v>
      </c>
      <c r="G15">
        <v>-1</v>
      </c>
      <c r="I15" t="s">
        <v>331</v>
      </c>
      <c r="J15" s="17" t="s">
        <v>519</v>
      </c>
      <c r="K15">
        <v>5</v>
      </c>
      <c r="N15" t="s">
        <v>350</v>
      </c>
      <c r="O15" s="23">
        <v>1</v>
      </c>
      <c r="P15">
        <v>66</v>
      </c>
      <c r="Q15">
        <v>-2</v>
      </c>
      <c r="S15" t="s">
        <v>387</v>
      </c>
      <c r="T15" s="23">
        <v>1</v>
      </c>
      <c r="U15">
        <v>3</v>
      </c>
      <c r="X15" s="106" t="s">
        <v>506</v>
      </c>
      <c r="Y15" s="106"/>
      <c r="Z15" s="106"/>
      <c r="AA15" s="106"/>
      <c r="AC15" t="s">
        <v>414</v>
      </c>
      <c r="AD15" s="17" t="s">
        <v>519</v>
      </c>
      <c r="AE15">
        <v>5</v>
      </c>
      <c r="AF15">
        <v>1</v>
      </c>
      <c r="AH15" s="104" t="s">
        <v>497</v>
      </c>
      <c r="AI15" s="104"/>
      <c r="AJ15" s="24">
        <f>SUM(AJ3:AJ14)</f>
        <v>100</v>
      </c>
      <c r="AK15" s="24">
        <f>SUM(AK3:AK14)</f>
        <v>0</v>
      </c>
      <c r="AM15" t="s">
        <v>448</v>
      </c>
      <c r="AN15" s="17" t="s">
        <v>342</v>
      </c>
      <c r="AO15">
        <v>2</v>
      </c>
      <c r="AR15" s="104" t="s">
        <v>497</v>
      </c>
      <c r="AS15" s="104"/>
      <c r="AT15" s="24">
        <f>SUM(AT3:AT14)</f>
        <v>100</v>
      </c>
      <c r="AU15" s="24">
        <f>SUM(AU3:AU14)</f>
        <v>0</v>
      </c>
      <c r="AW15" t="s">
        <v>387</v>
      </c>
      <c r="AX15" s="23">
        <v>1</v>
      </c>
      <c r="AY15">
        <v>8</v>
      </c>
      <c r="AZ15">
        <v>-1</v>
      </c>
    </row>
    <row r="16" spans="1:53" ht="15.75" thickBot="1" x14ac:dyDescent="0.3">
      <c r="A16" t="s">
        <v>489</v>
      </c>
      <c r="B16" s="29">
        <v>10</v>
      </c>
      <c r="E16" t="s">
        <v>509</v>
      </c>
      <c r="F16" s="29">
        <v>7</v>
      </c>
      <c r="I16" t="s">
        <v>329</v>
      </c>
      <c r="J16" s="23">
        <v>1</v>
      </c>
      <c r="K16">
        <v>2</v>
      </c>
      <c r="N16" s="104" t="s">
        <v>497</v>
      </c>
      <c r="O16" s="104"/>
      <c r="P16" s="24">
        <f>SUM(P13:P15)</f>
        <v>100</v>
      </c>
      <c r="Q16" s="24">
        <f>SUM(Q13:Q15)</f>
        <v>0</v>
      </c>
      <c r="S16" t="s">
        <v>389</v>
      </c>
      <c r="T16" s="23">
        <v>1</v>
      </c>
      <c r="U16">
        <v>7</v>
      </c>
      <c r="X16" s="12" t="s">
        <v>315</v>
      </c>
      <c r="Y16" s="17" t="s">
        <v>321</v>
      </c>
      <c r="Z16" s="12" t="s">
        <v>316</v>
      </c>
      <c r="AA16" s="12" t="s">
        <v>496</v>
      </c>
      <c r="AC16" t="s">
        <v>416</v>
      </c>
      <c r="AD16" s="17" t="s">
        <v>519</v>
      </c>
      <c r="AE16">
        <v>7</v>
      </c>
      <c r="AM16" t="s">
        <v>341</v>
      </c>
      <c r="AN16" s="23">
        <v>1</v>
      </c>
      <c r="AO16">
        <v>4</v>
      </c>
      <c r="AW16" t="s">
        <v>448</v>
      </c>
      <c r="AX16" s="17" t="s">
        <v>342</v>
      </c>
      <c r="AY16" s="33">
        <v>6</v>
      </c>
      <c r="AZ16" s="33"/>
      <c r="BA16" s="12"/>
    </row>
    <row r="17" spans="1:53" x14ac:dyDescent="0.25">
      <c r="A17" t="s">
        <v>490</v>
      </c>
      <c r="B17" s="29">
        <v>14</v>
      </c>
      <c r="C17">
        <v>-1</v>
      </c>
      <c r="D17" s="27"/>
      <c r="E17" s="28" t="s">
        <v>497</v>
      </c>
      <c r="F17" s="30">
        <f>SUM(F4:F16)</f>
        <v>100</v>
      </c>
      <c r="G17" s="24">
        <f>SUM(G4:G16)</f>
        <v>0</v>
      </c>
      <c r="H17" s="27"/>
      <c r="I17" t="s">
        <v>445</v>
      </c>
      <c r="J17" s="23">
        <v>1</v>
      </c>
      <c r="K17">
        <v>1</v>
      </c>
      <c r="O17" s="22"/>
      <c r="S17" s="104" t="s">
        <v>497</v>
      </c>
      <c r="T17" s="104"/>
      <c r="U17" s="24">
        <f>SUM(U3:U16)</f>
        <v>100</v>
      </c>
      <c r="V17" s="24">
        <f>SUM(V3:V16)</f>
        <v>0</v>
      </c>
      <c r="X17" t="s">
        <v>317</v>
      </c>
      <c r="Y17" s="17" t="s">
        <v>519</v>
      </c>
      <c r="Z17">
        <v>8</v>
      </c>
      <c r="AC17" t="s">
        <v>421</v>
      </c>
      <c r="AD17" s="17">
        <v>1</v>
      </c>
      <c r="AE17">
        <v>7</v>
      </c>
      <c r="AH17" s="102" t="s">
        <v>446</v>
      </c>
      <c r="AI17" s="102"/>
      <c r="AJ17" s="102"/>
      <c r="AK17" s="102"/>
      <c r="AM17" t="s">
        <v>440</v>
      </c>
      <c r="AN17" s="17" t="s">
        <v>519</v>
      </c>
      <c r="AO17">
        <v>6</v>
      </c>
      <c r="AR17" s="102" t="s">
        <v>509</v>
      </c>
      <c r="AS17" s="102"/>
      <c r="AT17" s="102"/>
      <c r="AU17" s="102"/>
      <c r="AW17" t="s">
        <v>338</v>
      </c>
      <c r="AX17" s="23">
        <v>1</v>
      </c>
      <c r="AY17">
        <v>6</v>
      </c>
    </row>
    <row r="18" spans="1:53" ht="15.75" thickBot="1" x14ac:dyDescent="0.3">
      <c r="A18" t="s">
        <v>447</v>
      </c>
      <c r="B18" s="29">
        <v>12</v>
      </c>
      <c r="I18" t="s">
        <v>330</v>
      </c>
      <c r="J18" s="23">
        <v>1</v>
      </c>
      <c r="K18">
        <v>2</v>
      </c>
      <c r="N18" s="102" t="s">
        <v>508</v>
      </c>
      <c r="O18" s="102"/>
      <c r="P18" s="102"/>
      <c r="Q18" s="102"/>
      <c r="X18" t="s">
        <v>368</v>
      </c>
      <c r="Y18" s="17" t="s">
        <v>519</v>
      </c>
      <c r="Z18">
        <v>4</v>
      </c>
      <c r="AC18" t="s">
        <v>422</v>
      </c>
      <c r="AD18" s="17" t="s">
        <v>519</v>
      </c>
      <c r="AE18">
        <v>10</v>
      </c>
      <c r="AF18">
        <v>-1</v>
      </c>
      <c r="AH18" s="12" t="s">
        <v>315</v>
      </c>
      <c r="AI18" s="17" t="s">
        <v>321</v>
      </c>
      <c r="AJ18" s="12" t="s">
        <v>316</v>
      </c>
      <c r="AK18" s="12" t="s">
        <v>496</v>
      </c>
      <c r="AM18" t="s">
        <v>390</v>
      </c>
      <c r="AN18" s="17" t="s">
        <v>519</v>
      </c>
      <c r="AO18">
        <v>6</v>
      </c>
      <c r="AR18" s="12" t="s">
        <v>315</v>
      </c>
      <c r="AS18" s="17" t="s">
        <v>321</v>
      </c>
      <c r="AT18" s="12" t="s">
        <v>316</v>
      </c>
      <c r="AU18" s="12" t="s">
        <v>496</v>
      </c>
      <c r="AW18" t="s">
        <v>439</v>
      </c>
      <c r="AX18" s="17" t="s">
        <v>342</v>
      </c>
      <c r="AY18">
        <v>4</v>
      </c>
      <c r="AZ18">
        <v>1</v>
      </c>
    </row>
    <row r="19" spans="1:53" ht="19.5" thickBot="1" x14ac:dyDescent="0.35">
      <c r="A19" t="s">
        <v>503</v>
      </c>
      <c r="B19" s="29">
        <v>14</v>
      </c>
      <c r="C19">
        <v>-1</v>
      </c>
      <c r="D19" s="12"/>
      <c r="E19" s="101" t="s">
        <v>531</v>
      </c>
      <c r="F19" s="101"/>
      <c r="G19" s="101"/>
      <c r="H19" s="12"/>
      <c r="I19" t="s">
        <v>332</v>
      </c>
      <c r="J19" s="23">
        <v>1</v>
      </c>
      <c r="K19">
        <v>3</v>
      </c>
      <c r="N19" s="12" t="s">
        <v>315</v>
      </c>
      <c r="O19" s="17" t="s">
        <v>321</v>
      </c>
      <c r="P19" s="12" t="s">
        <v>316</v>
      </c>
      <c r="Q19" s="12" t="s">
        <v>496</v>
      </c>
      <c r="S19" s="102" t="s">
        <v>505</v>
      </c>
      <c r="T19" s="102"/>
      <c r="U19" s="102"/>
      <c r="V19" s="102"/>
      <c r="X19" t="s">
        <v>369</v>
      </c>
      <c r="Y19" s="17" t="s">
        <v>519</v>
      </c>
      <c r="Z19">
        <v>8</v>
      </c>
      <c r="AC19" t="s">
        <v>429</v>
      </c>
      <c r="AD19" s="17" t="s">
        <v>519</v>
      </c>
      <c r="AE19">
        <v>5</v>
      </c>
      <c r="AF19">
        <v>1</v>
      </c>
      <c r="AH19" t="s">
        <v>417</v>
      </c>
      <c r="AI19" s="23">
        <v>1</v>
      </c>
      <c r="AJ19">
        <v>2</v>
      </c>
      <c r="AK19">
        <v>1</v>
      </c>
      <c r="AM19" s="104" t="s">
        <v>497</v>
      </c>
      <c r="AN19" s="104"/>
      <c r="AO19" s="24">
        <f>SUM(AO3:AO18)</f>
        <v>100</v>
      </c>
      <c r="AP19" s="24">
        <f>SUM(AP3:AP18)</f>
        <v>0</v>
      </c>
      <c r="AQ19" s="27"/>
      <c r="AR19" t="s">
        <v>470</v>
      </c>
      <c r="AS19" s="23">
        <v>1</v>
      </c>
      <c r="AT19">
        <v>5</v>
      </c>
      <c r="AU19">
        <v>1</v>
      </c>
      <c r="AW19" t="s">
        <v>492</v>
      </c>
      <c r="AX19" s="23">
        <v>1</v>
      </c>
      <c r="AY19" s="33">
        <v>2</v>
      </c>
      <c r="AZ19" s="33">
        <v>1</v>
      </c>
    </row>
    <row r="20" spans="1:53" x14ac:dyDescent="0.25">
      <c r="A20" t="s">
        <v>504</v>
      </c>
      <c r="B20" s="29">
        <v>1</v>
      </c>
      <c r="C20">
        <v>1</v>
      </c>
      <c r="D20" s="17"/>
      <c r="E20" s="103" t="s">
        <v>518</v>
      </c>
      <c r="F20" s="103"/>
      <c r="G20" s="17" t="s">
        <v>535</v>
      </c>
      <c r="H20" s="17"/>
      <c r="I20" t="s">
        <v>333</v>
      </c>
      <c r="J20" s="23">
        <v>1</v>
      </c>
      <c r="K20">
        <v>5</v>
      </c>
      <c r="N20" t="s">
        <v>357</v>
      </c>
      <c r="O20" s="23">
        <v>1</v>
      </c>
      <c r="P20">
        <v>10</v>
      </c>
      <c r="Q20">
        <v>2</v>
      </c>
      <c r="S20" s="12" t="s">
        <v>315</v>
      </c>
      <c r="T20" s="17" t="s">
        <v>321</v>
      </c>
      <c r="U20" s="12" t="s">
        <v>316</v>
      </c>
      <c r="V20" s="12" t="s">
        <v>496</v>
      </c>
      <c r="X20" t="s">
        <v>372</v>
      </c>
      <c r="Y20" s="17" t="s">
        <v>519</v>
      </c>
      <c r="Z20">
        <v>8</v>
      </c>
      <c r="AC20" t="s">
        <v>384</v>
      </c>
      <c r="AD20" s="17" t="s">
        <v>519</v>
      </c>
      <c r="AE20">
        <v>10</v>
      </c>
      <c r="AF20">
        <v>-1</v>
      </c>
      <c r="AH20" t="s">
        <v>418</v>
      </c>
      <c r="AI20" s="17">
        <v>1</v>
      </c>
      <c r="AJ20">
        <v>8</v>
      </c>
      <c r="AR20" t="s">
        <v>471</v>
      </c>
      <c r="AS20" s="17">
        <v>1</v>
      </c>
      <c r="AT20">
        <v>10</v>
      </c>
      <c r="AU20">
        <v>2</v>
      </c>
      <c r="AW20" s="104" t="s">
        <v>497</v>
      </c>
      <c r="AX20" s="104"/>
      <c r="AY20" s="24">
        <f>SUM(AY3:AY19)</f>
        <v>100</v>
      </c>
      <c r="AZ20" s="24">
        <f>SUM(AZ3:AZ19)</f>
        <v>0</v>
      </c>
    </row>
    <row r="21" spans="1:53" x14ac:dyDescent="0.25">
      <c r="A21" t="s">
        <v>495</v>
      </c>
      <c r="B21" s="29">
        <v>5</v>
      </c>
      <c r="D21" s="12"/>
      <c r="E21" s="12" t="s">
        <v>315</v>
      </c>
      <c r="F21" s="29" t="s">
        <v>316</v>
      </c>
      <c r="G21" s="12" t="s">
        <v>496</v>
      </c>
      <c r="H21" s="12"/>
      <c r="I21" t="s">
        <v>334</v>
      </c>
      <c r="J21" s="23">
        <v>1</v>
      </c>
      <c r="K21">
        <v>5</v>
      </c>
      <c r="N21" t="s">
        <v>353</v>
      </c>
      <c r="O21" s="23">
        <v>1</v>
      </c>
      <c r="P21">
        <v>5</v>
      </c>
      <c r="Q21">
        <v>1</v>
      </c>
      <c r="S21" t="s">
        <v>373</v>
      </c>
      <c r="T21" s="23">
        <v>1</v>
      </c>
      <c r="U21" s="33">
        <v>17</v>
      </c>
      <c r="X21" t="s">
        <v>374</v>
      </c>
      <c r="Y21" s="17" t="s">
        <v>519</v>
      </c>
      <c r="Z21">
        <v>7</v>
      </c>
      <c r="AC21" t="s">
        <v>433</v>
      </c>
      <c r="AD21" s="17" t="s">
        <v>519</v>
      </c>
      <c r="AE21">
        <v>5</v>
      </c>
      <c r="AF21">
        <v>1</v>
      </c>
      <c r="AH21" t="s">
        <v>513</v>
      </c>
      <c r="AI21" s="17" t="s">
        <v>342</v>
      </c>
      <c r="AJ21">
        <v>8</v>
      </c>
      <c r="AM21" s="102" t="s">
        <v>530</v>
      </c>
      <c r="AN21" s="102"/>
      <c r="AO21" s="102"/>
      <c r="AP21" s="102"/>
      <c r="AR21" t="s">
        <v>472</v>
      </c>
      <c r="AS21" s="23">
        <v>1</v>
      </c>
      <c r="AT21">
        <v>15</v>
      </c>
    </row>
    <row r="22" spans="1:53" x14ac:dyDescent="0.25">
      <c r="A22" t="s">
        <v>506</v>
      </c>
      <c r="B22" s="29">
        <v>10</v>
      </c>
      <c r="C22">
        <v>-1</v>
      </c>
      <c r="E22" t="s">
        <v>314</v>
      </c>
      <c r="F22" s="29">
        <v>14</v>
      </c>
      <c r="G22">
        <v>1</v>
      </c>
      <c r="I22" t="s">
        <v>351</v>
      </c>
      <c r="J22" s="23">
        <v>1</v>
      </c>
      <c r="K22">
        <v>5</v>
      </c>
      <c r="N22" t="s">
        <v>356</v>
      </c>
      <c r="O22" s="23">
        <v>1</v>
      </c>
      <c r="P22">
        <v>20</v>
      </c>
      <c r="S22" t="s">
        <v>411</v>
      </c>
      <c r="T22" s="23">
        <v>1</v>
      </c>
      <c r="U22" s="33">
        <v>13</v>
      </c>
      <c r="X22" t="s">
        <v>379</v>
      </c>
      <c r="Y22" s="17" t="s">
        <v>519</v>
      </c>
      <c r="Z22">
        <v>7</v>
      </c>
      <c r="AC22" t="s">
        <v>437</v>
      </c>
      <c r="AD22" s="17" t="s">
        <v>519</v>
      </c>
      <c r="AE22">
        <v>7</v>
      </c>
      <c r="AH22" t="s">
        <v>491</v>
      </c>
      <c r="AI22" s="23">
        <v>1</v>
      </c>
      <c r="AJ22">
        <v>4</v>
      </c>
      <c r="AM22" s="12" t="s">
        <v>315</v>
      </c>
      <c r="AN22" s="17" t="s">
        <v>321</v>
      </c>
      <c r="AO22" s="12" t="s">
        <v>316</v>
      </c>
      <c r="AP22" s="12" t="s">
        <v>496</v>
      </c>
      <c r="AR22" t="s">
        <v>473</v>
      </c>
      <c r="AS22" s="23">
        <v>1</v>
      </c>
      <c r="AT22">
        <v>15</v>
      </c>
    </row>
    <row r="23" spans="1:53" x14ac:dyDescent="0.25">
      <c r="A23" t="s">
        <v>456</v>
      </c>
      <c r="B23" s="29">
        <v>2</v>
      </c>
      <c r="C23">
        <v>-1</v>
      </c>
      <c r="E23" t="s">
        <v>347</v>
      </c>
      <c r="F23" s="29">
        <v>7</v>
      </c>
      <c r="I23" t="s">
        <v>335</v>
      </c>
      <c r="J23" s="23">
        <v>1</v>
      </c>
      <c r="K23">
        <v>5</v>
      </c>
      <c r="N23" t="s">
        <v>355</v>
      </c>
      <c r="O23" s="23">
        <v>1</v>
      </c>
      <c r="P23">
        <v>25</v>
      </c>
      <c r="Q23">
        <v>-1</v>
      </c>
      <c r="S23" t="s">
        <v>394</v>
      </c>
      <c r="T23" s="23">
        <v>1</v>
      </c>
      <c r="U23" s="33">
        <v>1</v>
      </c>
      <c r="X23" t="s">
        <v>380</v>
      </c>
      <c r="Y23" s="17" t="s">
        <v>519</v>
      </c>
      <c r="Z23">
        <v>4</v>
      </c>
      <c r="AC23" t="s">
        <v>438</v>
      </c>
      <c r="AD23" s="17" t="s">
        <v>519</v>
      </c>
      <c r="AE23">
        <v>10</v>
      </c>
      <c r="AF23">
        <v>-1</v>
      </c>
      <c r="AH23" t="s">
        <v>501</v>
      </c>
      <c r="AI23" s="23">
        <v>1</v>
      </c>
      <c r="AJ23">
        <v>2</v>
      </c>
      <c r="AM23" t="s">
        <v>417</v>
      </c>
      <c r="AN23" s="23">
        <v>1</v>
      </c>
      <c r="AO23">
        <v>6</v>
      </c>
      <c r="AP23">
        <v>1</v>
      </c>
      <c r="AR23" t="s">
        <v>474</v>
      </c>
      <c r="AS23" s="17">
        <v>1</v>
      </c>
      <c r="AT23">
        <v>25</v>
      </c>
      <c r="AU23">
        <v>-1</v>
      </c>
    </row>
    <row r="24" spans="1:53" ht="15.75" thickBot="1" x14ac:dyDescent="0.3">
      <c r="A24" t="s">
        <v>509</v>
      </c>
      <c r="B24" s="29">
        <v>7</v>
      </c>
      <c r="E24" t="s">
        <v>507</v>
      </c>
      <c r="F24" s="29">
        <v>9</v>
      </c>
      <c r="G24">
        <v>1</v>
      </c>
      <c r="I24" t="s">
        <v>337</v>
      </c>
      <c r="J24" s="23">
        <v>1</v>
      </c>
      <c r="K24">
        <v>5</v>
      </c>
      <c r="N24" t="s">
        <v>354</v>
      </c>
      <c r="O24" s="23">
        <v>1</v>
      </c>
      <c r="P24">
        <v>40</v>
      </c>
      <c r="Q24">
        <v>-2</v>
      </c>
      <c r="S24" t="s">
        <v>395</v>
      </c>
      <c r="T24" s="23">
        <v>1</v>
      </c>
      <c r="U24" s="33">
        <v>7</v>
      </c>
      <c r="X24" t="s">
        <v>329</v>
      </c>
      <c r="Y24" s="23">
        <v>1</v>
      </c>
      <c r="Z24">
        <v>2</v>
      </c>
      <c r="AA24">
        <v>1</v>
      </c>
      <c r="AC24" t="s">
        <v>352</v>
      </c>
      <c r="AD24" s="23">
        <v>1</v>
      </c>
      <c r="AE24">
        <v>3</v>
      </c>
      <c r="AH24" t="s">
        <v>515</v>
      </c>
      <c r="AI24" s="17" t="s">
        <v>519</v>
      </c>
      <c r="AJ24">
        <v>6</v>
      </c>
      <c r="AM24" t="s">
        <v>453</v>
      </c>
      <c r="AN24" s="23">
        <v>1</v>
      </c>
      <c r="AO24" s="33">
        <v>8</v>
      </c>
      <c r="AR24" t="s">
        <v>475</v>
      </c>
      <c r="AS24" s="23">
        <v>1</v>
      </c>
      <c r="AT24">
        <v>30</v>
      </c>
      <c r="AU24">
        <v>-2</v>
      </c>
    </row>
    <row r="25" spans="1:53" x14ac:dyDescent="0.25">
      <c r="A25" s="28" t="s">
        <v>497</v>
      </c>
      <c r="B25" s="30">
        <f>SUM(B12:B24)</f>
        <v>100</v>
      </c>
      <c r="C25" s="24">
        <f>SUM(C12:C24)</f>
        <v>0</v>
      </c>
      <c r="E25" t="s">
        <v>505</v>
      </c>
      <c r="F25" s="29">
        <v>2</v>
      </c>
      <c r="G25">
        <v>1</v>
      </c>
      <c r="I25" t="s">
        <v>338</v>
      </c>
      <c r="J25" s="23">
        <v>1</v>
      </c>
      <c r="K25">
        <v>4</v>
      </c>
      <c r="N25" s="104" t="s">
        <v>497</v>
      </c>
      <c r="O25" s="104"/>
      <c r="P25" s="24">
        <f>SUM(P20:P24)</f>
        <v>100</v>
      </c>
      <c r="Q25" s="24">
        <f>SUM(Q20:Q24)</f>
        <v>0</v>
      </c>
      <c r="S25" t="s">
        <v>514</v>
      </c>
      <c r="T25" s="23">
        <v>1</v>
      </c>
      <c r="U25" s="33">
        <v>5</v>
      </c>
      <c r="X25" s="26" t="s">
        <v>381</v>
      </c>
      <c r="Y25" s="23">
        <v>1</v>
      </c>
      <c r="Z25">
        <v>1</v>
      </c>
      <c r="AA25">
        <v>1</v>
      </c>
      <c r="AC25" t="s">
        <v>439</v>
      </c>
      <c r="AD25" s="17" t="s">
        <v>342</v>
      </c>
      <c r="AE25">
        <v>4</v>
      </c>
      <c r="AF25">
        <v>1</v>
      </c>
      <c r="AH25" t="s">
        <v>423</v>
      </c>
      <c r="AI25" s="17">
        <v>1</v>
      </c>
      <c r="AJ25">
        <v>6</v>
      </c>
      <c r="AM25" t="s">
        <v>353</v>
      </c>
      <c r="AN25" s="23">
        <v>1</v>
      </c>
      <c r="AO25">
        <v>8</v>
      </c>
      <c r="AR25" s="25" t="s">
        <v>497</v>
      </c>
      <c r="AS25" s="25"/>
      <c r="AT25" s="24">
        <f>SUM(AT19:AT24)</f>
        <v>100</v>
      </c>
      <c r="AU25" s="24">
        <f>SUM(AU19:AU24)</f>
        <v>0</v>
      </c>
    </row>
    <row r="26" spans="1:53" x14ac:dyDescent="0.25">
      <c r="E26" t="s">
        <v>489</v>
      </c>
      <c r="F26" s="29">
        <v>7</v>
      </c>
      <c r="I26" t="s">
        <v>339</v>
      </c>
      <c r="J26" s="23">
        <v>1</v>
      </c>
      <c r="K26">
        <v>4</v>
      </c>
      <c r="O26" s="22"/>
      <c r="S26" t="s">
        <v>397</v>
      </c>
      <c r="T26" s="23">
        <v>1</v>
      </c>
      <c r="U26" s="33">
        <v>34</v>
      </c>
      <c r="X26" t="s">
        <v>330</v>
      </c>
      <c r="Y26" s="23">
        <v>1</v>
      </c>
      <c r="Z26">
        <v>2</v>
      </c>
      <c r="AA26">
        <v>1</v>
      </c>
      <c r="AC26" t="s">
        <v>440</v>
      </c>
      <c r="AD26" s="17" t="s">
        <v>519</v>
      </c>
      <c r="AE26">
        <v>7</v>
      </c>
      <c r="AF26">
        <v>-1</v>
      </c>
      <c r="AH26" t="s">
        <v>424</v>
      </c>
      <c r="AI26" s="17">
        <v>1</v>
      </c>
      <c r="AJ26">
        <v>8</v>
      </c>
      <c r="AM26" t="s">
        <v>348</v>
      </c>
      <c r="AN26" s="23">
        <v>1</v>
      </c>
      <c r="AO26">
        <v>8</v>
      </c>
    </row>
    <row r="27" spans="1:53" ht="18.75" x14ac:dyDescent="0.3">
      <c r="A27" s="101" t="s">
        <v>516</v>
      </c>
      <c r="B27" s="101"/>
      <c r="C27" s="101"/>
      <c r="E27" t="s">
        <v>490</v>
      </c>
      <c r="F27" s="29">
        <v>5</v>
      </c>
      <c r="G27">
        <v>-1</v>
      </c>
      <c r="I27" t="s">
        <v>340</v>
      </c>
      <c r="J27" s="23">
        <v>1</v>
      </c>
      <c r="K27">
        <v>3</v>
      </c>
      <c r="N27" s="102" t="s">
        <v>510</v>
      </c>
      <c r="O27" s="102"/>
      <c r="P27" s="102"/>
      <c r="Q27" s="102"/>
      <c r="S27" t="s">
        <v>396</v>
      </c>
      <c r="T27" s="23">
        <v>1</v>
      </c>
      <c r="U27" s="33">
        <v>20</v>
      </c>
      <c r="X27" t="s">
        <v>382</v>
      </c>
      <c r="Y27" s="17" t="s">
        <v>342</v>
      </c>
      <c r="Z27">
        <v>3</v>
      </c>
      <c r="AC27" t="s">
        <v>441</v>
      </c>
      <c r="AD27" s="17" t="s">
        <v>519</v>
      </c>
      <c r="AE27">
        <v>10</v>
      </c>
      <c r="AH27" t="s">
        <v>328</v>
      </c>
      <c r="AI27" s="17" t="s">
        <v>519</v>
      </c>
      <c r="AJ27">
        <v>10</v>
      </c>
      <c r="AK27">
        <v>-1</v>
      </c>
      <c r="AM27" t="s">
        <v>470</v>
      </c>
      <c r="AN27" s="23">
        <v>1</v>
      </c>
      <c r="AO27">
        <v>8</v>
      </c>
      <c r="AR27" s="102" t="s">
        <v>457</v>
      </c>
      <c r="AS27" s="102"/>
      <c r="AT27" s="102"/>
      <c r="AU27" s="102"/>
    </row>
    <row r="28" spans="1:53" ht="15.75" thickBot="1" x14ac:dyDescent="0.3">
      <c r="A28" s="105" t="s">
        <v>527</v>
      </c>
      <c r="B28" s="105"/>
      <c r="C28" s="105"/>
      <c r="E28" t="s">
        <v>447</v>
      </c>
      <c r="F28" s="29">
        <v>11</v>
      </c>
      <c r="I28" t="s">
        <v>343</v>
      </c>
      <c r="J28" s="23">
        <v>1</v>
      </c>
      <c r="K28">
        <v>5</v>
      </c>
      <c r="N28" s="12" t="s">
        <v>315</v>
      </c>
      <c r="O28" s="17" t="s">
        <v>321</v>
      </c>
      <c r="P28" s="12" t="s">
        <v>316</v>
      </c>
      <c r="Q28" s="12" t="s">
        <v>496</v>
      </c>
      <c r="S28" t="s">
        <v>512</v>
      </c>
      <c r="T28" s="23">
        <v>1</v>
      </c>
      <c r="U28" s="33">
        <v>3</v>
      </c>
      <c r="X28" t="s">
        <v>392</v>
      </c>
      <c r="Y28" s="23">
        <v>1</v>
      </c>
      <c r="Z28">
        <v>3</v>
      </c>
      <c r="AC28" t="s">
        <v>442</v>
      </c>
      <c r="AD28" s="17" t="s">
        <v>519</v>
      </c>
      <c r="AE28">
        <v>10</v>
      </c>
      <c r="AH28" t="s">
        <v>425</v>
      </c>
      <c r="AI28" s="17" t="s">
        <v>342</v>
      </c>
      <c r="AJ28">
        <v>6</v>
      </c>
      <c r="AM28" t="s">
        <v>405</v>
      </c>
      <c r="AN28" s="23">
        <v>1</v>
      </c>
      <c r="AO28">
        <v>8</v>
      </c>
      <c r="AR28" s="12" t="s">
        <v>315</v>
      </c>
      <c r="AS28" s="17" t="s">
        <v>321</v>
      </c>
      <c r="AT28" s="12" t="s">
        <v>316</v>
      </c>
      <c r="AU28" s="12" t="s">
        <v>496</v>
      </c>
    </row>
    <row r="29" spans="1:53" x14ac:dyDescent="0.25">
      <c r="A29" s="31" t="s">
        <v>522</v>
      </c>
      <c r="B29" s="34" t="s">
        <v>523</v>
      </c>
      <c r="C29" s="35">
        <v>0.06</v>
      </c>
      <c r="E29" t="s">
        <v>503</v>
      </c>
      <c r="F29" s="29">
        <v>8</v>
      </c>
      <c r="G29">
        <v>-1</v>
      </c>
      <c r="I29" t="s">
        <v>344</v>
      </c>
      <c r="J29" s="23">
        <v>1</v>
      </c>
      <c r="K29">
        <v>5</v>
      </c>
      <c r="N29" t="s">
        <v>405</v>
      </c>
      <c r="O29" s="23">
        <v>1</v>
      </c>
      <c r="P29">
        <v>5</v>
      </c>
      <c r="Q29">
        <v>1</v>
      </c>
      <c r="S29" s="104" t="s">
        <v>497</v>
      </c>
      <c r="T29" s="104"/>
      <c r="U29" s="24">
        <f>SUM(U20:U28)</f>
        <v>100</v>
      </c>
      <c r="V29" s="24">
        <f>SUM(V20:V27)</f>
        <v>0</v>
      </c>
      <c r="X29" t="s">
        <v>336</v>
      </c>
      <c r="Y29" s="17" t="s">
        <v>519</v>
      </c>
      <c r="Z29">
        <v>4</v>
      </c>
      <c r="AC29" s="104" t="s">
        <v>497</v>
      </c>
      <c r="AD29" s="104"/>
      <c r="AE29" s="24">
        <f>SUM(AE15:AE28)</f>
        <v>100</v>
      </c>
      <c r="AF29" s="24">
        <f>SUM(AF15:AF28)</f>
        <v>0</v>
      </c>
      <c r="AH29" t="s">
        <v>427</v>
      </c>
      <c r="AI29" s="23">
        <v>1</v>
      </c>
      <c r="AJ29">
        <v>4</v>
      </c>
      <c r="AM29" t="s">
        <v>394</v>
      </c>
      <c r="AN29" s="23">
        <v>1</v>
      </c>
      <c r="AO29" s="33">
        <v>2</v>
      </c>
      <c r="AP29">
        <v>1</v>
      </c>
      <c r="AR29" t="s">
        <v>364</v>
      </c>
      <c r="AS29" s="23">
        <v>1</v>
      </c>
      <c r="AT29">
        <v>19</v>
      </c>
      <c r="AU29">
        <v>-1</v>
      </c>
    </row>
    <row r="30" spans="1:53" ht="15.75" thickBot="1" x14ac:dyDescent="0.3">
      <c r="A30" s="12" t="s">
        <v>315</v>
      </c>
      <c r="B30" s="29" t="s">
        <v>316</v>
      </c>
      <c r="C30" s="12" t="s">
        <v>496</v>
      </c>
      <c r="E30" t="s">
        <v>504</v>
      </c>
      <c r="F30" s="29">
        <v>2</v>
      </c>
      <c r="G30">
        <v>1</v>
      </c>
      <c r="I30" t="s">
        <v>410</v>
      </c>
      <c r="J30" s="23">
        <v>1</v>
      </c>
      <c r="K30">
        <v>2</v>
      </c>
      <c r="N30" t="s">
        <v>406</v>
      </c>
      <c r="O30" s="23">
        <v>1</v>
      </c>
      <c r="P30">
        <v>10</v>
      </c>
      <c r="Q30">
        <v>2</v>
      </c>
      <c r="X30" t="s">
        <v>384</v>
      </c>
      <c r="Y30" s="17" t="s">
        <v>519</v>
      </c>
      <c r="Z30">
        <v>9</v>
      </c>
      <c r="AA30">
        <v>-3</v>
      </c>
      <c r="AH30" t="s">
        <v>430</v>
      </c>
      <c r="AI30" s="23">
        <v>1</v>
      </c>
      <c r="AJ30">
        <v>4</v>
      </c>
      <c r="AM30" t="s">
        <v>329</v>
      </c>
      <c r="AN30" s="23">
        <v>1</v>
      </c>
      <c r="AO30">
        <v>10</v>
      </c>
      <c r="AP30">
        <v>-1</v>
      </c>
      <c r="AR30" t="s">
        <v>484</v>
      </c>
      <c r="AS30" s="23">
        <v>1</v>
      </c>
      <c r="AT30">
        <v>3</v>
      </c>
      <c r="AU30">
        <v>1</v>
      </c>
    </row>
    <row r="31" spans="1:53" x14ac:dyDescent="0.25">
      <c r="A31" s="31" t="s">
        <v>524</v>
      </c>
      <c r="B31" s="34">
        <v>60</v>
      </c>
      <c r="C31" s="34">
        <v>-5</v>
      </c>
      <c r="E31" t="s">
        <v>495</v>
      </c>
      <c r="F31" s="29">
        <v>7</v>
      </c>
      <c r="I31" s="104" t="s">
        <v>345</v>
      </c>
      <c r="J31" s="104"/>
      <c r="K31" s="24">
        <f>SUM(K3:K30)</f>
        <v>100</v>
      </c>
      <c r="L31" s="24">
        <f>SUM(L3:L30)</f>
        <v>0</v>
      </c>
      <c r="N31" t="s">
        <v>407</v>
      </c>
      <c r="O31" s="23">
        <v>1</v>
      </c>
      <c r="P31">
        <v>20</v>
      </c>
      <c r="X31" t="s">
        <v>385</v>
      </c>
      <c r="Y31" s="17" t="s">
        <v>519</v>
      </c>
      <c r="Z31">
        <v>5</v>
      </c>
      <c r="AH31" t="s">
        <v>431</v>
      </c>
      <c r="AI31" s="23">
        <v>1</v>
      </c>
      <c r="AJ31">
        <v>6</v>
      </c>
      <c r="AM31" t="s">
        <v>445</v>
      </c>
      <c r="AN31" s="23">
        <v>1</v>
      </c>
      <c r="AO31">
        <v>10</v>
      </c>
      <c r="AP31">
        <v>-1</v>
      </c>
      <c r="AR31" t="s">
        <v>476</v>
      </c>
      <c r="AS31" s="17">
        <v>1</v>
      </c>
      <c r="AT31">
        <v>16</v>
      </c>
      <c r="AU31">
        <v>-1</v>
      </c>
      <c r="BA31" s="27"/>
    </row>
    <row r="32" spans="1:53" x14ac:dyDescent="0.25">
      <c r="A32" s="31" t="s">
        <v>525</v>
      </c>
      <c r="B32" s="34">
        <v>35</v>
      </c>
      <c r="C32" s="34">
        <v>3</v>
      </c>
      <c r="E32" t="s">
        <v>506</v>
      </c>
      <c r="F32" s="29">
        <v>11</v>
      </c>
      <c r="G32">
        <v>-1</v>
      </c>
      <c r="N32" t="s">
        <v>408</v>
      </c>
      <c r="O32" s="23">
        <v>1</v>
      </c>
      <c r="P32">
        <v>25</v>
      </c>
      <c r="Q32">
        <v>-1</v>
      </c>
      <c r="X32" t="s">
        <v>386</v>
      </c>
      <c r="Y32" s="17" t="s">
        <v>519</v>
      </c>
      <c r="Z32">
        <v>8</v>
      </c>
      <c r="AH32" t="s">
        <v>479</v>
      </c>
      <c r="AI32" s="17" t="s">
        <v>519</v>
      </c>
      <c r="AJ32">
        <v>8</v>
      </c>
      <c r="AM32" t="s">
        <v>330</v>
      </c>
      <c r="AN32" s="23">
        <v>1</v>
      </c>
      <c r="AO32">
        <v>10</v>
      </c>
      <c r="AP32">
        <v>-1</v>
      </c>
      <c r="AR32" t="s">
        <v>486</v>
      </c>
      <c r="AS32" s="23">
        <v>1</v>
      </c>
      <c r="AT32">
        <v>1</v>
      </c>
      <c r="AU32">
        <v>1</v>
      </c>
    </row>
    <row r="33" spans="1:47" ht="15.75" thickBot="1" x14ac:dyDescent="0.3">
      <c r="A33" s="31" t="s">
        <v>526</v>
      </c>
      <c r="B33" s="34">
        <v>5</v>
      </c>
      <c r="C33" s="34">
        <v>2</v>
      </c>
      <c r="E33" t="s">
        <v>456</v>
      </c>
      <c r="F33" s="29">
        <v>2</v>
      </c>
      <c r="G33">
        <v>-1</v>
      </c>
      <c r="N33" t="s">
        <v>409</v>
      </c>
      <c r="O33" s="23">
        <v>1</v>
      </c>
      <c r="P33">
        <v>40</v>
      </c>
      <c r="Q33">
        <v>-2</v>
      </c>
      <c r="X33" t="s">
        <v>388</v>
      </c>
      <c r="Y33" s="17" t="s">
        <v>519</v>
      </c>
      <c r="Z33">
        <v>7</v>
      </c>
      <c r="AH33" t="s">
        <v>434</v>
      </c>
      <c r="AI33" s="23">
        <v>1</v>
      </c>
      <c r="AJ33">
        <v>4</v>
      </c>
      <c r="AM33" t="s">
        <v>512</v>
      </c>
      <c r="AN33" s="23">
        <v>1</v>
      </c>
      <c r="AO33" s="33">
        <v>4</v>
      </c>
      <c r="AP33">
        <v>1</v>
      </c>
      <c r="AR33" t="s">
        <v>477</v>
      </c>
      <c r="AS33" s="23">
        <v>1</v>
      </c>
      <c r="AT33">
        <v>26</v>
      </c>
      <c r="AU33">
        <v>-1</v>
      </c>
    </row>
    <row r="34" spans="1:47" x14ac:dyDescent="0.25">
      <c r="A34" s="28" t="s">
        <v>497</v>
      </c>
      <c r="B34" s="30">
        <f>SUM(B31:B33)</f>
        <v>100</v>
      </c>
      <c r="C34" s="30">
        <f>SUM(C31:C33)</f>
        <v>0</v>
      </c>
      <c r="E34" t="s">
        <v>509</v>
      </c>
      <c r="F34" s="29">
        <v>7</v>
      </c>
      <c r="N34" s="104" t="s">
        <v>497</v>
      </c>
      <c r="O34" s="104"/>
      <c r="P34" s="24">
        <f>SUM(P29:P33)</f>
        <v>100</v>
      </c>
      <c r="Q34" s="24">
        <f>SUM(Q29:Q33)</f>
        <v>0</v>
      </c>
      <c r="X34" t="s">
        <v>390</v>
      </c>
      <c r="Y34" s="17" t="s">
        <v>519</v>
      </c>
      <c r="Z34">
        <v>5</v>
      </c>
      <c r="AH34" t="s">
        <v>435</v>
      </c>
      <c r="AI34" s="17" t="s">
        <v>342</v>
      </c>
      <c r="AJ34">
        <v>6</v>
      </c>
      <c r="AM34" t="s">
        <v>352</v>
      </c>
      <c r="AN34" s="23">
        <v>1</v>
      </c>
      <c r="AO34">
        <v>8</v>
      </c>
      <c r="AP34">
        <v>1</v>
      </c>
      <c r="AR34" t="s">
        <v>487</v>
      </c>
      <c r="AS34" s="23">
        <v>1</v>
      </c>
      <c r="AT34">
        <v>7</v>
      </c>
      <c r="AU34">
        <v>1</v>
      </c>
    </row>
    <row r="35" spans="1:47" ht="15.75" thickBot="1" x14ac:dyDescent="0.3">
      <c r="A35" s="105" t="s">
        <v>528</v>
      </c>
      <c r="B35" s="105"/>
      <c r="C35" s="105"/>
      <c r="D35" s="27"/>
      <c r="E35" t="s">
        <v>529</v>
      </c>
      <c r="F35" s="29">
        <v>8</v>
      </c>
      <c r="H35" s="27"/>
      <c r="X35" t="s">
        <v>391</v>
      </c>
      <c r="Y35" s="17" t="s">
        <v>519</v>
      </c>
      <c r="Z35">
        <v>5</v>
      </c>
      <c r="AH35" t="s">
        <v>500</v>
      </c>
      <c r="AI35" s="23">
        <v>1</v>
      </c>
      <c r="AJ35">
        <v>2</v>
      </c>
      <c r="AM35" t="s">
        <v>341</v>
      </c>
      <c r="AN35" s="23">
        <v>1</v>
      </c>
      <c r="AO35">
        <v>10</v>
      </c>
      <c r="AP35">
        <v>-1</v>
      </c>
      <c r="AR35" t="s">
        <v>478</v>
      </c>
      <c r="AS35" s="23">
        <v>1</v>
      </c>
      <c r="AT35">
        <v>23</v>
      </c>
      <c r="AU35">
        <v>-1</v>
      </c>
    </row>
    <row r="36" spans="1:47" ht="15.75" thickBot="1" x14ac:dyDescent="0.3">
      <c r="A36" s="103" t="s">
        <v>518</v>
      </c>
      <c r="B36" s="103"/>
      <c r="C36" s="17" t="s">
        <v>534</v>
      </c>
      <c r="E36" s="28" t="s">
        <v>497</v>
      </c>
      <c r="F36" s="30">
        <f>SUM(F22:F35)</f>
        <v>100</v>
      </c>
      <c r="G36" s="24">
        <f>SUM(G22:G34)</f>
        <v>0</v>
      </c>
      <c r="N36" s="102" t="s">
        <v>366</v>
      </c>
      <c r="O36" s="102"/>
      <c r="P36" s="102"/>
      <c r="Q36" s="102"/>
      <c r="X36" s="104" t="s">
        <v>497</v>
      </c>
      <c r="Y36" s="104"/>
      <c r="Z36" s="24">
        <f>SUM(Z17:Z35)</f>
        <v>100</v>
      </c>
      <c r="AA36" s="24">
        <f>SUM(AA17:AA35)</f>
        <v>0</v>
      </c>
      <c r="AH36" t="s">
        <v>443</v>
      </c>
      <c r="AI36" s="23">
        <v>1</v>
      </c>
      <c r="AJ36">
        <v>6</v>
      </c>
      <c r="AM36" s="104" t="s">
        <v>497</v>
      </c>
      <c r="AN36" s="104"/>
      <c r="AO36" s="24">
        <f>SUM(AO23:AO35)</f>
        <v>100</v>
      </c>
      <c r="AP36" s="24">
        <f>SUM(AP23:AP35)</f>
        <v>0</v>
      </c>
      <c r="AR36" t="s">
        <v>488</v>
      </c>
      <c r="AS36" s="23">
        <v>1</v>
      </c>
      <c r="AT36">
        <v>5</v>
      </c>
      <c r="AU36">
        <v>1</v>
      </c>
    </row>
    <row r="37" spans="1:47" x14ac:dyDescent="0.25">
      <c r="A37" s="12" t="s">
        <v>315</v>
      </c>
      <c r="B37" s="29" t="s">
        <v>316</v>
      </c>
      <c r="C37" s="12" t="s">
        <v>496</v>
      </c>
      <c r="D37" s="12"/>
      <c r="H37" s="12"/>
      <c r="N37" s="12" t="s">
        <v>315</v>
      </c>
      <c r="O37" s="17" t="s">
        <v>321</v>
      </c>
      <c r="P37" s="12" t="s">
        <v>316</v>
      </c>
      <c r="Q37" s="12" t="s">
        <v>496</v>
      </c>
      <c r="AH37" s="104" t="s">
        <v>497</v>
      </c>
      <c r="AI37" s="104"/>
      <c r="AJ37" s="24">
        <f>SUM(AJ19:AJ36)</f>
        <v>100</v>
      </c>
      <c r="AK37" s="24">
        <f>SUM(AK19:AK36)</f>
        <v>0</v>
      </c>
      <c r="AR37" s="104" t="s">
        <v>497</v>
      </c>
      <c r="AS37" s="104"/>
      <c r="AT37" s="24">
        <f>SUM(AT29:AT36)</f>
        <v>100</v>
      </c>
      <c r="AU37" s="24">
        <f>SUM(AU29:AU36)</f>
        <v>0</v>
      </c>
    </row>
    <row r="38" spans="1:47" ht="18.75" x14ac:dyDescent="0.3">
      <c r="A38" t="s">
        <v>314</v>
      </c>
      <c r="B38" s="29">
        <v>14</v>
      </c>
      <c r="C38">
        <v>1</v>
      </c>
      <c r="D38" s="17"/>
      <c r="E38" s="101" t="s">
        <v>537</v>
      </c>
      <c r="F38" s="101"/>
      <c r="G38" s="101"/>
      <c r="H38" s="17"/>
      <c r="N38" t="s">
        <v>359</v>
      </c>
      <c r="O38" s="23">
        <v>1</v>
      </c>
      <c r="P38" s="33">
        <v>26</v>
      </c>
      <c r="Q38">
        <v>-1</v>
      </c>
    </row>
    <row r="39" spans="1:47" x14ac:dyDescent="0.25">
      <c r="A39" t="s">
        <v>347</v>
      </c>
      <c r="B39" s="29">
        <v>6</v>
      </c>
      <c r="D39" s="12"/>
      <c r="E39" s="103" t="s">
        <v>518</v>
      </c>
      <c r="F39" s="103"/>
      <c r="G39" s="17" t="s">
        <v>538</v>
      </c>
      <c r="H39" s="12"/>
      <c r="N39" t="s">
        <v>480</v>
      </c>
      <c r="O39" s="23">
        <v>1</v>
      </c>
      <c r="P39" s="33">
        <v>7</v>
      </c>
      <c r="Q39">
        <v>1</v>
      </c>
    </row>
    <row r="40" spans="1:47" x14ac:dyDescent="0.25">
      <c r="A40" t="s">
        <v>507</v>
      </c>
      <c r="B40" s="29">
        <v>8</v>
      </c>
      <c r="C40">
        <v>1</v>
      </c>
      <c r="E40" s="12" t="s">
        <v>315</v>
      </c>
      <c r="F40" s="29" t="s">
        <v>316</v>
      </c>
      <c r="G40" s="12" t="s">
        <v>496</v>
      </c>
      <c r="N40" t="s">
        <v>360</v>
      </c>
      <c r="O40" s="23">
        <v>1</v>
      </c>
      <c r="P40" s="33">
        <v>16</v>
      </c>
      <c r="Q40">
        <v>-1</v>
      </c>
    </row>
    <row r="41" spans="1:47" x14ac:dyDescent="0.25">
      <c r="A41" t="s">
        <v>505</v>
      </c>
      <c r="B41" s="29">
        <v>2</v>
      </c>
      <c r="C41">
        <v>1</v>
      </c>
      <c r="E41" t="s">
        <v>314</v>
      </c>
      <c r="F41" s="29">
        <v>12</v>
      </c>
      <c r="G41">
        <v>1</v>
      </c>
      <c r="N41" t="s">
        <v>481</v>
      </c>
      <c r="O41" s="23">
        <v>1</v>
      </c>
      <c r="P41" s="33">
        <v>1</v>
      </c>
      <c r="Q41">
        <v>1</v>
      </c>
    </row>
    <row r="42" spans="1:47" x14ac:dyDescent="0.25">
      <c r="A42" t="s">
        <v>489</v>
      </c>
      <c r="B42" s="29">
        <v>7</v>
      </c>
      <c r="E42" t="s">
        <v>347</v>
      </c>
      <c r="F42" s="29">
        <v>9</v>
      </c>
      <c r="N42" t="s">
        <v>361</v>
      </c>
      <c r="O42" s="23">
        <v>1</v>
      </c>
      <c r="P42" s="33">
        <v>23</v>
      </c>
      <c r="Q42">
        <v>-1</v>
      </c>
    </row>
    <row r="43" spans="1:47" x14ac:dyDescent="0.25">
      <c r="A43" t="s">
        <v>490</v>
      </c>
      <c r="B43" s="29">
        <v>7</v>
      </c>
      <c r="C43">
        <v>-1</v>
      </c>
      <c r="E43" t="s">
        <v>507</v>
      </c>
      <c r="F43" s="29">
        <v>10</v>
      </c>
      <c r="G43">
        <v>1</v>
      </c>
      <c r="N43" t="s">
        <v>482</v>
      </c>
      <c r="O43" s="23">
        <v>1</v>
      </c>
      <c r="P43" s="33">
        <v>5</v>
      </c>
      <c r="Q43">
        <v>1</v>
      </c>
    </row>
    <row r="44" spans="1:47" x14ac:dyDescent="0.25">
      <c r="A44" t="s">
        <v>447</v>
      </c>
      <c r="B44" s="29">
        <v>12</v>
      </c>
      <c r="E44" t="s">
        <v>505</v>
      </c>
      <c r="F44" s="29">
        <v>3</v>
      </c>
      <c r="G44">
        <v>1</v>
      </c>
      <c r="N44" t="s">
        <v>362</v>
      </c>
      <c r="O44" s="23">
        <v>1</v>
      </c>
      <c r="P44" s="33">
        <v>19</v>
      </c>
      <c r="Q44">
        <v>-1</v>
      </c>
    </row>
    <row r="45" spans="1:47" ht="15.75" thickBot="1" x14ac:dyDescent="0.3">
      <c r="A45" t="s">
        <v>503</v>
      </c>
      <c r="B45" s="29">
        <v>10</v>
      </c>
      <c r="C45">
        <v>-1</v>
      </c>
      <c r="E45" t="s">
        <v>489</v>
      </c>
      <c r="F45" s="29">
        <v>7</v>
      </c>
      <c r="N45" t="s">
        <v>483</v>
      </c>
      <c r="O45" s="23">
        <v>1</v>
      </c>
      <c r="P45" s="33">
        <v>3</v>
      </c>
      <c r="Q45">
        <v>1</v>
      </c>
    </row>
    <row r="46" spans="1:47" x14ac:dyDescent="0.25">
      <c r="A46" t="s">
        <v>504</v>
      </c>
      <c r="B46" s="29">
        <v>2</v>
      </c>
      <c r="C46">
        <v>1</v>
      </c>
      <c r="E46" t="s">
        <v>490</v>
      </c>
      <c r="F46" s="29">
        <v>3</v>
      </c>
      <c r="G46">
        <v>-1</v>
      </c>
      <c r="N46" s="104" t="s">
        <v>497</v>
      </c>
      <c r="O46" s="104"/>
      <c r="P46" s="24">
        <f>SUM(P38:P45)</f>
        <v>100</v>
      </c>
      <c r="Q46" s="24">
        <f>SUM(Q38:Q45)</f>
        <v>0</v>
      </c>
    </row>
    <row r="47" spans="1:47" x14ac:dyDescent="0.25">
      <c r="A47" t="s">
        <v>495</v>
      </c>
      <c r="B47" s="29">
        <v>6</v>
      </c>
      <c r="E47" t="s">
        <v>447</v>
      </c>
      <c r="F47" s="29">
        <v>10</v>
      </c>
    </row>
    <row r="48" spans="1:47" x14ac:dyDescent="0.25">
      <c r="A48" t="s">
        <v>506</v>
      </c>
      <c r="B48" s="29">
        <v>11</v>
      </c>
      <c r="C48">
        <v>-1</v>
      </c>
      <c r="E48" t="s">
        <v>503</v>
      </c>
      <c r="F48" s="29">
        <v>7</v>
      </c>
      <c r="G48">
        <v>-1</v>
      </c>
      <c r="N48" s="102" t="s">
        <v>363</v>
      </c>
      <c r="O48" s="102"/>
      <c r="P48" s="102"/>
      <c r="Q48" s="102"/>
    </row>
    <row r="49" spans="1:17" x14ac:dyDescent="0.25">
      <c r="A49" t="s">
        <v>456</v>
      </c>
      <c r="B49" s="29">
        <v>2</v>
      </c>
      <c r="C49">
        <v>-1</v>
      </c>
      <c r="E49" t="s">
        <v>504</v>
      </c>
      <c r="F49" s="29">
        <v>3</v>
      </c>
      <c r="G49">
        <v>1</v>
      </c>
      <c r="N49" s="12" t="s">
        <v>315</v>
      </c>
      <c r="O49" s="17" t="s">
        <v>321</v>
      </c>
      <c r="P49" s="12" t="s">
        <v>316</v>
      </c>
      <c r="Q49" s="12" t="s">
        <v>496</v>
      </c>
    </row>
    <row r="50" spans="1:17" x14ac:dyDescent="0.25">
      <c r="A50" t="s">
        <v>509</v>
      </c>
      <c r="B50" s="29">
        <v>7</v>
      </c>
      <c r="E50" t="s">
        <v>495</v>
      </c>
      <c r="F50" s="29">
        <v>9</v>
      </c>
      <c r="N50" t="s">
        <v>364</v>
      </c>
      <c r="O50" s="23">
        <v>1</v>
      </c>
      <c r="P50">
        <v>30</v>
      </c>
      <c r="Q50">
        <v>-2</v>
      </c>
    </row>
    <row r="51" spans="1:17" ht="15.75" thickBot="1" x14ac:dyDescent="0.3">
      <c r="A51" t="s">
        <v>529</v>
      </c>
      <c r="B51" s="29">
        <v>6</v>
      </c>
      <c r="E51" t="s">
        <v>530</v>
      </c>
      <c r="F51" s="29">
        <v>4</v>
      </c>
      <c r="N51" t="s">
        <v>484</v>
      </c>
      <c r="O51" s="23">
        <v>1</v>
      </c>
      <c r="P51">
        <v>5</v>
      </c>
      <c r="Q51">
        <v>2</v>
      </c>
    </row>
    <row r="52" spans="1:17" x14ac:dyDescent="0.25">
      <c r="A52" s="28" t="s">
        <v>497</v>
      </c>
      <c r="B52" s="30">
        <f>SUM(B38:B51)</f>
        <v>100</v>
      </c>
      <c r="C52" s="24">
        <f>SUM(C38:C50)</f>
        <v>0</v>
      </c>
      <c r="E52" t="s">
        <v>506</v>
      </c>
      <c r="F52" s="29">
        <v>10</v>
      </c>
      <c r="G52">
        <v>-1</v>
      </c>
      <c r="N52" t="s">
        <v>365</v>
      </c>
      <c r="O52" s="23">
        <v>1</v>
      </c>
      <c r="P52">
        <v>55</v>
      </c>
      <c r="Q52">
        <v>-2</v>
      </c>
    </row>
    <row r="53" spans="1:17" ht="15.75" thickBot="1" x14ac:dyDescent="0.3">
      <c r="D53" s="27"/>
      <c r="E53" t="s">
        <v>456</v>
      </c>
      <c r="F53" s="29">
        <v>2</v>
      </c>
      <c r="G53">
        <v>-1</v>
      </c>
      <c r="H53" s="27"/>
      <c r="N53" t="s">
        <v>485</v>
      </c>
      <c r="O53" s="23">
        <v>1</v>
      </c>
      <c r="P53">
        <v>10</v>
      </c>
      <c r="Q53">
        <v>2</v>
      </c>
    </row>
    <row r="54" spans="1:17" ht="18.75" x14ac:dyDescent="0.3">
      <c r="A54" s="101" t="s">
        <v>517</v>
      </c>
      <c r="B54" s="101"/>
      <c r="C54" s="101"/>
      <c r="E54" t="s">
        <v>509</v>
      </c>
      <c r="F54" s="29">
        <v>7</v>
      </c>
      <c r="N54" s="104" t="s">
        <v>345</v>
      </c>
      <c r="O54" s="104"/>
      <c r="P54" s="24">
        <f>SUM(P50:P53)</f>
        <v>100</v>
      </c>
      <c r="Q54" s="24">
        <f>SUM(Q50:Q53)</f>
        <v>0</v>
      </c>
    </row>
    <row r="55" spans="1:17" ht="15.75" thickBot="1" x14ac:dyDescent="0.3">
      <c r="A55" s="105" t="s">
        <v>527</v>
      </c>
      <c r="B55" s="105"/>
      <c r="C55" s="105"/>
      <c r="E55" t="s">
        <v>529</v>
      </c>
      <c r="F55" s="29">
        <v>4</v>
      </c>
    </row>
    <row r="56" spans="1:17" x14ac:dyDescent="0.25">
      <c r="A56" s="31" t="s">
        <v>522</v>
      </c>
      <c r="B56" s="34" t="s">
        <v>523</v>
      </c>
      <c r="C56" s="35">
        <v>0.09</v>
      </c>
      <c r="E56" s="28" t="s">
        <v>497</v>
      </c>
      <c r="F56" s="30">
        <f>SUM(F41:F55)</f>
        <v>100</v>
      </c>
      <c r="G56" s="24">
        <f>SUM(G41:G55)</f>
        <v>0</v>
      </c>
    </row>
    <row r="57" spans="1:17" x14ac:dyDescent="0.25">
      <c r="A57" s="12" t="s">
        <v>315</v>
      </c>
      <c r="B57" s="29" t="s">
        <v>316</v>
      </c>
      <c r="C57" s="12" t="s">
        <v>496</v>
      </c>
    </row>
    <row r="58" spans="1:17" x14ac:dyDescent="0.25">
      <c r="A58" s="31" t="s">
        <v>524</v>
      </c>
      <c r="B58" s="34">
        <v>55</v>
      </c>
      <c r="C58" s="34">
        <v>-5</v>
      </c>
    </row>
    <row r="59" spans="1:17" x14ac:dyDescent="0.25">
      <c r="A59" s="31" t="s">
        <v>525</v>
      </c>
      <c r="B59" s="34">
        <v>35</v>
      </c>
      <c r="C59" s="34">
        <v>3</v>
      </c>
    </row>
    <row r="60" spans="1:17" ht="15.75" thickBot="1" x14ac:dyDescent="0.3">
      <c r="A60" s="31" t="s">
        <v>526</v>
      </c>
      <c r="B60" s="34">
        <v>10</v>
      </c>
      <c r="C60" s="34">
        <v>2</v>
      </c>
    </row>
    <row r="61" spans="1:17" x14ac:dyDescent="0.25">
      <c r="A61" s="28" t="s">
        <v>497</v>
      </c>
      <c r="B61" s="30">
        <f>SUM(B58:B60)</f>
        <v>100</v>
      </c>
      <c r="C61" s="30">
        <f>SUM(C58:C60)</f>
        <v>0</v>
      </c>
    </row>
    <row r="62" spans="1:17" x14ac:dyDescent="0.25">
      <c r="A62" s="103" t="s">
        <v>518</v>
      </c>
      <c r="B62" s="103"/>
      <c r="C62" s="17" t="s">
        <v>536</v>
      </c>
    </row>
    <row r="63" spans="1:17" x14ac:dyDescent="0.25">
      <c r="A63" s="12" t="s">
        <v>315</v>
      </c>
      <c r="B63" s="29" t="s">
        <v>316</v>
      </c>
      <c r="C63" s="12" t="s">
        <v>496</v>
      </c>
    </row>
    <row r="64" spans="1:17" x14ac:dyDescent="0.25">
      <c r="A64" t="s">
        <v>314</v>
      </c>
      <c r="B64" s="29">
        <v>14</v>
      </c>
      <c r="C64">
        <v>1</v>
      </c>
    </row>
    <row r="65" spans="1:3" x14ac:dyDescent="0.25">
      <c r="A65" t="s">
        <v>347</v>
      </c>
      <c r="B65" s="29">
        <v>8</v>
      </c>
    </row>
    <row r="66" spans="1:3" x14ac:dyDescent="0.25">
      <c r="A66" t="s">
        <v>507</v>
      </c>
      <c r="B66" s="29">
        <v>10</v>
      </c>
      <c r="C66">
        <v>1</v>
      </c>
    </row>
    <row r="67" spans="1:3" x14ac:dyDescent="0.25">
      <c r="A67" t="s">
        <v>505</v>
      </c>
      <c r="B67" s="29">
        <v>3</v>
      </c>
      <c r="C67">
        <v>1</v>
      </c>
    </row>
    <row r="68" spans="1:3" x14ac:dyDescent="0.25">
      <c r="A68" t="s">
        <v>489</v>
      </c>
      <c r="B68" s="29">
        <v>7</v>
      </c>
    </row>
    <row r="69" spans="1:3" x14ac:dyDescent="0.25">
      <c r="A69" t="s">
        <v>490</v>
      </c>
      <c r="B69" s="29">
        <v>3</v>
      </c>
      <c r="C69">
        <v>-1</v>
      </c>
    </row>
    <row r="70" spans="1:3" x14ac:dyDescent="0.25">
      <c r="A70" t="s">
        <v>447</v>
      </c>
      <c r="B70" s="29">
        <v>10</v>
      </c>
    </row>
    <row r="71" spans="1:3" x14ac:dyDescent="0.25">
      <c r="A71" t="s">
        <v>503</v>
      </c>
      <c r="B71" s="29">
        <v>7</v>
      </c>
      <c r="C71">
        <v>-1</v>
      </c>
    </row>
    <row r="72" spans="1:3" x14ac:dyDescent="0.25">
      <c r="A72" t="s">
        <v>504</v>
      </c>
      <c r="B72" s="29">
        <v>3</v>
      </c>
      <c r="C72">
        <v>1</v>
      </c>
    </row>
    <row r="73" spans="1:3" x14ac:dyDescent="0.25">
      <c r="A73" t="s">
        <v>495</v>
      </c>
      <c r="B73" s="29">
        <v>8</v>
      </c>
    </row>
    <row r="74" spans="1:3" x14ac:dyDescent="0.25">
      <c r="A74" t="s">
        <v>530</v>
      </c>
      <c r="B74" s="29">
        <v>2</v>
      </c>
    </row>
    <row r="75" spans="1:3" x14ac:dyDescent="0.25">
      <c r="A75" t="s">
        <v>506</v>
      </c>
      <c r="B75" s="29">
        <v>12</v>
      </c>
      <c r="C75">
        <v>-1</v>
      </c>
    </row>
    <row r="76" spans="1:3" x14ac:dyDescent="0.25">
      <c r="A76" t="s">
        <v>456</v>
      </c>
      <c r="B76" s="29">
        <v>2</v>
      </c>
      <c r="C76">
        <v>-1</v>
      </c>
    </row>
    <row r="77" spans="1:3" x14ac:dyDescent="0.25">
      <c r="A77" t="s">
        <v>509</v>
      </c>
      <c r="B77" s="29">
        <v>7</v>
      </c>
    </row>
    <row r="78" spans="1:3" ht="15.75" thickBot="1" x14ac:dyDescent="0.3">
      <c r="A78" t="s">
        <v>529</v>
      </c>
      <c r="B78" s="29">
        <v>4</v>
      </c>
    </row>
    <row r="79" spans="1:3" x14ac:dyDescent="0.25">
      <c r="A79" s="28" t="s">
        <v>497</v>
      </c>
      <c r="B79" s="30">
        <f>SUM(B64:B78)</f>
        <v>100</v>
      </c>
      <c r="C79" s="24">
        <f>SUM(C64:C78)</f>
        <v>0</v>
      </c>
    </row>
  </sheetData>
  <mergeCells count="58">
    <mergeCell ref="I31:J31"/>
    <mergeCell ref="N9:O9"/>
    <mergeCell ref="N46:O46"/>
    <mergeCell ref="AC11:AD11"/>
    <mergeCell ref="S17:T17"/>
    <mergeCell ref="N54:O54"/>
    <mergeCell ref="N16:O16"/>
    <mergeCell ref="X13:Y13"/>
    <mergeCell ref="AC29:AD29"/>
    <mergeCell ref="AC13:AF13"/>
    <mergeCell ref="X36:Y36"/>
    <mergeCell ref="N48:Q48"/>
    <mergeCell ref="AH37:AI37"/>
    <mergeCell ref="AR15:AS15"/>
    <mergeCell ref="AR37:AS37"/>
    <mergeCell ref="AH17:AK17"/>
    <mergeCell ref="AH15:AI15"/>
    <mergeCell ref="AM21:AP21"/>
    <mergeCell ref="AW1:AZ1"/>
    <mergeCell ref="AM36:AN36"/>
    <mergeCell ref="AW20:AX20"/>
    <mergeCell ref="N27:Q27"/>
    <mergeCell ref="N34:O34"/>
    <mergeCell ref="N11:Q11"/>
    <mergeCell ref="N36:Q36"/>
    <mergeCell ref="X15:AA15"/>
    <mergeCell ref="N18:Q18"/>
    <mergeCell ref="AH1:AK1"/>
    <mergeCell ref="N25:O25"/>
    <mergeCell ref="N1:Q1"/>
    <mergeCell ref="X1:AA1"/>
    <mergeCell ref="AM1:AP1"/>
    <mergeCell ref="S29:T29"/>
    <mergeCell ref="AC1:AF1"/>
    <mergeCell ref="A62:B62"/>
    <mergeCell ref="E2:F2"/>
    <mergeCell ref="A2:C2"/>
    <mergeCell ref="A9:C9"/>
    <mergeCell ref="E38:G38"/>
    <mergeCell ref="E39:F39"/>
    <mergeCell ref="A27:C27"/>
    <mergeCell ref="A54:C54"/>
    <mergeCell ref="A28:C28"/>
    <mergeCell ref="A35:C35"/>
    <mergeCell ref="A55:C55"/>
    <mergeCell ref="A10:B10"/>
    <mergeCell ref="A36:B36"/>
    <mergeCell ref="A1:C1"/>
    <mergeCell ref="S19:V19"/>
    <mergeCell ref="AR1:AU1"/>
    <mergeCell ref="AR17:AU17"/>
    <mergeCell ref="AR27:AU27"/>
    <mergeCell ref="E19:G19"/>
    <mergeCell ref="E20:F20"/>
    <mergeCell ref="AM19:AN19"/>
    <mergeCell ref="I1:L1"/>
    <mergeCell ref="E1:G1"/>
    <mergeCell ref="S1:V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sqref="A1:B1"/>
    </sheetView>
  </sheetViews>
  <sheetFormatPr defaultRowHeight="15" x14ac:dyDescent="0.25"/>
  <cols>
    <col min="1" max="1" width="11" bestFit="1" customWidth="1"/>
    <col min="2" max="2" width="10.28515625" bestFit="1" customWidth="1"/>
    <col min="3" max="3" width="11" bestFit="1" customWidth="1"/>
    <col min="4" max="4" width="10.28515625" bestFit="1" customWidth="1"/>
  </cols>
  <sheetData>
    <row r="1" spans="1:4" x14ac:dyDescent="0.25">
      <c r="A1" s="102" t="s">
        <v>616</v>
      </c>
      <c r="B1" s="102"/>
      <c r="C1" s="102" t="s">
        <v>617</v>
      </c>
      <c r="D1" s="102"/>
    </row>
    <row r="2" spans="1:4" x14ac:dyDescent="0.25">
      <c r="A2" t="s">
        <v>614</v>
      </c>
      <c r="B2" t="s">
        <v>615</v>
      </c>
      <c r="C2" t="s">
        <v>614</v>
      </c>
      <c r="D2" t="s">
        <v>615</v>
      </c>
    </row>
    <row r="3" spans="1:4" x14ac:dyDescent="0.25">
      <c r="A3" s="53">
        <v>0.01</v>
      </c>
      <c r="B3" s="54">
        <f>B7/64</f>
        <v>0.14515624999999999</v>
      </c>
      <c r="C3" s="53">
        <v>0.01</v>
      </c>
      <c r="D3" s="57">
        <f>D12/86</f>
        <v>4.790697674418605E-2</v>
      </c>
    </row>
    <row r="4" spans="1:4" x14ac:dyDescent="0.25">
      <c r="A4" s="53">
        <v>0.5</v>
      </c>
      <c r="B4" s="54">
        <f>B$3*(A4*100)</f>
        <v>7.2578124999999991</v>
      </c>
      <c r="C4" s="53">
        <v>0.5</v>
      </c>
      <c r="D4" s="57">
        <f>D$3*(C4*100)</f>
        <v>2.3953488372093026</v>
      </c>
    </row>
    <row r="5" spans="1:4" x14ac:dyDescent="0.25">
      <c r="A5" s="53">
        <v>0.55000000000000004</v>
      </c>
      <c r="B5" s="54">
        <f>B$3*(A5*100)</f>
        <v>7.9835937500000007</v>
      </c>
      <c r="C5" s="53">
        <v>0.55000000000000004</v>
      </c>
      <c r="D5" s="57">
        <f t="shared" ref="D5:D11" si="0">D$3*(C5*100)</f>
        <v>2.6348837209302332</v>
      </c>
    </row>
    <row r="6" spans="1:4" x14ac:dyDescent="0.25">
      <c r="A6" s="53">
        <v>0.6</v>
      </c>
      <c r="B6" s="54">
        <f>B$3*(A6*100)</f>
        <v>8.7093749999999996</v>
      </c>
      <c r="C6" s="53">
        <v>0.6</v>
      </c>
      <c r="D6" s="57">
        <f t="shared" si="0"/>
        <v>2.8744186046511628</v>
      </c>
    </row>
    <row r="7" spans="1:4" x14ac:dyDescent="0.25">
      <c r="A7" s="55">
        <v>0.64</v>
      </c>
      <c r="B7" s="58">
        <v>9.2899999999999991</v>
      </c>
      <c r="C7" s="53">
        <v>0.65</v>
      </c>
      <c r="D7" s="57">
        <f t="shared" si="0"/>
        <v>3.1139534883720934</v>
      </c>
    </row>
    <row r="8" spans="1:4" x14ac:dyDescent="0.25">
      <c r="A8" s="53">
        <v>0.65</v>
      </c>
      <c r="B8" s="54">
        <f t="shared" ref="B8:B19" si="1">B$3*(A8*100)</f>
        <v>9.4351562499999986</v>
      </c>
      <c r="C8" s="53">
        <v>0.7</v>
      </c>
      <c r="D8" s="57">
        <f t="shared" si="0"/>
        <v>3.3534883720930235</v>
      </c>
    </row>
    <row r="9" spans="1:4" x14ac:dyDescent="0.25">
      <c r="A9" s="53">
        <v>0.7</v>
      </c>
      <c r="B9" s="54">
        <f t="shared" si="1"/>
        <v>10.160937499999999</v>
      </c>
      <c r="C9" s="53">
        <v>0.75</v>
      </c>
      <c r="D9" s="57">
        <f t="shared" si="0"/>
        <v>3.5930232558139537</v>
      </c>
    </row>
    <row r="10" spans="1:4" x14ac:dyDescent="0.25">
      <c r="A10" s="53">
        <v>0.75</v>
      </c>
      <c r="B10" s="54">
        <f t="shared" si="1"/>
        <v>10.886718749999998</v>
      </c>
      <c r="C10" s="53">
        <v>0.8</v>
      </c>
      <c r="D10" s="57">
        <f t="shared" si="0"/>
        <v>3.8325581395348838</v>
      </c>
    </row>
    <row r="11" spans="1:4" x14ac:dyDescent="0.25">
      <c r="A11" s="53">
        <v>0.8</v>
      </c>
      <c r="B11" s="54">
        <f t="shared" si="1"/>
        <v>11.612499999999999</v>
      </c>
      <c r="C11" s="53">
        <v>0.85</v>
      </c>
      <c r="D11" s="57">
        <f t="shared" si="0"/>
        <v>4.0720930232558139</v>
      </c>
    </row>
    <row r="12" spans="1:4" x14ac:dyDescent="0.25">
      <c r="A12" s="53">
        <v>0.85</v>
      </c>
      <c r="B12" s="54">
        <f t="shared" si="1"/>
        <v>12.33828125</v>
      </c>
      <c r="C12" s="55">
        <v>0.86</v>
      </c>
      <c r="D12" s="56">
        <v>4.12</v>
      </c>
    </row>
    <row r="13" spans="1:4" x14ac:dyDescent="0.25">
      <c r="A13" s="53">
        <v>0.9</v>
      </c>
      <c r="B13" s="54">
        <f t="shared" si="1"/>
        <v>13.064062499999999</v>
      </c>
      <c r="C13" s="53">
        <v>0.9</v>
      </c>
      <c r="D13" s="57">
        <f t="shared" ref="D13:D19" si="2">D$3*(C13*100)</f>
        <v>4.3116279069767449</v>
      </c>
    </row>
    <row r="14" spans="1:4" x14ac:dyDescent="0.25">
      <c r="A14" s="53">
        <v>0.95</v>
      </c>
      <c r="B14" s="54">
        <f t="shared" si="1"/>
        <v>13.789843749999999</v>
      </c>
      <c r="C14" s="53">
        <v>0.95</v>
      </c>
      <c r="D14" s="57">
        <f t="shared" si="2"/>
        <v>4.551162790697675</v>
      </c>
    </row>
    <row r="15" spans="1:4" x14ac:dyDescent="0.25">
      <c r="A15" s="53">
        <v>1</v>
      </c>
      <c r="B15" s="54">
        <f t="shared" si="1"/>
        <v>14.515624999999998</v>
      </c>
      <c r="C15" s="53">
        <v>1</v>
      </c>
      <c r="D15" s="57">
        <f t="shared" si="2"/>
        <v>4.7906976744186052</v>
      </c>
    </row>
    <row r="16" spans="1:4" x14ac:dyDescent="0.25">
      <c r="A16" s="53">
        <v>1.05</v>
      </c>
      <c r="B16" s="54">
        <f t="shared" si="1"/>
        <v>15.241406249999999</v>
      </c>
      <c r="C16" s="53">
        <v>1.05</v>
      </c>
      <c r="D16" s="57">
        <f t="shared" si="2"/>
        <v>5.0302325581395353</v>
      </c>
    </row>
    <row r="17" spans="1:4" x14ac:dyDescent="0.25">
      <c r="A17" s="53">
        <v>1.1000000000000001</v>
      </c>
      <c r="B17" s="54">
        <f t="shared" si="1"/>
        <v>15.967187500000001</v>
      </c>
      <c r="C17" s="53">
        <v>1.1000000000000001</v>
      </c>
      <c r="D17" s="57">
        <f t="shared" si="2"/>
        <v>5.2697674418604663</v>
      </c>
    </row>
    <row r="18" spans="1:4" x14ac:dyDescent="0.25">
      <c r="A18" s="53">
        <v>1.1499999999999999</v>
      </c>
      <c r="B18" s="54">
        <f t="shared" si="1"/>
        <v>16.692968749999995</v>
      </c>
      <c r="C18" s="53">
        <v>1.1499999999999999</v>
      </c>
      <c r="D18" s="57">
        <f t="shared" si="2"/>
        <v>5.5093023255813947</v>
      </c>
    </row>
    <row r="19" spans="1:4" x14ac:dyDescent="0.25">
      <c r="A19" s="53">
        <v>1.2</v>
      </c>
      <c r="B19" s="54">
        <f t="shared" si="1"/>
        <v>17.418749999999999</v>
      </c>
      <c r="C19" s="53">
        <v>1.2</v>
      </c>
      <c r="D19" s="57">
        <f t="shared" si="2"/>
        <v>5.7488372093023257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/>
  </sheetViews>
  <sheetFormatPr defaultRowHeight="15" x14ac:dyDescent="0.25"/>
  <cols>
    <col min="1" max="1" width="18.42578125" bestFit="1" customWidth="1"/>
    <col min="3" max="3" width="20.28515625" bestFit="1" customWidth="1"/>
  </cols>
  <sheetData>
    <row r="1" spans="1:3" ht="15.75" thickBot="1" x14ac:dyDescent="0.3">
      <c r="A1" s="39" t="s">
        <v>549</v>
      </c>
      <c r="C1" s="39" t="s">
        <v>550</v>
      </c>
    </row>
    <row r="2" spans="1:3" x14ac:dyDescent="0.25">
      <c r="A2" t="s">
        <v>249</v>
      </c>
      <c r="C2" t="s">
        <v>250</v>
      </c>
    </row>
    <row r="3" spans="1:3" x14ac:dyDescent="0.25">
      <c r="A3" t="s">
        <v>253</v>
      </c>
      <c r="C3" t="s">
        <v>251</v>
      </c>
    </row>
    <row r="4" spans="1:3" x14ac:dyDescent="0.25">
      <c r="A4" t="s">
        <v>755</v>
      </c>
      <c r="C4" t="s">
        <v>252</v>
      </c>
    </row>
    <row r="5" spans="1:3" x14ac:dyDescent="0.25">
      <c r="A5" t="s">
        <v>579</v>
      </c>
    </row>
    <row r="6" spans="1:3" x14ac:dyDescent="0.25">
      <c r="A6" t="s">
        <v>646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/>
  </sheetViews>
  <sheetFormatPr defaultRowHeight="15" x14ac:dyDescent="0.25"/>
  <cols>
    <col min="1" max="1" width="19.5703125" bestFit="1" customWidth="1"/>
    <col min="2" max="2" width="10.42578125" bestFit="1" customWidth="1"/>
    <col min="3" max="3" width="64.7109375" bestFit="1" customWidth="1"/>
    <col min="4" max="4" width="8.85546875" bestFit="1" customWidth="1"/>
    <col min="5" max="5" width="49.5703125" bestFit="1" customWidth="1"/>
    <col min="6" max="6" width="11.42578125" bestFit="1" customWidth="1"/>
    <col min="7" max="7" width="42.7109375" bestFit="1" customWidth="1"/>
    <col min="8" max="8" width="11.42578125" bestFit="1" customWidth="1"/>
  </cols>
  <sheetData>
    <row r="1" spans="1:8" ht="20.25" thickBot="1" x14ac:dyDescent="0.35">
      <c r="A1" s="4" t="s">
        <v>0</v>
      </c>
      <c r="B1" s="3" t="s">
        <v>2</v>
      </c>
      <c r="C1" s="3" t="s">
        <v>1</v>
      </c>
      <c r="D1" s="5" t="s">
        <v>4</v>
      </c>
      <c r="E1" s="3" t="s">
        <v>8</v>
      </c>
      <c r="F1" s="3" t="s">
        <v>31</v>
      </c>
      <c r="G1" s="3" t="s">
        <v>9</v>
      </c>
      <c r="H1" s="3" t="s">
        <v>10</v>
      </c>
    </row>
    <row r="2" spans="1:8" ht="15.75" thickTop="1" x14ac:dyDescent="0.25">
      <c r="A2" s="7" t="str">
        <f>HYPERLINK("https://www.spigotmc.org/resources/herobrine-ai.16062/", "Herobrine AI")</f>
        <v>Herobrine AI</v>
      </c>
      <c r="C2" t="s">
        <v>66</v>
      </c>
      <c r="D2" s="2" t="s">
        <v>5</v>
      </c>
      <c r="E2" s="1" t="s">
        <v>68</v>
      </c>
      <c r="F2" s="1" t="str">
        <f>HYPERLINK(E2, "Go To Link…")</f>
        <v>Go To Link…</v>
      </c>
      <c r="G2" s="1"/>
      <c r="H2" s="1"/>
    </row>
    <row r="25" spans="3:3" x14ac:dyDescent="0.25">
      <c r="C25" t="s">
        <v>67</v>
      </c>
    </row>
    <row r="26" spans="3:3" x14ac:dyDescent="0.25">
      <c r="C26" s="1" t="s">
        <v>68</v>
      </c>
    </row>
    <row r="27" spans="3:3" x14ac:dyDescent="0.25">
      <c r="C27" s="1" t="s">
        <v>69</v>
      </c>
    </row>
    <row r="28" spans="3:3" x14ac:dyDescent="0.25">
      <c r="C28" s="1" t="s">
        <v>70</v>
      </c>
    </row>
    <row r="29" spans="3:3" x14ac:dyDescent="0.25">
      <c r="C29" s="1" t="s">
        <v>71</v>
      </c>
    </row>
    <row r="30" spans="3:3" x14ac:dyDescent="0.25">
      <c r="C30" s="1" t="s">
        <v>15</v>
      </c>
    </row>
  </sheetData>
  <dataValidations count="1">
    <dataValidation type="list" allowBlank="1" showInputMessage="1" showErrorMessage="1" sqref="E2" xr:uid="{00000000-0002-0000-0D00-000000000000}">
      <formula1>$C$26:$C$30</formula1>
    </dataValidation>
  </dataValidations>
  <hyperlinks>
    <hyperlink ref="C26" r:id="rId1" xr:uid="{00000000-0004-0000-0D00-000000000000}"/>
    <hyperlink ref="C27" r:id="rId2" xr:uid="{00000000-0004-0000-0D00-000001000000}"/>
    <hyperlink ref="C28" r:id="rId3" xr:uid="{00000000-0004-0000-0D00-000002000000}"/>
    <hyperlink ref="C29" r:id="rId4" xr:uid="{00000000-0004-0000-0D00-000003000000}"/>
    <hyperlink ref="C30" r:id="rId5" xr:uid="{00000000-0004-0000-0D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topLeftCell="A49" workbookViewId="0">
      <selection activeCell="A69" sqref="A69"/>
    </sheetView>
  </sheetViews>
  <sheetFormatPr defaultRowHeight="15" x14ac:dyDescent="0.25"/>
  <cols>
    <col min="1" max="1" width="31.140625" bestFit="1" customWidth="1"/>
    <col min="2" max="2" width="18.5703125" bestFit="1" customWidth="1"/>
    <col min="3" max="3" width="11.42578125" style="17" bestFit="1" customWidth="1"/>
    <col min="4" max="4" width="17.28515625" style="94" bestFit="1" customWidth="1"/>
    <col min="5" max="5" width="74.5703125" bestFit="1" customWidth="1"/>
    <col min="6" max="6" width="8.85546875" bestFit="1" customWidth="1"/>
    <col min="7" max="7" width="25.85546875" style="12" bestFit="1" customWidth="1"/>
    <col min="8" max="8" width="18" style="12" bestFit="1" customWidth="1"/>
    <col min="9" max="9" width="8.5703125" style="12" bestFit="1" customWidth="1"/>
    <col min="10" max="10" width="11.28515625" bestFit="1" customWidth="1"/>
  </cols>
  <sheetData>
    <row r="1" spans="1:9" ht="20.100000000000001" customHeight="1" thickBot="1" x14ac:dyDescent="0.35">
      <c r="A1" s="4" t="s">
        <v>0</v>
      </c>
      <c r="B1" s="4" t="s">
        <v>157</v>
      </c>
      <c r="C1" s="16" t="s">
        <v>2</v>
      </c>
      <c r="D1" s="93" t="s">
        <v>804</v>
      </c>
      <c r="E1" s="3" t="s">
        <v>1</v>
      </c>
      <c r="F1" s="5" t="s">
        <v>4</v>
      </c>
      <c r="G1" s="37" t="s">
        <v>162</v>
      </c>
      <c r="H1" s="15" t="s">
        <v>161</v>
      </c>
      <c r="I1" s="15" t="s">
        <v>163</v>
      </c>
    </row>
    <row r="2" spans="1:9" ht="18" customHeight="1" thickTop="1" thickBot="1" x14ac:dyDescent="0.35">
      <c r="A2" s="98" t="s">
        <v>171</v>
      </c>
      <c r="B2" s="98"/>
      <c r="C2" s="98"/>
      <c r="D2" s="98"/>
      <c r="E2" s="98"/>
      <c r="F2" s="98"/>
      <c r="G2" s="98"/>
      <c r="H2" s="98"/>
      <c r="I2" s="98"/>
    </row>
    <row r="3" spans="1:9" ht="15" customHeight="1" thickTop="1" x14ac:dyDescent="0.25">
      <c r="A3" s="9" t="str">
        <f>HYPERLINK("https://www.spigotmc.org/resources/maintenance-mode-plugin-version.24587/", "MaintenanceMode")</f>
        <v>MaintenanceMode</v>
      </c>
      <c r="B3" s="12" t="s">
        <v>175</v>
      </c>
      <c r="C3" s="17" t="s">
        <v>167</v>
      </c>
      <c r="D3" s="94">
        <v>42530</v>
      </c>
      <c r="E3" t="s">
        <v>24</v>
      </c>
      <c r="F3" s="2" t="s">
        <v>5</v>
      </c>
      <c r="G3" s="13" t="s">
        <v>170</v>
      </c>
      <c r="H3" s="12" t="s">
        <v>181</v>
      </c>
      <c r="I3"/>
    </row>
    <row r="4" spans="1:9" ht="15" customHeight="1" x14ac:dyDescent="0.25">
      <c r="A4" s="1" t="str">
        <f>HYPERLINK("https://www.spigotmc.org/resources/supervanish-1-7-1-8-1-9-compatible.1331/", "SuperVanish")</f>
        <v>SuperVanish</v>
      </c>
      <c r="B4" s="12" t="s">
        <v>196</v>
      </c>
      <c r="C4" s="17" t="s">
        <v>778</v>
      </c>
      <c r="D4" s="94">
        <v>43131</v>
      </c>
      <c r="E4" t="s">
        <v>42</v>
      </c>
      <c r="F4" s="2" t="s">
        <v>5</v>
      </c>
      <c r="G4" s="82" t="s">
        <v>169</v>
      </c>
      <c r="H4" s="50" t="s">
        <v>181</v>
      </c>
      <c r="I4"/>
    </row>
    <row r="5" spans="1:9" ht="15" customHeight="1" x14ac:dyDescent="0.25">
      <c r="A5" s="11" t="str">
        <f>HYPERLINK("http://dev.bukkit.org/bukkit-plugins/worldborder/", "WorldBorder")</f>
        <v>WorldBorder</v>
      </c>
      <c r="B5" s="12" t="s">
        <v>164</v>
      </c>
      <c r="C5" s="17" t="s">
        <v>779</v>
      </c>
      <c r="D5" s="94">
        <v>42859</v>
      </c>
      <c r="E5" t="s">
        <v>154</v>
      </c>
      <c r="F5" s="2" t="s">
        <v>5</v>
      </c>
      <c r="G5" s="12" t="s">
        <v>168</v>
      </c>
      <c r="H5" s="12" t="s">
        <v>181</v>
      </c>
      <c r="I5" s="1"/>
    </row>
    <row r="6" spans="1:9" ht="15" customHeight="1" x14ac:dyDescent="0.25">
      <c r="A6" s="9" t="str">
        <f>HYPERLINK("https://www.spigotmc.org/resources/luckperms-an-advanced-permissions-plugin.28140/", "LuckPerms")</f>
        <v>LuckPerms</v>
      </c>
      <c r="B6" s="12" t="s">
        <v>195</v>
      </c>
      <c r="C6" s="17" t="s">
        <v>800</v>
      </c>
      <c r="D6" s="94">
        <v>43311</v>
      </c>
      <c r="E6" t="s">
        <v>799</v>
      </c>
      <c r="F6" s="2" t="s">
        <v>5</v>
      </c>
      <c r="G6" s="12" t="s">
        <v>181</v>
      </c>
      <c r="H6" s="12" t="s">
        <v>181</v>
      </c>
      <c r="I6"/>
    </row>
    <row r="7" spans="1:9" ht="18" customHeight="1" thickBot="1" x14ac:dyDescent="0.35">
      <c r="A7" s="98" t="s">
        <v>700</v>
      </c>
      <c r="B7" s="98"/>
      <c r="C7" s="98"/>
      <c r="D7" s="98"/>
      <c r="E7" s="98"/>
      <c r="F7" s="98"/>
      <c r="G7" s="98"/>
      <c r="H7" s="98"/>
      <c r="I7" s="98"/>
    </row>
    <row r="8" spans="1:9" ht="15" customHeight="1" thickTop="1" x14ac:dyDescent="0.25">
      <c r="A8" s="11" t="str">
        <f>HYPERLINK("https://www.spigotmc.org/resources/autocrafters.36406/", "Autocrafters")</f>
        <v>Autocrafters</v>
      </c>
      <c r="B8" s="50" t="s">
        <v>196</v>
      </c>
      <c r="C8" s="17" t="s">
        <v>187</v>
      </c>
      <c r="D8" s="94">
        <v>43136</v>
      </c>
      <c r="E8" t="s">
        <v>627</v>
      </c>
      <c r="F8" s="2" t="s">
        <v>5</v>
      </c>
      <c r="G8" s="45" t="s">
        <v>169</v>
      </c>
      <c r="H8" s="45" t="s">
        <v>181</v>
      </c>
      <c r="I8"/>
    </row>
    <row r="9" spans="1:9" ht="15" customHeight="1" x14ac:dyDescent="0.25">
      <c r="A9" s="49" t="str">
        <f>HYPERLINK("http://www.enginehub.org/craftbook", "CraftBook")</f>
        <v>CraftBook</v>
      </c>
      <c r="B9" s="12" t="s">
        <v>175</v>
      </c>
      <c r="C9" s="17" t="s">
        <v>803</v>
      </c>
      <c r="D9" s="94">
        <v>43342</v>
      </c>
      <c r="E9" t="s">
        <v>153</v>
      </c>
      <c r="F9" s="2" t="s">
        <v>5</v>
      </c>
      <c r="G9" s="13" t="s">
        <v>169</v>
      </c>
      <c r="H9" s="12" t="s">
        <v>181</v>
      </c>
      <c r="I9"/>
    </row>
    <row r="10" spans="1:9" ht="15" customHeight="1" x14ac:dyDescent="0.25">
      <c r="A10" s="11" t="str">
        <f>HYPERLINK("https://www.spigotmc.org/resources/steam-baths.45887/", "SteamBaths")</f>
        <v>SteamBaths</v>
      </c>
      <c r="B10" s="50" t="s">
        <v>196</v>
      </c>
      <c r="C10" s="17" t="s">
        <v>780</v>
      </c>
      <c r="D10" s="94">
        <v>43265</v>
      </c>
      <c r="E10" t="s">
        <v>626</v>
      </c>
      <c r="F10" s="2" t="s">
        <v>5</v>
      </c>
      <c r="G10" s="70" t="s">
        <v>166</v>
      </c>
      <c r="H10" s="70" t="s">
        <v>166</v>
      </c>
      <c r="I10"/>
    </row>
    <row r="11" spans="1:9" ht="15" customHeight="1" x14ac:dyDescent="0.25">
      <c r="A11" s="1" t="str">
        <f>HYPERLINK("https://www.spigotmc.org/resources/wurmbarbecue.8872/", "WurmBarbecue")</f>
        <v>WurmBarbecue</v>
      </c>
      <c r="B11" s="12" t="s">
        <v>175</v>
      </c>
      <c r="C11" s="17" t="s">
        <v>567</v>
      </c>
      <c r="D11" s="94">
        <v>42770</v>
      </c>
      <c r="E11" t="s">
        <v>119</v>
      </c>
      <c r="F11" s="2" t="s">
        <v>5</v>
      </c>
      <c r="G11" s="12" t="s">
        <v>170</v>
      </c>
      <c r="H11" s="12" t="s">
        <v>181</v>
      </c>
      <c r="I11"/>
    </row>
    <row r="12" spans="1:9" ht="18" customHeight="1" thickBot="1" x14ac:dyDescent="0.35">
      <c r="A12" s="98" t="s">
        <v>178</v>
      </c>
      <c r="B12" s="98"/>
      <c r="C12" s="98"/>
      <c r="D12" s="98"/>
      <c r="E12" s="98"/>
      <c r="F12" s="98"/>
      <c r="G12" s="98"/>
      <c r="H12" s="98"/>
      <c r="I12" s="98"/>
    </row>
    <row r="13" spans="1:9" ht="15" customHeight="1" thickTop="1" x14ac:dyDescent="0.3">
      <c r="A13" s="1" t="str">
        <f>HYPERLINK("https://www.spigotmc.org/resources/advanced-shulkerboxes.37115/", "AdvancedShulkerboxes")</f>
        <v>AdvancedShulkerboxes</v>
      </c>
      <c r="B13" s="50" t="s">
        <v>196</v>
      </c>
      <c r="C13" s="17">
        <v>0.4</v>
      </c>
      <c r="D13" s="94">
        <v>42800</v>
      </c>
      <c r="E13" t="s">
        <v>607</v>
      </c>
      <c r="F13" s="2" t="s">
        <v>5</v>
      </c>
      <c r="G13" s="47" t="s">
        <v>166</v>
      </c>
      <c r="H13" s="51" t="s">
        <v>181</v>
      </c>
      <c r="I13" s="48"/>
    </row>
    <row r="14" spans="1:9" ht="15" customHeight="1" x14ac:dyDescent="0.3">
      <c r="A14" s="90" t="str">
        <f>HYPERLINK("https://www.spigotmc.org/resources/armor-stand-editor.44752/", "ArmorStandEditor")</f>
        <v>ArmorStandEditor</v>
      </c>
      <c r="B14" s="60" t="s">
        <v>195</v>
      </c>
      <c r="C14" s="17" t="s">
        <v>807</v>
      </c>
      <c r="D14" s="94">
        <v>43347</v>
      </c>
      <c r="E14" t="s">
        <v>695</v>
      </c>
      <c r="F14" s="2" t="s">
        <v>5</v>
      </c>
      <c r="G14" s="45" t="s">
        <v>696</v>
      </c>
      <c r="H14" s="45" t="s">
        <v>181</v>
      </c>
      <c r="I14" s="48"/>
    </row>
    <row r="15" spans="1:9" ht="15" customHeight="1" x14ac:dyDescent="0.3">
      <c r="A15" s="1" t="str">
        <f>HYPERLINK("https://www.spigotmc.org/resources/better-beds.1824/", "BetterBeds")</f>
        <v>BetterBeds</v>
      </c>
      <c r="B15" s="43" t="s">
        <v>196</v>
      </c>
      <c r="C15" s="17" t="s">
        <v>592</v>
      </c>
      <c r="D15" s="94">
        <v>42114</v>
      </c>
      <c r="E15" t="s">
        <v>593</v>
      </c>
      <c r="F15" s="2" t="s">
        <v>5</v>
      </c>
      <c r="G15" s="13" t="s">
        <v>169</v>
      </c>
      <c r="H15" s="43" t="s">
        <v>181</v>
      </c>
      <c r="I15" s="48"/>
    </row>
    <row r="16" spans="1:9" ht="15" customHeight="1" x14ac:dyDescent="0.25">
      <c r="A16" s="49" t="str">
        <f>HYPERLINK("https://www.spigotmc.org/resources/betterenderchest.2073/", "BetterEnderChest")</f>
        <v>BetterEnderChest</v>
      </c>
      <c r="B16" s="46" t="s">
        <v>196</v>
      </c>
      <c r="C16" s="17" t="s">
        <v>790</v>
      </c>
      <c r="D16" s="94">
        <v>43338</v>
      </c>
      <c r="E16" t="s">
        <v>597</v>
      </c>
      <c r="F16" s="2" t="s">
        <v>5</v>
      </c>
      <c r="G16" s="13" t="s">
        <v>169</v>
      </c>
      <c r="H16" t="s">
        <v>181</v>
      </c>
      <c r="I16"/>
    </row>
    <row r="17" spans="1:9" ht="15" customHeight="1" x14ac:dyDescent="0.25">
      <c r="A17" s="1" t="str">
        <f>HYPERLINK("https://www.spigotmc.org/resources/bookshelves.13219/", "Bookshelves")</f>
        <v>Bookshelves</v>
      </c>
      <c r="B17" s="12" t="s">
        <v>175</v>
      </c>
      <c r="C17" s="17" t="s">
        <v>179</v>
      </c>
      <c r="D17" s="94">
        <v>42507</v>
      </c>
      <c r="E17" t="s">
        <v>89</v>
      </c>
      <c r="F17" s="2" t="s">
        <v>5</v>
      </c>
      <c r="G17" s="12" t="s">
        <v>170</v>
      </c>
      <c r="H17" s="12" t="s">
        <v>181</v>
      </c>
      <c r="I17"/>
    </row>
    <row r="18" spans="1:9" ht="15" customHeight="1" x14ac:dyDescent="0.25">
      <c r="A18" s="1" t="str">
        <f>HYPERLINK("https://www.spigotmc.org/resources/compass-navigator.2998/", "CompassNavigator")</f>
        <v>CompassNavigator</v>
      </c>
      <c r="B18" s="38" t="s">
        <v>192</v>
      </c>
      <c r="C18" s="17" t="s">
        <v>187</v>
      </c>
      <c r="D18" s="94">
        <v>42545</v>
      </c>
      <c r="E18" t="s">
        <v>561</v>
      </c>
      <c r="F18" s="2" t="s">
        <v>5</v>
      </c>
      <c r="G18" s="38" t="s">
        <v>170</v>
      </c>
      <c r="H18" s="38" t="s">
        <v>181</v>
      </c>
      <c r="I18"/>
    </row>
    <row r="19" spans="1:9" ht="15" customHeight="1" x14ac:dyDescent="0.25">
      <c r="A19" s="49" t="str">
        <f>HYPERLINK("https://www.spigotmc.org/resources/editablesign.2502/", "EditableSign")</f>
        <v>EditableSign</v>
      </c>
      <c r="B19" s="12" t="s">
        <v>175</v>
      </c>
      <c r="C19" s="17" t="s">
        <v>797</v>
      </c>
      <c r="D19" s="94">
        <v>43339</v>
      </c>
      <c r="E19" t="s">
        <v>126</v>
      </c>
      <c r="F19" s="2" t="s">
        <v>5</v>
      </c>
      <c r="G19" s="13" t="s">
        <v>169</v>
      </c>
      <c r="H19" s="12" t="s">
        <v>181</v>
      </c>
      <c r="I19"/>
    </row>
    <row r="20" spans="1:9" ht="15" customHeight="1" x14ac:dyDescent="0.25">
      <c r="A20" s="1" t="str">
        <f>HYPERLINK("https://www.spigotmc.org/resources/healthreset.19563/", "HealthReset")</f>
        <v>HealthReset</v>
      </c>
      <c r="B20" s="12" t="s">
        <v>175</v>
      </c>
      <c r="C20" s="17">
        <v>1.1000000000000001</v>
      </c>
      <c r="D20" s="94">
        <v>42435</v>
      </c>
      <c r="E20" t="s">
        <v>76</v>
      </c>
      <c r="F20" s="2" t="s">
        <v>5</v>
      </c>
      <c r="G20" s="12" t="s">
        <v>170</v>
      </c>
      <c r="H20" s="12" t="s">
        <v>166</v>
      </c>
      <c r="I20"/>
    </row>
    <row r="21" spans="1:9" ht="15" customHeight="1" x14ac:dyDescent="0.25">
      <c r="A21" s="11" t="str">
        <f>HYPERLINK("https://www.spigotmc.org/resources/meltitems.24147/", "MeltItems")</f>
        <v>MeltItems</v>
      </c>
      <c r="B21" s="63" t="s">
        <v>195</v>
      </c>
      <c r="C21" s="63" t="s">
        <v>751</v>
      </c>
      <c r="D21" s="94">
        <v>42966</v>
      </c>
      <c r="E21" t="s">
        <v>749</v>
      </c>
      <c r="F21" s="2" t="s">
        <v>5</v>
      </c>
      <c r="G21" s="13" t="s">
        <v>169</v>
      </c>
      <c r="H21" s="70" t="s">
        <v>181</v>
      </c>
      <c r="I21"/>
    </row>
    <row r="22" spans="1:9" ht="15" customHeight="1" x14ac:dyDescent="0.25">
      <c r="A22" s="1" t="str">
        <f>HYPERLINK("https://www.spigotmc.org/resources/padlock.21426/", "Padlock")</f>
        <v>Padlock</v>
      </c>
      <c r="B22" s="61" t="s">
        <v>195</v>
      </c>
      <c r="C22" s="17" t="s">
        <v>781</v>
      </c>
      <c r="D22" s="94">
        <v>43127</v>
      </c>
      <c r="E22" t="s">
        <v>34</v>
      </c>
      <c r="F22" s="2" t="s">
        <v>5</v>
      </c>
      <c r="G22" s="13" t="s">
        <v>169</v>
      </c>
      <c r="H22" s="70" t="s">
        <v>181</v>
      </c>
      <c r="I22"/>
    </row>
    <row r="23" spans="1:9" ht="15" customHeight="1" x14ac:dyDescent="0.25">
      <c r="A23" s="1" t="str">
        <f>HYPERLINK("https://www.spigotmc.org/resources/pickuparrows.8073/", "PickUpArrows")</f>
        <v>PickUpArrows</v>
      </c>
      <c r="B23" s="12" t="s">
        <v>175</v>
      </c>
      <c r="C23" s="17" t="s">
        <v>791</v>
      </c>
      <c r="D23" s="94">
        <v>43323</v>
      </c>
      <c r="E23" t="s">
        <v>50</v>
      </c>
      <c r="F23" s="2" t="s">
        <v>5</v>
      </c>
      <c r="G23" s="14" t="s">
        <v>170</v>
      </c>
      <c r="H23" s="12" t="s">
        <v>166</v>
      </c>
      <c r="I23"/>
    </row>
    <row r="24" spans="1:9" ht="15" customHeight="1" x14ac:dyDescent="0.25">
      <c r="A24" s="1" t="str">
        <f>HYPERLINK("https://www.spigotmc.org/resources/pickupspawners.2933/", "PickUpSpawners")</f>
        <v>PickUpSpawners</v>
      </c>
      <c r="B24" s="12" t="s">
        <v>175</v>
      </c>
      <c r="C24" s="17">
        <v>2.8</v>
      </c>
      <c r="D24" s="94">
        <v>42752</v>
      </c>
      <c r="E24" t="s">
        <v>78</v>
      </c>
      <c r="F24" s="2" t="s">
        <v>5</v>
      </c>
      <c r="G24" s="12" t="s">
        <v>170</v>
      </c>
      <c r="H24" s="12" t="s">
        <v>181</v>
      </c>
      <c r="I24"/>
    </row>
    <row r="25" spans="1:9" ht="15" customHeight="1" x14ac:dyDescent="0.25">
      <c r="A25" s="1" t="str">
        <f>HYPERLINK("https://www.spigotmc.org/resources/horse-shortcuts.17999/", "SaddleMeUp")</f>
        <v>SaddleMeUp</v>
      </c>
      <c r="B25" s="12" t="s">
        <v>175</v>
      </c>
      <c r="C25" s="17" t="s">
        <v>167</v>
      </c>
      <c r="D25" s="94">
        <v>42405</v>
      </c>
      <c r="E25" t="s">
        <v>138</v>
      </c>
      <c r="F25" s="2" t="s">
        <v>5</v>
      </c>
      <c r="G25" s="14" t="s">
        <v>166</v>
      </c>
      <c r="H25" s="12" t="s">
        <v>181</v>
      </c>
      <c r="I25" s="2"/>
    </row>
    <row r="26" spans="1:9" ht="15" customHeight="1" x14ac:dyDescent="0.25">
      <c r="A26" s="49" t="str">
        <f>HYPERLINK("https://www.spigotmc.org/resources/1-9-1-8-shinyitems.12531/", "ShinyItems")</f>
        <v>ShinyItems</v>
      </c>
      <c r="B26" s="12" t="s">
        <v>175</v>
      </c>
      <c r="C26" s="17" t="s">
        <v>782</v>
      </c>
      <c r="D26" s="94">
        <v>43154</v>
      </c>
      <c r="E26" t="s">
        <v>100</v>
      </c>
      <c r="F26" s="2" t="s">
        <v>5</v>
      </c>
      <c r="G26" s="12" t="s">
        <v>170</v>
      </c>
      <c r="H26" s="12" t="s">
        <v>181</v>
      </c>
      <c r="I26"/>
    </row>
    <row r="27" spans="1:9" ht="15" customHeight="1" x14ac:dyDescent="0.25">
      <c r="A27" s="49" t="str">
        <f>HYPERLINK("https://www.spigotmc.org/resources/lightapi-fork.48247/", "-----LightAPI")</f>
        <v>-----LightAPI</v>
      </c>
      <c r="B27" s="12" t="s">
        <v>175</v>
      </c>
      <c r="C27" s="17" t="s">
        <v>796</v>
      </c>
      <c r="D27" s="94">
        <v>43339</v>
      </c>
      <c r="E27" t="s">
        <v>188</v>
      </c>
      <c r="F27" s="2" t="s">
        <v>5</v>
      </c>
      <c r="G27" s="12" t="s">
        <v>170</v>
      </c>
      <c r="H27" s="12" t="s">
        <v>166</v>
      </c>
      <c r="I27"/>
    </row>
    <row r="28" spans="1:9" ht="15" customHeight="1" x14ac:dyDescent="0.25">
      <c r="A28" s="1" t="str">
        <f>HYPERLINK("https://dev.bukkit.org/projects/stackableitems", "StackableItems")</f>
        <v>StackableItems</v>
      </c>
      <c r="B28" s="63" t="s">
        <v>195</v>
      </c>
      <c r="C28" s="17" t="s">
        <v>719</v>
      </c>
      <c r="D28" s="94">
        <v>42445</v>
      </c>
      <c r="E28" t="s">
        <v>718</v>
      </c>
      <c r="F28" s="2" t="s">
        <v>5</v>
      </c>
      <c r="G28" s="13" t="s">
        <v>169</v>
      </c>
      <c r="H28" s="70" t="s">
        <v>181</v>
      </c>
      <c r="I28"/>
    </row>
    <row r="29" spans="1:9" ht="15" customHeight="1" x14ac:dyDescent="0.25">
      <c r="A29" s="1" t="str">
        <f>HYPERLINK("https://www.spigotmc.org/resources/smoking-pipes.8326/", "SmokingPipes")</f>
        <v>SmokingPipes</v>
      </c>
      <c r="B29" s="12" t="s">
        <v>192</v>
      </c>
      <c r="C29" s="17" t="s">
        <v>751</v>
      </c>
      <c r="D29" s="94">
        <v>43334</v>
      </c>
      <c r="E29" t="s">
        <v>120</v>
      </c>
      <c r="F29" s="2" t="s">
        <v>5</v>
      </c>
      <c r="G29" s="36" t="s">
        <v>168</v>
      </c>
      <c r="H29" s="36" t="s">
        <v>166</v>
      </c>
      <c r="I29"/>
    </row>
    <row r="30" spans="1:9" ht="15" customHeight="1" x14ac:dyDescent="0.25">
      <c r="A30" s="87" t="str">
        <f>HYPERLINK("https://www.spigotmc.org/resources/zenchantments.12948/", "Zenchantments")</f>
        <v>Zenchantments</v>
      </c>
      <c r="B30" s="12" t="s">
        <v>192</v>
      </c>
      <c r="C30" s="17" t="s">
        <v>648</v>
      </c>
      <c r="E30" t="s">
        <v>19</v>
      </c>
      <c r="F30" s="2" t="s">
        <v>5</v>
      </c>
      <c r="G30" s="38" t="s">
        <v>168</v>
      </c>
      <c r="H30" s="38" t="s">
        <v>181</v>
      </c>
      <c r="I30"/>
    </row>
    <row r="31" spans="1:9" ht="18" customHeight="1" thickBot="1" x14ac:dyDescent="0.35">
      <c r="A31" s="98" t="s">
        <v>182</v>
      </c>
      <c r="B31" s="98"/>
      <c r="C31" s="98"/>
      <c r="D31" s="98"/>
      <c r="E31" s="98"/>
      <c r="F31" s="98"/>
      <c r="G31" s="98"/>
      <c r="H31" s="98"/>
      <c r="I31" s="98"/>
    </row>
    <row r="32" spans="1:9" ht="15" customHeight="1" thickTop="1" x14ac:dyDescent="0.25">
      <c r="A32" s="1" t="str">
        <f>HYPERLINK("https://www.spigotmc.org/resources/autopickup.7623/", "AutoPickup")</f>
        <v>AutoPickup</v>
      </c>
      <c r="B32" s="61" t="s">
        <v>195</v>
      </c>
      <c r="C32" s="59" t="s">
        <v>721</v>
      </c>
      <c r="D32" s="94">
        <v>42816</v>
      </c>
      <c r="E32" t="s">
        <v>664</v>
      </c>
      <c r="F32" s="2" t="s">
        <v>5</v>
      </c>
      <c r="G32" s="13" t="s">
        <v>169</v>
      </c>
      <c r="H32" s="70" t="s">
        <v>181</v>
      </c>
      <c r="I32"/>
    </row>
    <row r="33" spans="1:9" ht="15" customHeight="1" x14ac:dyDescent="0.25">
      <c r="A33" s="1" t="str">
        <f>HYPERLINK("https://www.spigotmc.org/resources/betterfood.50469/", "BetterFood")</f>
        <v>BetterFood</v>
      </c>
      <c r="B33" s="61" t="s">
        <v>195</v>
      </c>
      <c r="C33" s="60" t="s">
        <v>784</v>
      </c>
      <c r="D33" s="94">
        <v>43261</v>
      </c>
      <c r="E33" t="s">
        <v>682</v>
      </c>
      <c r="F33" s="2" t="s">
        <v>5</v>
      </c>
      <c r="G33" s="14" t="s">
        <v>166</v>
      </c>
      <c r="H33" s="70" t="s">
        <v>181</v>
      </c>
      <c r="I33"/>
    </row>
    <row r="34" spans="1:9" ht="15" customHeight="1" x14ac:dyDescent="0.25">
      <c r="A34" s="1" t="str">
        <f>HYPERLINK("https://www.spigotmc.org/resources/dense-ores.10087/", "DenseOres")</f>
        <v>DenseOres</v>
      </c>
      <c r="B34" s="12" t="s">
        <v>164</v>
      </c>
      <c r="C34" s="17">
        <v>2.4</v>
      </c>
      <c r="D34" s="94">
        <v>42445</v>
      </c>
      <c r="E34" t="s">
        <v>64</v>
      </c>
      <c r="F34" s="2" t="s">
        <v>5</v>
      </c>
      <c r="G34" s="12" t="s">
        <v>170</v>
      </c>
      <c r="H34" s="12" t="s">
        <v>181</v>
      </c>
    </row>
    <row r="35" spans="1:9" ht="15" customHeight="1" x14ac:dyDescent="0.25">
      <c r="A35" s="49" t="str">
        <f>HYPERLINK("https://www.spigotmc.org/resources/disease.3911/", "Disease")</f>
        <v>Disease</v>
      </c>
      <c r="B35" s="38" t="s">
        <v>192</v>
      </c>
      <c r="C35" s="17" t="s">
        <v>792</v>
      </c>
      <c r="D35" s="94">
        <v>43318</v>
      </c>
      <c r="E35" t="s">
        <v>555</v>
      </c>
      <c r="F35" s="2" t="s">
        <v>5</v>
      </c>
      <c r="G35" s="38" t="s">
        <v>168</v>
      </c>
      <c r="H35" s="38" t="s">
        <v>181</v>
      </c>
      <c r="I35"/>
    </row>
    <row r="36" spans="1:9" ht="15" customHeight="1" x14ac:dyDescent="0.25">
      <c r="A36" s="88" t="str">
        <f>HYPERLINK("https://www.spigotmc.org/resources/extra-hard-mode.19673/", "ExtraHardMode")</f>
        <v>ExtraHardMode</v>
      </c>
      <c r="B36" s="12" t="s">
        <v>192</v>
      </c>
      <c r="C36" s="17" t="s">
        <v>595</v>
      </c>
      <c r="E36" t="s">
        <v>313</v>
      </c>
      <c r="F36" s="2" t="s">
        <v>5</v>
      </c>
      <c r="G36" s="38" t="s">
        <v>168</v>
      </c>
      <c r="H36" s="38" t="s">
        <v>181</v>
      </c>
      <c r="I36"/>
    </row>
    <row r="37" spans="1:9" ht="15" customHeight="1" x14ac:dyDescent="0.25">
      <c r="A37" s="1" t="str">
        <f>HYPERLINK("https://www.spigotmc.org/resources/keepinventory.1638/", "KeepItems")</f>
        <v>KeepItems</v>
      </c>
      <c r="B37" s="12" t="s">
        <v>175</v>
      </c>
      <c r="C37" s="17" t="s">
        <v>277</v>
      </c>
      <c r="D37" s="94">
        <v>42676</v>
      </c>
      <c r="E37" t="s">
        <v>281</v>
      </c>
      <c r="F37" s="2" t="s">
        <v>5</v>
      </c>
      <c r="G37" s="13" t="s">
        <v>169</v>
      </c>
      <c r="H37" s="12" t="s">
        <v>181</v>
      </c>
      <c r="I37"/>
    </row>
    <row r="38" spans="1:9" ht="15" customHeight="1" x14ac:dyDescent="0.25">
      <c r="A38" s="1" t="str">
        <f>HYPERLINK("https://www.spigotmc.org/resources/need-to-sleep-make-beds-more-important-1-9-1-11.27134/", "NeedToSleep")</f>
        <v>NeedToSleep</v>
      </c>
      <c r="B38" s="38" t="s">
        <v>192</v>
      </c>
      <c r="C38" s="17">
        <v>2.8</v>
      </c>
      <c r="D38" s="94">
        <v>42703</v>
      </c>
      <c r="E38" t="s">
        <v>556</v>
      </c>
      <c r="F38" s="2" t="s">
        <v>5</v>
      </c>
      <c r="G38" s="38" t="s">
        <v>168</v>
      </c>
      <c r="H38" s="38" t="s">
        <v>166</v>
      </c>
      <c r="I38"/>
    </row>
    <row r="39" spans="1:9" ht="15" customHeight="1" x14ac:dyDescent="0.25">
      <c r="A39" s="1" t="str">
        <f>HYPERLINK("https://dev.bukkit.org/bukkit-plugins/savagedeathchest/", "SavageDeathChest")</f>
        <v>SavageDeathChest</v>
      </c>
      <c r="B39" s="12" t="s">
        <v>175</v>
      </c>
      <c r="C39" s="17" t="s">
        <v>640</v>
      </c>
      <c r="D39" s="94">
        <v>42786</v>
      </c>
      <c r="E39" t="s">
        <v>265</v>
      </c>
      <c r="F39" s="2" t="s">
        <v>5</v>
      </c>
      <c r="G39" s="12" t="s">
        <v>168</v>
      </c>
      <c r="H39" s="12" t="s">
        <v>181</v>
      </c>
      <c r="I39"/>
    </row>
    <row r="40" spans="1:9" ht="15" customHeight="1" x14ac:dyDescent="0.25">
      <c r="A40" s="49" t="str">
        <f>HYPERLINK("https://www.spigotmc.org/resources/thirst.3316/", "Thirst")</f>
        <v>Thirst</v>
      </c>
      <c r="B40" s="12" t="s">
        <v>175</v>
      </c>
      <c r="C40" s="17" t="s">
        <v>798</v>
      </c>
      <c r="D40" s="94">
        <v>43345</v>
      </c>
      <c r="E40" t="s">
        <v>190</v>
      </c>
      <c r="F40" s="2" t="s">
        <v>5</v>
      </c>
      <c r="G40" s="12" t="s">
        <v>168</v>
      </c>
      <c r="H40" s="12" t="s">
        <v>181</v>
      </c>
      <c r="I40"/>
    </row>
    <row r="41" spans="1:9" ht="15" customHeight="1" x14ac:dyDescent="0.25">
      <c r="A41" s="1" t="str">
        <f>HYPERLINK("https://dev.bukkit.org/projects/bar-api", "-----BarAPI")</f>
        <v>-----BarAPI</v>
      </c>
      <c r="B41" s="50" t="s">
        <v>196</v>
      </c>
      <c r="C41" s="17">
        <v>3.5</v>
      </c>
      <c r="D41" s="94">
        <v>42678</v>
      </c>
      <c r="E41" t="s">
        <v>609</v>
      </c>
      <c r="F41" s="2" t="s">
        <v>5</v>
      </c>
      <c r="G41" s="50" t="s">
        <v>170</v>
      </c>
      <c r="H41" s="50" t="s">
        <v>166</v>
      </c>
      <c r="I41"/>
    </row>
    <row r="42" spans="1:9" ht="18" customHeight="1" thickBot="1" x14ac:dyDescent="0.35">
      <c r="A42" s="98" t="s">
        <v>160</v>
      </c>
      <c r="B42" s="98"/>
      <c r="C42" s="98"/>
      <c r="D42" s="98"/>
      <c r="E42" s="98"/>
      <c r="F42" s="98"/>
      <c r="G42" s="98"/>
      <c r="H42" s="98"/>
      <c r="I42" s="98"/>
    </row>
    <row r="43" spans="1:9" ht="15" customHeight="1" thickTop="1" x14ac:dyDescent="0.25">
      <c r="A43" s="49" t="str">
        <f>HYPERLINK("https://www.spigotmc.org/resources/dynmap.274/", "dynmap")</f>
        <v>dynmap</v>
      </c>
      <c r="B43" s="12" t="s">
        <v>164</v>
      </c>
      <c r="C43" s="17" t="s">
        <v>820</v>
      </c>
      <c r="D43" s="94">
        <v>43346</v>
      </c>
      <c r="E43" t="s">
        <v>75</v>
      </c>
      <c r="F43" s="2" t="s">
        <v>5</v>
      </c>
      <c r="G43" s="13" t="s">
        <v>169</v>
      </c>
      <c r="H43" s="12" t="s">
        <v>181</v>
      </c>
    </row>
    <row r="44" spans="1:9" ht="15" customHeight="1" x14ac:dyDescent="0.25">
      <c r="A44" s="88" t="str">
        <f>HYPERLINK("https://dev.bukkit.org/projects/dynmap-worldguard", "-----Dynmap-Worldguard")</f>
        <v>-----Dynmap-Worldguard</v>
      </c>
      <c r="B44" s="50" t="s">
        <v>196</v>
      </c>
      <c r="C44" s="17" t="s">
        <v>604</v>
      </c>
      <c r="E44" t="s">
        <v>605</v>
      </c>
      <c r="F44" s="2" t="s">
        <v>5</v>
      </c>
      <c r="G44" s="47" t="s">
        <v>169</v>
      </c>
      <c r="H44" s="50" t="s">
        <v>181</v>
      </c>
      <c r="I44" s="50"/>
    </row>
    <row r="45" spans="1:9" ht="15" customHeight="1" x14ac:dyDescent="0.25">
      <c r="A45" s="49" t="str">
        <f>HYPERLINK("https://www.spigotmc.org/resources/protocollib.1997/", "ProtocolLib")</f>
        <v>ProtocolLib</v>
      </c>
      <c r="B45" s="86" t="s">
        <v>164</v>
      </c>
      <c r="C45" s="17" t="s">
        <v>793</v>
      </c>
      <c r="D45" s="94">
        <v>43336</v>
      </c>
      <c r="E45" t="s">
        <v>172</v>
      </c>
      <c r="F45" s="2" t="s">
        <v>5</v>
      </c>
      <c r="G45" s="13" t="s">
        <v>173</v>
      </c>
      <c r="H45" s="12" t="s">
        <v>181</v>
      </c>
    </row>
    <row r="46" spans="1:9" ht="15" customHeight="1" x14ac:dyDescent="0.25">
      <c r="A46" s="1" t="str">
        <f>HYPERLINK("https://dev.bukkit.org/projects/vault", "Vault")</f>
        <v>Vault</v>
      </c>
      <c r="B46" s="42" t="s">
        <v>196</v>
      </c>
      <c r="C46" s="17" t="s">
        <v>589</v>
      </c>
      <c r="D46" s="94">
        <v>42234</v>
      </c>
      <c r="E46" t="s">
        <v>172</v>
      </c>
      <c r="F46" s="2" t="s">
        <v>5</v>
      </c>
      <c r="G46" s="47" t="s">
        <v>170</v>
      </c>
      <c r="H46" s="44" t="s">
        <v>181</v>
      </c>
      <c r="I46" s="42"/>
    </row>
    <row r="47" spans="1:9" ht="18" customHeight="1" thickBot="1" x14ac:dyDescent="0.35">
      <c r="A47" s="98" t="s">
        <v>698</v>
      </c>
      <c r="B47" s="98"/>
      <c r="C47" s="98"/>
      <c r="D47" s="98"/>
      <c r="E47" s="98"/>
      <c r="F47" s="98"/>
      <c r="G47" s="98"/>
      <c r="H47" s="98"/>
      <c r="I47" s="98"/>
    </row>
    <row r="48" spans="1:9" ht="18" customHeight="1" thickTop="1" x14ac:dyDescent="0.3">
      <c r="A48" s="85" t="str">
        <f>HYPERLINK("xxx", "BetterHorseBreeding")</f>
        <v>BetterHorseBreeding</v>
      </c>
      <c r="B48" s="80" t="s">
        <v>196</v>
      </c>
      <c r="C48" s="82">
        <v>1.1000000000000001</v>
      </c>
      <c r="E48" s="76"/>
      <c r="F48" s="83" t="s">
        <v>5</v>
      </c>
      <c r="G48" s="84"/>
      <c r="H48" s="82"/>
      <c r="I48" s="48"/>
    </row>
    <row r="49" spans="1:10" ht="15" customHeight="1" x14ac:dyDescent="0.25">
      <c r="A49" s="11" t="str">
        <f>HYPERLINK("https://www.spigotmc.org/resources/out-come-the-wolves.3369/", "OutComeTheWolves")</f>
        <v>OutComeTheWolves</v>
      </c>
      <c r="B49" s="61" t="s">
        <v>195</v>
      </c>
      <c r="C49" s="60" t="s">
        <v>754</v>
      </c>
      <c r="D49" s="94">
        <v>42026</v>
      </c>
      <c r="E49" t="s">
        <v>681</v>
      </c>
      <c r="F49" s="2" t="s">
        <v>5</v>
      </c>
      <c r="G49" s="13" t="s">
        <v>169</v>
      </c>
      <c r="H49" s="71" t="s">
        <v>181</v>
      </c>
      <c r="I49"/>
    </row>
    <row r="50" spans="1:10" ht="15" customHeight="1" x14ac:dyDescent="0.25">
      <c r="A50" s="49" t="str">
        <f>HYPERLINK("https://www.spigotmc.org/resources/pet-master.15904/", "PetMaster")</f>
        <v>PetMaster</v>
      </c>
      <c r="B50" s="12" t="s">
        <v>175</v>
      </c>
      <c r="C50" s="17" t="s">
        <v>794</v>
      </c>
      <c r="D50" s="94">
        <v>43322</v>
      </c>
      <c r="E50" t="s">
        <v>135</v>
      </c>
      <c r="F50" s="2" t="s">
        <v>5</v>
      </c>
      <c r="G50" s="14" t="s">
        <v>183</v>
      </c>
      <c r="H50" s="12" t="s">
        <v>181</v>
      </c>
      <c r="I50"/>
    </row>
    <row r="51" spans="1:10" ht="15" customHeight="1" x14ac:dyDescent="0.25">
      <c r="A51" s="49" t="str">
        <f>HYPERLINK("https://dev.bukkit.org/bukkit-plugins/holographic-displays/?page=2", "-----HolographicDisplays")</f>
        <v>-----HolographicDisplays</v>
      </c>
      <c r="B51" s="12" t="s">
        <v>175</v>
      </c>
      <c r="C51" s="17" t="s">
        <v>789</v>
      </c>
      <c r="D51" s="94">
        <v>43346</v>
      </c>
      <c r="E51" t="s">
        <v>185</v>
      </c>
      <c r="F51" s="2" t="s">
        <v>5</v>
      </c>
      <c r="G51" s="14" t="s">
        <v>170</v>
      </c>
      <c r="H51" s="12" t="s">
        <v>181</v>
      </c>
      <c r="I51"/>
      <c r="J51" s="1"/>
    </row>
    <row r="52" spans="1:10" ht="15" customHeight="1" x14ac:dyDescent="0.25">
      <c r="A52" s="9" t="str">
        <f>HYPERLINK("https://www.spigotmc.org/resources/zhorse.3384/", "ZHorse")</f>
        <v>ZHorse</v>
      </c>
      <c r="B52" s="50" t="s">
        <v>196</v>
      </c>
      <c r="C52" s="17" t="s">
        <v>795</v>
      </c>
      <c r="D52" s="94">
        <v>43310</v>
      </c>
      <c r="E52" t="s">
        <v>608</v>
      </c>
      <c r="F52" s="2" t="s">
        <v>5</v>
      </c>
      <c r="G52" s="50" t="s">
        <v>168</v>
      </c>
      <c r="H52" s="50" t="s">
        <v>181</v>
      </c>
      <c r="I52"/>
    </row>
    <row r="53" spans="1:10" ht="18" customHeight="1" thickBot="1" x14ac:dyDescent="0.35">
      <c r="A53" s="98" t="s">
        <v>699</v>
      </c>
      <c r="B53" s="98"/>
      <c r="C53" s="98"/>
      <c r="D53" s="98"/>
      <c r="E53" s="98"/>
      <c r="F53" s="98"/>
      <c r="G53" s="98"/>
      <c r="H53" s="98"/>
      <c r="I53" s="98"/>
    </row>
    <row r="54" spans="1:10" ht="18" customHeight="1" thickTop="1" thickBot="1" x14ac:dyDescent="0.35">
      <c r="A54" s="99" t="s">
        <v>240</v>
      </c>
      <c r="B54" s="99"/>
      <c r="C54" s="99"/>
      <c r="D54" s="99"/>
      <c r="E54" s="99"/>
      <c r="F54" s="99"/>
      <c r="G54" s="99"/>
      <c r="H54" s="99"/>
      <c r="I54" s="99"/>
    </row>
    <row r="55" spans="1:10" ht="15" customHeight="1" thickTop="1" x14ac:dyDescent="0.25">
      <c r="A55" s="88" t="str">
        <f>HYPERLINK("https://www.dokucraft.co.uk/resource-packs/light", "Dokucraft Light")</f>
        <v>Dokucraft Light</v>
      </c>
      <c r="B55" s="12" t="s">
        <v>164</v>
      </c>
      <c r="C55" s="32">
        <v>1.1100000000000001</v>
      </c>
      <c r="E55" t="s">
        <v>311</v>
      </c>
      <c r="F55" s="2" t="s">
        <v>5</v>
      </c>
      <c r="G55" s="12" t="s">
        <v>166</v>
      </c>
      <c r="H55" s="12" t="s">
        <v>166</v>
      </c>
      <c r="I55" s="21"/>
    </row>
    <row r="56" spans="1:10" ht="18" customHeight="1" thickBot="1" x14ac:dyDescent="0.35">
      <c r="A56" s="98" t="s">
        <v>174</v>
      </c>
      <c r="B56" s="98"/>
      <c r="C56" s="98"/>
      <c r="D56" s="98"/>
      <c r="E56" s="98"/>
      <c r="F56" s="98"/>
      <c r="G56" s="98"/>
      <c r="H56" s="98"/>
      <c r="I56" s="98"/>
    </row>
    <row r="57" spans="1:10" ht="15" customHeight="1" thickTop="1" x14ac:dyDescent="0.25">
      <c r="A57" s="1" t="str">
        <f>HYPERLINK("https://www.spigotmc.org/resources/action-bar-health.2661/", "ActionHealth")</f>
        <v>ActionHealth</v>
      </c>
      <c r="B57" s="12" t="s">
        <v>175</v>
      </c>
      <c r="C57" s="17" t="s">
        <v>783</v>
      </c>
      <c r="D57" s="94">
        <v>43342</v>
      </c>
      <c r="E57" t="s">
        <v>77</v>
      </c>
      <c r="F57" s="2" t="s">
        <v>5</v>
      </c>
      <c r="G57" t="s">
        <v>176</v>
      </c>
      <c r="H57" s="12" t="s">
        <v>181</v>
      </c>
      <c r="I57"/>
    </row>
    <row r="58" spans="1:10" ht="15" customHeight="1" x14ac:dyDescent="0.25">
      <c r="A58" s="90" t="str">
        <f>HYPERLINK("https://www.spigotmc.org/resources/%E2%99%A3-chatcontrol-pro-the-premium-chat-plugin.10258/", "ChatControl")</f>
        <v>ChatControl</v>
      </c>
      <c r="B58" s="12" t="s">
        <v>196</v>
      </c>
      <c r="C58" s="62" t="s">
        <v>806</v>
      </c>
      <c r="D58" s="94">
        <v>43347</v>
      </c>
      <c r="E58" t="s">
        <v>104</v>
      </c>
      <c r="F58" s="2" t="s">
        <v>5</v>
      </c>
      <c r="G58" s="50" t="s">
        <v>169</v>
      </c>
      <c r="H58" s="50" t="s">
        <v>181</v>
      </c>
      <c r="I58"/>
    </row>
    <row r="59" spans="1:10" ht="15" customHeight="1" x14ac:dyDescent="0.25">
      <c r="A59" s="49" t="str">
        <f>HYPERLINK("https://www.spigotmc.org/resources/chatitem.19064/", "ChatItem")</f>
        <v>ChatItem</v>
      </c>
      <c r="B59" s="12" t="s">
        <v>196</v>
      </c>
      <c r="C59" s="62" t="s">
        <v>785</v>
      </c>
      <c r="D59" s="94">
        <v>43146</v>
      </c>
      <c r="E59" t="s">
        <v>152</v>
      </c>
      <c r="F59" s="2" t="s">
        <v>5</v>
      </c>
      <c r="G59" s="50" t="s">
        <v>169</v>
      </c>
      <c r="H59" s="50" t="s">
        <v>181</v>
      </c>
      <c r="I59"/>
    </row>
    <row r="60" spans="1:10" ht="15" customHeight="1" x14ac:dyDescent="0.25">
      <c r="A60" s="91" t="str">
        <f>HYPERLINK("https://www.spigotmc.org/resources/customlist-easy-to-use-lightweight.13748/", "CustomList")</f>
        <v>CustomList</v>
      </c>
      <c r="B60" s="12" t="s">
        <v>175</v>
      </c>
      <c r="C60" s="17" t="s">
        <v>180</v>
      </c>
      <c r="E60" t="s">
        <v>107</v>
      </c>
      <c r="F60" s="2" t="s">
        <v>5</v>
      </c>
      <c r="G60" s="12" t="s">
        <v>184</v>
      </c>
      <c r="H60" s="12" t="s">
        <v>181</v>
      </c>
      <c r="I60"/>
    </row>
    <row r="61" spans="1:10" ht="15" customHeight="1" x14ac:dyDescent="0.25">
      <c r="A61" s="9" t="str">
        <f>HYPERLINK("https://www.spigotmc.org/resources/duratiblity-stats.21522/", "DurabilityStats")</f>
        <v>DurabilityStats</v>
      </c>
      <c r="B61" s="12" t="s">
        <v>175</v>
      </c>
      <c r="C61" s="17" t="s">
        <v>167</v>
      </c>
      <c r="D61" s="94">
        <v>42469</v>
      </c>
      <c r="E61" t="s">
        <v>23</v>
      </c>
      <c r="F61" s="2" t="s">
        <v>5</v>
      </c>
      <c r="G61" s="12" t="s">
        <v>166</v>
      </c>
      <c r="H61" s="12" t="s">
        <v>181</v>
      </c>
      <c r="I61"/>
    </row>
    <row r="62" spans="1:10" ht="15" customHeight="1" x14ac:dyDescent="0.25">
      <c r="A62" s="1" t="str">
        <f>HYPERLINK("https://www.spigotmc.org/resources/%E2%97%86-furnace-notify-1-9-1-8-support-%E2%97%86.21781/", "FurnaceNotify")</f>
        <v>FurnaceNotify</v>
      </c>
      <c r="B62" s="12" t="s">
        <v>175</v>
      </c>
      <c r="C62" s="17" t="s">
        <v>786</v>
      </c>
      <c r="D62" s="94">
        <v>42979</v>
      </c>
      <c r="E62" t="s">
        <v>124</v>
      </c>
      <c r="F62" s="2" t="s">
        <v>5</v>
      </c>
      <c r="G62" s="12" t="s">
        <v>170</v>
      </c>
      <c r="H62" s="12" t="s">
        <v>181</v>
      </c>
      <c r="I62"/>
    </row>
    <row r="63" spans="1:10" ht="15" customHeight="1" x14ac:dyDescent="0.25">
      <c r="A63" s="1" t="str">
        <f>HYPERLINK("https://www.spigotmc.org/resources/trade-compact-trading-gui.17427/", "Trade")</f>
        <v>Trade</v>
      </c>
      <c r="B63" s="12" t="s">
        <v>175</v>
      </c>
      <c r="C63" s="17" t="s">
        <v>191</v>
      </c>
      <c r="D63" s="94">
        <v>42456</v>
      </c>
      <c r="E63" t="s">
        <v>53</v>
      </c>
      <c r="F63" s="2" t="s">
        <v>5</v>
      </c>
      <c r="G63" s="14" t="s">
        <v>170</v>
      </c>
      <c r="H63" s="12" t="s">
        <v>166</v>
      </c>
      <c r="I63"/>
    </row>
    <row r="64" spans="1:10" ht="15" customHeight="1" x14ac:dyDescent="0.25">
      <c r="A64" s="1" t="str">
        <f>HYPERLINK("https://www.spigotmc.org/resources/trash-can.21198/", "TrashCan")</f>
        <v>TrashCan</v>
      </c>
      <c r="B64" s="50" t="s">
        <v>196</v>
      </c>
      <c r="C64" s="17" t="s">
        <v>167</v>
      </c>
      <c r="D64" s="94">
        <v>42960</v>
      </c>
      <c r="E64" t="s">
        <v>610</v>
      </c>
      <c r="F64" s="2" t="s">
        <v>5</v>
      </c>
      <c r="G64" s="14" t="s">
        <v>170</v>
      </c>
      <c r="H64" s="50" t="s">
        <v>181</v>
      </c>
      <c r="I64"/>
    </row>
    <row r="65" spans="1:10" ht="18" customHeight="1" thickBot="1" x14ac:dyDescent="0.35">
      <c r="A65" s="98" t="s">
        <v>159</v>
      </c>
      <c r="B65" s="98"/>
      <c r="C65" s="98"/>
      <c r="D65" s="98"/>
      <c r="E65" s="98"/>
      <c r="F65" s="98"/>
      <c r="G65" s="98"/>
      <c r="H65" s="98"/>
      <c r="I65" s="98"/>
    </row>
    <row r="66" spans="1:10" ht="15" customHeight="1" thickTop="1" x14ac:dyDescent="0.25">
      <c r="A66" s="90" t="str">
        <f>HYPERLINK("http://www.enginehub.org/worldedit", "WorldEdit")</f>
        <v>WorldEdit</v>
      </c>
      <c r="B66" s="12" t="s">
        <v>164</v>
      </c>
      <c r="C66" s="17" t="s">
        <v>802</v>
      </c>
      <c r="D66" s="94">
        <v>43345</v>
      </c>
      <c r="E66" t="s">
        <v>150</v>
      </c>
      <c r="F66" s="2" t="s">
        <v>5</v>
      </c>
      <c r="G66" s="13" t="s">
        <v>169</v>
      </c>
      <c r="H66" s="12" t="s">
        <v>181</v>
      </c>
      <c r="I66" s="1"/>
      <c r="J66" s="1"/>
    </row>
    <row r="67" spans="1:10" ht="15" customHeight="1" x14ac:dyDescent="0.25">
      <c r="A67" s="49" t="str">
        <f>HYPERLINK("https://www.spigotmc.org/resources/worldeditselectionvisualizer.17311/", "-----WorldEditSelectionVisualizer")</f>
        <v>-----WorldEditSelectionVisualizer</v>
      </c>
      <c r="B67" s="12" t="s">
        <v>164</v>
      </c>
      <c r="C67" s="17" t="s">
        <v>787</v>
      </c>
      <c r="D67" s="94">
        <v>43301</v>
      </c>
      <c r="E67" t="s">
        <v>125</v>
      </c>
      <c r="F67" s="2" t="s">
        <v>5</v>
      </c>
      <c r="G67" s="13" t="s">
        <v>169</v>
      </c>
      <c r="H67" s="12" t="s">
        <v>181</v>
      </c>
      <c r="I67" s="1"/>
    </row>
    <row r="68" spans="1:10" ht="15" customHeight="1" x14ac:dyDescent="0.25">
      <c r="A68" s="89" t="str">
        <f>HYPERLINK("https://worldguard.enginehub.org/en/latest/", "WorldGuard")</f>
        <v>WorldGuard</v>
      </c>
      <c r="B68" s="12" t="s">
        <v>195</v>
      </c>
      <c r="C68" s="22" t="s">
        <v>801</v>
      </c>
      <c r="D68" s="94">
        <v>43346</v>
      </c>
      <c r="E68" t="s">
        <v>155</v>
      </c>
      <c r="F68" s="2" t="s">
        <v>5</v>
      </c>
      <c r="G68" s="13" t="s">
        <v>169</v>
      </c>
      <c r="H68" s="50" t="s">
        <v>181</v>
      </c>
      <c r="I68"/>
    </row>
    <row r="69" spans="1:10" ht="15" customHeight="1" x14ac:dyDescent="0.25">
      <c r="A69" s="49" t="str">
        <f>HYPERLINK("https://www.spigotmc.org/resources/worldguard-extra-flags.4823/", "-----WorldGuardExtraFlags")</f>
        <v>-----WorldGuardExtraFlags</v>
      </c>
      <c r="B69" s="50" t="s">
        <v>195</v>
      </c>
      <c r="C69" s="17" t="s">
        <v>788</v>
      </c>
      <c r="D69" s="94">
        <v>43310</v>
      </c>
      <c r="E69" t="s">
        <v>606</v>
      </c>
      <c r="F69" s="2" t="s">
        <v>5</v>
      </c>
      <c r="G69" s="47" t="s">
        <v>166</v>
      </c>
      <c r="H69" s="50" t="s">
        <v>166</v>
      </c>
      <c r="I69"/>
    </row>
    <row r="70" spans="1:10" ht="18" customHeight="1" thickBot="1" x14ac:dyDescent="0.35">
      <c r="A70" s="100" t="s">
        <v>293</v>
      </c>
      <c r="B70" s="100"/>
      <c r="C70" s="100"/>
      <c r="D70" s="100"/>
      <c r="E70" s="100"/>
      <c r="F70" s="100"/>
      <c r="G70" s="100"/>
      <c r="H70" s="100"/>
      <c r="I70" s="100"/>
    </row>
    <row r="71" spans="1:10" ht="15" customHeight="1" thickTop="1" x14ac:dyDescent="0.25">
      <c r="A71" s="1" t="str">
        <f>HYPERLINK("https://www.spigotmc.org/resources/%E2%98%85armorstandgui%E2%98%85.18567/", "ArmorStandGUI")</f>
        <v>ArmorStandGUI</v>
      </c>
      <c r="B71" s="12" t="s">
        <v>175</v>
      </c>
      <c r="C71" s="17" t="s">
        <v>177</v>
      </c>
      <c r="E71" t="s">
        <v>87</v>
      </c>
      <c r="F71" s="2" t="s">
        <v>5</v>
      </c>
      <c r="G71" s="12" t="s">
        <v>166</v>
      </c>
      <c r="H71" s="12" t="s">
        <v>181</v>
      </c>
      <c r="I71"/>
    </row>
    <row r="72" spans="1:10" ht="15" customHeight="1" x14ac:dyDescent="0.25">
      <c r="A72" s="1" t="str">
        <f>HYPERLINK("https://www.spigotmc.org/resources/drops.1444/", "Auto_Pickup")</f>
        <v>Auto_Pickup</v>
      </c>
      <c r="B72" s="12" t="s">
        <v>175</v>
      </c>
      <c r="C72" s="17">
        <v>1.9</v>
      </c>
      <c r="E72" t="s">
        <v>83</v>
      </c>
      <c r="F72" s="2" t="s">
        <v>5</v>
      </c>
      <c r="G72" s="12" t="s">
        <v>170</v>
      </c>
      <c r="H72" s="12" t="s">
        <v>181</v>
      </c>
      <c r="I72"/>
    </row>
    <row r="73" spans="1:10" ht="15" customHeight="1" x14ac:dyDescent="0.25">
      <c r="A73" s="88" t="str">
        <f>HYPERLINK("https://www.spigotmc.org/resources/chestoverflow.17954/", "ChestOverflow")</f>
        <v>ChestOverflow</v>
      </c>
      <c r="B73" s="12" t="s">
        <v>175</v>
      </c>
      <c r="C73" s="17" t="s">
        <v>167</v>
      </c>
      <c r="E73" t="s">
        <v>137</v>
      </c>
      <c r="F73" s="2" t="s">
        <v>5</v>
      </c>
      <c r="G73" s="12" t="s">
        <v>166</v>
      </c>
      <c r="H73" s="12" t="s">
        <v>181</v>
      </c>
      <c r="I73"/>
    </row>
    <row r="74" spans="1:10" ht="15" customHeight="1" x14ac:dyDescent="0.25">
      <c r="A74" s="87" t="str">
        <f>HYPERLINK("http://www.enginehub.org/commandbook", "CommandBook")</f>
        <v>CommandBook</v>
      </c>
      <c r="B74" s="86" t="s">
        <v>175</v>
      </c>
      <c r="C74" s="17">
        <v>2.5</v>
      </c>
      <c r="E74" t="s">
        <v>151</v>
      </c>
      <c r="F74" s="2" t="s">
        <v>5</v>
      </c>
      <c r="G74" s="13" t="s">
        <v>169</v>
      </c>
      <c r="H74" s="12" t="s">
        <v>181</v>
      </c>
      <c r="I74" s="1"/>
    </row>
    <row r="75" spans="1:10" ht="15" customHeight="1" x14ac:dyDescent="0.25">
      <c r="A75" s="88" t="str">
        <f>HYPERLINK("https://www.spigotmc.org/resources/1-9-harvest.18153/", "Harvest")</f>
        <v>Harvest</v>
      </c>
      <c r="B75" s="12" t="s">
        <v>175</v>
      </c>
      <c r="C75" s="17" t="s">
        <v>641</v>
      </c>
      <c r="E75" t="s">
        <v>38</v>
      </c>
      <c r="F75" s="2" t="s">
        <v>5</v>
      </c>
      <c r="G75" s="12" t="s">
        <v>170</v>
      </c>
      <c r="H75" s="12" t="s">
        <v>181</v>
      </c>
      <c r="I75"/>
    </row>
    <row r="76" spans="1:10" ht="15" customHeight="1" x14ac:dyDescent="0.25">
      <c r="A76" s="1" t="str">
        <f>HYPERLINK("https://www.spigotmc.org/resources/lockettepro-uuid-support.20427/", "LockettePro")</f>
        <v>LockettePro</v>
      </c>
      <c r="B76" s="12" t="s">
        <v>195</v>
      </c>
      <c r="C76" s="17" t="s">
        <v>748</v>
      </c>
      <c r="E76" t="s">
        <v>127</v>
      </c>
      <c r="F76" s="2" t="s">
        <v>5</v>
      </c>
      <c r="G76" s="13" t="s">
        <v>169</v>
      </c>
      <c r="H76" s="70" t="s">
        <v>181</v>
      </c>
      <c r="I76"/>
    </row>
    <row r="77" spans="1:10" ht="15" customHeight="1" x14ac:dyDescent="0.25">
      <c r="A77" s="88" t="str">
        <f>HYPERLINK("https://www.spigotmc.org/resources/nofallbackaliases.2185/", "NoFallbackAliases")</f>
        <v>NoFallbackAliases</v>
      </c>
      <c r="B77" s="12" t="s">
        <v>195</v>
      </c>
      <c r="C77" s="70">
        <v>1.1000000000000001</v>
      </c>
      <c r="E77" t="s">
        <v>139</v>
      </c>
      <c r="F77" s="2" t="s">
        <v>5</v>
      </c>
      <c r="G77" s="70" t="s">
        <v>166</v>
      </c>
      <c r="H77" s="70" t="s">
        <v>166</v>
      </c>
      <c r="I77"/>
    </row>
    <row r="78" spans="1:10" ht="15" customHeight="1" x14ac:dyDescent="0.25">
      <c r="A78" t="s">
        <v>551</v>
      </c>
      <c r="B78" s="12" t="s">
        <v>175</v>
      </c>
      <c r="C78" s="17" t="s">
        <v>167</v>
      </c>
      <c r="E78" t="s">
        <v>21</v>
      </c>
      <c r="F78" s="2" t="s">
        <v>5</v>
      </c>
      <c r="G78" s="12" t="s">
        <v>166</v>
      </c>
      <c r="H78" s="12" t="s">
        <v>166</v>
      </c>
      <c r="I78"/>
    </row>
    <row r="79" spans="1:10" ht="15" customHeight="1" x14ac:dyDescent="0.25">
      <c r="A79" s="88" t="str">
        <f>HYPERLINK("https://www.spigotmc.org/resources/realistic-swimming.23082/", "RealisticSwimming")</f>
        <v>RealisticSwimming</v>
      </c>
      <c r="B79" s="61" t="s">
        <v>195</v>
      </c>
      <c r="C79" s="60" t="s">
        <v>761</v>
      </c>
      <c r="E79" t="s">
        <v>677</v>
      </c>
      <c r="F79" s="2" t="s">
        <v>5</v>
      </c>
      <c r="G79" s="70" t="s">
        <v>181</v>
      </c>
      <c r="H79" s="70" t="s">
        <v>181</v>
      </c>
      <c r="I79"/>
    </row>
    <row r="80" spans="1:10" ht="15" customHeight="1" x14ac:dyDescent="0.25">
      <c r="A80" s="1" t="str">
        <f>HYPERLINK("https://dev.bukkit.org/bukkit-plugins/real-villager-towns/", "RealVillagerTowns")</f>
        <v>RealVillagerTowns</v>
      </c>
      <c r="B80" s="50" t="s">
        <v>196</v>
      </c>
      <c r="C80" s="17">
        <v>1.2</v>
      </c>
      <c r="E80" t="s">
        <v>611</v>
      </c>
      <c r="F80" s="2" t="s">
        <v>5</v>
      </c>
      <c r="G80" s="13" t="s">
        <v>169</v>
      </c>
      <c r="H80" s="52" t="s">
        <v>166</v>
      </c>
      <c r="I80"/>
    </row>
    <row r="81" spans="1:9" ht="15" customHeight="1" x14ac:dyDescent="0.25">
      <c r="A81" s="1" t="str">
        <f>HYPERLINK("https://www.spigotmc.org/resources/libs-disguises.32453/", "-----LibsDisguises")</f>
        <v>-----LibsDisguises</v>
      </c>
      <c r="B81" s="50" t="s">
        <v>196</v>
      </c>
      <c r="C81" s="17" t="s">
        <v>639</v>
      </c>
      <c r="E81" t="s">
        <v>612</v>
      </c>
      <c r="F81" s="2" t="s">
        <v>5</v>
      </c>
      <c r="G81" s="50" t="s">
        <v>166</v>
      </c>
      <c r="H81" s="50" t="s">
        <v>166</v>
      </c>
      <c r="I81"/>
    </row>
    <row r="82" spans="1:9" ht="15" customHeight="1" x14ac:dyDescent="0.25">
      <c r="A82" s="1" t="str">
        <f>HYPERLINK("https://www.spigotmc.org/resources/serverlistplus.241/", "ServerListPlus")</f>
        <v>ServerListPlus</v>
      </c>
      <c r="B82" s="12" t="s">
        <v>175</v>
      </c>
      <c r="C82" s="17" t="s">
        <v>186</v>
      </c>
      <c r="E82" t="s">
        <v>63</v>
      </c>
      <c r="F82" s="2" t="s">
        <v>5</v>
      </c>
      <c r="G82" s="14" t="s">
        <v>170</v>
      </c>
      <c r="H82" s="12" t="s">
        <v>181</v>
      </c>
      <c r="I82"/>
    </row>
    <row r="83" spans="1:9" ht="15" customHeight="1" x14ac:dyDescent="0.25">
      <c r="A83" s="88" t="str">
        <f>HYPERLINK("https://www.spigotmc.org/resources/smartgiants.4882/", "SmartGiants")</f>
        <v>SmartGiants</v>
      </c>
      <c r="B83" s="50" t="s">
        <v>195</v>
      </c>
      <c r="C83" s="17" t="s">
        <v>600</v>
      </c>
      <c r="E83" t="s">
        <v>599</v>
      </c>
      <c r="F83" s="2" t="s">
        <v>5</v>
      </c>
      <c r="G83" s="50" t="s">
        <v>170</v>
      </c>
      <c r="H83" s="50" t="s">
        <v>181</v>
      </c>
      <c r="I83" s="50"/>
    </row>
    <row r="84" spans="1:9" ht="15" customHeight="1" x14ac:dyDescent="0.25">
      <c r="A84" s="88" t="str">
        <f>HYPERLINK("https://www.spigotmc.org/resources/tablist.5776/", "Tablist")</f>
        <v>Tablist</v>
      </c>
      <c r="B84" s="86" t="s">
        <v>175</v>
      </c>
      <c r="C84" s="17" t="s">
        <v>596</v>
      </c>
      <c r="E84" t="s">
        <v>189</v>
      </c>
      <c r="F84" s="2" t="s">
        <v>5</v>
      </c>
      <c r="G84" s="14" t="s">
        <v>170</v>
      </c>
      <c r="H84" s="12" t="s">
        <v>181</v>
      </c>
      <c r="I84"/>
    </row>
    <row r="85" spans="1:9" ht="15" customHeight="1" x14ac:dyDescent="0.25">
      <c r="A85" s="1" t="str">
        <f>HYPERLINK("https://www.spigotmc.org/resources/terraincontrol.2214/", "TerrainControl")</f>
        <v>TerrainControl</v>
      </c>
      <c r="B85" s="12" t="s">
        <v>164</v>
      </c>
      <c r="C85" s="17" t="s">
        <v>642</v>
      </c>
      <c r="E85" t="s">
        <v>148</v>
      </c>
      <c r="F85" s="2" t="s">
        <v>5</v>
      </c>
      <c r="G85" s="12" t="s">
        <v>168</v>
      </c>
      <c r="H85" s="12" t="s">
        <v>181</v>
      </c>
      <c r="I85" s="2"/>
    </row>
    <row r="86" spans="1:9" ht="15" customHeight="1" x14ac:dyDescent="0.25">
      <c r="A86" s="1" t="str">
        <f>HYPERLINK("https://dev.bukkit.org/bukkit-plugins/bo3tools/", "-----BO3Tools")</f>
        <v>-----BO3Tools</v>
      </c>
      <c r="B86" s="12" t="s">
        <v>164</v>
      </c>
      <c r="C86" s="17" t="s">
        <v>594</v>
      </c>
      <c r="E86" t="s">
        <v>165</v>
      </c>
      <c r="F86" s="2" t="s">
        <v>5</v>
      </c>
      <c r="G86" s="12" t="s">
        <v>166</v>
      </c>
      <c r="H86" s="12" t="s">
        <v>181</v>
      </c>
    </row>
    <row r="87" spans="1:9" ht="15" customHeight="1" x14ac:dyDescent="0.25">
      <c r="A87" s="92" t="str">
        <f>HYPERLINK("https://dev.bukkit.org/projects/villageinfo", "VillageInfo")</f>
        <v>VillageInfo</v>
      </c>
      <c r="B87" s="60" t="s">
        <v>195</v>
      </c>
      <c r="C87" s="17" t="s">
        <v>750</v>
      </c>
      <c r="E87" t="s">
        <v>680</v>
      </c>
      <c r="F87" s="2" t="s">
        <v>5</v>
      </c>
      <c r="G87" s="63" t="s">
        <v>181</v>
      </c>
      <c r="H87" s="63" t="s">
        <v>181</v>
      </c>
      <c r="I87"/>
    </row>
    <row r="88" spans="1:9" ht="15" customHeight="1" x14ac:dyDescent="0.25"/>
    <row r="89" spans="1:9" ht="15" customHeight="1" x14ac:dyDescent="0.25"/>
    <row r="90" spans="1:9" ht="15" customHeight="1" x14ac:dyDescent="0.25">
      <c r="A90" s="49" t="str">
        <f>HYPERLINK("https://www.spigotmc.org/resources/dynmap.274/", "CommandHook")</f>
        <v>CommandHook</v>
      </c>
      <c r="B90" s="96" t="s">
        <v>158</v>
      </c>
      <c r="C90" s="17" t="s">
        <v>821</v>
      </c>
      <c r="D90" s="94">
        <v>43931</v>
      </c>
      <c r="E90" t="s">
        <v>822</v>
      </c>
      <c r="F90" s="2" t="s">
        <v>5</v>
      </c>
      <c r="G90" s="13" t="s">
        <v>166</v>
      </c>
      <c r="H90" s="96" t="s">
        <v>166</v>
      </c>
      <c r="I90" s="96"/>
    </row>
    <row r="91" spans="1:9" ht="15" customHeight="1" x14ac:dyDescent="0.25"/>
    <row r="92" spans="1:9" ht="15" customHeight="1" x14ac:dyDescent="0.25"/>
    <row r="93" spans="1:9" ht="15" customHeight="1" x14ac:dyDescent="0.25"/>
    <row r="94" spans="1:9" ht="15" customHeight="1" x14ac:dyDescent="0.25"/>
    <row r="95" spans="1:9" ht="15" customHeight="1" x14ac:dyDescent="0.25"/>
    <row r="96" spans="1:9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</sheetData>
  <mergeCells count="11">
    <mergeCell ref="A70:I70"/>
    <mergeCell ref="A2:I2"/>
    <mergeCell ref="A42:I42"/>
    <mergeCell ref="A56:I56"/>
    <mergeCell ref="A12:I12"/>
    <mergeCell ref="A31:I31"/>
    <mergeCell ref="A54:I54"/>
    <mergeCell ref="A47:I47"/>
    <mergeCell ref="A53:I53"/>
    <mergeCell ref="A7:I7"/>
    <mergeCell ref="A65:I65"/>
  </mergeCells>
  <conditionalFormatting sqref="D38 D13:D30 D78">
    <cfRule type="expression" dxfId="10" priority="13">
      <formula>D13&lt;=TODAY()-365</formula>
    </cfRule>
  </conditionalFormatting>
  <conditionalFormatting sqref="D66:D69">
    <cfRule type="expression" dxfId="9" priority="2">
      <formula>D66&lt;=TODAY()-365</formula>
    </cfRule>
  </conditionalFormatting>
  <conditionalFormatting sqref="D32:D37">
    <cfRule type="expression" dxfId="8" priority="11">
      <formula>D32&lt;=TODAY()-365</formula>
    </cfRule>
  </conditionalFormatting>
  <conditionalFormatting sqref="D39:D41">
    <cfRule type="expression" dxfId="7" priority="10">
      <formula>D39&lt;=TODAY()-365</formula>
    </cfRule>
  </conditionalFormatting>
  <conditionalFormatting sqref="D8:D11">
    <cfRule type="expression" dxfId="6" priority="8">
      <formula>D8&lt;=TODAY()-365</formula>
    </cfRule>
  </conditionalFormatting>
  <conditionalFormatting sqref="D3:D6">
    <cfRule type="expression" dxfId="5" priority="7">
      <formula>D3&lt;=TODAY()-365</formula>
    </cfRule>
  </conditionalFormatting>
  <conditionalFormatting sqref="D43:D46">
    <cfRule type="expression" dxfId="4" priority="6">
      <formula>D43&lt;=TODAY()-365</formula>
    </cfRule>
  </conditionalFormatting>
  <conditionalFormatting sqref="D48:D52">
    <cfRule type="expression" dxfId="3" priority="5">
      <formula>D48&lt;=TODAY()-365</formula>
    </cfRule>
  </conditionalFormatting>
  <conditionalFormatting sqref="D55">
    <cfRule type="expression" dxfId="2" priority="4">
      <formula>D55&lt;=TODAY()-365</formula>
    </cfRule>
  </conditionalFormatting>
  <conditionalFormatting sqref="D57:D64">
    <cfRule type="expression" dxfId="1" priority="3">
      <formula>D57&lt;=TODAY()-365</formula>
    </cfRule>
  </conditionalFormatting>
  <conditionalFormatting sqref="D90">
    <cfRule type="expression" dxfId="0" priority="1">
      <formula>D90&lt;=TODAY()-365</formula>
    </cfRule>
  </conditionalFormatting>
  <pageMargins left="0.7" right="0.7" top="0.75" bottom="0.75" header="0.3" footer="0.3"/>
  <pageSetup orientation="portrait" r:id="rId1"/>
  <ignoredErrors>
    <ignoredError sqref="C61:C62 C3 C44 C64 C25 C10 C86:C87 C73 C14 C7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/>
  </sheetViews>
  <sheetFormatPr defaultRowHeight="15" x14ac:dyDescent="0.25"/>
  <cols>
    <col min="1" max="1" width="20.140625" bestFit="1" customWidth="1"/>
    <col min="2" max="2" width="18.5703125" style="12" bestFit="1" customWidth="1"/>
    <col min="3" max="3" width="10.42578125" bestFit="1" customWidth="1"/>
    <col min="4" max="4" width="34.140625" bestFit="1" customWidth="1"/>
    <col min="5" max="5" width="13.140625" bestFit="1" customWidth="1"/>
  </cols>
  <sheetData>
    <row r="1" spans="1:5" ht="20.25" thickBot="1" x14ac:dyDescent="0.35">
      <c r="A1" s="4" t="s">
        <v>0</v>
      </c>
      <c r="B1" s="4" t="s">
        <v>157</v>
      </c>
      <c r="C1" s="3" t="s">
        <v>2</v>
      </c>
      <c r="D1" s="3" t="s">
        <v>1</v>
      </c>
      <c r="E1" s="5" t="s">
        <v>4</v>
      </c>
    </row>
    <row r="2" spans="1:5" ht="15.75" thickTop="1" x14ac:dyDescent="0.25">
      <c r="A2" s="9" t="str">
        <f>HYPERLINK("https://www.spigotmc.org/resources/citizens.13811/", "Citizens 2")</f>
        <v>Citizens 2</v>
      </c>
      <c r="B2" s="12" t="s">
        <v>197</v>
      </c>
      <c r="D2" t="s">
        <v>32</v>
      </c>
      <c r="E2" s="2" t="s">
        <v>143</v>
      </c>
    </row>
    <row r="3" spans="1:5" x14ac:dyDescent="0.25">
      <c r="A3" s="11" t="str">
        <f>HYPERLINK("https://www.spigotmc.org/resources/commandnpcs-1-7-1-8-1-9.8091/", "Command NPCs")</f>
        <v>Command NPCs</v>
      </c>
      <c r="B3" s="12" t="s">
        <v>197</v>
      </c>
      <c r="D3" t="s">
        <v>28</v>
      </c>
      <c r="E3" s="2" t="s">
        <v>5</v>
      </c>
    </row>
    <row r="4" spans="1:5" x14ac:dyDescent="0.25">
      <c r="A4" s="1" t="str">
        <f>HYPERLINK("https://www.spigotmc.org/resources/npcs.4696/", "NPCs")</f>
        <v>NPCs</v>
      </c>
      <c r="B4" s="12" t="s">
        <v>197</v>
      </c>
      <c r="D4" t="s">
        <v>52</v>
      </c>
      <c r="E4" s="2" t="s">
        <v>5</v>
      </c>
    </row>
    <row r="6" spans="1:5" x14ac:dyDescent="0.25">
      <c r="A6" s="8" t="str">
        <f>HYPERLINK("https://www.spigotmc.org/resources/npcutilities.20905/", "NPCUtilities")</f>
        <v>NPCUtilities</v>
      </c>
      <c r="B6" s="12" t="s">
        <v>197</v>
      </c>
      <c r="D6" t="s">
        <v>28</v>
      </c>
      <c r="E6" s="2" t="s">
        <v>5</v>
      </c>
    </row>
    <row r="7" spans="1:5" x14ac:dyDescent="0.25">
      <c r="A7" s="1" t="str">
        <f>HYPERLINK("https://www.spigotmc.org/resources/simplecommandnpc.17986/", "SimpleCommandNPC")</f>
        <v>SimpleCommandNPC</v>
      </c>
      <c r="B7" s="12" t="s">
        <v>197</v>
      </c>
      <c r="D7" t="s">
        <v>136</v>
      </c>
      <c r="E7" s="2" t="s">
        <v>5</v>
      </c>
    </row>
    <row r="8" spans="1:5" x14ac:dyDescent="0.25">
      <c r="A8" s="8"/>
      <c r="E8" s="2"/>
    </row>
    <row r="9" spans="1:5" x14ac:dyDescent="0.25">
      <c r="A9" s="9" t="str">
        <f>HYPERLINK("https://www.spigotmc.org/resources/nunpcdestinations-automate-npc-travel-and-locations-1-8-3-1-9.13863/", "nuNPCDestinations")</f>
        <v>nuNPCDestinations</v>
      </c>
      <c r="B9" s="12" t="s">
        <v>197</v>
      </c>
      <c r="D9" t="s">
        <v>37</v>
      </c>
      <c r="E9" s="2" t="s">
        <v>5</v>
      </c>
    </row>
    <row r="10" spans="1:5" x14ac:dyDescent="0.25">
      <c r="A10" s="1" t="str">
        <f>HYPERLINK("https://www.spigotmc.org/resources/sentry.20489/", "Sentry")</f>
        <v>Sentry</v>
      </c>
      <c r="B10" s="12" t="s">
        <v>197</v>
      </c>
      <c r="D10" t="s">
        <v>56</v>
      </c>
      <c r="E10" s="2" t="s">
        <v>5</v>
      </c>
    </row>
    <row r="11" spans="1:5" x14ac:dyDescent="0.25">
      <c r="A11" s="1" t="str">
        <f>HYPERLINK("https://www.spigotmc.org/resources/the-wandering-npc.10024/", "TheWanderingNPC")</f>
        <v>TheWanderingNPC</v>
      </c>
      <c r="B11" s="63" t="s">
        <v>197</v>
      </c>
      <c r="D11" t="s">
        <v>716</v>
      </c>
      <c r="E11" s="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/>
  </sheetViews>
  <sheetFormatPr defaultRowHeight="15" x14ac:dyDescent="0.25"/>
  <cols>
    <col min="1" max="1" width="21.85546875" bestFit="1" customWidth="1"/>
    <col min="2" max="2" width="18.5703125" bestFit="1" customWidth="1"/>
    <col min="3" max="3" width="10.42578125" bestFit="1" customWidth="1"/>
    <col min="4" max="4" width="58.28515625" bestFit="1" customWidth="1"/>
    <col min="5" max="5" width="12" bestFit="1" customWidth="1"/>
  </cols>
  <sheetData>
    <row r="1" spans="1:5" ht="20.25" thickBot="1" x14ac:dyDescent="0.35">
      <c r="A1" s="4" t="s">
        <v>0</v>
      </c>
      <c r="B1" s="4" t="s">
        <v>157</v>
      </c>
      <c r="C1" s="3" t="s">
        <v>2</v>
      </c>
      <c r="D1" s="3" t="s">
        <v>1</v>
      </c>
      <c r="E1" s="5" t="s">
        <v>4</v>
      </c>
    </row>
    <row r="2" spans="1:5" ht="18.75" thickTop="1" thickBot="1" x14ac:dyDescent="0.35">
      <c r="A2" s="98" t="s">
        <v>698</v>
      </c>
      <c r="B2" s="98"/>
      <c r="C2" s="98"/>
      <c r="D2" s="98"/>
      <c r="E2" s="98"/>
    </row>
    <row r="3" spans="1:5" ht="15.75" thickTop="1" x14ac:dyDescent="0.25">
      <c r="A3" s="11" t="str">
        <f>HYPERLINK("https://www.spigotmc.org/resources/bloodmoon.4009/", "BloodMoon")</f>
        <v>BloodMoon</v>
      </c>
      <c r="B3" s="63" t="s">
        <v>193</v>
      </c>
      <c r="D3" t="s">
        <v>736</v>
      </c>
      <c r="E3" s="2" t="s">
        <v>5</v>
      </c>
    </row>
    <row r="4" spans="1:5" x14ac:dyDescent="0.25">
      <c r="A4" s="1" t="str">
        <f>HYPERLINK("https://www.spigotmc.org/resources/%E2%98%9B-boss-unbelievable-custom-monsters-big-update-sale-10.46497/", "Boss")</f>
        <v>Boss</v>
      </c>
      <c r="B4" s="52" t="s">
        <v>193</v>
      </c>
      <c r="D4" t="s">
        <v>636</v>
      </c>
      <c r="E4" s="2">
        <v>6.99</v>
      </c>
    </row>
    <row r="5" spans="1:5" x14ac:dyDescent="0.25">
      <c r="A5" s="11" t="str">
        <f>HYPERLINK("https://www.spigotmc.org/resources/conquesita-mobs.21307/", "Conquestia")</f>
        <v>Conquestia</v>
      </c>
      <c r="B5" s="12" t="s">
        <v>193</v>
      </c>
      <c r="D5" t="s">
        <v>3</v>
      </c>
      <c r="E5" s="2" t="s">
        <v>5</v>
      </c>
    </row>
    <row r="6" spans="1:5" x14ac:dyDescent="0.25">
      <c r="A6" s="11"/>
      <c r="B6" s="63"/>
      <c r="E6" s="2"/>
    </row>
    <row r="7" spans="1:5" x14ac:dyDescent="0.25">
      <c r="A7" s="1" t="str">
        <f>HYPERLINK("https://www.spigotmc.org/resources/elemental-creepers.18464/", "ElementalCreepers")</f>
        <v>ElementalCreepers</v>
      </c>
      <c r="B7" s="12" t="s">
        <v>193</v>
      </c>
      <c r="D7" t="s">
        <v>121</v>
      </c>
      <c r="E7" s="2" t="s">
        <v>5</v>
      </c>
    </row>
    <row r="8" spans="1:5" x14ac:dyDescent="0.25">
      <c r="A8" s="1" t="str">
        <f>HYPERLINK("https://www.spigotmc.org/resources/epic-mobs.21335/", "EpicMobs")</f>
        <v>EpicMobs</v>
      </c>
      <c r="B8" s="12" t="s">
        <v>193</v>
      </c>
      <c r="D8" t="s">
        <v>113</v>
      </c>
      <c r="E8" s="2" t="s">
        <v>5</v>
      </c>
    </row>
    <row r="9" spans="1:5" x14ac:dyDescent="0.25">
      <c r="A9" s="1" t="str">
        <f>HYPERLINK("https://www.spigotmc.org/resources/infernal-mobs.2156/", "Infernal Mobs")</f>
        <v>Infernal Mobs</v>
      </c>
      <c r="B9" s="12" t="s">
        <v>193</v>
      </c>
      <c r="D9" t="s">
        <v>114</v>
      </c>
      <c r="E9" s="2" t="s">
        <v>5</v>
      </c>
    </row>
    <row r="10" spans="1:5" x14ac:dyDescent="0.25">
      <c r="A10" s="1" t="str">
        <f>HYPERLINK("https://www.spigotmc.org/resources/mythicmobs.5702/", "Mythic Mobs")</f>
        <v>Mythic Mobs</v>
      </c>
      <c r="B10" s="12" t="s">
        <v>193</v>
      </c>
      <c r="D10" t="s">
        <v>82</v>
      </c>
      <c r="E10" s="2" t="s">
        <v>5</v>
      </c>
    </row>
    <row r="11" spans="1:5" x14ac:dyDescent="0.25">
      <c r="A11" s="1"/>
      <c r="B11" s="63"/>
      <c r="E11" s="2"/>
    </row>
    <row r="12" spans="1:5" x14ac:dyDescent="0.25">
      <c r="A12" s="11" t="str">
        <f>HYPERLINK("https://www.spigotmc.org/resources/horsecombat-reloaded.45110/", "HorseCombatReloaded")</f>
        <v>HorseCombatReloaded</v>
      </c>
      <c r="B12" s="50" t="s">
        <v>193</v>
      </c>
      <c r="C12" s="50"/>
      <c r="D12" t="s">
        <v>628</v>
      </c>
      <c r="E12" s="2" t="s">
        <v>5</v>
      </c>
    </row>
    <row r="13" spans="1:5" x14ac:dyDescent="0.25">
      <c r="A13" s="9" t="str">
        <f>HYPERLINK("https://dev.bukkit.org/projects/spawns", "Spawns")</f>
        <v>Spawns</v>
      </c>
      <c r="B13" s="61" t="s">
        <v>193</v>
      </c>
      <c r="D13" t="s">
        <v>657</v>
      </c>
      <c r="E13" s="2" t="s">
        <v>5</v>
      </c>
    </row>
    <row r="14" spans="1:5" x14ac:dyDescent="0.25">
      <c r="A14" s="11" t="str">
        <f>HYPERLINK("https://www.spigotmc.org/resources/wildhunt-%E2%80%93-catch-over-100-different-animals-beta-now-free.46440/", "WildHunt")</f>
        <v>WildHunt</v>
      </c>
      <c r="B14" s="61" t="s">
        <v>193</v>
      </c>
      <c r="C14" s="60"/>
      <c r="D14" t="s">
        <v>679</v>
      </c>
      <c r="E14" s="2" t="s">
        <v>5</v>
      </c>
    </row>
    <row r="15" spans="1:5" ht="18" thickBot="1" x14ac:dyDescent="0.35">
      <c r="A15" s="98" t="s">
        <v>174</v>
      </c>
      <c r="B15" s="98"/>
      <c r="C15" s="98"/>
      <c r="D15" s="98"/>
      <c r="E15" s="98"/>
    </row>
    <row r="16" spans="1:5" ht="15.75" thickTop="1" x14ac:dyDescent="0.25">
      <c r="A16" s="1" t="str">
        <f>HYPERLINK("https://www.spigotmc.org/resources/battletracker.2165/", "BattleTracker")</f>
        <v>BattleTracker</v>
      </c>
      <c r="B16" s="12" t="s">
        <v>193</v>
      </c>
      <c r="D16" t="s">
        <v>132</v>
      </c>
      <c r="E16" s="2" t="s">
        <v>5</v>
      </c>
    </row>
    <row r="17" spans="1:5" x14ac:dyDescent="0.25">
      <c r="A17" s="1"/>
      <c r="B17" s="63"/>
      <c r="E17" s="2"/>
    </row>
    <row r="18" spans="1:5" x14ac:dyDescent="0.25">
      <c r="A18" s="1" t="str">
        <f>HYPERLINK("https://www.spigotmc.org/resources/bugsys-party-system.20482/", "Bugsy's Party System")</f>
        <v>Bugsy's Party System</v>
      </c>
      <c r="B18" s="12" t="s">
        <v>193</v>
      </c>
      <c r="D18" t="s">
        <v>54</v>
      </c>
      <c r="E18" s="2" t="s">
        <v>5</v>
      </c>
    </row>
    <row r="19" spans="1:5" s="27" customFormat="1" x14ac:dyDescent="0.25">
      <c r="A19" s="72" t="str">
        <f>HYPERLINK("http://dev.bukkit.org/bukkit-plugins/skillapi-parties/", "Parties")</f>
        <v>Parties</v>
      </c>
      <c r="B19" s="73" t="s">
        <v>193</v>
      </c>
      <c r="D19" s="27" t="s">
        <v>12</v>
      </c>
      <c r="E19" s="74" t="s">
        <v>5</v>
      </c>
    </row>
    <row r="20" spans="1:5" s="27" customFormat="1" x14ac:dyDescent="0.25">
      <c r="A20" s="72"/>
      <c r="B20" s="73"/>
      <c r="E20" s="74"/>
    </row>
    <row r="21" spans="1:5" x14ac:dyDescent="0.25">
      <c r="A21" s="1" t="str">
        <f>HYPERLINK("https://www.spigotmc.org/resources/combat-slashes.20143/", "Combat Slashes")</f>
        <v>Combat Slashes</v>
      </c>
      <c r="B21" s="12" t="s">
        <v>193</v>
      </c>
      <c r="D21" t="s">
        <v>117</v>
      </c>
      <c r="E21" s="2" t="s">
        <v>5</v>
      </c>
    </row>
    <row r="22" spans="1:5" x14ac:dyDescent="0.25">
      <c r="A22" s="10" t="str">
        <f>HYPERLINK("https://www.spigotmc.org/resources/critblood-fully-adjustable-blood-plugin.15574/", "CritBlood")</f>
        <v>CritBlood</v>
      </c>
      <c r="B22" s="12" t="s">
        <v>193</v>
      </c>
      <c r="D22" t="s">
        <v>122</v>
      </c>
      <c r="E22" s="2" t="s">
        <v>5</v>
      </c>
    </row>
    <row r="23" spans="1:5" x14ac:dyDescent="0.25">
      <c r="A23" s="1" t="str">
        <f>HYPERLINK("https://www.spigotmc.org/resources/damage-indicator.18430/", "DamageIndicator")</f>
        <v>DamageIndicator</v>
      </c>
      <c r="B23" s="12" t="s">
        <v>193</v>
      </c>
      <c r="D23" t="s">
        <v>101</v>
      </c>
      <c r="E23" s="2" t="s">
        <v>5</v>
      </c>
    </row>
    <row r="24" spans="1:5" x14ac:dyDescent="0.25">
      <c r="A24" s="11" t="str">
        <f>HYPERLINK("https://www.spigotmc.org/resources/damagetitle-%E2%98%85-free-%E2%98%85.19469/", "DamageTitle")</f>
        <v>DamageTitle</v>
      </c>
      <c r="B24" s="12" t="s">
        <v>193</v>
      </c>
      <c r="D24" t="s">
        <v>17</v>
      </c>
      <c r="E24" s="2" t="s">
        <v>5</v>
      </c>
    </row>
    <row r="25" spans="1:5" x14ac:dyDescent="0.25">
      <c r="A25" s="11"/>
      <c r="B25" s="63"/>
      <c r="E25" s="2"/>
    </row>
    <row r="26" spans="1:5" x14ac:dyDescent="0.25">
      <c r="A26" s="1" t="str">
        <f>HYPERLINK("https://www.spigotmc.org/resources/deathmessagesprime.3789/", "DeathMessagesPrime")</f>
        <v>DeathMessagesPrime</v>
      </c>
      <c r="B26" s="12" t="s">
        <v>193</v>
      </c>
      <c r="D26" t="s">
        <v>106</v>
      </c>
      <c r="E26" s="2" t="s">
        <v>5</v>
      </c>
    </row>
  </sheetData>
  <mergeCells count="2">
    <mergeCell ref="A2:E2"/>
    <mergeCell ref="A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"/>
  <sheetViews>
    <sheetView workbookViewId="0"/>
  </sheetViews>
  <sheetFormatPr defaultRowHeight="15" x14ac:dyDescent="0.25"/>
  <cols>
    <col min="1" max="1" width="32.5703125" bestFit="1" customWidth="1"/>
    <col min="2" max="2" width="18.5703125" style="12" bestFit="1" customWidth="1"/>
    <col min="3" max="3" width="10.42578125" bestFit="1" customWidth="1"/>
    <col min="4" max="4" width="75.5703125" bestFit="1" customWidth="1"/>
    <col min="5" max="5" width="8.85546875" style="2" bestFit="1" customWidth="1"/>
  </cols>
  <sheetData>
    <row r="1" spans="1:5" ht="20.25" thickBot="1" x14ac:dyDescent="0.35">
      <c r="A1" s="4" t="s">
        <v>0</v>
      </c>
      <c r="B1" s="4" t="s">
        <v>157</v>
      </c>
      <c r="C1" s="3" t="s">
        <v>2</v>
      </c>
      <c r="D1" s="3" t="s">
        <v>1</v>
      </c>
      <c r="E1" s="5" t="s">
        <v>4</v>
      </c>
    </row>
    <row r="2" spans="1:5" ht="18.75" thickTop="1" thickBot="1" x14ac:dyDescent="0.35">
      <c r="A2" s="98" t="s">
        <v>178</v>
      </c>
      <c r="B2" s="98"/>
      <c r="C2" s="98"/>
      <c r="D2" s="98"/>
      <c r="E2" s="98"/>
    </row>
    <row r="3" spans="1:5" ht="15.75" thickTop="1" x14ac:dyDescent="0.25">
      <c r="A3" s="1" t="str">
        <f>HYPERLINK("https://www.spigotmc.org/resources/gems-1-9-50-for-alpha-state.20085/", "Gems")</f>
        <v>Gems</v>
      </c>
      <c r="B3" s="12" t="s">
        <v>198</v>
      </c>
      <c r="D3" t="s">
        <v>149</v>
      </c>
      <c r="E3" s="2">
        <v>9.99</v>
      </c>
    </row>
    <row r="4" spans="1:5" x14ac:dyDescent="0.25">
      <c r="A4" s="1"/>
      <c r="B4" s="63"/>
    </row>
    <row r="5" spans="1:5" x14ac:dyDescent="0.25">
      <c r="A5" s="8" t="str">
        <f>HYPERLINK("https://www.spigotmc.org/resources/loot-edit.20328/", "Loot Edit")</f>
        <v>Loot Edit</v>
      </c>
      <c r="B5" s="63" t="s">
        <v>198</v>
      </c>
      <c r="D5" t="s">
        <v>57</v>
      </c>
      <c r="E5" s="2" t="s">
        <v>5</v>
      </c>
    </row>
    <row r="6" spans="1:5" x14ac:dyDescent="0.25">
      <c r="A6" s="1" t="str">
        <f>HYPERLINK("https://www.spigotmc.org/resources/moreitems.11622/", "MoreItems")</f>
        <v>MoreItems</v>
      </c>
      <c r="B6" s="63" t="s">
        <v>198</v>
      </c>
      <c r="D6" t="s">
        <v>13</v>
      </c>
      <c r="E6" s="2" t="s">
        <v>5</v>
      </c>
    </row>
    <row r="7" spans="1:5" x14ac:dyDescent="0.25">
      <c r="A7" s="1" t="str">
        <f>HYPERLINK("https://www.spigotmc.org/resources/mythicdrops.6114/", "Mythic Drops")</f>
        <v>Mythic Drops</v>
      </c>
      <c r="B7" s="63" t="s">
        <v>198</v>
      </c>
      <c r="D7" t="s">
        <v>58</v>
      </c>
      <c r="E7" s="2" t="s">
        <v>5</v>
      </c>
    </row>
    <row r="8" spans="1:5" x14ac:dyDescent="0.25">
      <c r="A8" s="1" t="str">
        <f>HYPERLINK("https://www.spigotmc.org/resources/rpgitems.17549/", "RPGItems")</f>
        <v>RPGItems</v>
      </c>
      <c r="B8" s="63" t="s">
        <v>198</v>
      </c>
      <c r="D8" t="s">
        <v>111</v>
      </c>
      <c r="E8" s="2" t="s">
        <v>5</v>
      </c>
    </row>
    <row r="9" spans="1:5" x14ac:dyDescent="0.25">
      <c r="A9" s="1"/>
      <c r="B9" s="63"/>
    </row>
    <row r="10" spans="1:5" x14ac:dyDescent="0.25">
      <c r="A10" s="1" t="str">
        <f>HYPERLINK("https://www.spigotmc.org/resources/magic.1056/", "Magic")</f>
        <v>Magic</v>
      </c>
      <c r="B10" s="63" t="s">
        <v>198</v>
      </c>
      <c r="D10" t="s">
        <v>109</v>
      </c>
      <c r="E10" s="2" t="s">
        <v>5</v>
      </c>
    </row>
    <row r="11" spans="1:5" x14ac:dyDescent="0.25">
      <c r="A11" s="1" t="str">
        <f>HYPERLINK("https://www.spigotmc.org/resources/rpg-inventory-premium-stable-1-9-1-7-10-1-9-x.12498/", "RPG Inventory")</f>
        <v>RPG Inventory</v>
      </c>
      <c r="B11" s="63" t="s">
        <v>198</v>
      </c>
      <c r="D11" t="s">
        <v>141</v>
      </c>
      <c r="E11" s="2" t="s">
        <v>142</v>
      </c>
    </row>
    <row r="12" spans="1:5" ht="18" thickBot="1" x14ac:dyDescent="0.35">
      <c r="A12" s="98" t="s">
        <v>703</v>
      </c>
      <c r="B12" s="98"/>
      <c r="C12" s="98"/>
      <c r="D12" s="98"/>
      <c r="E12" s="98"/>
    </row>
    <row r="13" spans="1:5" ht="15.75" thickTop="1" x14ac:dyDescent="0.25">
      <c r="A13" s="1" t="str">
        <f>HYPERLINK("https://www.spigotmc.org/resources/mythicmobs-quests-module.7261/", "MythicMobs Quests Module")</f>
        <v>MythicMobs Quests Module</v>
      </c>
      <c r="B13" s="12" t="s">
        <v>198</v>
      </c>
      <c r="D13" t="s">
        <v>102</v>
      </c>
      <c r="E13" s="2" t="s">
        <v>5</v>
      </c>
    </row>
    <row r="14" spans="1:5" x14ac:dyDescent="0.25">
      <c r="A14" s="9" t="str">
        <f>HYPERLINK("https://www.spigotmc.org/resources/quests.3711/", "Quests")</f>
        <v>Quests</v>
      </c>
      <c r="B14" s="12" t="s">
        <v>198</v>
      </c>
      <c r="D14" t="s">
        <v>30</v>
      </c>
      <c r="E14" s="2" t="s">
        <v>5</v>
      </c>
    </row>
    <row r="15" spans="1:5" x14ac:dyDescent="0.25">
      <c r="A15" s="1" t="str">
        <f>HYPERLINK("https://www.spigotmc.org/resources/quest-world.6903/", "Quest World")</f>
        <v>Quest World</v>
      </c>
      <c r="B15" s="12" t="s">
        <v>198</v>
      </c>
      <c r="D15" t="s">
        <v>80</v>
      </c>
      <c r="E15" s="2" t="s">
        <v>5</v>
      </c>
    </row>
    <row r="16" spans="1:5" x14ac:dyDescent="0.25">
      <c r="A16" s="1" t="str">
        <f>HYPERLINK("https://www.spigotmc.org/resources/zquest-feel-the-might-of-creating-1-9.18045/", "zQuest")</f>
        <v>zQuest</v>
      </c>
      <c r="B16" s="12" t="s">
        <v>198</v>
      </c>
      <c r="D16" t="s">
        <v>140</v>
      </c>
      <c r="E16" s="2">
        <v>8</v>
      </c>
    </row>
    <row r="17" spans="1:5" ht="18" thickBot="1" x14ac:dyDescent="0.35">
      <c r="A17" s="98" t="s">
        <v>159</v>
      </c>
      <c r="B17" s="98"/>
      <c r="C17" s="98"/>
      <c r="D17" s="98"/>
      <c r="E17" s="98"/>
    </row>
    <row r="18" spans="1:5" ht="15.75" thickTop="1" x14ac:dyDescent="0.25">
      <c r="A18" s="1" t="str">
        <f>HYPERLINK("https://www.spigotmc.org/resources/chestfiller.6444/", "ChestFiller")</f>
        <v>ChestFiller</v>
      </c>
      <c r="B18" s="12" t="s">
        <v>198</v>
      </c>
      <c r="D18" t="s">
        <v>40</v>
      </c>
      <c r="E18" s="2" t="s">
        <v>5</v>
      </c>
    </row>
    <row r="19" spans="1:5" x14ac:dyDescent="0.25">
      <c r="A19" s="10" t="str">
        <f>HYPERLINK("https://www.spigotmc.org/resources/chestregen.4921/", "ChestRegen")</f>
        <v>ChestRegen</v>
      </c>
      <c r="B19" s="12" t="s">
        <v>198</v>
      </c>
      <c r="D19" t="s">
        <v>51</v>
      </c>
      <c r="E19" s="2" t="s">
        <v>5</v>
      </c>
    </row>
    <row r="20" spans="1:5" x14ac:dyDescent="0.25">
      <c r="A20" s="1" t="str">
        <f>HYPERLINK("https://www.spigotmc.org/resources/survivalmysterychests-%E2%97%86-1-7-1-8-and-1-9.15755/", "SurvivalMysteryChests")</f>
        <v>SurvivalMysteryChests</v>
      </c>
      <c r="B20" s="12" t="s">
        <v>198</v>
      </c>
      <c r="D20" t="s">
        <v>44</v>
      </c>
      <c r="E20" s="2" t="s">
        <v>5</v>
      </c>
    </row>
    <row r="21" spans="1:5" x14ac:dyDescent="0.25">
      <c r="A21" s="1"/>
    </row>
    <row r="22" spans="1:5" x14ac:dyDescent="0.25">
      <c r="A22" s="1" t="str">
        <f>HYPERLINK("https://www.spigotmc.org/resources/chronicle-add-lore-to-your-server.13498/", "Chronicle")</f>
        <v>Chronicle</v>
      </c>
      <c r="B22" s="12" t="s">
        <v>198</v>
      </c>
      <c r="D22" t="s">
        <v>147</v>
      </c>
      <c r="E22" s="2">
        <v>3.95</v>
      </c>
    </row>
    <row r="23" spans="1:5" x14ac:dyDescent="0.25">
      <c r="A23" s="1" t="str">
        <f>HYPERLINK("https://www.spigotmc.org/resources/%E2%98%86-lores-%E2%98%86-custom-lores-and-names.19290/", "Lores")</f>
        <v>Lores</v>
      </c>
      <c r="B23" s="38" t="s">
        <v>198</v>
      </c>
      <c r="D23" t="s">
        <v>49</v>
      </c>
      <c r="E23" s="2" t="s">
        <v>5</v>
      </c>
    </row>
    <row r="24" spans="1:5" x14ac:dyDescent="0.25">
      <c r="A24" s="1"/>
      <c r="B24" s="61"/>
    </row>
    <row r="25" spans="1:5" x14ac:dyDescent="0.25">
      <c r="A25" s="1" t="str">
        <f>HYPERLINK("https://www.spigotmc.org/resources/commandregions.18001/", "CommandRegions")</f>
        <v>CommandRegions</v>
      </c>
      <c r="B25" s="12" t="s">
        <v>198</v>
      </c>
      <c r="D25" t="s">
        <v>103</v>
      </c>
      <c r="E25" s="2" t="s">
        <v>5</v>
      </c>
    </row>
    <row r="26" spans="1:5" x14ac:dyDescent="0.25">
      <c r="A26" s="8" t="str">
        <f>HYPERLINK("https://www.spigotmc.org/resources/regionfx.18034/", "RegionFX")</f>
        <v>RegionFX</v>
      </c>
      <c r="B26" s="12" t="s">
        <v>198</v>
      </c>
      <c r="D26" t="s">
        <v>55</v>
      </c>
      <c r="E26" s="2" t="s">
        <v>5</v>
      </c>
    </row>
    <row r="27" spans="1:5" x14ac:dyDescent="0.25">
      <c r="A27" s="8" t="str">
        <f>HYPERLINK("https://www.spigotmc.org/resources/worldguard-containers-auto-refill.17402/", "WorldGuard Containers Auto-Refill")</f>
        <v>WorldGuard Containers Auto-Refill</v>
      </c>
      <c r="B27" s="12" t="s">
        <v>198</v>
      </c>
      <c r="D27" t="s">
        <v>6</v>
      </c>
      <c r="E27" s="2" t="s">
        <v>5</v>
      </c>
    </row>
    <row r="28" spans="1:5" x14ac:dyDescent="0.25">
      <c r="A28" s="8"/>
      <c r="B28" s="61"/>
    </row>
    <row r="29" spans="1:5" x14ac:dyDescent="0.25">
      <c r="A29" s="9" t="str">
        <f>HYPERLINK("https://www.spigotmc.org/resources/factions.1900/", "Factions")</f>
        <v>Factions</v>
      </c>
      <c r="B29" s="50" t="s">
        <v>198</v>
      </c>
      <c r="C29" s="50"/>
      <c r="D29" t="s">
        <v>622</v>
      </c>
      <c r="E29" s="2" t="s">
        <v>5</v>
      </c>
    </row>
    <row r="30" spans="1:5" x14ac:dyDescent="0.25">
      <c r="A30" s="1" t="str">
        <f>HYPERLINK("https://www.spigotmc.org/resources/fasttravelsigns.21221/", "FastTravelSigns")</f>
        <v>FastTravelSigns</v>
      </c>
      <c r="B30" s="12" t="s">
        <v>198</v>
      </c>
      <c r="D30" t="s">
        <v>43</v>
      </c>
      <c r="E30" s="2" t="s">
        <v>5</v>
      </c>
    </row>
    <row r="31" spans="1:5" x14ac:dyDescent="0.25">
      <c r="A31" s="1" t="str">
        <f>HYPERLINK("https://www.spigotmc.org/resources/instances.3382/", "Instances")</f>
        <v>Instances</v>
      </c>
      <c r="B31" s="12" t="s">
        <v>198</v>
      </c>
      <c r="D31" t="s">
        <v>72</v>
      </c>
      <c r="E31" s="2" t="s">
        <v>5</v>
      </c>
    </row>
    <row r="32" spans="1:5" x14ac:dyDescent="0.25">
      <c r="A32" s="1"/>
      <c r="B32" s="63"/>
    </row>
    <row r="33" spans="1:5" x14ac:dyDescent="0.25">
      <c r="A33" s="9" t="str">
        <f>HYPERLINK("https://www.spigotmc.org/resources/karma.26101/", "Karma")</f>
        <v>Karma</v>
      </c>
      <c r="B33" s="61" t="s">
        <v>198</v>
      </c>
      <c r="C33" s="61"/>
      <c r="D33" t="s">
        <v>710</v>
      </c>
      <c r="E33" s="2" t="s">
        <v>5</v>
      </c>
    </row>
    <row r="34" spans="1:5" x14ac:dyDescent="0.25">
      <c r="A34" s="9" t="str">
        <f>HYPERLINK("https://www.spigotmc.org/resources/karma-plugin.43976/", "Karma")</f>
        <v>Karma</v>
      </c>
      <c r="B34" s="61" t="s">
        <v>198</v>
      </c>
      <c r="C34" s="61"/>
      <c r="D34" t="s">
        <v>710</v>
      </c>
      <c r="E34" s="2" t="s">
        <v>5</v>
      </c>
    </row>
    <row r="35" spans="1:5" x14ac:dyDescent="0.25">
      <c r="A35" s="9" t="str">
        <f>HYPERLINK("https://www.spigotmc.org/resources/karmakeeper.43284/", "KarmaKeeper")</f>
        <v>KarmaKeeper</v>
      </c>
      <c r="B35" s="61" t="s">
        <v>198</v>
      </c>
      <c r="C35" s="61"/>
      <c r="D35" t="s">
        <v>710</v>
      </c>
      <c r="E35" s="2" t="s">
        <v>5</v>
      </c>
    </row>
    <row r="36" spans="1:5" x14ac:dyDescent="0.25">
      <c r="A36" s="9"/>
      <c r="B36" s="63"/>
      <c r="C36" s="63"/>
    </row>
    <row r="37" spans="1:5" x14ac:dyDescent="0.25">
      <c r="A37" s="1" t="str">
        <f>HYPERLINK("https://www.spigotmc.org/resources/marriage-master-mc-1-7-1-9.19273/", "MarriageMaster")</f>
        <v>MarriageMaster</v>
      </c>
      <c r="B37" s="12" t="s">
        <v>198</v>
      </c>
      <c r="D37" t="s">
        <v>108</v>
      </c>
      <c r="E37" s="2" t="s">
        <v>5</v>
      </c>
    </row>
    <row r="38" spans="1:5" x14ac:dyDescent="0.25">
      <c r="A38" s="1" t="str">
        <f>HYPERLINK("https://www.spigotmc.org/resources/permissionsshop.5620/", "PermissionsShop")</f>
        <v>PermissionsShop</v>
      </c>
      <c r="B38" s="12" t="s">
        <v>198</v>
      </c>
      <c r="D38" t="s">
        <v>45</v>
      </c>
      <c r="E38" s="2" t="s">
        <v>5</v>
      </c>
    </row>
    <row r="39" spans="1:5" x14ac:dyDescent="0.25">
      <c r="A39" s="1" t="str">
        <f>HYPERLINK("https://www.spigotmc.org/resources/ships-mc-1-8-1-9-2.2072/", "Ships")</f>
        <v>Ships</v>
      </c>
      <c r="B39" s="12" t="s">
        <v>198</v>
      </c>
      <c r="D39" t="s">
        <v>41</v>
      </c>
      <c r="E39" s="2" t="s">
        <v>5</v>
      </c>
    </row>
    <row r="40" spans="1:5" x14ac:dyDescent="0.25">
      <c r="A40" s="9" t="str">
        <f>HYPERLINK("https://www.spigotmc.org/resources/staticlight.21226/", "StaticLight")</f>
        <v>StaticLight</v>
      </c>
      <c r="B40" s="12" t="s">
        <v>198</v>
      </c>
      <c r="D40" t="s">
        <v>25</v>
      </c>
      <c r="E40" s="2" t="s">
        <v>5</v>
      </c>
    </row>
    <row r="41" spans="1:5" x14ac:dyDescent="0.25">
      <c r="A41" s="1" t="str">
        <f>HYPERLINK("https://www.spigotmc.org/resources/townships.1892/", "Townships")</f>
        <v>Townships</v>
      </c>
      <c r="B41" s="38" t="s">
        <v>198</v>
      </c>
      <c r="D41" t="s">
        <v>46</v>
      </c>
      <c r="E41" s="2" t="s">
        <v>5</v>
      </c>
    </row>
    <row r="42" spans="1:5" x14ac:dyDescent="0.25">
      <c r="A42" s="9" t="str">
        <f>HYPERLINK("https://www.spigotmc.org/resources/usefulsigns.21117/", "UsefulSigns")</f>
        <v>UsefulSigns</v>
      </c>
      <c r="B42" s="12" t="s">
        <v>198</v>
      </c>
      <c r="D42" t="s">
        <v>18</v>
      </c>
      <c r="E42" s="2" t="s">
        <v>5</v>
      </c>
    </row>
    <row r="43" spans="1:5" x14ac:dyDescent="0.25">
      <c r="A43" s="9" t="str">
        <f>HYPERLINK("https://www.spigotmc.org/resources/vampire.1906/", "Vampire")</f>
        <v>Vampire</v>
      </c>
      <c r="B43" s="12" t="s">
        <v>198</v>
      </c>
      <c r="D43" t="s">
        <v>14</v>
      </c>
      <c r="E43" s="2" t="s">
        <v>5</v>
      </c>
    </row>
    <row r="44" spans="1:5" x14ac:dyDescent="0.25">
      <c r="A44" s="9" t="str">
        <f>HYPERLINK("https://www.spigotmc.org/resources/werewolves.35778/", "Werewolves")</f>
        <v>Werewolves</v>
      </c>
      <c r="B44" s="50" t="s">
        <v>198</v>
      </c>
      <c r="D44" t="s">
        <v>624</v>
      </c>
      <c r="E44" s="2">
        <v>10</v>
      </c>
    </row>
  </sheetData>
  <mergeCells count="3">
    <mergeCell ref="A12:E12"/>
    <mergeCell ref="A17:E17"/>
    <mergeCell ref="A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/>
  </sheetViews>
  <sheetFormatPr defaultRowHeight="15" x14ac:dyDescent="0.25"/>
  <cols>
    <col min="1" max="1" width="22" bestFit="1" customWidth="1"/>
    <col min="2" max="2" width="18.5703125" customWidth="1"/>
    <col min="3" max="3" width="10.42578125" customWidth="1"/>
    <col min="4" max="4" width="52.28515625" bestFit="1" customWidth="1"/>
    <col min="5" max="5" width="8.85546875" bestFit="1" customWidth="1"/>
  </cols>
  <sheetData>
    <row r="1" spans="1:5" ht="20.25" thickBot="1" x14ac:dyDescent="0.35">
      <c r="A1" s="4" t="s">
        <v>0</v>
      </c>
      <c r="B1" s="4" t="s">
        <v>157</v>
      </c>
      <c r="C1" s="3" t="s">
        <v>2</v>
      </c>
      <c r="D1" s="3" t="s">
        <v>1</v>
      </c>
      <c r="E1" s="5" t="s">
        <v>4</v>
      </c>
    </row>
    <row r="2" spans="1:5" ht="18.75" thickTop="1" thickBot="1" x14ac:dyDescent="0.35">
      <c r="A2" s="98" t="s">
        <v>704</v>
      </c>
      <c r="B2" s="98"/>
      <c r="C2" s="98"/>
      <c r="D2" s="98"/>
      <c r="E2" s="98"/>
    </row>
    <row r="3" spans="1:5" ht="15.75" thickTop="1" x14ac:dyDescent="0.25">
      <c r="A3" s="1" t="str">
        <f>HYPERLINK("https://www.spigotmc.org/resources/eggcatcher.19933/", "EggCatcher")</f>
        <v>EggCatcher</v>
      </c>
      <c r="B3" s="12" t="s">
        <v>194</v>
      </c>
      <c r="D3" t="s">
        <v>65</v>
      </c>
      <c r="E3" s="2" t="s">
        <v>5</v>
      </c>
    </row>
    <row r="4" spans="1:5" x14ac:dyDescent="0.25">
      <c r="A4" s="9" t="str">
        <f>HYPERLINK("https://www.spigotmc.org/resources/mobcatcher.4265/", "MobCatcher")</f>
        <v>MobCatcher</v>
      </c>
      <c r="B4" s="61" t="s">
        <v>194</v>
      </c>
      <c r="D4" t="s">
        <v>7</v>
      </c>
      <c r="E4" s="2">
        <v>9.99</v>
      </c>
    </row>
    <row r="6" spans="1:5" x14ac:dyDescent="0.25">
      <c r="A6" s="9" t="str">
        <f>HYPERLINK("https://www.spigotmc.org/resources/experiencecommands.21138/", "ExperienceCommands")</f>
        <v>ExperienceCommands</v>
      </c>
      <c r="B6" s="61" t="s">
        <v>194</v>
      </c>
      <c r="D6" t="s">
        <v>94</v>
      </c>
      <c r="E6" s="2" t="s">
        <v>5</v>
      </c>
    </row>
    <row r="7" spans="1:5" x14ac:dyDescent="0.25">
      <c r="A7" s="1" t="str">
        <f>HYPERLINK("https://www.spigotmc.org/resources/explosivearrows.18581/", "ExplosiveArrows")</f>
        <v>ExplosiveArrows</v>
      </c>
      <c r="B7" s="61" t="s">
        <v>194</v>
      </c>
      <c r="D7" t="s">
        <v>118</v>
      </c>
      <c r="E7" s="2" t="s">
        <v>5</v>
      </c>
    </row>
    <row r="8" spans="1:5" x14ac:dyDescent="0.25">
      <c r="A8" s="1" t="str">
        <f>HYPERLINK("https://www.spigotmc.org/resources/extra-inventory.21727/", "Extra Inventory")</f>
        <v>Extra Inventory</v>
      </c>
      <c r="B8" s="61" t="s">
        <v>194</v>
      </c>
      <c r="D8" t="s">
        <v>110</v>
      </c>
      <c r="E8" s="2" t="s">
        <v>5</v>
      </c>
    </row>
    <row r="9" spans="1:5" x14ac:dyDescent="0.25">
      <c r="A9" s="9" t="str">
        <f>HYPERLINK("https://www.spigotmc.org/resources/headshot.21526/", "Headshot")</f>
        <v>Headshot</v>
      </c>
      <c r="B9" s="61" t="s">
        <v>194</v>
      </c>
      <c r="D9" t="s">
        <v>22</v>
      </c>
      <c r="E9" s="2" t="s">
        <v>5</v>
      </c>
    </row>
    <row r="10" spans="1:5" x14ac:dyDescent="0.25">
      <c r="A10" s="9"/>
      <c r="B10" s="61"/>
      <c r="E10" s="2"/>
    </row>
    <row r="11" spans="1:5" x14ac:dyDescent="0.25">
      <c r="A11" s="1" t="str">
        <f>HYPERLINK("https://www.spigotmc.org/resources/magespells.5931/", "MageSpells")</f>
        <v>MageSpells</v>
      </c>
      <c r="B11" s="61" t="s">
        <v>194</v>
      </c>
      <c r="D11" t="s">
        <v>116</v>
      </c>
      <c r="E11" s="2" t="s">
        <v>5</v>
      </c>
    </row>
    <row r="12" spans="1:5" x14ac:dyDescent="0.25">
      <c r="A12" s="1" t="str">
        <f>HYPERLINK("https://www.spigotmc.org/resources/wizardly-magic.6297/", "Wizardly Magic")</f>
        <v>Wizardly Magic</v>
      </c>
      <c r="B12" s="61" t="s">
        <v>194</v>
      </c>
      <c r="D12" t="s">
        <v>115</v>
      </c>
      <c r="E12" s="2" t="s">
        <v>5</v>
      </c>
    </row>
    <row r="14" spans="1:5" x14ac:dyDescent="0.25">
      <c r="A14" s="1" t="str">
        <f>HYPERLINK("https://www.spigotmc.org/resources/minecraft-double-jump.11715/", "Minecraft Double Jump")</f>
        <v>Minecraft Double Jump</v>
      </c>
      <c r="B14" s="61" t="s">
        <v>194</v>
      </c>
      <c r="D14" t="s">
        <v>84</v>
      </c>
      <c r="E14" s="2" t="s">
        <v>5</v>
      </c>
    </row>
    <row r="15" spans="1:5" x14ac:dyDescent="0.25">
      <c r="A15" s="1" t="str">
        <f>HYPERLINK("https://www.spigotmc.org/resources/ultimatedoublejump.21005/", "UltimateDoubleJump")</f>
        <v>UltimateDoubleJump</v>
      </c>
      <c r="B15" s="61" t="s">
        <v>194</v>
      </c>
      <c r="D15" t="s">
        <v>112</v>
      </c>
      <c r="E15" s="2" t="s">
        <v>5</v>
      </c>
    </row>
    <row r="17" spans="1:5" x14ac:dyDescent="0.25">
      <c r="A17" s="1" t="str">
        <f>HYPERLINK("https://www.spigotmc.org/resources/mypet.12725/", "MyPet")</f>
        <v>MyPet</v>
      </c>
      <c r="B17" s="61" t="s">
        <v>194</v>
      </c>
      <c r="C17" s="50"/>
      <c r="D17" t="s">
        <v>632</v>
      </c>
      <c r="E17" s="2" t="s">
        <v>5</v>
      </c>
    </row>
    <row r="18" spans="1:5" x14ac:dyDescent="0.25">
      <c r="A18" s="1" t="str">
        <f>HYPERLINK("https://www.spigotmc.org/resources/playerforcefields.20458/", "PlayerForceFields")</f>
        <v>PlayerForceFields</v>
      </c>
      <c r="B18" s="61" t="s">
        <v>194</v>
      </c>
      <c r="D18" t="s">
        <v>131</v>
      </c>
      <c r="E18" s="2" t="s">
        <v>5</v>
      </c>
    </row>
    <row r="19" spans="1:5" x14ac:dyDescent="0.25">
      <c r="A19" s="1" t="str">
        <f>HYPERLINK("https://www.spigotmc.org/resources/rpghealthplus.6176/", "RPGHealthPlus")</f>
        <v>RPGHealthPlus</v>
      </c>
      <c r="B19" s="61" t="s">
        <v>194</v>
      </c>
      <c r="D19" t="s">
        <v>79</v>
      </c>
      <c r="E19" s="2" t="s">
        <v>5</v>
      </c>
    </row>
    <row r="20" spans="1:5" x14ac:dyDescent="0.25">
      <c r="A20" s="1" t="str">
        <f>HYPERLINK("https://www.spigotmc.org/resources/selfheal.20117/", "SelfHeal")</f>
        <v>SelfHeal</v>
      </c>
      <c r="B20" s="61" t="s">
        <v>194</v>
      </c>
      <c r="D20" t="s">
        <v>129</v>
      </c>
      <c r="E20" s="2" t="s">
        <v>5</v>
      </c>
    </row>
    <row r="21" spans="1:5" x14ac:dyDescent="0.25">
      <c r="A21" s="1" t="str">
        <f>HYPERLINK("https://www.spigotmc.org/resources/soulbind.19057/", "Soulbind")</f>
        <v>Soulbind</v>
      </c>
      <c r="B21" s="61" t="s">
        <v>194</v>
      </c>
      <c r="D21" t="s">
        <v>81</v>
      </c>
      <c r="E21" s="2" t="s">
        <v>5</v>
      </c>
    </row>
    <row r="22" spans="1:5" x14ac:dyDescent="0.25">
      <c r="A22" s="1" t="str">
        <f>HYPERLINK("https://www.spigotmc.org/resources/sthorses.13879/", "stHorses")</f>
        <v>stHorses</v>
      </c>
      <c r="B22" s="61" t="s">
        <v>194</v>
      </c>
      <c r="D22" t="s">
        <v>59</v>
      </c>
      <c r="E22" s="2" t="s">
        <v>5</v>
      </c>
    </row>
    <row r="23" spans="1:5" x14ac:dyDescent="0.25">
      <c r="A23" s="1" t="str">
        <f>HYPERLINK("https://www.spigotmc.org/resources/superelytra-improved-elytra-flight.19382/", "SuperElytra")</f>
        <v>SuperElytra</v>
      </c>
      <c r="B23" s="61" t="s">
        <v>194</v>
      </c>
      <c r="D23" t="s">
        <v>674</v>
      </c>
      <c r="E23" s="2" t="s">
        <v>5</v>
      </c>
    </row>
    <row r="24" spans="1:5" x14ac:dyDescent="0.25">
      <c r="A24" s="1" t="str">
        <f>HYPERLINK("https://www.spigotmc.org/resources/youre-an-ass.19811/", "You're an Ass")</f>
        <v>You're an Ass</v>
      </c>
      <c r="B24" s="61" t="s">
        <v>194</v>
      </c>
      <c r="D24" t="s">
        <v>123</v>
      </c>
      <c r="E24" s="2" t="s">
        <v>5</v>
      </c>
    </row>
    <row r="25" spans="1:5" ht="18" thickBot="1" x14ac:dyDescent="0.35">
      <c r="A25" s="98" t="s">
        <v>705</v>
      </c>
      <c r="B25" s="98"/>
      <c r="C25" s="98"/>
      <c r="D25" s="98"/>
      <c r="E25" s="98"/>
    </row>
    <row r="26" spans="1:5" ht="15.75" thickTop="1" x14ac:dyDescent="0.25">
      <c r="A26" s="1" t="str">
        <f>HYPERLINK("https://www.spigotmc.org/resources/dwarfcraft.4118/", "Dwarfcraft")</f>
        <v>Dwarfcraft</v>
      </c>
      <c r="B26" s="61" t="s">
        <v>194</v>
      </c>
      <c r="D26" t="s">
        <v>74</v>
      </c>
      <c r="E26" s="2" t="s">
        <v>5</v>
      </c>
    </row>
    <row r="27" spans="1:5" x14ac:dyDescent="0.25">
      <c r="A27" s="1" t="str">
        <f>HYPERLINK("https://www.spigotmc.org/resources/heroes.305/", "Heroes")</f>
        <v>Heroes</v>
      </c>
      <c r="B27" s="61" t="s">
        <v>194</v>
      </c>
      <c r="D27" t="s">
        <v>33</v>
      </c>
      <c r="E27" s="2" t="s">
        <v>5</v>
      </c>
    </row>
    <row r="28" spans="1:5" x14ac:dyDescent="0.25">
      <c r="A28" s="1" t="str">
        <f>HYPERLINK("https://www.spigotmc.org/resources/hexattributes.21488/", "HexAttributes")</f>
        <v>HexAttributes</v>
      </c>
      <c r="B28" s="61" t="s">
        <v>194</v>
      </c>
      <c r="D28" t="s">
        <v>90</v>
      </c>
      <c r="E28" s="2" t="s">
        <v>5</v>
      </c>
    </row>
    <row r="29" spans="1:5" x14ac:dyDescent="0.25">
      <c r="A29" s="1" t="str">
        <f>HYPERLINK("https://www.spigotmc.org/resources/rpg-player-leveling.11096/", "RPG Player Leveling")</f>
        <v>RPG Player Leveling</v>
      </c>
      <c r="B29" s="61" t="s">
        <v>194</v>
      </c>
      <c r="D29" t="s">
        <v>144</v>
      </c>
      <c r="E29" s="2">
        <v>10</v>
      </c>
    </row>
    <row r="30" spans="1:5" x14ac:dyDescent="0.25">
      <c r="A30" s="11" t="str">
        <f>HYPERLINK("https://www.spigotmc.org/resources/skillapi.4824/", "SkillAPI")</f>
        <v>SkillAPI</v>
      </c>
      <c r="B30" s="61" t="s">
        <v>194</v>
      </c>
      <c r="D30" t="s">
        <v>11</v>
      </c>
      <c r="E30" s="2" t="s">
        <v>5</v>
      </c>
    </row>
    <row r="32" spans="1:5" x14ac:dyDescent="0.25">
      <c r="A32" s="9" t="str">
        <f>HYPERLINK("https://www.spigotmc.org/resources/mcmmo.2445/", "mcMMO")</f>
        <v>mcMMO</v>
      </c>
      <c r="B32" s="61" t="s">
        <v>194</v>
      </c>
      <c r="D32" t="s">
        <v>16</v>
      </c>
      <c r="E32" s="2">
        <v>10.61</v>
      </c>
    </row>
    <row r="33" spans="1:5" x14ac:dyDescent="0.25">
      <c r="A33" s="9" t="str">
        <f>HYPERLINK("https://www.spigotmc.org/resources/mcmmoaction.17261/", "mcMMOAction")</f>
        <v>mcMMOAction</v>
      </c>
      <c r="B33" s="61" t="s">
        <v>194</v>
      </c>
      <c r="D33" t="s">
        <v>105</v>
      </c>
      <c r="E33" s="2" t="s">
        <v>5</v>
      </c>
    </row>
    <row r="34" spans="1:5" x14ac:dyDescent="0.25">
      <c r="A34" s="1" t="str">
        <f>HYPERLINK("https://www.spigotmc.org/resources/mcmmoextras.21497/", "mcMMOExtras")</f>
        <v>mcMMOExtras</v>
      </c>
      <c r="B34" s="61" t="s">
        <v>194</v>
      </c>
      <c r="D34" t="s">
        <v>99</v>
      </c>
      <c r="E34" s="2" t="s">
        <v>5</v>
      </c>
    </row>
    <row r="35" spans="1:5" x14ac:dyDescent="0.25">
      <c r="A35" s="1" t="str">
        <f>HYPERLINK("https://www.spigotmc.org/resources/mcmmo-xp-bar.19773/", "mcMMO XP Bar")</f>
        <v>mcMMO XP Bar</v>
      </c>
      <c r="B35" s="61" t="s">
        <v>194</v>
      </c>
      <c r="D35" t="s">
        <v>133</v>
      </c>
      <c r="E35" s="2" t="s">
        <v>5</v>
      </c>
    </row>
  </sheetData>
  <mergeCells count="2">
    <mergeCell ref="A2:E2"/>
    <mergeCell ref="A25:E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/>
  </sheetViews>
  <sheetFormatPr defaultRowHeight="15" x14ac:dyDescent="0.25"/>
  <cols>
    <col min="1" max="1" width="24.28515625" bestFit="1" customWidth="1"/>
    <col min="2" max="2" width="18.5703125" style="12" bestFit="1" customWidth="1"/>
    <col min="3" max="3" width="10.42578125" style="12" bestFit="1" customWidth="1"/>
    <col min="4" max="4" width="60.28515625" bestFit="1" customWidth="1"/>
    <col min="5" max="5" width="8.85546875" style="2" bestFit="1" customWidth="1"/>
  </cols>
  <sheetData>
    <row r="1" spans="1:5" ht="20.25" thickBot="1" x14ac:dyDescent="0.35">
      <c r="A1" s="4" t="s">
        <v>0</v>
      </c>
      <c r="B1" s="4" t="s">
        <v>157</v>
      </c>
      <c r="C1" s="4" t="s">
        <v>2</v>
      </c>
      <c r="D1" s="3" t="s">
        <v>1</v>
      </c>
      <c r="E1" s="5" t="s">
        <v>4</v>
      </c>
    </row>
    <row r="2" spans="1:5" ht="15.75" thickTop="1" x14ac:dyDescent="0.25">
      <c r="A2" s="9" t="str">
        <f>HYPERLINK("https://www.spigotmc.org/resources/bossshoppro-the-most-powerful-chest-gui-shop-menu-plugin.25699/", "BossShopPro")</f>
        <v>BossShopPro</v>
      </c>
      <c r="B2" s="50" t="s">
        <v>199</v>
      </c>
      <c r="C2" s="50"/>
      <c r="D2" t="s">
        <v>618</v>
      </c>
      <c r="E2" s="2">
        <v>12</v>
      </c>
    </row>
    <row r="3" spans="1:5" x14ac:dyDescent="0.25">
      <c r="A3" s="11" t="str">
        <f>HYPERLINK("https://www.spigotmc.org/resources/playershops-gui-bsp-allow-players-to-create-public-shops.29568/", "-----PlayerShopsGUI")</f>
        <v>-----PlayerShopsGUI</v>
      </c>
      <c r="B3" s="61" t="s">
        <v>199</v>
      </c>
      <c r="C3" s="50"/>
      <c r="D3" t="s">
        <v>619</v>
      </c>
      <c r="E3" s="2">
        <v>15</v>
      </c>
    </row>
    <row r="4" spans="1:5" x14ac:dyDescent="0.25">
      <c r="A4" s="11"/>
      <c r="B4" s="63"/>
      <c r="C4" s="63"/>
    </row>
    <row r="5" spans="1:5" x14ac:dyDescent="0.25">
      <c r="A5" s="9" t="str">
        <f>HYPERLINK("https://www.spigotmc.org/resources/1-9-chestshop.19511/", "ChestShop")</f>
        <v>ChestShop</v>
      </c>
      <c r="B5" s="61" t="s">
        <v>199</v>
      </c>
      <c r="D5" t="s">
        <v>93</v>
      </c>
      <c r="E5" s="2" t="s">
        <v>5</v>
      </c>
    </row>
    <row r="6" spans="1:5" x14ac:dyDescent="0.25">
      <c r="A6" s="1" t="str">
        <f>HYPERLINK("https://www.spigotmc.org/resources/itemframeshops.4667/", "ItemFrameShops")</f>
        <v>ItemFrameShops</v>
      </c>
      <c r="B6" s="61" t="s">
        <v>199</v>
      </c>
      <c r="D6" t="s">
        <v>145</v>
      </c>
      <c r="E6" s="2">
        <v>6</v>
      </c>
    </row>
    <row r="7" spans="1:5" x14ac:dyDescent="0.25">
      <c r="A7" s="9"/>
      <c r="B7" s="63"/>
      <c r="C7" s="63"/>
    </row>
    <row r="8" spans="1:5" x14ac:dyDescent="0.25">
      <c r="A8" s="1" t="str">
        <f>HYPERLINK("https://www.spigotmc.org/resources/dynaprice.10965/", "DynaPrice")</f>
        <v>DynaPrice</v>
      </c>
      <c r="B8" s="61" t="s">
        <v>199</v>
      </c>
      <c r="D8" t="s">
        <v>96</v>
      </c>
      <c r="E8" s="2" t="s">
        <v>5</v>
      </c>
    </row>
    <row r="9" spans="1:5" x14ac:dyDescent="0.25">
      <c r="A9" s="1" t="str">
        <f>HYPERLINK("https://www.spigotmc.org/resources/dynapricegui.21054/", "-----DynaPriceGUI")</f>
        <v>-----DynaPriceGUI</v>
      </c>
      <c r="B9" s="61" t="s">
        <v>199</v>
      </c>
      <c r="D9" t="s">
        <v>97</v>
      </c>
      <c r="E9" s="2" t="s">
        <v>5</v>
      </c>
    </row>
    <row r="10" spans="1:5" x14ac:dyDescent="0.25">
      <c r="A10" s="1" t="str">
        <f>HYPERLINK("https://www.spigotmc.org/resources/hyperconomy.4602/", "HyperEconomy")</f>
        <v>HyperEconomy</v>
      </c>
      <c r="B10" s="61" t="s">
        <v>199</v>
      </c>
      <c r="D10" t="s">
        <v>98</v>
      </c>
      <c r="E10" s="2" t="s">
        <v>5</v>
      </c>
    </row>
    <row r="12" spans="1:5" x14ac:dyDescent="0.25">
      <c r="A12" s="1" t="str">
        <f>HYPERLINK("https://www.spigotmc.org/resources/in_blocks-schematic-shop.8675/", "iN_Blocks Schematic Shop")</f>
        <v>iN_Blocks Schematic Shop</v>
      </c>
      <c r="B12" s="61" t="s">
        <v>199</v>
      </c>
      <c r="D12" t="s">
        <v>85</v>
      </c>
      <c r="E12" s="2" t="s">
        <v>5</v>
      </c>
    </row>
    <row r="13" spans="1:5" x14ac:dyDescent="0.25">
      <c r="A13" s="1"/>
    </row>
    <row r="14" spans="1:5" x14ac:dyDescent="0.25">
      <c r="A14" s="1" t="str">
        <f>HYPERLINK("https://www.spigotmc.org/resources/kiss-mobmonies.18713/", "KISS MobMonies")</f>
        <v>KISS MobMonies</v>
      </c>
      <c r="B14" s="61" t="s">
        <v>199</v>
      </c>
      <c r="D14" t="s">
        <v>86</v>
      </c>
      <c r="E14" s="2" t="s">
        <v>5</v>
      </c>
    </row>
    <row r="15" spans="1:5" x14ac:dyDescent="0.25">
      <c r="A15" s="8" t="str">
        <f>HYPERLINK("https://www.spigotmc.org/resources/mobhunt.16730/", "MobHunt")</f>
        <v>MobHunt</v>
      </c>
      <c r="B15" s="61" t="s">
        <v>199</v>
      </c>
      <c r="D15" t="s">
        <v>95</v>
      </c>
      <c r="E15" s="2" t="s">
        <v>5</v>
      </c>
    </row>
    <row r="16" spans="1:5" x14ac:dyDescent="0.25">
      <c r="A16" s="8" t="str">
        <f>HYPERLINK("https://www.spigotmc.org/resources/mobhunting.3582/", "MobHunting")</f>
        <v>MobHunting</v>
      </c>
      <c r="B16" s="61" t="s">
        <v>199</v>
      </c>
      <c r="C16" s="60"/>
      <c r="D16" t="s">
        <v>95</v>
      </c>
      <c r="E16" s="2" t="s">
        <v>5</v>
      </c>
    </row>
    <row r="17" spans="1:5" x14ac:dyDescent="0.25">
      <c r="A17" s="8"/>
    </row>
    <row r="18" spans="1:5" x14ac:dyDescent="0.25">
      <c r="A18" s="11" t="str">
        <f>HYPERLINK("https://www.spigotmc.org/resources/money-notes.21852/", "Money Notes")</f>
        <v>Money Notes</v>
      </c>
      <c r="B18" s="61" t="s">
        <v>199</v>
      </c>
      <c r="D18" t="s">
        <v>92</v>
      </c>
      <c r="E18" s="2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/>
  </sheetViews>
  <sheetFormatPr defaultRowHeight="15" x14ac:dyDescent="0.25"/>
  <cols>
    <col min="1" max="1" width="21" bestFit="1" customWidth="1"/>
    <col min="2" max="2" width="18.5703125" style="12" bestFit="1" customWidth="1"/>
    <col min="3" max="3" width="10.42578125" bestFit="1" customWidth="1"/>
    <col min="4" max="4" width="59.5703125" bestFit="1" customWidth="1"/>
    <col min="5" max="5" width="8.85546875" style="2" bestFit="1" customWidth="1"/>
  </cols>
  <sheetData>
    <row r="1" spans="1:5" ht="20.25" thickBot="1" x14ac:dyDescent="0.35">
      <c r="A1" s="4" t="s">
        <v>0</v>
      </c>
      <c r="B1" s="4" t="s">
        <v>157</v>
      </c>
      <c r="C1" s="3" t="s">
        <v>2</v>
      </c>
      <c r="D1" s="3" t="s">
        <v>1</v>
      </c>
      <c r="E1" s="5" t="s">
        <v>4</v>
      </c>
    </row>
    <row r="2" spans="1:5" ht="15.75" thickTop="1" x14ac:dyDescent="0.25">
      <c r="A2" s="1" t="str">
        <f>HYPERLINK("https://www.spigotmc.org/resources/cityworld.2250/", "CityWorld")</f>
        <v>CityWorld</v>
      </c>
      <c r="B2" s="61" t="s">
        <v>706</v>
      </c>
      <c r="D2" t="s">
        <v>61</v>
      </c>
      <c r="E2" s="2" t="s">
        <v>5</v>
      </c>
    </row>
    <row r="3" spans="1:5" x14ac:dyDescent="0.25">
      <c r="A3" s="1" t="str">
        <f>HYPERLINK("https://www.spigotmc.org/resources/epicworldgenerator-1-7-10-1-9-2.8067/", "EpicWorldGenerator")</f>
        <v>EpicWorldGenerator</v>
      </c>
      <c r="B3" s="61" t="s">
        <v>706</v>
      </c>
      <c r="D3" t="s">
        <v>48</v>
      </c>
      <c r="E3" s="2" t="s">
        <v>5</v>
      </c>
    </row>
    <row r="4" spans="1:5" x14ac:dyDescent="0.25">
      <c r="A4" s="1" t="str">
        <f>HYPERLINK("https://www.spigotmc.org/resources/hothgenerator.4819/", "HothGenerator")</f>
        <v>HothGenerator</v>
      </c>
      <c r="B4" s="61" t="s">
        <v>706</v>
      </c>
      <c r="D4" t="s">
        <v>60</v>
      </c>
      <c r="E4" s="2" t="s">
        <v>5</v>
      </c>
    </row>
    <row r="5" spans="1:5" x14ac:dyDescent="0.25">
      <c r="A5" s="1" t="str">
        <f>HYPERLINK("https://www.spigotmc.org/resources/the-underground-1-7-10-1-8-8.715/", "TheUnderground")</f>
        <v>TheUnderground</v>
      </c>
      <c r="B5" s="61" t="s">
        <v>706</v>
      </c>
      <c r="D5" t="s">
        <v>146</v>
      </c>
      <c r="E5" s="2" t="s">
        <v>5</v>
      </c>
    </row>
    <row r="6" spans="1:5" x14ac:dyDescent="0.25">
      <c r="A6" s="1"/>
      <c r="B6" s="61"/>
    </row>
    <row r="7" spans="1:5" x14ac:dyDescent="0.25">
      <c r="A7" s="1" t="str">
        <f>HYPERLINK("https://www.spigotmc.org/resources/multiinv.20981/", "MultiInv")</f>
        <v>MultiInv</v>
      </c>
      <c r="B7" s="61" t="s">
        <v>706</v>
      </c>
      <c r="D7" t="s">
        <v>27</v>
      </c>
      <c r="E7" s="2" t="s">
        <v>5</v>
      </c>
    </row>
    <row r="8" spans="1:5" x14ac:dyDescent="0.25">
      <c r="A8" s="9" t="str">
        <f>HYPERLINK("https://www.spigotmc.org/resources/per-world-inventory.4482/","PerWorldInventory")</f>
        <v>PerWorldInventory</v>
      </c>
      <c r="B8" s="61" t="s">
        <v>706</v>
      </c>
      <c r="D8" t="s">
        <v>73</v>
      </c>
      <c r="E8" s="2" t="s">
        <v>5</v>
      </c>
    </row>
    <row r="9" spans="1:5" x14ac:dyDescent="0.25">
      <c r="A9" s="9"/>
      <c r="B9" s="61"/>
    </row>
    <row r="10" spans="1:5" x14ac:dyDescent="0.25">
      <c r="A10" s="9" t="str">
        <f>HYPERLINK("https://github.com/Multiverse/Multiverse-Core/wiki", "Multiverse")</f>
        <v>Multiverse</v>
      </c>
      <c r="B10" s="12" t="s">
        <v>706</v>
      </c>
      <c r="D10" t="s">
        <v>156</v>
      </c>
      <c r="E10" s="2" t="s">
        <v>5</v>
      </c>
    </row>
    <row r="11" spans="1:5" ht="15.75" thickTop="1" x14ac:dyDescent="0.25">
      <c r="A11" s="1" t="str">
        <f>HYPERLINK("https://www.spigotmc.org/resources/worldcontrolmanager.17841/", "WorldControlManager")</f>
        <v>WorldControlManager</v>
      </c>
      <c r="B11" s="61" t="s">
        <v>706</v>
      </c>
      <c r="D11" t="s">
        <v>88</v>
      </c>
      <c r="E11" s="2" t="s">
        <v>5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A38F-61F3-400F-873B-80D0CCC69B5E}">
  <dimension ref="A1:B5"/>
  <sheetViews>
    <sheetView workbookViewId="0"/>
  </sheetViews>
  <sheetFormatPr defaultRowHeight="15" x14ac:dyDescent="0.25"/>
  <cols>
    <col min="1" max="1" width="10.42578125" bestFit="1" customWidth="1"/>
    <col min="2" max="2" width="67.7109375" bestFit="1" customWidth="1"/>
  </cols>
  <sheetData>
    <row r="1" spans="1:2" x14ac:dyDescent="0.25">
      <c r="A1" t="s">
        <v>808</v>
      </c>
      <c r="B1" t="s">
        <v>819</v>
      </c>
    </row>
    <row r="2" spans="1:2" x14ac:dyDescent="0.25">
      <c r="A2" t="s">
        <v>809</v>
      </c>
      <c r="B2" t="s">
        <v>813</v>
      </c>
    </row>
    <row r="3" spans="1:2" x14ac:dyDescent="0.25">
      <c r="A3" t="s">
        <v>810</v>
      </c>
      <c r="B3" t="s">
        <v>818</v>
      </c>
    </row>
    <row r="4" spans="1:2" x14ac:dyDescent="0.25">
      <c r="A4" t="s">
        <v>811</v>
      </c>
      <c r="B4" t="s">
        <v>817</v>
      </c>
    </row>
    <row r="5" spans="1:2" x14ac:dyDescent="0.25">
      <c r="A5" t="s">
        <v>812</v>
      </c>
      <c r="B5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Installed</vt:lpstr>
      <vt:lpstr>Installed (Old)</vt:lpstr>
      <vt:lpstr>NPCs</vt:lpstr>
      <vt:lpstr>Combat</vt:lpstr>
      <vt:lpstr>RPG</vt:lpstr>
      <vt:lpstr>Player Advancement</vt:lpstr>
      <vt:lpstr>Economy</vt:lpstr>
      <vt:lpstr>Multiverse</vt:lpstr>
      <vt:lpstr>Tracks</vt:lpstr>
      <vt:lpstr>Potentials</vt:lpstr>
      <vt:lpstr>Bug Tracker</vt:lpstr>
      <vt:lpstr>Loot Tables</vt:lpstr>
      <vt:lpstr>Horse Stats</vt:lpstr>
      <vt:lpstr>Commands</vt:lpstr>
      <vt:lpstr>--Data Validation--</vt:lpstr>
      <vt:lpstr>--Hidden--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Moore</dc:creator>
  <cp:lastModifiedBy>Jeffery Moore</cp:lastModifiedBy>
  <dcterms:created xsi:type="dcterms:W3CDTF">2016-04-11T01:32:15Z</dcterms:created>
  <dcterms:modified xsi:type="dcterms:W3CDTF">2020-08-03T16:41:40Z</dcterms:modified>
</cp:coreProperties>
</file>