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2b91f6812da6ea8a/Desktop/"/>
    </mc:Choice>
  </mc:AlternateContent>
  <xr:revisionPtr revIDLastSave="4" documentId="13_ncr:1_{FEE40314-E49E-40C8-9F00-2CB996E9FA76}" xr6:coauthVersionLast="47" xr6:coauthVersionMax="47" xr10:uidLastSave="{B538470F-C4ED-4823-89B6-ADDC2DE88382}"/>
  <bookViews>
    <workbookView xWindow="-108" yWindow="-108" windowWidth="23256" windowHeight="12456" tabRatio="583" xr2:uid="{00000000-000D-0000-FFFF-FFFF00000000}"/>
  </bookViews>
  <sheets>
    <sheet name="Sheet1" sheetId="2" r:id="rId1"/>
    <sheet name="Sheet6" sheetId="9" r:id="rId2"/>
    <sheet name="Sheet5" sheetId="8" r:id="rId3"/>
    <sheet name="Sheet4" sheetId="5" r:id="rId4"/>
    <sheet name="Sheet2" sheetId="3" r:id="rId5"/>
    <sheet name="Sheet3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H89" i="2" l="1"/>
  <c r="BF89" i="2"/>
  <c r="BI96" i="2"/>
  <c r="BD95" i="2"/>
  <c r="BD94" i="2"/>
  <c r="BD93" i="2"/>
  <c r="BD92" i="2"/>
  <c r="BD91" i="2"/>
  <c r="BD90" i="2"/>
  <c r="BD89" i="2"/>
  <c r="BD88" i="2"/>
  <c r="BD87" i="2"/>
  <c r="BD86" i="2"/>
  <c r="BD85" i="2"/>
  <c r="BD84" i="2"/>
  <c r="BD83" i="2"/>
  <c r="BD82" i="2"/>
  <c r="BF77" i="2"/>
  <c r="BF76" i="2"/>
  <c r="BF75" i="2"/>
  <c r="BF74" i="2"/>
  <c r="BF72" i="2"/>
  <c r="BF71" i="2"/>
  <c r="BF69" i="2"/>
  <c r="BF68" i="2"/>
  <c r="BF67" i="2"/>
  <c r="BF66" i="2"/>
  <c r="BF65" i="2"/>
  <c r="BF64" i="2"/>
  <c r="BF63" i="2"/>
  <c r="BF62" i="2"/>
  <c r="BF61" i="2"/>
  <c r="BD77" i="2"/>
  <c r="BD76" i="2"/>
  <c r="BD75" i="2"/>
  <c r="BD74" i="2"/>
  <c r="BD72" i="2"/>
  <c r="BD71" i="2"/>
  <c r="BD69" i="2"/>
  <c r="BD68" i="2"/>
  <c r="BD67" i="2"/>
  <c r="BD66" i="2"/>
  <c r="BD65" i="2"/>
  <c r="BD64" i="2"/>
  <c r="BD63" i="2"/>
  <c r="BD62" i="2"/>
  <c r="BD61" i="2"/>
  <c r="AT14" i="2"/>
  <c r="U97" i="2"/>
  <c r="U96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H219" i="4" l="1"/>
  <c r="BL97" i="2"/>
  <c r="BL96" i="2"/>
  <c r="BH46" i="2" l="1"/>
  <c r="BH45" i="2"/>
  <c r="BH43" i="2"/>
  <c r="BH42" i="2"/>
  <c r="AL50" i="2"/>
  <c r="AY50" i="2"/>
  <c r="P50" i="2"/>
  <c r="AK28" i="2"/>
  <c r="AK24" i="2"/>
  <c r="AK26" i="2"/>
  <c r="AK25" i="2"/>
  <c r="AW26" i="2"/>
  <c r="AW25" i="2"/>
  <c r="AR89" i="2"/>
  <c r="P89" i="2"/>
  <c r="P83" i="2"/>
  <c r="P84" i="2"/>
  <c r="P85" i="2"/>
  <c r="P86" i="2"/>
  <c r="P87" i="2"/>
  <c r="P88" i="2"/>
  <c r="P82" i="2"/>
  <c r="H213" i="4"/>
  <c r="B9" i="9"/>
  <c r="B10" i="9"/>
  <c r="B11" i="9"/>
  <c r="B12" i="9"/>
  <c r="B13" i="9"/>
  <c r="B14" i="9"/>
  <c r="B15" i="9"/>
  <c r="B8" i="9"/>
  <c r="BI51" i="2" l="1"/>
  <c r="BI53" i="2"/>
  <c r="BI54" i="2"/>
  <c r="BI55" i="2"/>
  <c r="BI56" i="2"/>
  <c r="BI57" i="2"/>
  <c r="BI58" i="2"/>
  <c r="BI59" i="2"/>
  <c r="BI61" i="2"/>
  <c r="BI62" i="2"/>
  <c r="BI63" i="2"/>
  <c r="BI64" i="2"/>
  <c r="BI65" i="2"/>
  <c r="BI66" i="2"/>
  <c r="BI67" i="2"/>
  <c r="BI68" i="2"/>
  <c r="BI69" i="2"/>
  <c r="BI71" i="2"/>
  <c r="BI72" i="2"/>
  <c r="BI74" i="2"/>
  <c r="BI75" i="2"/>
  <c r="BI76" i="2"/>
  <c r="BI77" i="2"/>
  <c r="BI79" i="2"/>
  <c r="BI82" i="2"/>
  <c r="BI83" i="2"/>
  <c r="BI84" i="2"/>
  <c r="BI85" i="2"/>
  <c r="BI86" i="2"/>
  <c r="BI87" i="2"/>
  <c r="BI88" i="2"/>
  <c r="BI89" i="2"/>
  <c r="BI90" i="2"/>
  <c r="BI91" i="2"/>
  <c r="BI92" i="2"/>
  <c r="BI93" i="2"/>
  <c r="BI94" i="2"/>
  <c r="BI95" i="2"/>
  <c r="BI50" i="2"/>
  <c r="BI49" i="2"/>
  <c r="AO7" i="2" l="1"/>
  <c r="AP7" i="2" s="1"/>
  <c r="AO9" i="2"/>
  <c r="AP9" i="2" s="1"/>
  <c r="AO10" i="2"/>
  <c r="AP10" i="2" s="1"/>
  <c r="AO11" i="2"/>
  <c r="AO12" i="2"/>
  <c r="AP12" i="2" s="1"/>
  <c r="AO13" i="2"/>
  <c r="AP13" i="2" s="1"/>
  <c r="AO14" i="2"/>
  <c r="AP14" i="2" s="1"/>
  <c r="AO16" i="2"/>
  <c r="AP16" i="2" s="1"/>
  <c r="AO17" i="2"/>
  <c r="AP17" i="2" s="1"/>
  <c r="AO18" i="2"/>
  <c r="AP18" i="2" s="1"/>
  <c r="AO19" i="2"/>
  <c r="AP19" i="2" s="1"/>
  <c r="AO20" i="2"/>
  <c r="AP20" i="2" s="1"/>
  <c r="AO21" i="2"/>
  <c r="AP21" i="2" s="1"/>
  <c r="AO22" i="2"/>
  <c r="AP22" i="2" s="1"/>
  <c r="AO23" i="2"/>
  <c r="AP23" i="2" s="1"/>
  <c r="AO27" i="2"/>
  <c r="AP27" i="2" s="1"/>
  <c r="AO30" i="2"/>
  <c r="AP30" i="2" s="1"/>
  <c r="AO34" i="2"/>
  <c r="AP34" i="2" s="1"/>
  <c r="AO35" i="2"/>
  <c r="AP35" i="2" s="1"/>
  <c r="AO37" i="2"/>
  <c r="AP37" i="2" s="1"/>
  <c r="AO38" i="2"/>
  <c r="AP38" i="2" s="1"/>
  <c r="AO39" i="2"/>
  <c r="AP39" i="2" s="1"/>
  <c r="AO40" i="2"/>
  <c r="AP40" i="2" s="1"/>
  <c r="AO41" i="2"/>
  <c r="AP41" i="2" s="1"/>
  <c r="AO42" i="2"/>
  <c r="AP42" i="2" s="1"/>
  <c r="AO43" i="2"/>
  <c r="AP43" i="2" s="1"/>
  <c r="AO44" i="2"/>
  <c r="AP44" i="2" s="1"/>
  <c r="AO45" i="2"/>
  <c r="AP45" i="2" s="1"/>
  <c r="AO46" i="2"/>
  <c r="AP46" i="2" s="1"/>
  <c r="AO47" i="2"/>
  <c r="AP47" i="2" s="1"/>
  <c r="AO48" i="2"/>
  <c r="AP48" i="2" s="1"/>
  <c r="AO49" i="2"/>
  <c r="AP49" i="2" s="1"/>
  <c r="AO50" i="2"/>
  <c r="AP50" i="2" s="1"/>
  <c r="AO51" i="2"/>
  <c r="AP51" i="2" s="1"/>
  <c r="AO53" i="2"/>
  <c r="AP53" i="2" s="1"/>
  <c r="AO54" i="2"/>
  <c r="AP54" i="2" s="1"/>
  <c r="AO55" i="2"/>
  <c r="AP55" i="2" s="1"/>
  <c r="AO56" i="2"/>
  <c r="AP56" i="2" s="1"/>
  <c r="AO57" i="2"/>
  <c r="AP57" i="2" s="1"/>
  <c r="AO58" i="2"/>
  <c r="AP58" i="2" s="1"/>
  <c r="AO59" i="2"/>
  <c r="AP59" i="2" s="1"/>
  <c r="AO61" i="2"/>
  <c r="AP61" i="2" s="1"/>
  <c r="AO62" i="2"/>
  <c r="AP62" i="2" s="1"/>
  <c r="AO63" i="2"/>
  <c r="AP63" i="2" s="1"/>
  <c r="AO64" i="2"/>
  <c r="AP64" i="2" s="1"/>
  <c r="AO65" i="2"/>
  <c r="AP65" i="2" s="1"/>
  <c r="AO66" i="2"/>
  <c r="AP66" i="2" s="1"/>
  <c r="AO67" i="2"/>
  <c r="AP67" i="2" s="1"/>
  <c r="AO68" i="2"/>
  <c r="AP68" i="2" s="1"/>
  <c r="AO69" i="2"/>
  <c r="AP69" i="2" s="1"/>
  <c r="AO71" i="2"/>
  <c r="AP71" i="2" s="1"/>
  <c r="AO72" i="2"/>
  <c r="AP72" i="2" s="1"/>
  <c r="AO74" i="2"/>
  <c r="AP74" i="2" s="1"/>
  <c r="AO75" i="2"/>
  <c r="AP75" i="2" s="1"/>
  <c r="AO76" i="2"/>
  <c r="AP76" i="2" s="1"/>
  <c r="AO77" i="2"/>
  <c r="AP77" i="2" s="1"/>
  <c r="AO79" i="2"/>
  <c r="AP79" i="2" s="1"/>
  <c r="AO80" i="2"/>
  <c r="AP80" i="2" s="1"/>
  <c r="AO82" i="2"/>
  <c r="AP82" i="2" s="1"/>
  <c r="AO83" i="2"/>
  <c r="AP83" i="2" s="1"/>
  <c r="AO84" i="2"/>
  <c r="AP84" i="2" s="1"/>
  <c r="AO85" i="2"/>
  <c r="AP85" i="2" s="1"/>
  <c r="AO86" i="2"/>
  <c r="AP86" i="2" s="1"/>
  <c r="AO87" i="2"/>
  <c r="AP87" i="2" s="1"/>
  <c r="AO88" i="2"/>
  <c r="AP88" i="2" s="1"/>
  <c r="AO89" i="2"/>
  <c r="AP89" i="2" s="1"/>
  <c r="AO90" i="2"/>
  <c r="AP90" i="2" s="1"/>
  <c r="AO91" i="2"/>
  <c r="AP91" i="2" s="1"/>
  <c r="AO92" i="2"/>
  <c r="AP92" i="2" s="1"/>
  <c r="AO93" i="2"/>
  <c r="AP93" i="2" s="1"/>
  <c r="AO94" i="2"/>
  <c r="AP94" i="2" s="1"/>
  <c r="AO95" i="2"/>
  <c r="AP95" i="2" s="1"/>
  <c r="AO6" i="2"/>
  <c r="AP6" i="2" s="1"/>
  <c r="K98" i="2"/>
  <c r="W98" i="2"/>
  <c r="Y98" i="2"/>
  <c r="AA98" i="2"/>
  <c r="AC98" i="2"/>
  <c r="AE98" i="2"/>
  <c r="AG98" i="2"/>
  <c r="AH98" i="2"/>
  <c r="AI98" i="2"/>
  <c r="AJ98" i="2"/>
  <c r="AM98" i="2"/>
  <c r="AQ98" i="2"/>
  <c r="AS98" i="2"/>
  <c r="AU98" i="2"/>
  <c r="BH93" i="2"/>
  <c r="BH91" i="2"/>
  <c r="BF88" i="2"/>
  <c r="BH88" i="2"/>
  <c r="BF87" i="2"/>
  <c r="BF84" i="2"/>
  <c r="BF85" i="2"/>
  <c r="BF86" i="2"/>
  <c r="BF83" i="2"/>
  <c r="BH87" i="2"/>
  <c r="BH86" i="2"/>
  <c r="BH85" i="2"/>
  <c r="BH84" i="2"/>
  <c r="BH83" i="2"/>
  <c r="BH82" i="2"/>
  <c r="BE80" i="2" l="1"/>
  <c r="BF79" i="2"/>
  <c r="BH75" i="2"/>
  <c r="BH76" i="2"/>
  <c r="BH77" i="2"/>
  <c r="BH74" i="2"/>
  <c r="T75" i="2"/>
  <c r="T76" i="2"/>
  <c r="T77" i="2"/>
  <c r="T74" i="2"/>
  <c r="D199" i="4"/>
  <c r="H204" i="4" s="1"/>
  <c r="D200" i="4"/>
  <c r="H205" i="4" s="1"/>
  <c r="D201" i="4"/>
  <c r="H206" i="4" s="1"/>
  <c r="D198" i="4"/>
  <c r="H203" i="4" s="1"/>
  <c r="U75" i="2"/>
  <c r="E199" i="4"/>
  <c r="E200" i="4"/>
  <c r="E201" i="4"/>
  <c r="E198" i="4"/>
  <c r="BE98" i="2" l="1"/>
  <c r="BI80" i="2"/>
  <c r="BF80" i="2"/>
  <c r="BF98" i="2" s="1"/>
  <c r="O197" i="4"/>
  <c r="O198" i="4"/>
  <c r="O199" i="4"/>
  <c r="O200" i="4"/>
  <c r="O202" i="4"/>
  <c r="O203" i="4"/>
  <c r="O196" i="4"/>
  <c r="BH50" i="2"/>
  <c r="BJ63" i="2"/>
  <c r="BH63" i="2"/>
  <c r="BH64" i="2"/>
  <c r="BH65" i="2"/>
  <c r="BH66" i="2"/>
  <c r="BH67" i="2"/>
  <c r="BH68" i="2"/>
  <c r="BH69" i="2"/>
  <c r="BH62" i="2"/>
  <c r="P69" i="2" l="1"/>
  <c r="P68" i="2"/>
  <c r="P67" i="2"/>
  <c r="P66" i="2"/>
  <c r="P65" i="2"/>
  <c r="P64" i="2"/>
  <c r="P63" i="2"/>
  <c r="P62" i="2"/>
  <c r="BH59" i="2"/>
  <c r="BH58" i="2"/>
  <c r="BH57" i="2"/>
  <c r="P59" i="2"/>
  <c r="P58" i="2"/>
  <c r="P57" i="2"/>
  <c r="BH56" i="2"/>
  <c r="P56" i="2"/>
  <c r="BH49" i="2"/>
  <c r="P49" i="2"/>
  <c r="H164" i="4"/>
  <c r="H163" i="4"/>
  <c r="H162" i="4"/>
  <c r="H161" i="4"/>
  <c r="H160" i="4"/>
  <c r="BH54" i="2"/>
  <c r="P54" i="2"/>
  <c r="BH53" i="2"/>
  <c r="P53" i="2"/>
  <c r="BI48" i="2"/>
  <c r="BI47" i="2"/>
  <c r="BI44" i="2"/>
  <c r="BH48" i="2"/>
  <c r="P48" i="2"/>
  <c r="P47" i="2"/>
  <c r="BH47" i="2"/>
  <c r="H129" i="4"/>
  <c r="H128" i="4"/>
  <c r="H127" i="4"/>
  <c r="H126" i="4"/>
  <c r="H130" i="4"/>
  <c r="H80" i="4"/>
  <c r="H81" i="4"/>
  <c r="H82" i="4"/>
  <c r="H83" i="4"/>
  <c r="H115" i="4"/>
  <c r="H116" i="4"/>
  <c r="H117" i="4"/>
  <c r="AZ45" i="2"/>
  <c r="P45" i="2"/>
  <c r="BH44" i="2"/>
  <c r="P44" i="2"/>
  <c r="P41" i="2"/>
  <c r="BL43" i="2" l="1"/>
  <c r="BI40" i="2"/>
  <c r="BJ40" i="2" s="1"/>
  <c r="BH41" i="2"/>
  <c r="BH40" i="2"/>
  <c r="P40" i="2" l="1"/>
  <c r="P38" i="2"/>
  <c r="H105" i="4"/>
  <c r="H95" i="4"/>
  <c r="H104" i="4"/>
  <c r="H102" i="4"/>
  <c r="J39" i="2" l="1"/>
  <c r="AN98" i="2"/>
  <c r="BI38" i="2" l="1"/>
  <c r="BJ38" i="2" s="1"/>
  <c r="BI37" i="2"/>
  <c r="BJ37" i="2" s="1"/>
  <c r="BH38" i="2"/>
  <c r="BH37" i="2"/>
  <c r="H84" i="4" l="1"/>
  <c r="O35" i="2" l="1"/>
  <c r="P35" i="2" s="1"/>
  <c r="BG35" i="2"/>
  <c r="BH35" i="2" s="1"/>
  <c r="BI33" i="2"/>
  <c r="BJ33" i="2" s="1"/>
  <c r="BG34" i="2"/>
  <c r="BI34" i="2" s="1"/>
  <c r="BJ34" i="2" s="1"/>
  <c r="O34" i="2"/>
  <c r="P34" i="2" s="1"/>
  <c r="O33" i="2"/>
  <c r="P33" i="2" s="1"/>
  <c r="BH33" i="2"/>
  <c r="P32" i="2"/>
  <c r="P37" i="2"/>
  <c r="H72" i="4"/>
  <c r="AL34" i="2"/>
  <c r="AL35" i="2"/>
  <c r="AL37" i="2"/>
  <c r="BI32" i="2"/>
  <c r="BJ32" i="2" s="1"/>
  <c r="BH32" i="2"/>
  <c r="H70" i="4"/>
  <c r="H69" i="4"/>
  <c r="BB32" i="2"/>
  <c r="BB33" i="2"/>
  <c r="BB34" i="2"/>
  <c r="BB35" i="2"/>
  <c r="BB37" i="2"/>
  <c r="BB38" i="2"/>
  <c r="BB39" i="2"/>
  <c r="BB40" i="2"/>
  <c r="BB41" i="2"/>
  <c r="BB42" i="2"/>
  <c r="BB43" i="2"/>
  <c r="BB44" i="2"/>
  <c r="BB45" i="2"/>
  <c r="BB46" i="2"/>
  <c r="BB47" i="2"/>
  <c r="BB48" i="2"/>
  <c r="BB49" i="2"/>
  <c r="BB50" i="2"/>
  <c r="BB51" i="2"/>
  <c r="BB53" i="2"/>
  <c r="BB54" i="2"/>
  <c r="BB55" i="2"/>
  <c r="BB56" i="2"/>
  <c r="BB57" i="2"/>
  <c r="BB58" i="2"/>
  <c r="BB59" i="2"/>
  <c r="BB61" i="2"/>
  <c r="BB62" i="2"/>
  <c r="BB63" i="2"/>
  <c r="BB64" i="2"/>
  <c r="BB65" i="2"/>
  <c r="BB66" i="2"/>
  <c r="BB67" i="2"/>
  <c r="BB68" i="2"/>
  <c r="BB69" i="2"/>
  <c r="BB71" i="2"/>
  <c r="BB72" i="2"/>
  <c r="BB74" i="2"/>
  <c r="BB75" i="2"/>
  <c r="BB76" i="2"/>
  <c r="BB77" i="2"/>
  <c r="BB79" i="2"/>
  <c r="BB80" i="2"/>
  <c r="BB82" i="2"/>
  <c r="BB83" i="2"/>
  <c r="BB84" i="2"/>
  <c r="BB85" i="2"/>
  <c r="BB86" i="2"/>
  <c r="BB87" i="2"/>
  <c r="BB88" i="2"/>
  <c r="BB89" i="2"/>
  <c r="BB90" i="2"/>
  <c r="BB91" i="2"/>
  <c r="BB92" i="2"/>
  <c r="BB93" i="2"/>
  <c r="BB94" i="2"/>
  <c r="BB95" i="2"/>
  <c r="AZ32" i="2"/>
  <c r="AZ33" i="2"/>
  <c r="AZ34" i="2"/>
  <c r="AZ35" i="2"/>
  <c r="AZ37" i="2"/>
  <c r="AZ38" i="2"/>
  <c r="AZ40" i="2"/>
  <c r="AZ41" i="2"/>
  <c r="AZ42" i="2"/>
  <c r="AZ43" i="2"/>
  <c r="AZ44" i="2"/>
  <c r="AZ46" i="2"/>
  <c r="AZ47" i="2"/>
  <c r="AZ48" i="2"/>
  <c r="AZ49" i="2"/>
  <c r="AZ50" i="2"/>
  <c r="AZ51" i="2"/>
  <c r="AZ53" i="2"/>
  <c r="AZ54" i="2"/>
  <c r="AZ55" i="2"/>
  <c r="AZ56" i="2"/>
  <c r="AZ57" i="2"/>
  <c r="AZ58" i="2"/>
  <c r="AZ59" i="2"/>
  <c r="AZ61" i="2"/>
  <c r="AZ62" i="2"/>
  <c r="AZ63" i="2"/>
  <c r="AZ64" i="2"/>
  <c r="AZ65" i="2"/>
  <c r="AZ66" i="2"/>
  <c r="AZ67" i="2"/>
  <c r="AZ68" i="2"/>
  <c r="AZ69" i="2"/>
  <c r="AZ71" i="2"/>
  <c r="AZ72" i="2"/>
  <c r="AZ74" i="2"/>
  <c r="AZ75" i="2"/>
  <c r="AZ76" i="2"/>
  <c r="AZ77" i="2"/>
  <c r="AZ79" i="2"/>
  <c r="AZ80" i="2"/>
  <c r="AZ82" i="2"/>
  <c r="AZ83" i="2"/>
  <c r="AZ84" i="2"/>
  <c r="AZ85" i="2"/>
  <c r="AZ86" i="2"/>
  <c r="AZ87" i="2"/>
  <c r="AZ88" i="2"/>
  <c r="AZ89" i="2"/>
  <c r="AZ90" i="2"/>
  <c r="AZ91" i="2"/>
  <c r="AZ92" i="2"/>
  <c r="AZ93" i="2"/>
  <c r="AZ94" i="2"/>
  <c r="AZ95" i="2"/>
  <c r="T30" i="2"/>
  <c r="P30" i="2"/>
  <c r="AL30" i="2"/>
  <c r="BH29" i="2"/>
  <c r="BH30" i="2"/>
  <c r="BH28" i="2"/>
  <c r="BB30" i="2"/>
  <c r="AZ30" i="2"/>
  <c r="F53" i="4"/>
  <c r="G53" i="4"/>
  <c r="H53" i="4"/>
  <c r="F51" i="4"/>
  <c r="G51" i="4"/>
  <c r="H51" i="4"/>
  <c r="U29" i="2"/>
  <c r="V29" i="2" s="1"/>
  <c r="U30" i="2"/>
  <c r="V30" i="2" s="1"/>
  <c r="U32" i="2"/>
  <c r="V32" i="2" s="1"/>
  <c r="U37" i="2"/>
  <c r="V37" i="2" s="1"/>
  <c r="U38" i="2"/>
  <c r="V38" i="2" s="1"/>
  <c r="U39" i="2"/>
  <c r="V39" i="2" s="1"/>
  <c r="U40" i="2"/>
  <c r="V40" i="2" s="1"/>
  <c r="U41" i="2"/>
  <c r="V41" i="2" s="1"/>
  <c r="U42" i="2"/>
  <c r="V42" i="2" s="1"/>
  <c r="U43" i="2"/>
  <c r="V43" i="2" s="1"/>
  <c r="U44" i="2"/>
  <c r="V44" i="2" s="1"/>
  <c r="U45" i="2"/>
  <c r="V45" i="2" s="1"/>
  <c r="U46" i="2"/>
  <c r="V46" i="2" s="1"/>
  <c r="U47" i="2"/>
  <c r="V47" i="2" s="1"/>
  <c r="U48" i="2"/>
  <c r="V48" i="2" s="1"/>
  <c r="U49" i="2"/>
  <c r="V49" i="2" s="1"/>
  <c r="U50" i="2"/>
  <c r="V50" i="2" s="1"/>
  <c r="U51" i="2"/>
  <c r="V51" i="2" s="1"/>
  <c r="U53" i="2"/>
  <c r="V53" i="2" s="1"/>
  <c r="U54" i="2"/>
  <c r="V54" i="2" s="1"/>
  <c r="U55" i="2"/>
  <c r="V55" i="2" s="1"/>
  <c r="U56" i="2"/>
  <c r="V56" i="2" s="1"/>
  <c r="U57" i="2"/>
  <c r="V57" i="2" s="1"/>
  <c r="U58" i="2"/>
  <c r="V58" i="2" s="1"/>
  <c r="U59" i="2"/>
  <c r="V59" i="2" s="1"/>
  <c r="U61" i="2"/>
  <c r="V61" i="2" s="1"/>
  <c r="U62" i="2"/>
  <c r="V62" i="2" s="1"/>
  <c r="U63" i="2"/>
  <c r="V63" i="2" s="1"/>
  <c r="U64" i="2"/>
  <c r="V64" i="2" s="1"/>
  <c r="U65" i="2"/>
  <c r="V65" i="2" s="1"/>
  <c r="U66" i="2"/>
  <c r="V66" i="2" s="1"/>
  <c r="U67" i="2"/>
  <c r="V67" i="2" s="1"/>
  <c r="U68" i="2"/>
  <c r="V68" i="2" s="1"/>
  <c r="U69" i="2"/>
  <c r="V69" i="2" s="1"/>
  <c r="U71" i="2"/>
  <c r="V71" i="2" s="1"/>
  <c r="U72" i="2"/>
  <c r="V72" i="2" s="1"/>
  <c r="U74" i="2"/>
  <c r="V74" i="2" s="1"/>
  <c r="V75" i="2"/>
  <c r="U76" i="2"/>
  <c r="V76" i="2" s="1"/>
  <c r="U77" i="2"/>
  <c r="V77" i="2" s="1"/>
  <c r="U79" i="2"/>
  <c r="V79" i="2" s="1"/>
  <c r="U80" i="2"/>
  <c r="V80" i="2" s="1"/>
  <c r="U82" i="2"/>
  <c r="V82" i="2" s="1"/>
  <c r="U83" i="2"/>
  <c r="V83" i="2" s="1"/>
  <c r="U84" i="2"/>
  <c r="V84" i="2" s="1"/>
  <c r="U85" i="2"/>
  <c r="V85" i="2" s="1"/>
  <c r="U86" i="2"/>
  <c r="V86" i="2" s="1"/>
  <c r="U87" i="2"/>
  <c r="V87" i="2" s="1"/>
  <c r="U88" i="2"/>
  <c r="U89" i="2"/>
  <c r="V89" i="2" s="1"/>
  <c r="U90" i="2"/>
  <c r="V90" i="2" s="1"/>
  <c r="U91" i="2"/>
  <c r="V91" i="2" s="1"/>
  <c r="U92" i="2"/>
  <c r="V92" i="2" s="1"/>
  <c r="U93" i="2"/>
  <c r="V93" i="2" s="1"/>
  <c r="U94" i="2"/>
  <c r="V94" i="2" s="1"/>
  <c r="U95" i="2"/>
  <c r="V95" i="2" s="1"/>
  <c r="T29" i="2"/>
  <c r="P29" i="2"/>
  <c r="AK29" i="2"/>
  <c r="BA29" i="2"/>
  <c r="BB29" i="2" s="1"/>
  <c r="BA28" i="2"/>
  <c r="BB28" i="2" s="1"/>
  <c r="AY28" i="2"/>
  <c r="AZ28" i="2" s="1"/>
  <c r="AY29" i="2"/>
  <c r="AZ29" i="2" s="1"/>
  <c r="H43" i="4"/>
  <c r="H45" i="4" s="1"/>
  <c r="G43" i="4"/>
  <c r="G45" i="4" s="1"/>
  <c r="F43" i="4"/>
  <c r="F45" i="4" s="1"/>
  <c r="U28" i="2"/>
  <c r="V28" i="2" s="1"/>
  <c r="T28" i="2"/>
  <c r="P28" i="2"/>
  <c r="BI27" i="2"/>
  <c r="BK27" i="2" s="1"/>
  <c r="BI30" i="2"/>
  <c r="BJ30" i="2" s="1"/>
  <c r="BI39" i="2"/>
  <c r="BI41" i="2"/>
  <c r="BJ41" i="2" s="1"/>
  <c r="BI42" i="2"/>
  <c r="BI43" i="2"/>
  <c r="BJ44" i="2"/>
  <c r="BI45" i="2"/>
  <c r="BJ45" i="2" s="1"/>
  <c r="BI46" i="2"/>
  <c r="BJ46" i="2" s="1"/>
  <c r="BJ48" i="2"/>
  <c r="BJ49" i="2"/>
  <c r="BJ51" i="2"/>
  <c r="BJ53" i="2"/>
  <c r="BJ54" i="2"/>
  <c r="BJ55" i="2"/>
  <c r="BJ58" i="2"/>
  <c r="BJ61" i="2"/>
  <c r="BJ62" i="2"/>
  <c r="BJ64" i="2"/>
  <c r="BJ68" i="2"/>
  <c r="BJ69" i="2"/>
  <c r="BJ71" i="2"/>
  <c r="BJ72" i="2"/>
  <c r="BJ76" i="2"/>
  <c r="BJ77" i="2"/>
  <c r="BJ79" i="2"/>
  <c r="BJ80" i="2"/>
  <c r="BJ84" i="2"/>
  <c r="BJ86" i="2"/>
  <c r="BJ88" i="2"/>
  <c r="BJ90" i="2"/>
  <c r="BJ92" i="2"/>
  <c r="BJ93" i="2"/>
  <c r="BB27" i="2"/>
  <c r="D37" i="4"/>
  <c r="F34" i="4"/>
  <c r="F36" i="4" s="1"/>
  <c r="D36" i="4" s="1"/>
  <c r="G34" i="4"/>
  <c r="G36" i="4" s="1"/>
  <c r="H34" i="4"/>
  <c r="H36" i="4" s="1"/>
  <c r="H29" i="4"/>
  <c r="H28" i="4"/>
  <c r="H24" i="4"/>
  <c r="H22" i="4"/>
  <c r="H19" i="4"/>
  <c r="H17" i="4"/>
  <c r="H7" i="4"/>
  <c r="H14" i="4"/>
  <c r="H13" i="4"/>
  <c r="H8" i="4"/>
  <c r="H9" i="4" s="1"/>
  <c r="H6" i="4"/>
  <c r="Q26" i="2"/>
  <c r="U26" i="2" s="1"/>
  <c r="V26" i="2" s="1"/>
  <c r="L25" i="2"/>
  <c r="L26" i="2"/>
  <c r="Q25" i="2"/>
  <c r="U25" i="2" s="1"/>
  <c r="V25" i="2" s="1"/>
  <c r="BA26" i="2"/>
  <c r="BB26" i="2" s="1"/>
  <c r="AY26" i="2"/>
  <c r="AZ26" i="2" s="1"/>
  <c r="AX26" i="2"/>
  <c r="BA25" i="2"/>
  <c r="BB25" i="2" s="1"/>
  <c r="AY25" i="2"/>
  <c r="AZ25" i="2" s="1"/>
  <c r="AX25" i="2"/>
  <c r="BA24" i="2"/>
  <c r="AY24" i="2"/>
  <c r="AO24" i="2"/>
  <c r="AP24" i="2" s="1"/>
  <c r="AW24" i="2"/>
  <c r="Q24" i="2"/>
  <c r="R24" i="2" s="1"/>
  <c r="L24" i="2"/>
  <c r="AV22" i="2"/>
  <c r="Q51" i="3"/>
  <c r="S53" i="3" s="1"/>
  <c r="S55" i="3" s="1"/>
  <c r="AV21" i="2"/>
  <c r="H13" i="2"/>
  <c r="BG19" i="2"/>
  <c r="N19" i="2"/>
  <c r="BC19" i="2"/>
  <c r="BI17" i="2"/>
  <c r="BJ17" i="2" s="1"/>
  <c r="BI18" i="2"/>
  <c r="BJ18" i="2" s="1"/>
  <c r="N18" i="2"/>
  <c r="BD18" i="2"/>
  <c r="AL29" i="2" l="1"/>
  <c r="AO29" i="2"/>
  <c r="AP29" i="2" s="1"/>
  <c r="AL25" i="2"/>
  <c r="AO25" i="2"/>
  <c r="AP25" i="2" s="1"/>
  <c r="AO28" i="2"/>
  <c r="AP28" i="2" s="1"/>
  <c r="AO32" i="2"/>
  <c r="AL33" i="2"/>
  <c r="AO33" i="2"/>
  <c r="AP33" i="2" s="1"/>
  <c r="AL26" i="2"/>
  <c r="AO26" i="2"/>
  <c r="AP26" i="2" s="1"/>
  <c r="BG98" i="2"/>
  <c r="N98" i="2"/>
  <c r="AK98" i="2"/>
  <c r="L98" i="2"/>
  <c r="H71" i="4"/>
  <c r="BD19" i="2"/>
  <c r="BD98" i="2" s="1"/>
  <c r="BC98" i="2"/>
  <c r="AW98" i="2"/>
  <c r="AZ24" i="2"/>
  <c r="AZ98" i="2" s="1"/>
  <c r="AY98" i="2"/>
  <c r="BB24" i="2"/>
  <c r="BB98" i="2" s="1"/>
  <c r="BA98" i="2"/>
  <c r="BK57" i="2"/>
  <c r="BL57" i="2" s="1"/>
  <c r="AL32" i="2"/>
  <c r="BK83" i="2"/>
  <c r="BM83" i="2" s="1"/>
  <c r="BK91" i="2"/>
  <c r="BS91" i="2" s="1"/>
  <c r="BK75" i="2"/>
  <c r="BL75" i="2" s="1"/>
  <c r="BI19" i="2"/>
  <c r="BJ19" i="2" s="1"/>
  <c r="G54" i="4"/>
  <c r="G62" i="4" s="1"/>
  <c r="BI24" i="2"/>
  <c r="BJ24" i="2" s="1"/>
  <c r="BK89" i="2"/>
  <c r="BM89" i="2" s="1"/>
  <c r="BK67" i="2"/>
  <c r="BL67" i="2" s="1"/>
  <c r="BK65" i="2"/>
  <c r="BS65" i="2" s="1"/>
  <c r="BK59" i="2"/>
  <c r="BS59" i="2" s="1"/>
  <c r="F54" i="4"/>
  <c r="E54" i="4" s="1"/>
  <c r="F62" i="4" s="1"/>
  <c r="H54" i="4"/>
  <c r="H62" i="4" s="1"/>
  <c r="BJ89" i="2"/>
  <c r="BK88" i="2"/>
  <c r="BM88" i="2" s="1"/>
  <c r="BI35" i="2"/>
  <c r="BJ35" i="2" s="1"/>
  <c r="U35" i="2"/>
  <c r="V35" i="2" s="1"/>
  <c r="BS27" i="2"/>
  <c r="BK41" i="2"/>
  <c r="BL41" i="2" s="1"/>
  <c r="BK82" i="2"/>
  <c r="BL82" i="2" s="1"/>
  <c r="BJ65" i="2"/>
  <c r="BK95" i="2"/>
  <c r="BM95" i="2" s="1"/>
  <c r="BK47" i="2"/>
  <c r="BK39" i="2"/>
  <c r="R26" i="2"/>
  <c r="BK74" i="2"/>
  <c r="BM74" i="2" s="1"/>
  <c r="BK50" i="2"/>
  <c r="BL50" i="2" s="1"/>
  <c r="BK87" i="2"/>
  <c r="BL87" i="2" s="1"/>
  <c r="BK66" i="2"/>
  <c r="BM66" i="2" s="1"/>
  <c r="BK56" i="2"/>
  <c r="BK58" i="2"/>
  <c r="AL24" i="2"/>
  <c r="BK79" i="2"/>
  <c r="BH34" i="2"/>
  <c r="BK80" i="2"/>
  <c r="BK94" i="2"/>
  <c r="BK38" i="2"/>
  <c r="BJ82" i="2"/>
  <c r="BK40" i="2"/>
  <c r="BK71" i="2"/>
  <c r="BL27" i="2"/>
  <c r="BM27" i="2"/>
  <c r="BK90" i="2"/>
  <c r="BK72" i="2"/>
  <c r="BK48" i="2"/>
  <c r="R25" i="2"/>
  <c r="BK85" i="2"/>
  <c r="BJ57" i="2"/>
  <c r="BK53" i="2"/>
  <c r="BK64" i="2"/>
  <c r="BI26" i="2"/>
  <c r="BJ26" i="2" s="1"/>
  <c r="BJ74" i="2"/>
  <c r="BJ56" i="2"/>
  <c r="BK49" i="2"/>
  <c r="AX24" i="2"/>
  <c r="AX98" i="2" s="1"/>
  <c r="BJ66" i="2"/>
  <c r="U34" i="2"/>
  <c r="U33" i="2"/>
  <c r="BJ91" i="2"/>
  <c r="BJ83" i="2"/>
  <c r="BJ75" i="2"/>
  <c r="BJ67" i="2"/>
  <c r="BJ59" i="2"/>
  <c r="BK93" i="2"/>
  <c r="BK55" i="2"/>
  <c r="BK46" i="2"/>
  <c r="BK37" i="2"/>
  <c r="BJ27" i="2"/>
  <c r="BK86" i="2"/>
  <c r="BI25" i="2"/>
  <c r="BJ25" i="2" s="1"/>
  <c r="BJ50" i="2"/>
  <c r="BK63" i="2"/>
  <c r="BK54" i="2"/>
  <c r="BK45" i="2"/>
  <c r="BK61" i="2"/>
  <c r="BK51" i="2"/>
  <c r="AL28" i="2"/>
  <c r="BJ95" i="2"/>
  <c r="BJ87" i="2"/>
  <c r="BJ47" i="2"/>
  <c r="BK69" i="2"/>
  <c r="BK62" i="2"/>
  <c r="BJ94" i="2"/>
  <c r="BK77" i="2"/>
  <c r="V88" i="2"/>
  <c r="BJ85" i="2"/>
  <c r="BK92" i="2"/>
  <c r="BK84" i="2"/>
  <c r="BK76" i="2"/>
  <c r="BK68" i="2"/>
  <c r="BK44" i="2"/>
  <c r="BK30" i="2"/>
  <c r="BI29" i="2"/>
  <c r="BJ29" i="2" s="1"/>
  <c r="BI28" i="2"/>
  <c r="BH19" i="2"/>
  <c r="T17" i="2"/>
  <c r="T18" i="2"/>
  <c r="T19" i="2"/>
  <c r="BI16" i="2"/>
  <c r="BJ16" i="2" s="1"/>
  <c r="U16" i="2"/>
  <c r="U10" i="2"/>
  <c r="V10" i="2" s="1"/>
  <c r="U11" i="2"/>
  <c r="U12" i="2"/>
  <c r="V12" i="2" s="1"/>
  <c r="U13" i="2"/>
  <c r="V13" i="2" s="1"/>
  <c r="U14" i="2"/>
  <c r="V14" i="2" s="1"/>
  <c r="U17" i="2"/>
  <c r="BK17" i="2" s="1"/>
  <c r="U18" i="2"/>
  <c r="BK18" i="2" s="1"/>
  <c r="U19" i="2"/>
  <c r="U21" i="2"/>
  <c r="BK21" i="2" s="1"/>
  <c r="U22" i="2"/>
  <c r="BK22" i="2" s="1"/>
  <c r="U23" i="2"/>
  <c r="U24" i="2"/>
  <c r="U9" i="2"/>
  <c r="V9" i="2" s="1"/>
  <c r="T16" i="2"/>
  <c r="BH16" i="2"/>
  <c r="BI14" i="2"/>
  <c r="BI10" i="2"/>
  <c r="BI11" i="2"/>
  <c r="BI12" i="2"/>
  <c r="BI13" i="2"/>
  <c r="BJ13" i="2" s="1"/>
  <c r="BI9" i="2"/>
  <c r="S48" i="3"/>
  <c r="L57" i="3"/>
  <c r="S40" i="3"/>
  <c r="S36" i="3"/>
  <c r="BK32" i="2" l="1"/>
  <c r="BL32" i="2" s="1"/>
  <c r="AP32" i="2"/>
  <c r="BM91" i="2"/>
  <c r="BY91" i="2" s="1"/>
  <c r="CB91" i="2" s="1"/>
  <c r="BL91" i="2"/>
  <c r="BT91" i="2" s="1"/>
  <c r="R98" i="2"/>
  <c r="BS67" i="2"/>
  <c r="BT67" i="2" s="1"/>
  <c r="T98" i="2"/>
  <c r="BI98" i="2"/>
  <c r="BS89" i="2"/>
  <c r="BU89" i="2" s="1"/>
  <c r="BM57" i="2"/>
  <c r="BS57" i="2"/>
  <c r="BT57" i="2" s="1"/>
  <c r="BL89" i="2"/>
  <c r="BH98" i="2"/>
  <c r="AO98" i="2"/>
  <c r="BL88" i="2"/>
  <c r="BM75" i="2"/>
  <c r="BL83" i="2"/>
  <c r="BS83" i="2"/>
  <c r="BL59" i="2"/>
  <c r="BT59" i="2" s="1"/>
  <c r="BS75" i="2"/>
  <c r="BL66" i="2"/>
  <c r="BK35" i="2"/>
  <c r="BS35" i="2" s="1"/>
  <c r="BK19" i="2"/>
  <c r="BS19" i="2" s="1"/>
  <c r="BM59" i="2"/>
  <c r="BY59" i="2" s="1"/>
  <c r="CB59" i="2" s="1"/>
  <c r="BM65" i="2"/>
  <c r="BU65" i="2" s="1"/>
  <c r="BL65" i="2"/>
  <c r="BT65" i="2" s="1"/>
  <c r="BM67" i="2"/>
  <c r="BK25" i="2"/>
  <c r="BM87" i="2"/>
  <c r="BM82" i="2"/>
  <c r="BS18" i="2"/>
  <c r="BS76" i="2"/>
  <c r="BS86" i="2"/>
  <c r="BS84" i="2"/>
  <c r="BS87" i="2"/>
  <c r="BT87" i="2" s="1"/>
  <c r="BS82" i="2"/>
  <c r="BT82" i="2" s="1"/>
  <c r="BS92" i="2"/>
  <c r="BS77" i="2"/>
  <c r="BS90" i="2"/>
  <c r="BS79" i="2"/>
  <c r="BS88" i="2"/>
  <c r="BS85" i="2"/>
  <c r="BS94" i="2"/>
  <c r="BS93" i="2"/>
  <c r="BU27" i="2"/>
  <c r="BS80" i="2"/>
  <c r="BL74" i="2"/>
  <c r="BS74" i="2"/>
  <c r="BU74" i="2" s="1"/>
  <c r="BL95" i="2"/>
  <c r="BS95" i="2"/>
  <c r="BY95" i="2" s="1"/>
  <c r="CB95" i="2" s="1"/>
  <c r="BS42" i="2"/>
  <c r="BS22" i="2"/>
  <c r="BS44" i="2"/>
  <c r="BS62" i="2"/>
  <c r="BS51" i="2"/>
  <c r="BS54" i="2"/>
  <c r="BM41" i="2"/>
  <c r="BS49" i="2"/>
  <c r="BS64" i="2"/>
  <c r="BM50" i="2"/>
  <c r="BS66" i="2"/>
  <c r="BT27" i="2"/>
  <c r="BS68" i="2"/>
  <c r="BS45" i="2"/>
  <c r="BS21" i="2"/>
  <c r="BS17" i="2"/>
  <c r="BS30" i="2"/>
  <c r="BS69" i="2"/>
  <c r="BS63" i="2"/>
  <c r="BS46" i="2"/>
  <c r="BS71" i="2"/>
  <c r="BY27" i="2"/>
  <c r="CB27" i="2" s="1"/>
  <c r="BS61" i="2"/>
  <c r="BS55" i="2"/>
  <c r="BS48" i="2"/>
  <c r="BS58" i="2"/>
  <c r="BS50" i="2"/>
  <c r="BT50" i="2" s="1"/>
  <c r="BL47" i="2"/>
  <c r="BS47" i="2"/>
  <c r="BS43" i="2"/>
  <c r="BS32" i="2"/>
  <c r="BS53" i="2"/>
  <c r="BS72" i="2"/>
  <c r="BS56" i="2"/>
  <c r="BS41" i="2"/>
  <c r="BT41" i="2" s="1"/>
  <c r="BS40" i="2"/>
  <c r="BL39" i="2"/>
  <c r="BS39" i="2"/>
  <c r="BM39" i="2"/>
  <c r="BS38" i="2"/>
  <c r="BS37" i="2"/>
  <c r="BK26" i="2"/>
  <c r="BL26" i="2" s="1"/>
  <c r="BM47" i="2"/>
  <c r="BL71" i="2"/>
  <c r="BM71" i="2"/>
  <c r="BL93" i="2"/>
  <c r="BM93" i="2"/>
  <c r="BL49" i="2"/>
  <c r="BM49" i="2"/>
  <c r="BL58" i="2"/>
  <c r="BM58" i="2"/>
  <c r="BL17" i="2"/>
  <c r="BM17" i="2"/>
  <c r="BL30" i="2"/>
  <c r="BM30" i="2"/>
  <c r="BL84" i="2"/>
  <c r="BM84" i="2"/>
  <c r="BL69" i="2"/>
  <c r="BM69" i="2"/>
  <c r="BL51" i="2"/>
  <c r="BM51" i="2"/>
  <c r="BL86" i="2"/>
  <c r="BM86" i="2"/>
  <c r="BL72" i="2"/>
  <c r="BM72" i="2"/>
  <c r="BL56" i="2"/>
  <c r="BM56" i="2"/>
  <c r="BL63" i="2"/>
  <c r="BM63" i="2"/>
  <c r="BL68" i="2"/>
  <c r="BM68" i="2"/>
  <c r="BL18" i="2"/>
  <c r="BM18" i="2"/>
  <c r="BL62" i="2"/>
  <c r="BM62" i="2"/>
  <c r="BL40" i="2"/>
  <c r="BM40" i="2"/>
  <c r="BL92" i="2"/>
  <c r="BM92" i="2"/>
  <c r="BL85" i="2"/>
  <c r="BM85" i="2"/>
  <c r="BL90" i="2"/>
  <c r="BM90" i="2"/>
  <c r="BL38" i="2"/>
  <c r="BM38" i="2"/>
  <c r="BL76" i="2"/>
  <c r="BM76" i="2"/>
  <c r="BL80" i="2"/>
  <c r="BM80" i="2"/>
  <c r="BL61" i="2"/>
  <c r="BM61" i="2"/>
  <c r="BL77" i="2"/>
  <c r="BM77" i="2"/>
  <c r="BL53" i="2"/>
  <c r="BM53" i="2"/>
  <c r="BL42" i="2"/>
  <c r="BM42" i="2"/>
  <c r="BL48" i="2"/>
  <c r="BM48" i="2"/>
  <c r="BK11" i="2"/>
  <c r="BL22" i="2"/>
  <c r="BM22" i="2"/>
  <c r="BL44" i="2"/>
  <c r="BM44" i="2"/>
  <c r="BL45" i="2"/>
  <c r="BM45" i="2"/>
  <c r="BM43" i="2"/>
  <c r="BL64" i="2"/>
  <c r="BM64" i="2"/>
  <c r="BL94" i="2"/>
  <c r="BM94" i="2"/>
  <c r="BL79" i="2"/>
  <c r="BM79" i="2"/>
  <c r="BL46" i="2"/>
  <c r="BM46" i="2"/>
  <c r="BL55" i="2"/>
  <c r="BM55" i="2"/>
  <c r="BL21" i="2"/>
  <c r="BM21" i="2"/>
  <c r="BL54" i="2"/>
  <c r="BM54" i="2"/>
  <c r="BL37" i="2"/>
  <c r="BM37" i="2"/>
  <c r="V34" i="2"/>
  <c r="BK34" i="2"/>
  <c r="V33" i="2"/>
  <c r="BK33" i="2"/>
  <c r="BK29" i="2"/>
  <c r="BK28" i="2"/>
  <c r="BJ28" i="2"/>
  <c r="V24" i="2"/>
  <c r="BK24" i="2"/>
  <c r="BL24" i="2" s="1"/>
  <c r="BK12" i="2"/>
  <c r="BL12" i="2" s="1"/>
  <c r="BK16" i="2"/>
  <c r="V18" i="2"/>
  <c r="V17" i="2"/>
  <c r="BK10" i="2"/>
  <c r="V23" i="2"/>
  <c r="V22" i="2"/>
  <c r="V21" i="2"/>
  <c r="V19" i="2"/>
  <c r="V16" i="2"/>
  <c r="BK14" i="2"/>
  <c r="BK9" i="2"/>
  <c r="BK13" i="2"/>
  <c r="BJ14" i="2"/>
  <c r="L29" i="3"/>
  <c r="J14" i="2"/>
  <c r="AV13" i="2"/>
  <c r="AT13" i="2"/>
  <c r="AR13" i="2"/>
  <c r="AL13" i="2"/>
  <c r="X13" i="2"/>
  <c r="J13" i="2"/>
  <c r="L73" i="3"/>
  <c r="L72" i="3"/>
  <c r="F13" i="2"/>
  <c r="AV12" i="2"/>
  <c r="AT12" i="2"/>
  <c r="AR12" i="2"/>
  <c r="AL12" i="2"/>
  <c r="X12" i="2"/>
  <c r="J12" i="2"/>
  <c r="H12" i="2"/>
  <c r="F12" i="2"/>
  <c r="L69" i="3"/>
  <c r="L64" i="3"/>
  <c r="AV10" i="2"/>
  <c r="H10" i="2"/>
  <c r="AT10" i="2"/>
  <c r="AR10" i="2"/>
  <c r="X10" i="2"/>
  <c r="AL10" i="2"/>
  <c r="I38" i="3"/>
  <c r="I39" i="3"/>
  <c r="I40" i="3"/>
  <c r="I37" i="3"/>
  <c r="H37" i="3" s="1"/>
  <c r="L51" i="3"/>
  <c r="L54" i="3" s="1"/>
  <c r="L32" i="3"/>
  <c r="O23" i="3"/>
  <c r="O22" i="3"/>
  <c r="O21" i="3"/>
  <c r="O20" i="3"/>
  <c r="BM32" i="2" l="1"/>
  <c r="BU32" i="2" s="1"/>
  <c r="BS25" i="2"/>
  <c r="BL25" i="2"/>
  <c r="BU91" i="2"/>
  <c r="BY89" i="2"/>
  <c r="CB89" i="2" s="1"/>
  <c r="BU67" i="2"/>
  <c r="BT89" i="2"/>
  <c r="BL35" i="2"/>
  <c r="BT35" i="2" s="1"/>
  <c r="BU57" i="2"/>
  <c r="BT83" i="2"/>
  <c r="BY57" i="2"/>
  <c r="CB57" i="2" s="1"/>
  <c r="BU75" i="2"/>
  <c r="BY83" i="2"/>
  <c r="CB83" i="2" s="1"/>
  <c r="BM35" i="2"/>
  <c r="BU35" i="2" s="1"/>
  <c r="BT88" i="2"/>
  <c r="BU83" i="2"/>
  <c r="BY90" i="2"/>
  <c r="CB90" i="2" s="1"/>
  <c r="BY82" i="2"/>
  <c r="CB82" i="2" s="1"/>
  <c r="BM19" i="2"/>
  <c r="BY19" i="2" s="1"/>
  <c r="CB19" i="2" s="1"/>
  <c r="BY75" i="2"/>
  <c r="CB75" i="2" s="1"/>
  <c r="BL19" i="2"/>
  <c r="BT19" i="2" s="1"/>
  <c r="BT75" i="2"/>
  <c r="BU94" i="2"/>
  <c r="BU59" i="2"/>
  <c r="BU62" i="2"/>
  <c r="BU92" i="2"/>
  <c r="BU21" i="2"/>
  <c r="BT66" i="2"/>
  <c r="BU38" i="2"/>
  <c r="BU18" i="2"/>
  <c r="BY67" i="2"/>
  <c r="CB67" i="2" s="1"/>
  <c r="BU88" i="2"/>
  <c r="BT76" i="2"/>
  <c r="BU42" i="2"/>
  <c r="BU49" i="2"/>
  <c r="BM25" i="2"/>
  <c r="BY65" i="2"/>
  <c r="CB65" i="2" s="1"/>
  <c r="BU30" i="2"/>
  <c r="BY88" i="2"/>
  <c r="CB88" i="2" s="1"/>
  <c r="BY94" i="2"/>
  <c r="CB94" i="2" s="1"/>
  <c r="BU80" i="2"/>
  <c r="BU77" i="2"/>
  <c r="BU85" i="2"/>
  <c r="BU51" i="2"/>
  <c r="BY50" i="2"/>
  <c r="CB50" i="2" s="1"/>
  <c r="BY74" i="2"/>
  <c r="CB74" i="2" s="1"/>
  <c r="BT90" i="2"/>
  <c r="BU86" i="2"/>
  <c r="BU93" i="2"/>
  <c r="BY87" i="2"/>
  <c r="CB87" i="2" s="1"/>
  <c r="BT80" i="2"/>
  <c r="BU82" i="2"/>
  <c r="BU72" i="2"/>
  <c r="BU76" i="2"/>
  <c r="BU63" i="2"/>
  <c r="BU87" i="2"/>
  <c r="BU61" i="2"/>
  <c r="BT92" i="2"/>
  <c r="BT84" i="2"/>
  <c r="BU46" i="2"/>
  <c r="BU69" i="2"/>
  <c r="BU58" i="2"/>
  <c r="BU54" i="2"/>
  <c r="BU53" i="2"/>
  <c r="BU48" i="2"/>
  <c r="BT47" i="2"/>
  <c r="BU47" i="2"/>
  <c r="BU45" i="2"/>
  <c r="BS9" i="2"/>
  <c r="BY77" i="2"/>
  <c r="CB77" i="2" s="1"/>
  <c r="BU43" i="2"/>
  <c r="BT94" i="2"/>
  <c r="BT79" i="2"/>
  <c r="BT77" i="2"/>
  <c r="BY76" i="2"/>
  <c r="CB76" i="2" s="1"/>
  <c r="BU56" i="2"/>
  <c r="BU84" i="2"/>
  <c r="BU71" i="2"/>
  <c r="BY80" i="2"/>
  <c r="CB80" i="2" s="1"/>
  <c r="BY93" i="2"/>
  <c r="CB93" i="2" s="1"/>
  <c r="BY85" i="2"/>
  <c r="CB85" i="2" s="1"/>
  <c r="BY79" i="2"/>
  <c r="CB79" i="2" s="1"/>
  <c r="BY86" i="2"/>
  <c r="CB86" i="2" s="1"/>
  <c r="BT18" i="2"/>
  <c r="BU44" i="2"/>
  <c r="BU90" i="2"/>
  <c r="BU68" i="2"/>
  <c r="BM26" i="2"/>
  <c r="BU17" i="2"/>
  <c r="BU66" i="2"/>
  <c r="BU37" i="2"/>
  <c r="BU55" i="2"/>
  <c r="BU79" i="2"/>
  <c r="BU64" i="2"/>
  <c r="BU22" i="2"/>
  <c r="BY66" i="2"/>
  <c r="CB66" i="2" s="1"/>
  <c r="BT95" i="2"/>
  <c r="BT74" i="2"/>
  <c r="BT93" i="2"/>
  <c r="BT85" i="2"/>
  <c r="BU95" i="2"/>
  <c r="BY92" i="2"/>
  <c r="CB92" i="2" s="1"/>
  <c r="BY84" i="2"/>
  <c r="CB84" i="2" s="1"/>
  <c r="BT86" i="2"/>
  <c r="BY18" i="2"/>
  <c r="CB18" i="2" s="1"/>
  <c r="BS10" i="2"/>
  <c r="BS12" i="2"/>
  <c r="BS28" i="2"/>
  <c r="BS34" i="2"/>
  <c r="BY38" i="2"/>
  <c r="CB38" i="2" s="1"/>
  <c r="BY56" i="2"/>
  <c r="CB56" i="2" s="1"/>
  <c r="BT53" i="2"/>
  <c r="BT43" i="2"/>
  <c r="BY47" i="2"/>
  <c r="CB47" i="2" s="1"/>
  <c r="BY48" i="2"/>
  <c r="CB48" i="2" s="1"/>
  <c r="BT55" i="2"/>
  <c r="BT71" i="2"/>
  <c r="BY63" i="2"/>
  <c r="CB63" i="2" s="1"/>
  <c r="BY69" i="2"/>
  <c r="CB69" i="2" s="1"/>
  <c r="BY30" i="2"/>
  <c r="CB30" i="2" s="1"/>
  <c r="BY21" i="2"/>
  <c r="CB21" i="2" s="1"/>
  <c r="BT68" i="2"/>
  <c r="BY64" i="2"/>
  <c r="CB64" i="2" s="1"/>
  <c r="BY54" i="2"/>
  <c r="CB54" i="2" s="1"/>
  <c r="BY62" i="2"/>
  <c r="CB62" i="2" s="1"/>
  <c r="BY22" i="2"/>
  <c r="CB22" i="2" s="1"/>
  <c r="BS13" i="2"/>
  <c r="BS29" i="2"/>
  <c r="BT72" i="2"/>
  <c r="BY58" i="2"/>
  <c r="CB58" i="2" s="1"/>
  <c r="BY61" i="2"/>
  <c r="CB61" i="2" s="1"/>
  <c r="BT63" i="2"/>
  <c r="BT69" i="2"/>
  <c r="BT30" i="2"/>
  <c r="BT21" i="2"/>
  <c r="BY68" i="2"/>
  <c r="CB68" i="2" s="1"/>
  <c r="BY49" i="2"/>
  <c r="CB49" i="2" s="1"/>
  <c r="BT54" i="2"/>
  <c r="BT62" i="2"/>
  <c r="BT22" i="2"/>
  <c r="BS24" i="2"/>
  <c r="BS14" i="2"/>
  <c r="BS33" i="2"/>
  <c r="BS11" i="2"/>
  <c r="BS26" i="2"/>
  <c r="BT26" i="2" s="1"/>
  <c r="BY41" i="2"/>
  <c r="CB41" i="2" s="1"/>
  <c r="BY72" i="2"/>
  <c r="CB72" i="2" s="1"/>
  <c r="BT32" i="2"/>
  <c r="BT58" i="2"/>
  <c r="BT61" i="2"/>
  <c r="BY46" i="2"/>
  <c r="CB46" i="2" s="1"/>
  <c r="BY17" i="2"/>
  <c r="CB17" i="2" s="1"/>
  <c r="BY45" i="2"/>
  <c r="CB45" i="2" s="1"/>
  <c r="BU50" i="2"/>
  <c r="BT49" i="2"/>
  <c r="BY51" i="2"/>
  <c r="CB51" i="2" s="1"/>
  <c r="BT44" i="2"/>
  <c r="BY42" i="2"/>
  <c r="CB42" i="2" s="1"/>
  <c r="BS16" i="2"/>
  <c r="BT56" i="2"/>
  <c r="BY53" i="2"/>
  <c r="CB53" i="2" s="1"/>
  <c r="BY43" i="2"/>
  <c r="CB43" i="2" s="1"/>
  <c r="BT48" i="2"/>
  <c r="BY55" i="2"/>
  <c r="CB55" i="2" s="1"/>
  <c r="BY71" i="2"/>
  <c r="CB71" i="2" s="1"/>
  <c r="BT46" i="2"/>
  <c r="BT17" i="2"/>
  <c r="BT45" i="2"/>
  <c r="BT64" i="2"/>
  <c r="BT51" i="2"/>
  <c r="BY44" i="2"/>
  <c r="CB44" i="2" s="1"/>
  <c r="BT42" i="2"/>
  <c r="BT40" i="2"/>
  <c r="BU40" i="2"/>
  <c r="BT39" i="2"/>
  <c r="BU41" i="2"/>
  <c r="BY40" i="2"/>
  <c r="CB40" i="2" s="1"/>
  <c r="BU39" i="2"/>
  <c r="BY39" i="2"/>
  <c r="CB39" i="2" s="1"/>
  <c r="BT38" i="2"/>
  <c r="BY37" i="2"/>
  <c r="CB37" i="2" s="1"/>
  <c r="BT37" i="2"/>
  <c r="BL29" i="2"/>
  <c r="BM29" i="2"/>
  <c r="BL33" i="2"/>
  <c r="BM33" i="2"/>
  <c r="BM11" i="2"/>
  <c r="BL16" i="2"/>
  <c r="BM16" i="2"/>
  <c r="BM12" i="2"/>
  <c r="BL34" i="2"/>
  <c r="BM34" i="2"/>
  <c r="BL9" i="2"/>
  <c r="BM9" i="2"/>
  <c r="BM24" i="2"/>
  <c r="BL14" i="2"/>
  <c r="BM14" i="2"/>
  <c r="BL13" i="2"/>
  <c r="BM13" i="2"/>
  <c r="BL10" i="2"/>
  <c r="BM10" i="2"/>
  <c r="BL28" i="2"/>
  <c r="BM28" i="2"/>
  <c r="BJ12" i="2"/>
  <c r="BJ10" i="2"/>
  <c r="I19" i="3"/>
  <c r="J10" i="2"/>
  <c r="F10" i="2"/>
  <c r="AT9" i="2"/>
  <c r="AR9" i="2"/>
  <c r="AL9" i="2"/>
  <c r="X9" i="2"/>
  <c r="J9" i="2"/>
  <c r="F9" i="2"/>
  <c r="L34" i="3"/>
  <c r="I18" i="3"/>
  <c r="I23" i="3"/>
  <c r="K13" i="3"/>
  <c r="K11" i="3"/>
  <c r="K12" i="3"/>
  <c r="K6" i="3"/>
  <c r="K5" i="3"/>
  <c r="K4" i="3"/>
  <c r="BK7" i="2"/>
  <c r="AF7" i="2"/>
  <c r="AF98" i="2" s="1"/>
  <c r="AB7" i="2"/>
  <c r="AB98" i="2" s="1"/>
  <c r="P7" i="2"/>
  <c r="BK6" i="2"/>
  <c r="BS6" i="2" s="1"/>
  <c r="AD6" i="2"/>
  <c r="AD98" i="2" s="1"/>
  <c r="Z6" i="2"/>
  <c r="P6" i="2"/>
  <c r="BY32" i="2" l="1"/>
  <c r="CB32" i="2" s="1"/>
  <c r="BT25" i="2"/>
  <c r="BU25" i="2"/>
  <c r="Z98" i="2"/>
  <c r="BY35" i="2"/>
  <c r="CB35" i="2" s="1"/>
  <c r="BU19" i="2"/>
  <c r="BU34" i="2"/>
  <c r="P98" i="2"/>
  <c r="BU9" i="2"/>
  <c r="BU28" i="2"/>
  <c r="BU13" i="2"/>
  <c r="BY25" i="2"/>
  <c r="CB25" i="2" s="1"/>
  <c r="BU33" i="2"/>
  <c r="BK98" i="2"/>
  <c r="BS98" i="2" s="1"/>
  <c r="BU14" i="2"/>
  <c r="BU12" i="2"/>
  <c r="BY26" i="2"/>
  <c r="CB26" i="2" s="1"/>
  <c r="BU24" i="2"/>
  <c r="BU16" i="2"/>
  <c r="BS7" i="2"/>
  <c r="BU10" i="2"/>
  <c r="BU29" i="2"/>
  <c r="BY9" i="2"/>
  <c r="CB9" i="2" s="1"/>
  <c r="BU26" i="2"/>
  <c r="BT9" i="2"/>
  <c r="BY16" i="2"/>
  <c r="CB16" i="2" s="1"/>
  <c r="BY33" i="2"/>
  <c r="CB33" i="2" s="1"/>
  <c r="BY24" i="2"/>
  <c r="CB24" i="2" s="1"/>
  <c r="BT13" i="2"/>
  <c r="BY34" i="2"/>
  <c r="CB34" i="2" s="1"/>
  <c r="BY12" i="2"/>
  <c r="CB12" i="2" s="1"/>
  <c r="BT16" i="2"/>
  <c r="BT33" i="2"/>
  <c r="BT24" i="2"/>
  <c r="BY29" i="2"/>
  <c r="CB29" i="2" s="1"/>
  <c r="BT34" i="2"/>
  <c r="BT12" i="2"/>
  <c r="BY14" i="2"/>
  <c r="CB14" i="2" s="1"/>
  <c r="BT29" i="2"/>
  <c r="BY28" i="2"/>
  <c r="CB28" i="2" s="1"/>
  <c r="BY10" i="2"/>
  <c r="CB10" i="2" s="1"/>
  <c r="BY11" i="2"/>
  <c r="BT14" i="2"/>
  <c r="BY13" i="2"/>
  <c r="CB13" i="2" s="1"/>
  <c r="BT28" i="2"/>
  <c r="BT10" i="2"/>
  <c r="BL7" i="2"/>
  <c r="BM7" i="2"/>
  <c r="BL6" i="2"/>
  <c r="BM6" i="2"/>
  <c r="BJ9" i="2"/>
  <c r="K7" i="3"/>
  <c r="K14" i="3"/>
  <c r="BT7" i="2" l="1"/>
  <c r="BT6" i="2"/>
  <c r="BU7" i="2"/>
  <c r="BY7" i="2"/>
  <c r="CB7" i="2" s="1"/>
  <c r="BU6" i="2"/>
  <c r="BY6" i="2"/>
  <c r="CB6" i="2" s="1"/>
  <c r="BJ11" i="2"/>
  <c r="BJ98" i="2" s="1"/>
  <c r="AP11" i="2"/>
  <c r="AP98" i="2" s="1"/>
  <c r="AT11" i="2"/>
  <c r="AT98" i="2" s="1"/>
  <c r="BL11" i="2"/>
  <c r="BL98" i="2" s="1"/>
  <c r="AL11" i="2"/>
  <c r="AL98" i="2" s="1"/>
  <c r="J11" i="2"/>
  <c r="J98" i="2" s="1"/>
  <c r="X11" i="2"/>
  <c r="X98" i="2" s="1"/>
  <c r="AR11" i="2"/>
  <c r="AR98" i="2" s="1"/>
  <c r="AV11" i="2"/>
  <c r="AV98" i="2" s="1"/>
  <c r="H11" i="2"/>
  <c r="H98" i="2" s="1"/>
  <c r="V11" i="2"/>
  <c r="V98" i="2" s="1"/>
  <c r="CB11" i="2"/>
  <c r="BU11" i="2"/>
  <c r="F11" i="2"/>
  <c r="F98" i="2" s="1"/>
  <c r="CB98" i="2" l="1"/>
  <c r="BT11" i="2"/>
</calcChain>
</file>

<file path=xl/sharedStrings.xml><?xml version="1.0" encoding="utf-8"?>
<sst xmlns="http://schemas.openxmlformats.org/spreadsheetml/2006/main" count="883" uniqueCount="407">
  <si>
    <t>رقم</t>
  </si>
  <si>
    <t xml:space="preserve">البند </t>
  </si>
  <si>
    <t>الوحدة</t>
  </si>
  <si>
    <t xml:space="preserve">الكمية </t>
  </si>
  <si>
    <t xml:space="preserve">مصنعيات </t>
  </si>
  <si>
    <t xml:space="preserve">خامات </t>
  </si>
  <si>
    <t>نجار</t>
  </si>
  <si>
    <t>حداد</t>
  </si>
  <si>
    <t xml:space="preserve">الوحدة </t>
  </si>
  <si>
    <t>الكمية</t>
  </si>
  <si>
    <t>اخشاب</t>
  </si>
  <si>
    <t xml:space="preserve">خرسانة </t>
  </si>
  <si>
    <t>حديد</t>
  </si>
  <si>
    <t>اعمال ترابية</t>
  </si>
  <si>
    <t xml:space="preserve">حفر </t>
  </si>
  <si>
    <t>ردم من ناتج الحفر</t>
  </si>
  <si>
    <t>m3</t>
  </si>
  <si>
    <t>الاعمال الخرسانية</t>
  </si>
  <si>
    <t>خرسانة عادية نوع (Grade 20)  للاساسات</t>
  </si>
  <si>
    <t>خرسانة  مسلحة   نوع (Grade30) للاساسات و الميد</t>
  </si>
  <si>
    <t xml:space="preserve">خرسانة  مسلحة   نوع (Grade 30) للحوائط الساندة </t>
  </si>
  <si>
    <t xml:space="preserve"> خرسانة  مسلحة نوع (Grade 30) للأعمدة والكمرات وبلاطات الأسقف  والأعتاب والسلالم وخلافه </t>
  </si>
  <si>
    <t xml:space="preserve">الخرسانة المسلحة  نوع (Grade 25) لبلاطات الارضيات (S.O.G) بسمك 150 مم </t>
  </si>
  <si>
    <t>الخرسانة الرغوية بسمك متوسط 70مم  للميول فوق الاسطح النهائية</t>
  </si>
  <si>
    <t xml:space="preserve">المواد العازلة </t>
  </si>
  <si>
    <t xml:space="preserve"> دهان بيتومين مطاطي على أسطح  المعرضة للردم ثلاثة أوجه </t>
  </si>
  <si>
    <t>m2</t>
  </si>
  <si>
    <t xml:space="preserve">طبقة عازلة للحرارة من ألواح البولسترين بسمك 5 سم </t>
  </si>
  <si>
    <t xml:space="preserve">الاعمال المعدنية </t>
  </si>
  <si>
    <t>سلالم من القطاعات المعدنية صلب (52)</t>
  </si>
  <si>
    <t>طن</t>
  </si>
  <si>
    <t>الواح من الصاج البقلاوة بسمك 6 مم لدرج السلالم</t>
  </si>
  <si>
    <t>فرمجي</t>
  </si>
  <si>
    <t>مباني</t>
  </si>
  <si>
    <t>عزل</t>
  </si>
  <si>
    <t>اخري</t>
  </si>
  <si>
    <t>مضخات</t>
  </si>
  <si>
    <t>قلابات</t>
  </si>
  <si>
    <t>لوادر</t>
  </si>
  <si>
    <t>حفارات</t>
  </si>
  <si>
    <t>تشوين</t>
  </si>
  <si>
    <t>اوناش</t>
  </si>
  <si>
    <t>مولادات</t>
  </si>
  <si>
    <t>عربات مياة</t>
  </si>
  <si>
    <t>طوب</t>
  </si>
  <si>
    <t>رمل</t>
  </si>
  <si>
    <t>اسمنت</t>
  </si>
  <si>
    <t>دكاك</t>
  </si>
  <si>
    <t>اجمالي التكلفة المباشرة للوحدة</t>
  </si>
  <si>
    <t xml:space="preserve">اجمالي التكلفة المباشرة للبند </t>
  </si>
  <si>
    <t>الحفر</t>
  </si>
  <si>
    <t>1حفار(225)</t>
  </si>
  <si>
    <t xml:space="preserve">2قلاب (20 م3 ) </t>
  </si>
  <si>
    <t>2عامل (skills)</t>
  </si>
  <si>
    <t>جنية /يوم</t>
  </si>
  <si>
    <t>م3</t>
  </si>
  <si>
    <t>pr=300m3/day</t>
  </si>
  <si>
    <t>cost</t>
  </si>
  <si>
    <t xml:space="preserve">ردم </t>
  </si>
  <si>
    <t>1لودر (966)</t>
  </si>
  <si>
    <t>1دكاك (2.5 طن)</t>
  </si>
  <si>
    <t>3 عامل  ( skill)</t>
  </si>
  <si>
    <t xml:space="preserve">جنية / يوم </t>
  </si>
  <si>
    <t>جنية / م3</t>
  </si>
  <si>
    <t>pr = 200m3/day</t>
  </si>
  <si>
    <t>خرسانة عادية</t>
  </si>
  <si>
    <t xml:space="preserve">مياة معالجة </t>
  </si>
  <si>
    <t>خرسانة عادية للقواعد</t>
  </si>
  <si>
    <t>جنيه /م3</t>
  </si>
  <si>
    <t>مضخة ( اقل من 42م)</t>
  </si>
  <si>
    <t xml:space="preserve">فرمجة قواعد عادية </t>
  </si>
  <si>
    <t>مساعد نجار</t>
  </si>
  <si>
    <t>جنيه/م3</t>
  </si>
  <si>
    <t>ابعاد اللوح</t>
  </si>
  <si>
    <t>م</t>
  </si>
  <si>
    <t>عدد مرات استخدام الوح</t>
  </si>
  <si>
    <t>مرة</t>
  </si>
  <si>
    <t>حجم الوح</t>
  </si>
  <si>
    <t xml:space="preserve">كمية الخشب ل م3 خرسانة </t>
  </si>
  <si>
    <t>لوح</t>
  </si>
  <si>
    <t>توريد اخشاب للقواعد العادية</t>
  </si>
  <si>
    <t>تكلف استخدام اللوح للمرة</t>
  </si>
  <si>
    <t>جنيه /يوم</t>
  </si>
  <si>
    <t>خرسانة مسلحة للقواعد</t>
  </si>
  <si>
    <t xml:space="preserve">مساعد حداد </t>
  </si>
  <si>
    <t xml:space="preserve">حداد </t>
  </si>
  <si>
    <t>جنية/يوم</t>
  </si>
  <si>
    <t>جنية/م3</t>
  </si>
  <si>
    <t xml:space="preserve">فرمجة قواعد مسلحة </t>
  </si>
  <si>
    <t>عدد مرات استخدام اللوح</t>
  </si>
  <si>
    <t>تكلفة استخدام المتر للمرة</t>
  </si>
  <si>
    <t>ج/م3</t>
  </si>
  <si>
    <t>تكلفة مباشرة</t>
  </si>
  <si>
    <t xml:space="preserve">عدد الالواح لمتر الخرسانة </t>
  </si>
  <si>
    <t xml:space="preserve">عدد مرات استخدام الوح </t>
  </si>
  <si>
    <t xml:space="preserve">توريد خشب قواعد عادية </t>
  </si>
  <si>
    <t xml:space="preserve">توريد خشب قواعد المسلحة </t>
  </si>
  <si>
    <t xml:space="preserve">توريد خشب لتزانة و عروق للحواءط و العمدان و الاسقف </t>
  </si>
  <si>
    <t>عدد الالواح</t>
  </si>
  <si>
    <t>توريد خشب لل sog</t>
  </si>
  <si>
    <t>الابعاد</t>
  </si>
  <si>
    <t>1.2x1.2x0.025</t>
  </si>
  <si>
    <t>1.2x2.4x0.025</t>
  </si>
  <si>
    <t>الحجم</t>
  </si>
  <si>
    <t>خشب</t>
  </si>
  <si>
    <t>الهادر</t>
  </si>
  <si>
    <t>تكلفة مباشرة  للخشب</t>
  </si>
  <si>
    <t xml:space="preserve">حديد </t>
  </si>
  <si>
    <t>ج/طن</t>
  </si>
  <si>
    <t xml:space="preserve">كمية الحديد لكل متر خرسانة </t>
  </si>
  <si>
    <t>كج/م3</t>
  </si>
  <si>
    <t>تكلفة الحديد ل م3 خراسانة</t>
  </si>
  <si>
    <t xml:space="preserve">كمر و أعمدة و بالطات وسلالم </t>
  </si>
  <si>
    <t xml:space="preserve">عمالة سلالم </t>
  </si>
  <si>
    <t xml:space="preserve">عمالة عمود </t>
  </si>
  <si>
    <t xml:space="preserve">عمالة سقف و كمر </t>
  </si>
  <si>
    <t xml:space="preserve">متوسط عمالة نجار </t>
  </si>
  <si>
    <t xml:space="preserve">متوسط عمالة حداد </t>
  </si>
  <si>
    <t>pr</t>
  </si>
  <si>
    <t>sog</t>
  </si>
  <si>
    <t xml:space="preserve">معدات </t>
  </si>
  <si>
    <t xml:space="preserve">مجموع المصنعيات </t>
  </si>
  <si>
    <t xml:space="preserve">مجموع المعدات </t>
  </si>
  <si>
    <t>مجموع الخامات</t>
  </si>
  <si>
    <t>سعر لوح كنتر</t>
  </si>
  <si>
    <t>ج</t>
  </si>
  <si>
    <t xml:space="preserve">ابعاد الوح </t>
  </si>
  <si>
    <t xml:space="preserve">المعدل </t>
  </si>
  <si>
    <t>لوح /م3</t>
  </si>
  <si>
    <t xml:space="preserve">الهادر </t>
  </si>
  <si>
    <t>التكلفة</t>
  </si>
  <si>
    <t>قواعد مسلحة</t>
  </si>
  <si>
    <t>قواعد مسلحة &amp; SOG&amp;الاعمدة &amp;البلاطات</t>
  </si>
  <si>
    <t>قواعد عادية &amp;حوائط سند</t>
  </si>
  <si>
    <t>حديد تسليح</t>
  </si>
  <si>
    <t>سعر الطن</t>
  </si>
  <si>
    <t>المعدل</t>
  </si>
  <si>
    <t>كيلو/ م3</t>
  </si>
  <si>
    <t xml:space="preserve">طبقة عازلة للرطوبة افقية تحت الارضيات و الحمامات من البوتامين بسمك 4مم </t>
  </si>
  <si>
    <t xml:space="preserve">طبقة عازلة للرطوبة  افقية فوق الاسطح النهائية من البوتامين </t>
  </si>
  <si>
    <t>لوح البقلاوة</t>
  </si>
  <si>
    <t xml:space="preserve">وزن الصاج بالطن </t>
  </si>
  <si>
    <t>سعر طن الصاج</t>
  </si>
  <si>
    <t xml:space="preserve">جنية </t>
  </si>
  <si>
    <t>سعر اللوح</t>
  </si>
  <si>
    <t xml:space="preserve">كثافة الحديد </t>
  </si>
  <si>
    <t>م3/كج</t>
  </si>
  <si>
    <t>مبانى من الطـــــــوب الاسمنتى المصمت سمك 12 سم لزوم حوائط المبنى</t>
  </si>
  <si>
    <t>مبانى من الطـــــــوب الاسمنتى المصمت سمك 25 سم لزوم حوائط المبنى</t>
  </si>
  <si>
    <t>مبانى من الطوب الاسمنتى المصمت / الطفلي سمك 25 سم لزوم قصية الردم ( لا يقل مقاومة الطوب للانضغاط عن 70 كجم /سم3)</t>
  </si>
  <si>
    <t>اعمال المباني</t>
  </si>
  <si>
    <t>اعمال البياض</t>
  </si>
  <si>
    <t xml:space="preserve"> بياض تخشين داخلى للحوائط بعد الطرطشة العمومية </t>
  </si>
  <si>
    <t xml:space="preserve"> بياض تخشين داخلى للاسقف بعد الطرطشة العمومية</t>
  </si>
  <si>
    <t>بياض واجهات خارجية والدراوي مكون من طبقتين</t>
  </si>
  <si>
    <t>اعمال الدهانتات</t>
  </si>
  <si>
    <t>دهانات للواجهات الخارجية باستخدام دهانات سافيتو او الدراى ميكس ذو اساس اكليرك</t>
  </si>
  <si>
    <t>دهانات  لزوم الحوائط والاسقف الداخلية باستخدام دهانات سافيتو او الدراى ميكس ذو اساس اكليرك</t>
  </si>
  <si>
    <t>دهانات داخلية للحوائط دهانات اكريليك</t>
  </si>
  <si>
    <t>دهانات داخلية للاسقف دهانات اكريليك</t>
  </si>
  <si>
    <t xml:space="preserve">الارضيات </t>
  </si>
  <si>
    <t xml:space="preserve">تقطيع الجرانيت تشكيلات من جرانيت رمادي مع جرانيت اسود اسواني لزوم ارضيات الLobby </t>
  </si>
  <si>
    <t>سيراميك ابيض 30*30 سم  لزوم ارضيات الكافاتريا والحمامات</t>
  </si>
  <si>
    <t>م.ط</t>
  </si>
  <si>
    <t>خرسانه ممسوسه بالهليكوبتر</t>
  </si>
  <si>
    <t xml:space="preserve"> درج السلالم الداخلية من جرانيت</t>
  </si>
  <si>
    <t>درج السلالم الخارجية من جرانيت</t>
  </si>
  <si>
    <t xml:space="preserve"> ترابيع سمك 2 سم مقاس 600 *600 مم  من جرانيت لزوم صدف السلالم الداخلية</t>
  </si>
  <si>
    <t xml:space="preserve"> ترابيع سمك 2 سم مقاس 600 *600 مم  من جرانيت لزوم صدف السلالم الخارجية</t>
  </si>
  <si>
    <t>جرانيت شرائح لزوم المنحدرات</t>
  </si>
  <si>
    <t xml:space="preserve"> كسوه من الجرانيت Double Black للواجهات</t>
  </si>
  <si>
    <t xml:space="preserve"> كنار بعرض 80 سم من الجرانيت اسود اسواني وارضيات الجرانيت الرمادي بالوسط</t>
  </si>
  <si>
    <t>وزرات جرانيت لزوم السلالم و وزرات الأدوار</t>
  </si>
  <si>
    <t xml:space="preserve">بورسلين من انتاج كليوباترا او ما يماثلها  مقاس 60*60 سم </t>
  </si>
  <si>
    <t xml:space="preserve"> بلاط اسمنتى من انتاج شركة النيل او ما يماثلها لزوم السطح مقاس 30× 30× 3 سم</t>
  </si>
  <si>
    <t>أرضيات طوب أسمنتى متداخل عالى الكثافة( إنترلوك ) سمك 8 سم من إنتاج شركة تكنوكريت أو مايماثلها  بشكل الباركيه</t>
  </si>
  <si>
    <t>بردورة أسمنتية وسط مقاس 15×30×50 سم</t>
  </si>
  <si>
    <t>اعمال التكسيات</t>
  </si>
  <si>
    <t xml:space="preserve">كسوه من رخام جلاله بارتفاع 1.5 م لزوم حوائط Lobby </t>
  </si>
  <si>
    <t xml:space="preserve"> سيراميك فرز اول من انتاج كليوباترا أو ما يماثلهم 33*44 سم لزوم حوائط الحمامات</t>
  </si>
  <si>
    <t xml:space="preserve">تجاليد خشبية  مصنعة من الواح MDF بسمك لايقل عن 12 مم   </t>
  </si>
  <si>
    <t>سقف معلقة من بلاطات جبسية ماصة للصوت مقاومة للحريق باللون الابيض السادة</t>
  </si>
  <si>
    <t>اسقف معلقة من بلاطات جبسية ماصة للصوت مقاومة للحريق ومعالج ضد الرطوبة والفطريات</t>
  </si>
  <si>
    <t>اسقف معلقة من الالواح الجبسية (Gypsum Board) مقاومة للحريق سمك 16 مم</t>
  </si>
  <si>
    <t xml:space="preserve">الواح من الجبس خضراء للاسقف المعلقة سمك 16مم لوازم اسقف الحمامات والكافتريا </t>
  </si>
  <si>
    <t>اعمال الأبواب و الشبابيك</t>
  </si>
  <si>
    <t>اعمال أبواب خشبية</t>
  </si>
  <si>
    <t>1-1</t>
  </si>
  <si>
    <t>1-2</t>
  </si>
  <si>
    <t>1-3</t>
  </si>
  <si>
    <t>1-4</t>
  </si>
  <si>
    <t>1-5</t>
  </si>
  <si>
    <t>1-6</t>
  </si>
  <si>
    <t>1-7</t>
  </si>
  <si>
    <t>1-8</t>
  </si>
  <si>
    <t xml:space="preserve"> باب نموذج (ب1) 2.20*1.20  باب مفصلي ضلفه واحده خشب   </t>
  </si>
  <si>
    <t xml:space="preserve"> باب نموذج (ب2) 2.20*0.7  باب مفصلي ضلفه واحده خشب         </t>
  </si>
  <si>
    <t xml:space="preserve"> باب نموذج (ب3) 2.20*0.7  باب مروحي ضلفه واحده خشب    </t>
  </si>
  <si>
    <t xml:space="preserve"> باب نموذج (ب4) 2.20*1.20  باب مفصلي ضلفه واحده خشب </t>
  </si>
  <si>
    <t xml:space="preserve"> باب نموذج (ب5) 2.20*2  باب مفصلي ضلفتين خشب   </t>
  </si>
  <si>
    <t xml:space="preserve"> باب نموذج (ب6) 2.20*2  باب سيكوريت مفصلي </t>
  </si>
  <si>
    <t xml:space="preserve"> باب نموذج (ب7) 2.20*1.6 باب مفصلي ضلفتين خشب   </t>
  </si>
  <si>
    <t xml:space="preserve"> باب نموذج (ب8) 2.20*0.9 باب مفصلي ضلفه واحده خشب    </t>
  </si>
  <si>
    <t>عدد</t>
  </si>
  <si>
    <t>اعمال أبواب معدنية</t>
  </si>
  <si>
    <t>2</t>
  </si>
  <si>
    <t>2-1</t>
  </si>
  <si>
    <t>2-2</t>
  </si>
  <si>
    <t xml:space="preserve"> باب نموذج (ب10) 1.00*2.2 باب حديد مدهون ايبوكسي مفصلي         </t>
  </si>
  <si>
    <t xml:space="preserve"> باب نموذج (ب11)0 0.5*2  باب مفصلي ضلفه واحده خشب   </t>
  </si>
  <si>
    <t>اعمال الشبابيك</t>
  </si>
  <si>
    <t>3-1</t>
  </si>
  <si>
    <t>3-2</t>
  </si>
  <si>
    <t>3-3</t>
  </si>
  <si>
    <t>3-4</t>
  </si>
  <si>
    <t>شباك نموذج (ش1)0.70*2.00 شباك الومنيوم بزجاج ضلفة واحدة ثابت</t>
  </si>
  <si>
    <t>شباك نموذج (ش2)3.20*3.20 شباك الومنيوم بزجاج ضلفتين منزلق</t>
  </si>
  <si>
    <t>شباك نموذج (ش3) 0.50*0.50 شباك الومنيوم بزجاج عاكس ضلفه واحدة مفصلي</t>
  </si>
  <si>
    <t>شباك نموذج (ش4)0.70*3.20 شبك الومنيوم بزجاج عاكس ضلفه واحدة مفصلي</t>
  </si>
  <si>
    <t>اعمال السيكوريت</t>
  </si>
  <si>
    <t>واجهات معلقة من الحوائط الزجاجية  Structure Glaze  المقواة بقطاعات معدنية باللون المطلوب</t>
  </si>
  <si>
    <t>حوائط زجاجية من الزجاج سيكوريت مزدوج 12 مم</t>
  </si>
  <si>
    <t xml:space="preserve">اعمال معدنية </t>
  </si>
  <si>
    <t>درابزين من الاستانلس ستيل مع الزجاج السيكوريت  لزوم السلم الرئيسي بارتفاع 90 سم</t>
  </si>
  <si>
    <t xml:space="preserve">درابزين من الاستانلس ستيل مع الزجاج السيكوريت  لزوم السلالم الفرعية بارتفاع 90 سم </t>
  </si>
  <si>
    <t xml:space="preserve"> درابزين من الاستانلس ستيل مثبت بالحائط  لزوم السلالم الفرعية</t>
  </si>
  <si>
    <t>درابزين من الاستانلس ستيل مع الزجاج السيكوريت لزوم الافنية بارتفاع 90 سم</t>
  </si>
  <si>
    <t xml:space="preserve"> درابزين من الاستانلس ستيل مع الزجاج السيكوريت  لزوم الممر المتصل ببين الكليات بارتفاع 90 سم </t>
  </si>
  <si>
    <t xml:space="preserve">درابزين من الاستانلس ستيل لزوم السلالم الخارجية بارتفاع 90 سم </t>
  </si>
  <si>
    <t>درابزين من الاستانلس ستيل  لزوم المنحدرات الخارجية بارتفاع 90 سم</t>
  </si>
  <si>
    <t>تجاليد خشبية  مصنعة من الواح MDF بسمك لايقل عن 12 مم والتى تكون الحشوات</t>
  </si>
  <si>
    <t xml:space="preserve">اعمال متنوعة </t>
  </si>
  <si>
    <t xml:space="preserve">قواطع من قطاعات HPL بالأبواب لزوم دورات المياه </t>
  </si>
  <si>
    <t xml:space="preserve"> حامي العمود من المطاط مقاس 10*10*120 سم سمك 1 سم</t>
  </si>
  <si>
    <t xml:space="preserve">مصدات (حواجز ) سيارات خرسانية </t>
  </si>
  <si>
    <t>مصبعات وشرائح ألومنيوم مقاس 10*10 سم سمك 4 مم بدهان إلكتروستاتيك لزوم الواجهات</t>
  </si>
  <si>
    <t>فاصل تمدد بين سطحين أفقيين أو رأسيين بمادة السيتوسيل 400</t>
  </si>
  <si>
    <t>تشطيبات</t>
  </si>
  <si>
    <t>اعما ل المباني</t>
  </si>
  <si>
    <t>مصنعية الاسمنت المصمت بالمتر المسطح</t>
  </si>
  <si>
    <t>ج/م2</t>
  </si>
  <si>
    <t>مصنعية التشوين</t>
  </si>
  <si>
    <t>ج/الف</t>
  </si>
  <si>
    <t>مصنعية التشوين بالمتر المسطح</t>
  </si>
  <si>
    <t>طوبة</t>
  </si>
  <si>
    <t>مساحة الطوبة</t>
  </si>
  <si>
    <t xml:space="preserve">عدد الطوب في المتر المسطح </t>
  </si>
  <si>
    <t>الهادر + نسبة الاسمنت</t>
  </si>
  <si>
    <t>عدد الطوب في المتر المسطح(فعلي)</t>
  </si>
  <si>
    <t>سعر الالف طوبة مصمت</t>
  </si>
  <si>
    <t>سعر المتر المسطح</t>
  </si>
  <si>
    <t>سعر المتر المكعب</t>
  </si>
  <si>
    <t>مصنعية التشوين بالمتر المكعب</t>
  </si>
  <si>
    <t>مصنعية الاسمنت المصمت بالمتر المكعب</t>
  </si>
  <si>
    <t>سعر المتر المعكب رمل</t>
  </si>
  <si>
    <t xml:space="preserve">الكمية المستخدمة في المتر المسطح </t>
  </si>
  <si>
    <t xml:space="preserve">الكمية المستخدمة في المتر المكعب </t>
  </si>
  <si>
    <t>سعر الرمل المستخدم بالمتر المسطح</t>
  </si>
  <si>
    <t>سعر الرمل المستخدم بالمتر المكعب</t>
  </si>
  <si>
    <t>سعر شكرة الاسمت 50كيلو</t>
  </si>
  <si>
    <t>جنية</t>
  </si>
  <si>
    <t>كمية الاسمت المستخدمة في المتر المسطح</t>
  </si>
  <si>
    <t>10كيلو</t>
  </si>
  <si>
    <t>سعر الاسمنت المستخدم بالمتر المسطح</t>
  </si>
  <si>
    <t>كمية الاسمت المستخدمة في المتر المكعب</t>
  </si>
  <si>
    <t>سعر الاسمنت المستخدم بالمتر المكعب</t>
  </si>
  <si>
    <t>سعر متر مكعب ماء</t>
  </si>
  <si>
    <t>كمية المياة المستخدمةفي المتر المسطح</t>
  </si>
  <si>
    <t>كمية المياة المستخدمةفي المتر المكعب</t>
  </si>
  <si>
    <t>سعر المياة المستخدمة في المتر المسطح</t>
  </si>
  <si>
    <t>سعر المياة المستخدمة في المتر المكعب</t>
  </si>
  <si>
    <t>طرتشة داخلية بسمك 0.5 سم</t>
  </si>
  <si>
    <t>بؤج واوتار داخلية بسمك 2سم</t>
  </si>
  <si>
    <t>لياسة داخلية للحوائط سمك 2سم</t>
  </si>
  <si>
    <t xml:space="preserve">رمل </t>
  </si>
  <si>
    <t>ماء</t>
  </si>
  <si>
    <t>خامات</t>
  </si>
  <si>
    <t>كجم</t>
  </si>
  <si>
    <t>لتر</t>
  </si>
  <si>
    <t>مصنعية محارة داخلية</t>
  </si>
  <si>
    <t>مصنعية عراميس متل x</t>
  </si>
  <si>
    <t>مصنعية</t>
  </si>
  <si>
    <t xml:space="preserve"> بياض تخشين داخلى للاسقف بعد الطرطشة العمومية </t>
  </si>
  <si>
    <t>طرتشة خارجية بسمك 0.5 سم</t>
  </si>
  <si>
    <t>بؤج واوتار خارجية بسمك 2سم</t>
  </si>
  <si>
    <t xml:space="preserve">اسمنت </t>
  </si>
  <si>
    <t>بطانة واجهات خارجي</t>
  </si>
  <si>
    <t xml:space="preserve">ضهارة واجهات خارجي </t>
  </si>
  <si>
    <t>شكارة اسمنت للكبريتات</t>
  </si>
  <si>
    <t>متر الرمل</t>
  </si>
  <si>
    <t>متر المياة</t>
  </si>
  <si>
    <t>سلك شبك</t>
  </si>
  <si>
    <t xml:space="preserve"> ج/مط35</t>
  </si>
  <si>
    <t>50كج</t>
  </si>
  <si>
    <t>أسعار الخامات</t>
  </si>
  <si>
    <t>دهانات للواجهات الخارجية  سافيتو</t>
  </si>
  <si>
    <t>دهانات أسمنتية للواجهات ناعم</t>
  </si>
  <si>
    <t>ج/كجم</t>
  </si>
  <si>
    <t xml:space="preserve">معجون ناعم </t>
  </si>
  <si>
    <t>سعر متر مسطح دراي مكس</t>
  </si>
  <si>
    <t>سعر متر مسطح جبس</t>
  </si>
  <si>
    <t xml:space="preserve">مصنعية دراي مكس </t>
  </si>
  <si>
    <t>مصنعية نقتش خارجي</t>
  </si>
  <si>
    <t>خامت</t>
  </si>
  <si>
    <t>مصنعيات</t>
  </si>
  <si>
    <t>اجمالي التكلفة الغير مباشرة للبند</t>
  </si>
  <si>
    <t>اجمالي التكلفة الغير مباشرة للوحدة</t>
  </si>
  <si>
    <t>صاريف إدارية</t>
  </si>
  <si>
    <t xml:space="preserve">مخاطر </t>
  </si>
  <si>
    <t xml:space="preserve">ضراب و اقتاعيات </t>
  </si>
  <si>
    <t>سعر الوحدة</t>
  </si>
  <si>
    <t>سعر البند</t>
  </si>
  <si>
    <t>mark up</t>
  </si>
  <si>
    <t>%</t>
  </si>
  <si>
    <t>ارضيات</t>
  </si>
  <si>
    <t>ج /م2</t>
  </si>
  <si>
    <t xml:space="preserve">سعر متر الرمل </t>
  </si>
  <si>
    <t>ج/م.3</t>
  </si>
  <si>
    <t>ش 50 كجم</t>
  </si>
  <si>
    <t xml:space="preserve">اسمنت ابيض </t>
  </si>
  <si>
    <t>مياء</t>
  </si>
  <si>
    <t xml:space="preserve"> جرانيت</t>
  </si>
  <si>
    <t>م2</t>
  </si>
  <si>
    <t>سعر متر مربع رمل</t>
  </si>
  <si>
    <t>سعر المتر المربع ل سمنت</t>
  </si>
  <si>
    <t xml:space="preserve">سعر المتر اسمنت ابيض </t>
  </si>
  <si>
    <t>سعر الماء</t>
  </si>
  <si>
    <t>جرانيت</t>
  </si>
  <si>
    <t>سيراميك</t>
  </si>
  <si>
    <t>توريد سعر متر مربع سيراميك 30*30</t>
  </si>
  <si>
    <t>درج جرانيت</t>
  </si>
  <si>
    <t>ايجار ماكينه</t>
  </si>
  <si>
    <t>الوحده</t>
  </si>
  <si>
    <t>الكميه</t>
  </si>
  <si>
    <t>متر طولي جرانيت احمر اسواني</t>
  </si>
  <si>
    <t>سعر متر مكعب رمل</t>
  </si>
  <si>
    <t>ج/م</t>
  </si>
  <si>
    <t>كسوه من الجرانيت</t>
  </si>
  <si>
    <t xml:space="preserve">وزره </t>
  </si>
  <si>
    <t>بورسلين</t>
  </si>
  <si>
    <t>ج.م</t>
  </si>
  <si>
    <t>أسمنت</t>
  </si>
  <si>
    <t>مادة ذات أساس أسمنتي</t>
  </si>
  <si>
    <t xml:space="preserve">توريد بورسلين فرز أول  </t>
  </si>
  <si>
    <t>أسمنت (0.005*0.45*1.05+0.035*0.3*1.05)</t>
  </si>
  <si>
    <t>رمل (0.04*1.10)</t>
  </si>
  <si>
    <t xml:space="preserve">توريد رخام جلالة صني </t>
  </si>
  <si>
    <t xml:space="preserve">توريد سيراميك </t>
  </si>
  <si>
    <t>بلاط اسمنتي</t>
  </si>
  <si>
    <t>بلاط جبسي</t>
  </si>
  <si>
    <t xml:space="preserve">بلاط جبسي </t>
  </si>
  <si>
    <t>ابواب</t>
  </si>
  <si>
    <t>توريد خشب موسكي ( 1*2.20 )</t>
  </si>
  <si>
    <t xml:space="preserve">م2 </t>
  </si>
  <si>
    <t xml:space="preserve">توريد خشب زان للقواشيط  </t>
  </si>
  <si>
    <t xml:space="preserve">الكالون </t>
  </si>
  <si>
    <t>المفصلة ( 80 جنيه × 3 عدد )</t>
  </si>
  <si>
    <t xml:space="preserve">الصدادة </t>
  </si>
  <si>
    <t xml:space="preserve">نقر ولسان </t>
  </si>
  <si>
    <t xml:space="preserve">الاكرة </t>
  </si>
  <si>
    <t xml:space="preserve">كانات وفيشر ومسمار </t>
  </si>
  <si>
    <t xml:space="preserve">خامات الدهان الاستر </t>
  </si>
  <si>
    <t>مقطوعيه</t>
  </si>
  <si>
    <t xml:space="preserve">توريد قشرة ارو </t>
  </si>
  <si>
    <t xml:space="preserve">توريد الواح MDF   سمك 8 مم  </t>
  </si>
  <si>
    <t>الاجمالي</t>
  </si>
  <si>
    <t>الفئه</t>
  </si>
  <si>
    <t>أبواب خشب</t>
  </si>
  <si>
    <t>نموزج</t>
  </si>
  <si>
    <t>عرض</t>
  </si>
  <si>
    <t>طول</t>
  </si>
  <si>
    <t>سعر متر</t>
  </si>
  <si>
    <t>االسعر</t>
  </si>
  <si>
    <t>اعمال الكهرباء</t>
  </si>
  <si>
    <t>زجاج</t>
  </si>
  <si>
    <t xml:space="preserve">شببابيك </t>
  </si>
  <si>
    <t>ش1</t>
  </si>
  <si>
    <t>ش2</t>
  </si>
  <si>
    <t>ش3</t>
  </si>
  <si>
    <t>ش4</t>
  </si>
  <si>
    <t xml:space="preserve">سعر للمتر </t>
  </si>
  <si>
    <t xml:space="preserve">مصنعية </t>
  </si>
  <si>
    <t>جم/م2</t>
  </si>
  <si>
    <t>مساحة</t>
  </si>
  <si>
    <t>مقطوعية</t>
  </si>
  <si>
    <t>المصنعيات</t>
  </si>
  <si>
    <t>الخامات</t>
  </si>
  <si>
    <t>المعدات</t>
  </si>
  <si>
    <t>حفر</t>
  </si>
  <si>
    <t>ردم</t>
  </si>
  <si>
    <t>خ. عادية</t>
  </si>
  <si>
    <t>خ مسلحة</t>
  </si>
  <si>
    <t>حوائط</t>
  </si>
  <si>
    <t>هيكل</t>
  </si>
  <si>
    <t>رغوية</t>
  </si>
  <si>
    <t>اعمال معدنية</t>
  </si>
  <si>
    <t>اليومية</t>
  </si>
  <si>
    <t>سعر العمالة</t>
  </si>
  <si>
    <t>اعما ل الصحية +ميكانيكيه</t>
  </si>
  <si>
    <t>ونش</t>
  </si>
  <si>
    <t>يوم</t>
  </si>
  <si>
    <t xml:space="preserve">عدد </t>
  </si>
  <si>
    <t>تكلفة الاوناش</t>
  </si>
  <si>
    <t>اجمالى التكلفه للبند</t>
  </si>
  <si>
    <t>Type</t>
  </si>
  <si>
    <t>Amount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</si>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</sst>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[$EGP]\ * #,##0.00_);_([$EGP]\ * \(#,##0.00\);_([$EGP]\ * &quot;-&quot;??_);_(@_)"/>
  </numFmts>
  <fonts count="2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Arabic Transparent"/>
      <charset val="178"/>
    </font>
    <font>
      <b/>
      <sz val="2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rgb="FF000000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4"/>
      <name val="Arial"/>
      <family val="2"/>
    </font>
    <font>
      <sz val="14"/>
      <name val="Arial"/>
      <family val="2"/>
    </font>
    <font>
      <sz val="11"/>
      <name val="Arial"/>
      <family val="2"/>
    </font>
    <font>
      <sz val="11"/>
      <color rgb="FFFF7171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4"/>
      <name val="Arabic Transparent"/>
      <charset val="178"/>
    </font>
    <font>
      <b/>
      <sz val="16"/>
      <name val="Calibri"/>
      <family val="2"/>
      <scheme val="minor"/>
    </font>
    <font>
      <b/>
      <sz val="26"/>
      <name val="Calibri"/>
      <family val="2"/>
      <scheme val="minor"/>
    </font>
    <font>
      <b/>
      <sz val="2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7171"/>
        <bgColor indexed="64"/>
      </patternFill>
    </fill>
    <fill>
      <patternFill patternType="solid">
        <fgColor rgb="FFA0EEA7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E9EF8"/>
        <bgColor indexed="64"/>
      </patternFill>
    </fill>
    <fill>
      <patternFill patternType="solid">
        <fgColor rgb="FFCE91E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C37F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80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ck">
        <color theme="3" tint="-0.499984740745262"/>
      </left>
      <right/>
      <top style="thick">
        <color theme="3" tint="-0.499984740745262"/>
      </top>
      <bottom/>
      <diagonal/>
    </border>
    <border>
      <left/>
      <right/>
      <top style="thick">
        <color theme="3" tint="-0.499984740745262"/>
      </top>
      <bottom/>
      <diagonal/>
    </border>
    <border>
      <left/>
      <right style="thick">
        <color theme="3" tint="-0.499984740745262"/>
      </right>
      <top style="thick">
        <color theme="3" tint="-0.499984740745262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ck">
        <color theme="3" tint="-0.499984740745262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 style="double">
        <color indexed="64"/>
      </right>
      <top style="thick">
        <color theme="1"/>
      </top>
      <bottom style="thick">
        <color theme="1"/>
      </bottom>
      <diagonal/>
    </border>
    <border>
      <left style="double">
        <color indexed="64"/>
      </left>
      <right style="double">
        <color indexed="64"/>
      </right>
      <top style="thick">
        <color theme="1"/>
      </top>
      <bottom style="thick">
        <color theme="1"/>
      </bottom>
      <diagonal/>
    </border>
    <border>
      <left style="double">
        <color indexed="64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ck">
        <color theme="1"/>
      </right>
      <top/>
      <bottom style="double">
        <color indexed="64"/>
      </bottom>
      <diagonal/>
    </border>
    <border>
      <left style="thick">
        <color theme="1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ck">
        <color theme="1"/>
      </right>
      <top style="double">
        <color indexed="64"/>
      </top>
      <bottom style="double">
        <color indexed="64"/>
      </bottom>
      <diagonal/>
    </border>
    <border>
      <left style="thick">
        <color theme="1"/>
      </left>
      <right/>
      <top/>
      <bottom/>
      <diagonal/>
    </border>
    <border>
      <left/>
      <right style="thick">
        <color theme="1"/>
      </right>
      <top/>
      <bottom/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 style="double">
        <color indexed="64"/>
      </left>
      <right style="thick">
        <color theme="1"/>
      </right>
      <top style="double">
        <color indexed="64"/>
      </top>
      <bottom style="thick">
        <color theme="3" tint="-0.499984740745262"/>
      </bottom>
      <diagonal/>
    </border>
    <border>
      <left style="thick">
        <color theme="1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theme="1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double">
        <color theme="1"/>
      </left>
      <right style="double">
        <color theme="1"/>
      </right>
      <top style="double">
        <color theme="1"/>
      </top>
      <bottom style="double">
        <color theme="1"/>
      </bottom>
      <diagonal/>
    </border>
    <border>
      <left style="double">
        <color theme="1"/>
      </left>
      <right/>
      <top style="double">
        <color theme="1"/>
      </top>
      <bottom style="double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thick">
        <color theme="1"/>
      </top>
      <bottom style="double">
        <color indexed="64"/>
      </bottom>
      <diagonal/>
    </border>
    <border>
      <left/>
      <right style="double">
        <color indexed="64"/>
      </right>
      <top style="thick">
        <color theme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13" fillId="0" borderId="0">
      <protection locked="0"/>
    </xf>
    <xf numFmtId="44" fontId="5" fillId="0" borderId="0" applyFont="0" applyFill="0" applyBorder="0" applyAlignment="0" applyProtection="0"/>
  </cellStyleXfs>
  <cellXfs count="311">
    <xf numFmtId="0" fontId="0" fillId="0" borderId="0" xfId="0"/>
    <xf numFmtId="0" fontId="0" fillId="0" borderId="0" xfId="0" applyAlignment="1">
      <alignment readingOrder="2"/>
    </xf>
    <xf numFmtId="0" fontId="0" fillId="0" borderId="0" xfId="0" applyAlignment="1">
      <alignment horizontal="center"/>
    </xf>
    <xf numFmtId="0" fontId="0" fillId="8" borderId="0" xfId="0" applyFill="1"/>
    <xf numFmtId="9" fontId="0" fillId="0" borderId="0" xfId="0" applyNumberFormat="1"/>
    <xf numFmtId="0" fontId="0" fillId="0" borderId="14" xfId="0" applyBorder="1"/>
    <xf numFmtId="0" fontId="0" fillId="0" borderId="15" xfId="0" applyBorder="1"/>
    <xf numFmtId="9" fontId="0" fillId="0" borderId="14" xfId="0" applyNumberFormat="1" applyBorder="1"/>
    <xf numFmtId="0" fontId="0" fillId="0" borderId="0" xfId="0" applyAlignment="1">
      <alignment vertical="center"/>
    </xf>
    <xf numFmtId="0" fontId="0" fillId="0" borderId="15" xfId="0" applyBorder="1" applyAlignment="1">
      <alignment vertical="center" wrapText="1"/>
    </xf>
    <xf numFmtId="9" fontId="0" fillId="0" borderId="16" xfId="0" applyNumberFormat="1" applyBorder="1"/>
    <xf numFmtId="0" fontId="0" fillId="0" borderId="17" xfId="0" applyBorder="1"/>
    <xf numFmtId="0" fontId="0" fillId="0" borderId="18" xfId="0" applyBorder="1"/>
    <xf numFmtId="0" fontId="0" fillId="4" borderId="2" xfId="0" applyFill="1" applyBorder="1"/>
    <xf numFmtId="9" fontId="0" fillId="4" borderId="2" xfId="0" applyNumberFormat="1" applyFill="1" applyBorder="1"/>
    <xf numFmtId="0" fontId="0" fillId="4" borderId="2" xfId="0" applyFill="1" applyBorder="1" applyAlignment="1">
      <alignment wrapText="1"/>
    </xf>
    <xf numFmtId="0" fontId="6" fillId="12" borderId="24" xfId="0" applyFont="1" applyFill="1" applyBorder="1" applyAlignment="1">
      <alignment horizontal="center" vertical="center"/>
    </xf>
    <xf numFmtId="0" fontId="6" fillId="12" borderId="25" xfId="0" applyFont="1" applyFill="1" applyBorder="1" applyAlignment="1">
      <alignment horizontal="center" vertical="center"/>
    </xf>
    <xf numFmtId="0" fontId="7" fillId="12" borderId="26" xfId="0" applyFont="1" applyFill="1" applyBorder="1" applyAlignment="1">
      <alignment horizontal="center" vertical="center" wrapText="1" readingOrder="2"/>
    </xf>
    <xf numFmtId="0" fontId="6" fillId="12" borderId="6" xfId="0" applyFont="1" applyFill="1" applyBorder="1" applyAlignment="1">
      <alignment horizontal="center" vertical="center"/>
    </xf>
    <xf numFmtId="0" fontId="6" fillId="12" borderId="5" xfId="0" applyFont="1" applyFill="1" applyBorder="1" applyAlignment="1">
      <alignment horizontal="center" vertical="center"/>
    </xf>
    <xf numFmtId="0" fontId="7" fillId="12" borderId="11" xfId="0" applyFont="1" applyFill="1" applyBorder="1" applyAlignment="1">
      <alignment horizontal="center" vertical="center" wrapText="1" readingOrder="2"/>
    </xf>
    <xf numFmtId="0" fontId="6" fillId="12" borderId="27" xfId="0" applyFont="1" applyFill="1" applyBorder="1" applyAlignment="1">
      <alignment horizontal="center" vertical="center"/>
    </xf>
    <xf numFmtId="0" fontId="6" fillId="12" borderId="27" xfId="0" applyFont="1" applyFill="1" applyBorder="1" applyAlignment="1">
      <alignment horizontal="center" vertical="center" wrapText="1"/>
    </xf>
    <xf numFmtId="0" fontId="1" fillId="4" borderId="27" xfId="0" applyFont="1" applyFill="1" applyBorder="1" applyAlignment="1">
      <alignment horizontal="center" vertical="center"/>
    </xf>
    <xf numFmtId="2" fontId="0" fillId="0" borderId="0" xfId="0" applyNumberFormat="1"/>
    <xf numFmtId="0" fontId="1" fillId="15" borderId="27" xfId="0" applyFont="1" applyFill="1" applyBorder="1" applyAlignment="1">
      <alignment horizontal="center" vertical="center"/>
    </xf>
    <xf numFmtId="0" fontId="14" fillId="16" borderId="38" xfId="2" applyFont="1" applyFill="1" applyBorder="1" applyAlignment="1" applyProtection="1">
      <alignment horizontal="right" vertical="center" wrapText="1"/>
    </xf>
    <xf numFmtId="0" fontId="15" fillId="16" borderId="38" xfId="2" applyFont="1" applyFill="1" applyBorder="1" applyAlignment="1" applyProtection="1">
      <alignment horizontal="center" vertical="center" wrapText="1"/>
    </xf>
    <xf numFmtId="2" fontId="15" fillId="16" borderId="38" xfId="2" applyNumberFormat="1" applyFont="1" applyFill="1" applyBorder="1" applyAlignment="1" applyProtection="1">
      <alignment horizontal="center" vertical="center" wrapText="1" readingOrder="2"/>
    </xf>
    <xf numFmtId="0" fontId="14" fillId="16" borderId="2" xfId="2" applyFont="1" applyFill="1" applyBorder="1" applyAlignment="1" applyProtection="1">
      <alignment horizontal="right" vertical="center" wrapText="1"/>
    </xf>
    <xf numFmtId="0" fontId="15" fillId="16" borderId="2" xfId="2" applyFont="1" applyFill="1" applyBorder="1" applyAlignment="1" applyProtection="1">
      <alignment horizontal="center" vertical="center" wrapText="1"/>
    </xf>
    <xf numFmtId="2" fontId="15" fillId="16" borderId="2" xfId="2" applyNumberFormat="1" applyFont="1" applyFill="1" applyBorder="1" applyAlignment="1" applyProtection="1">
      <alignment horizontal="center" vertical="center" wrapText="1" readingOrder="2"/>
    </xf>
    <xf numFmtId="0" fontId="16" fillId="0" borderId="40" xfId="0" applyFont="1" applyBorder="1" applyAlignment="1">
      <alignment horizontal="right" vertical="center" wrapText="1"/>
    </xf>
    <xf numFmtId="0" fontId="16" fillId="0" borderId="40" xfId="0" applyFont="1" applyBorder="1" applyAlignment="1">
      <alignment horizontal="center" vertical="center" readingOrder="2"/>
    </xf>
    <xf numFmtId="164" fontId="16" fillId="0" borderId="40" xfId="0" applyNumberFormat="1" applyFont="1" applyBorder="1" applyAlignment="1">
      <alignment horizontal="center" vertical="center" readingOrder="2"/>
    </xf>
    <xf numFmtId="1" fontId="16" fillId="0" borderId="40" xfId="0" applyNumberFormat="1" applyFont="1" applyBorder="1" applyAlignment="1">
      <alignment horizontal="center" vertical="center" readingOrder="2"/>
    </xf>
    <xf numFmtId="2" fontId="16" fillId="0" borderId="40" xfId="0" applyNumberFormat="1" applyFont="1" applyBorder="1" applyAlignment="1">
      <alignment horizontal="center" vertical="center" readingOrder="2"/>
    </xf>
    <xf numFmtId="0" fontId="16" fillId="0" borderId="40" xfId="0" applyFont="1" applyBorder="1" applyAlignment="1">
      <alignment horizontal="right" vertical="center" wrapText="1" readingOrder="2"/>
    </xf>
    <xf numFmtId="0" fontId="17" fillId="0" borderId="40" xfId="0" applyFont="1" applyBorder="1" applyAlignment="1">
      <alignment horizontal="right" vertical="center" wrapText="1"/>
    </xf>
    <xf numFmtId="0" fontId="17" fillId="0" borderId="40" xfId="0" applyFont="1" applyBorder="1" applyAlignment="1">
      <alignment horizontal="center" vertical="center" readingOrder="2"/>
    </xf>
    <xf numFmtId="164" fontId="17" fillId="0" borderId="40" xfId="0" applyNumberFormat="1" applyFont="1" applyBorder="1" applyAlignment="1">
      <alignment horizontal="center" vertical="center" readingOrder="2"/>
    </xf>
    <xf numFmtId="1" fontId="17" fillId="0" borderId="40" xfId="0" applyNumberFormat="1" applyFont="1" applyBorder="1" applyAlignment="1">
      <alignment horizontal="center" vertical="center" readingOrder="2"/>
    </xf>
    <xf numFmtId="2" fontId="17" fillId="0" borderId="40" xfId="0" applyNumberFormat="1" applyFont="1" applyBorder="1" applyAlignment="1">
      <alignment horizontal="center" vertical="center" readingOrder="2"/>
    </xf>
    <xf numFmtId="0" fontId="17" fillId="0" borderId="40" xfId="0" applyFont="1" applyBorder="1" applyAlignment="1">
      <alignment horizontal="right" vertical="center" wrapText="1" readingOrder="2"/>
    </xf>
    <xf numFmtId="1" fontId="17" fillId="0" borderId="0" xfId="0" applyNumberFormat="1" applyFont="1" applyAlignment="1">
      <alignment horizontal="center" vertical="center" readingOrder="2"/>
    </xf>
    <xf numFmtId="1" fontId="17" fillId="0" borderId="41" xfId="0" applyNumberFormat="1" applyFont="1" applyBorder="1" applyAlignment="1">
      <alignment horizontal="center" vertical="center" readingOrder="2"/>
    </xf>
    <xf numFmtId="0" fontId="18" fillId="0" borderId="0" xfId="0" applyFont="1" applyAlignment="1">
      <alignment horizontal="center" vertical="center" readingOrder="2"/>
    </xf>
    <xf numFmtId="0" fontId="1" fillId="15" borderId="31" xfId="0" applyFont="1" applyFill="1" applyBorder="1" applyAlignment="1">
      <alignment horizontal="center" vertical="center"/>
    </xf>
    <xf numFmtId="0" fontId="7" fillId="12" borderId="28" xfId="0" applyFont="1" applyFill="1" applyBorder="1" applyAlignment="1">
      <alignment horizontal="center" vertical="center" wrapText="1" readingOrder="2"/>
    </xf>
    <xf numFmtId="1" fontId="7" fillId="12" borderId="28" xfId="0" applyNumberFormat="1" applyFont="1" applyFill="1" applyBorder="1" applyAlignment="1">
      <alignment horizontal="center" vertical="center" wrapText="1" readingOrder="2"/>
    </xf>
    <xf numFmtId="0" fontId="1" fillId="4" borderId="54" xfId="0" applyFont="1" applyFill="1" applyBorder="1" applyAlignment="1">
      <alignment horizontal="center" vertical="center"/>
    </xf>
    <xf numFmtId="0" fontId="1" fillId="15" borderId="54" xfId="0" applyFont="1" applyFill="1" applyBorder="1" applyAlignment="1">
      <alignment horizontal="center" vertical="center"/>
    </xf>
    <xf numFmtId="0" fontId="1" fillId="13" borderId="42" xfId="0" applyFont="1" applyFill="1" applyBorder="1" applyAlignment="1">
      <alignment horizontal="center" vertical="center"/>
    </xf>
    <xf numFmtId="0" fontId="1" fillId="4" borderId="65" xfId="0" applyFont="1" applyFill="1" applyBorder="1" applyAlignment="1">
      <alignment horizontal="center" vertical="center"/>
    </xf>
    <xf numFmtId="2" fontId="1" fillId="2" borderId="65" xfId="0" applyNumberFormat="1" applyFont="1" applyFill="1" applyBorder="1" applyAlignment="1">
      <alignment horizontal="center" vertical="center"/>
    </xf>
    <xf numFmtId="0" fontId="0" fillId="0" borderId="71" xfId="0" applyBorder="1"/>
    <xf numFmtId="0" fontId="19" fillId="19" borderId="71" xfId="0" applyFont="1" applyFill="1" applyBorder="1"/>
    <xf numFmtId="0" fontId="0" fillId="20" borderId="71" xfId="0" applyFill="1" applyBorder="1"/>
    <xf numFmtId="0" fontId="0" fillId="0" borderId="73" xfId="0" applyBorder="1"/>
    <xf numFmtId="0" fontId="0" fillId="22" borderId="72" xfId="0" applyFill="1" applyBorder="1"/>
    <xf numFmtId="0" fontId="0" fillId="21" borderId="74" xfId="0" applyFill="1" applyBorder="1"/>
    <xf numFmtId="0" fontId="0" fillId="23" borderId="2" xfId="0" applyFill="1" applyBorder="1"/>
    <xf numFmtId="0" fontId="0" fillId="24" borderId="2" xfId="0" applyFill="1" applyBorder="1"/>
    <xf numFmtId="0" fontId="1" fillId="11" borderId="0" xfId="0" applyFont="1" applyFill="1" applyAlignment="1">
      <alignment horizontal="center" vertical="center"/>
    </xf>
    <xf numFmtId="0" fontId="1" fillId="11" borderId="0" xfId="1" applyNumberFormat="1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58" xfId="0" applyFont="1" applyFill="1" applyBorder="1" applyAlignment="1">
      <alignment horizontal="center" vertical="center"/>
    </xf>
    <xf numFmtId="0" fontId="1" fillId="4" borderId="0" xfId="1" applyNumberFormat="1" applyFont="1" applyFill="1" applyBorder="1" applyAlignment="1">
      <alignment horizontal="center" vertical="center"/>
    </xf>
    <xf numFmtId="44" fontId="0" fillId="0" borderId="0" xfId="0" applyNumberFormat="1"/>
    <xf numFmtId="165" fontId="1" fillId="2" borderId="65" xfId="0" applyNumberFormat="1" applyFont="1" applyFill="1" applyBorder="1" applyAlignment="1">
      <alignment horizontal="center" vertical="center"/>
    </xf>
    <xf numFmtId="165" fontId="1" fillId="15" borderId="27" xfId="0" applyNumberFormat="1" applyFont="1" applyFill="1" applyBorder="1" applyAlignment="1">
      <alignment horizontal="center" vertical="center"/>
    </xf>
    <xf numFmtId="0" fontId="21" fillId="0" borderId="79" xfId="0" applyFont="1" applyBorder="1" applyAlignment="1">
      <alignment horizontal="center" wrapText="1" readingOrder="2"/>
    </xf>
    <xf numFmtId="0" fontId="21" fillId="3" borderId="79" xfId="0" applyFont="1" applyFill="1" applyBorder="1" applyAlignment="1">
      <alignment horizontal="center" wrapText="1" readingOrder="2"/>
    </xf>
    <xf numFmtId="1" fontId="21" fillId="3" borderId="79" xfId="0" applyNumberFormat="1" applyFont="1" applyFill="1" applyBorder="1" applyAlignment="1">
      <alignment horizontal="center" wrapText="1" readingOrder="2"/>
    </xf>
    <xf numFmtId="0" fontId="0" fillId="25" borderId="0" xfId="0" applyFill="1"/>
    <xf numFmtId="0" fontId="7" fillId="25" borderId="28" xfId="0" applyFont="1" applyFill="1" applyBorder="1" applyAlignment="1">
      <alignment horizontal="center" vertical="center" wrapText="1" readingOrder="2"/>
    </xf>
    <xf numFmtId="0" fontId="21" fillId="25" borderId="79" xfId="0" applyFont="1" applyFill="1" applyBorder="1" applyAlignment="1">
      <alignment horizontal="center" wrapText="1" readingOrder="2"/>
    </xf>
    <xf numFmtId="165" fontId="1" fillId="2" borderId="66" xfId="0" applyNumberFormat="1" applyFont="1" applyFill="1" applyBorder="1" applyAlignment="1">
      <alignment horizontal="center" vertical="center"/>
    </xf>
    <xf numFmtId="0" fontId="1" fillId="2" borderId="6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3" fontId="0" fillId="0" borderId="0" xfId="1" applyFont="1"/>
    <xf numFmtId="0" fontId="1" fillId="2" borderId="0" xfId="0" applyFont="1" applyFill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52" xfId="0" applyFont="1" applyFill="1" applyBorder="1" applyAlignment="1">
      <alignment horizontal="center" vertical="center"/>
    </xf>
    <xf numFmtId="165" fontId="1" fillId="2" borderId="0" xfId="0" applyNumberFormat="1" applyFont="1" applyFill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165" fontId="1" fillId="2" borderId="27" xfId="0" applyNumberFormat="1" applyFont="1" applyFill="1" applyBorder="1" applyAlignment="1">
      <alignment horizontal="center" vertical="center"/>
    </xf>
    <xf numFmtId="0" fontId="1" fillId="15" borderId="69" xfId="0" applyFont="1" applyFill="1" applyBorder="1" applyAlignment="1">
      <alignment horizontal="center" vertical="center"/>
    </xf>
    <xf numFmtId="0" fontId="1" fillId="15" borderId="53" xfId="0" applyFont="1" applyFill="1" applyBorder="1" applyAlignment="1">
      <alignment horizontal="center" vertical="center"/>
    </xf>
    <xf numFmtId="0" fontId="6" fillId="12" borderId="4" xfId="0" applyFont="1" applyFill="1" applyBorder="1" applyAlignment="1">
      <alignment horizontal="center" vertical="center"/>
    </xf>
    <xf numFmtId="0" fontId="6" fillId="12" borderId="2" xfId="0" applyFont="1" applyFill="1" applyBorder="1" applyAlignment="1">
      <alignment horizontal="center" vertical="center" wrapText="1"/>
    </xf>
    <xf numFmtId="0" fontId="6" fillId="12" borderId="2" xfId="0" applyFont="1" applyFill="1" applyBorder="1" applyAlignment="1">
      <alignment horizontal="center" vertical="center"/>
    </xf>
    <xf numFmtId="0" fontId="7" fillId="12" borderId="10" xfId="0" applyFont="1" applyFill="1" applyBorder="1" applyAlignment="1">
      <alignment horizontal="center" vertical="center" wrapText="1" readingOrder="2"/>
    </xf>
    <xf numFmtId="1" fontId="7" fillId="12" borderId="10" xfId="0" applyNumberFormat="1" applyFont="1" applyFill="1" applyBorder="1" applyAlignment="1">
      <alignment horizontal="center" vertical="center" wrapText="1" readingOrder="2"/>
    </xf>
    <xf numFmtId="1" fontId="7" fillId="12" borderId="11" xfId="0" applyNumberFormat="1" applyFont="1" applyFill="1" applyBorder="1" applyAlignment="1">
      <alignment horizontal="center" vertical="center" wrapText="1" readingOrder="2"/>
    </xf>
    <xf numFmtId="0" fontId="6" fillId="12" borderId="7" xfId="0" applyFont="1" applyFill="1" applyBorder="1" applyAlignment="1">
      <alignment horizontal="center" vertical="center"/>
    </xf>
    <xf numFmtId="0" fontId="6" fillId="12" borderId="8" xfId="0" applyFont="1" applyFill="1" applyBorder="1" applyAlignment="1">
      <alignment horizontal="center" vertical="center"/>
    </xf>
    <xf numFmtId="2" fontId="7" fillId="12" borderId="12" xfId="0" applyNumberFormat="1" applyFont="1" applyFill="1" applyBorder="1" applyAlignment="1">
      <alignment horizontal="center" vertical="center" wrapText="1" readingOrder="2"/>
    </xf>
    <xf numFmtId="0" fontId="6" fillId="12" borderId="3" xfId="0" applyFont="1" applyFill="1" applyBorder="1" applyAlignment="1">
      <alignment horizontal="center" vertical="center"/>
    </xf>
    <xf numFmtId="0" fontId="6" fillId="12" borderId="3" xfId="0" applyFont="1" applyFill="1" applyBorder="1" applyAlignment="1">
      <alignment horizontal="center" vertical="center" wrapText="1"/>
    </xf>
    <xf numFmtId="0" fontId="6" fillId="12" borderId="9" xfId="0" applyFont="1" applyFill="1" applyBorder="1" applyAlignment="1">
      <alignment horizontal="center" vertical="center"/>
    </xf>
    <xf numFmtId="49" fontId="6" fillId="12" borderId="3" xfId="0" applyNumberFormat="1" applyFont="1" applyFill="1" applyBorder="1" applyAlignment="1">
      <alignment horizontal="center" vertical="center"/>
    </xf>
    <xf numFmtId="0" fontId="1" fillId="5" borderId="61" xfId="0" applyFont="1" applyFill="1" applyBorder="1" applyAlignment="1">
      <alignment horizontal="center" vertical="center"/>
    </xf>
    <xf numFmtId="0" fontId="1" fillId="5" borderId="51" xfId="0" applyFont="1" applyFill="1" applyBorder="1" applyAlignment="1">
      <alignment horizontal="center" vertical="center"/>
    </xf>
    <xf numFmtId="0" fontId="1" fillId="5" borderId="5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69" xfId="0" applyFont="1" applyFill="1" applyBorder="1" applyAlignment="1">
      <alignment horizontal="center" vertical="center"/>
    </xf>
    <xf numFmtId="0" fontId="1" fillId="5" borderId="42" xfId="0" applyFont="1" applyFill="1" applyBorder="1" applyAlignment="1">
      <alignment horizontal="center" vertical="center"/>
    </xf>
    <xf numFmtId="0" fontId="1" fillId="5" borderId="29" xfId="0" applyFont="1" applyFill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1" fillId="5" borderId="65" xfId="0" applyFont="1" applyFill="1" applyBorder="1" applyAlignment="1">
      <alignment horizontal="center" vertical="center"/>
    </xf>
    <xf numFmtId="0" fontId="1" fillId="5" borderId="70" xfId="0" applyFont="1" applyFill="1" applyBorder="1" applyAlignment="1">
      <alignment horizontal="center" vertical="center"/>
    </xf>
    <xf numFmtId="0" fontId="1" fillId="5" borderId="46" xfId="0" applyFont="1" applyFill="1" applyBorder="1" applyAlignment="1">
      <alignment horizontal="center" vertical="center"/>
    </xf>
    <xf numFmtId="0" fontId="1" fillId="5" borderId="58" xfId="0" applyFont="1" applyFill="1" applyBorder="1" applyAlignment="1">
      <alignment horizontal="center" vertical="center"/>
    </xf>
    <xf numFmtId="0" fontId="1" fillId="4" borderId="42" xfId="0" applyFont="1" applyFill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/>
    </xf>
    <xf numFmtId="0" fontId="1" fillId="4" borderId="52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65" xfId="0" applyFont="1" applyFill="1" applyBorder="1" applyAlignment="1">
      <alignment horizontal="center" vertical="center"/>
    </xf>
    <xf numFmtId="0" fontId="1" fillId="15" borderId="42" xfId="0" applyFont="1" applyFill="1" applyBorder="1" applyAlignment="1">
      <alignment horizontal="center" vertical="center"/>
    </xf>
    <xf numFmtId="0" fontId="1" fillId="15" borderId="29" xfId="0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43" fontId="1" fillId="15" borderId="27" xfId="1" applyFont="1" applyFill="1" applyBorder="1" applyAlignment="1">
      <alignment horizontal="center" vertical="center"/>
    </xf>
    <xf numFmtId="0" fontId="1" fillId="15" borderId="62" xfId="0" applyFont="1" applyFill="1" applyBorder="1" applyAlignment="1">
      <alignment horizontal="center" vertical="center"/>
    </xf>
    <xf numFmtId="0" fontId="1" fillId="15" borderId="65" xfId="0" applyFont="1" applyFill="1" applyBorder="1" applyAlignment="1">
      <alignment horizontal="center" vertical="center"/>
    </xf>
    <xf numFmtId="0" fontId="1" fillId="15" borderId="52" xfId="0" applyFont="1" applyFill="1" applyBorder="1" applyAlignment="1">
      <alignment horizontal="center" vertical="center"/>
    </xf>
    <xf numFmtId="43" fontId="1" fillId="15" borderId="54" xfId="0" applyNumberFormat="1" applyFont="1" applyFill="1" applyBorder="1" applyAlignment="1">
      <alignment horizontal="center" vertical="center"/>
    </xf>
    <xf numFmtId="0" fontId="1" fillId="15" borderId="47" xfId="0" applyFont="1" applyFill="1" applyBorder="1" applyAlignment="1">
      <alignment horizontal="center" vertical="center"/>
    </xf>
    <xf numFmtId="0" fontId="1" fillId="15" borderId="60" xfId="0" applyFont="1" applyFill="1" applyBorder="1" applyAlignment="1">
      <alignment horizontal="center" vertical="center"/>
    </xf>
    <xf numFmtId="0" fontId="1" fillId="15" borderId="56" xfId="0" applyFont="1" applyFill="1" applyBorder="1" applyAlignment="1">
      <alignment horizontal="center" vertical="center"/>
    </xf>
    <xf numFmtId="0" fontId="1" fillId="15" borderId="59" xfId="0" applyFont="1" applyFill="1" applyBorder="1" applyAlignment="1">
      <alignment horizontal="center" vertical="center"/>
    </xf>
    <xf numFmtId="0" fontId="1" fillId="7" borderId="32" xfId="0" applyFont="1" applyFill="1" applyBorder="1" applyAlignment="1">
      <alignment horizontal="center" vertical="center"/>
    </xf>
    <xf numFmtId="0" fontId="1" fillId="7" borderId="36" xfId="0" applyFont="1" applyFill="1" applyBorder="1" applyAlignment="1">
      <alignment horizontal="center" vertical="center"/>
    </xf>
    <xf numFmtId="0" fontId="1" fillId="7" borderId="31" xfId="0" applyFont="1" applyFill="1" applyBorder="1" applyAlignment="1">
      <alignment horizontal="center" vertical="center"/>
    </xf>
    <xf numFmtId="165" fontId="1" fillId="13" borderId="65" xfId="0" applyNumberFormat="1" applyFont="1" applyFill="1" applyBorder="1" applyAlignment="1">
      <alignment horizontal="center" vertical="center"/>
    </xf>
    <xf numFmtId="165" fontId="1" fillId="13" borderId="29" xfId="1" applyNumberFormat="1" applyFont="1" applyFill="1" applyBorder="1" applyAlignment="1">
      <alignment horizontal="center" vertical="center"/>
    </xf>
    <xf numFmtId="165" fontId="1" fillId="13" borderId="42" xfId="0" applyNumberFormat="1" applyFont="1" applyFill="1" applyBorder="1" applyAlignment="1">
      <alignment horizontal="center" vertical="center"/>
    </xf>
    <xf numFmtId="165" fontId="1" fillId="13" borderId="29" xfId="0" applyNumberFormat="1" applyFont="1" applyFill="1" applyBorder="1" applyAlignment="1">
      <alignment horizontal="center" vertical="center"/>
    </xf>
    <xf numFmtId="165" fontId="1" fillId="13" borderId="27" xfId="0" applyNumberFormat="1" applyFont="1" applyFill="1" applyBorder="1" applyAlignment="1">
      <alignment horizontal="center" vertical="center"/>
    </xf>
    <xf numFmtId="165" fontId="1" fillId="13" borderId="0" xfId="0" applyNumberFormat="1" applyFont="1" applyFill="1" applyAlignment="1">
      <alignment horizontal="center" vertical="center"/>
    </xf>
    <xf numFmtId="0" fontId="1" fillId="27" borderId="29" xfId="0" applyFont="1" applyFill="1" applyBorder="1" applyAlignment="1">
      <alignment horizontal="center" vertical="center"/>
    </xf>
    <xf numFmtId="0" fontId="1" fillId="27" borderId="27" xfId="0" applyFont="1" applyFill="1" applyBorder="1" applyAlignment="1">
      <alignment horizontal="center" vertical="center"/>
    </xf>
    <xf numFmtId="9" fontId="1" fillId="27" borderId="27" xfId="0" applyNumberFormat="1" applyFont="1" applyFill="1" applyBorder="1" applyAlignment="1">
      <alignment horizontal="center" vertical="center"/>
    </xf>
    <xf numFmtId="0" fontId="1" fillId="29" borderId="29" xfId="1" applyNumberFormat="1" applyFont="1" applyFill="1" applyBorder="1" applyAlignment="1">
      <alignment horizontal="center" vertical="center"/>
    </xf>
    <xf numFmtId="0" fontId="1" fillId="29" borderId="42" xfId="1" applyNumberFormat="1" applyFont="1" applyFill="1" applyBorder="1" applyAlignment="1">
      <alignment horizontal="center" vertical="center"/>
    </xf>
    <xf numFmtId="0" fontId="1" fillId="29" borderId="27" xfId="1" applyNumberFormat="1" applyFont="1" applyFill="1" applyBorder="1" applyAlignment="1">
      <alignment horizontal="center" vertical="center"/>
    </xf>
    <xf numFmtId="0" fontId="1" fillId="15" borderId="46" xfId="0" applyFont="1" applyFill="1" applyBorder="1" applyAlignment="1">
      <alignment horizontal="center" vertical="center"/>
    </xf>
    <xf numFmtId="0" fontId="1" fillId="4" borderId="61" xfId="0" applyFont="1" applyFill="1" applyBorder="1" applyAlignment="1">
      <alignment horizontal="center" vertical="center"/>
    </xf>
    <xf numFmtId="0" fontId="1" fillId="2" borderId="53" xfId="0" applyFont="1" applyFill="1" applyBorder="1" applyAlignment="1">
      <alignment horizontal="center" vertical="center"/>
    </xf>
    <xf numFmtId="0" fontId="1" fillId="2" borderId="54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1" fillId="2" borderId="61" xfId="0" applyFont="1" applyFill="1" applyBorder="1" applyAlignment="1">
      <alignment horizontal="center" vertical="center"/>
    </xf>
    <xf numFmtId="0" fontId="1" fillId="15" borderId="27" xfId="1" applyNumberFormat="1" applyFont="1" applyFill="1" applyBorder="1" applyAlignment="1">
      <alignment horizontal="center" vertical="center"/>
    </xf>
    <xf numFmtId="49" fontId="6" fillId="15" borderId="3" xfId="0" applyNumberFormat="1" applyFont="1" applyFill="1" applyBorder="1" applyAlignment="1">
      <alignment horizontal="center" vertical="center"/>
    </xf>
    <xf numFmtId="0" fontId="6" fillId="15" borderId="3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3" borderId="43" xfId="0" applyFont="1" applyFill="1" applyBorder="1" applyAlignment="1">
      <alignment horizontal="center" vertical="center"/>
    </xf>
    <xf numFmtId="0" fontId="1" fillId="3" borderId="44" xfId="0" applyFont="1" applyFill="1" applyBorder="1" applyAlignment="1">
      <alignment horizontal="center" vertical="center"/>
    </xf>
    <xf numFmtId="0" fontId="1" fillId="3" borderId="45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5" fontId="1" fillId="3" borderId="0" xfId="0" applyNumberFormat="1" applyFont="1" applyFill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2" fillId="4" borderId="64" xfId="0" applyFont="1" applyFill="1" applyBorder="1" applyAlignment="1">
      <alignment horizontal="center" vertical="center"/>
    </xf>
    <xf numFmtId="0" fontId="2" fillId="4" borderId="65" xfId="0" applyFont="1" applyFill="1" applyBorder="1" applyAlignment="1">
      <alignment horizontal="center" vertical="center"/>
    </xf>
    <xf numFmtId="0" fontId="1" fillId="28" borderId="65" xfId="0" applyFont="1" applyFill="1" applyBorder="1" applyAlignment="1">
      <alignment horizontal="center" vertical="center"/>
    </xf>
    <xf numFmtId="0" fontId="1" fillId="29" borderId="65" xfId="0" applyFont="1" applyFill="1" applyBorder="1" applyAlignment="1">
      <alignment horizontal="center" vertical="center"/>
    </xf>
    <xf numFmtId="2" fontId="1" fillId="28" borderId="65" xfId="0" applyNumberFormat="1" applyFont="1" applyFill="1" applyBorder="1" applyAlignment="1">
      <alignment horizontal="center" vertical="center"/>
    </xf>
    <xf numFmtId="165" fontId="1" fillId="28" borderId="65" xfId="0" applyNumberFormat="1" applyFont="1" applyFill="1" applyBorder="1" applyAlignment="1">
      <alignment horizontal="center" vertical="center"/>
    </xf>
    <xf numFmtId="165" fontId="1" fillId="28" borderId="66" xfId="0" applyNumberFormat="1" applyFont="1" applyFill="1" applyBorder="1" applyAlignment="1">
      <alignment horizontal="center" vertical="center"/>
    </xf>
    <xf numFmtId="0" fontId="1" fillId="15" borderId="58" xfId="0" applyFont="1" applyFill="1" applyBorder="1" applyAlignment="1">
      <alignment horizontal="center" vertical="center"/>
    </xf>
    <xf numFmtId="0" fontId="1" fillId="5" borderId="57" xfId="0" applyFont="1" applyFill="1" applyBorder="1" applyAlignment="1">
      <alignment horizontal="center" vertical="center"/>
    </xf>
    <xf numFmtId="0" fontId="1" fillId="4" borderId="64" xfId="0" applyFont="1" applyFill="1" applyBorder="1" applyAlignment="1">
      <alignment horizontal="center" vertical="center"/>
    </xf>
    <xf numFmtId="0" fontId="1" fillId="4" borderId="57" xfId="0" applyFont="1" applyFill="1" applyBorder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2" fontId="1" fillId="28" borderId="0" xfId="0" applyNumberFormat="1" applyFont="1" applyFill="1" applyAlignment="1">
      <alignment horizontal="center" vertical="center"/>
    </xf>
    <xf numFmtId="165" fontId="1" fillId="28" borderId="0" xfId="0" applyNumberFormat="1" applyFont="1" applyFill="1" applyAlignment="1">
      <alignment horizontal="center" vertical="center"/>
    </xf>
    <xf numFmtId="0" fontId="1" fillId="4" borderId="51" xfId="0" applyFont="1" applyFill="1" applyBorder="1" applyAlignment="1">
      <alignment horizontal="center" vertical="center"/>
    </xf>
    <xf numFmtId="0" fontId="1" fillId="2" borderId="57" xfId="0" applyFont="1" applyFill="1" applyBorder="1" applyAlignment="1">
      <alignment horizontal="center" vertical="center"/>
    </xf>
    <xf numFmtId="0" fontId="1" fillId="2" borderId="58" xfId="0" applyFont="1" applyFill="1" applyBorder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0" fontId="12" fillId="15" borderId="54" xfId="0" applyFont="1" applyFill="1" applyBorder="1" applyAlignment="1">
      <alignment horizontal="center" vertical="center"/>
    </xf>
    <xf numFmtId="0" fontId="1" fillId="15" borderId="57" xfId="0" applyFont="1" applyFill="1" applyBorder="1" applyAlignment="1">
      <alignment horizontal="center" vertical="center"/>
    </xf>
    <xf numFmtId="0" fontId="6" fillId="12" borderId="23" xfId="0" applyFont="1" applyFill="1" applyBorder="1" applyAlignment="1">
      <alignment horizontal="center" vertical="center" wrapText="1"/>
    </xf>
    <xf numFmtId="0" fontId="6" fillId="12" borderId="23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0" fontId="6" fillId="11" borderId="77" xfId="0" applyFont="1" applyFill="1" applyBorder="1" applyAlignment="1">
      <alignment horizontal="center" vertical="center" wrapText="1"/>
    </xf>
    <xf numFmtId="0" fontId="1" fillId="5" borderId="55" xfId="0" applyFont="1" applyFill="1" applyBorder="1" applyAlignment="1">
      <alignment horizontal="center" vertical="center"/>
    </xf>
    <xf numFmtId="0" fontId="6" fillId="11" borderId="16" xfId="0" applyFont="1" applyFill="1" applyBorder="1" applyAlignment="1">
      <alignment horizontal="center" vertical="center" wrapText="1"/>
    </xf>
    <xf numFmtId="0" fontId="6" fillId="26" borderId="57" xfId="0" applyFont="1" applyFill="1" applyBorder="1" applyAlignment="1">
      <alignment horizontal="center" vertical="center"/>
    </xf>
    <xf numFmtId="44" fontId="6" fillId="26" borderId="57" xfId="0" applyNumberFormat="1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26" borderId="0" xfId="0" applyFont="1" applyFill="1" applyAlignment="1">
      <alignment horizontal="center" vertical="center"/>
    </xf>
    <xf numFmtId="2" fontId="6" fillId="26" borderId="0" xfId="0" applyNumberFormat="1" applyFont="1" applyFill="1" applyAlignment="1">
      <alignment horizontal="center" vertical="center"/>
    </xf>
    <xf numFmtId="0" fontId="22" fillId="0" borderId="0" xfId="0" applyFont="1" applyAlignment="1">
      <alignment horizontal="center" vertical="center"/>
    </xf>
    <xf numFmtId="165" fontId="22" fillId="0" borderId="0" xfId="0" applyNumberFormat="1" applyFont="1" applyAlignment="1">
      <alignment horizontal="center" vertical="center"/>
    </xf>
    <xf numFmtId="2" fontId="22" fillId="0" borderId="0" xfId="0" applyNumberFormat="1" applyFont="1" applyAlignment="1">
      <alignment horizontal="center" vertical="center"/>
    </xf>
    <xf numFmtId="44" fontId="22" fillId="0" borderId="0" xfId="0" applyNumberFormat="1" applyFont="1" applyAlignment="1">
      <alignment horizontal="center" vertical="center"/>
    </xf>
    <xf numFmtId="43" fontId="0" fillId="0" borderId="0" xfId="0" applyNumberFormat="1"/>
    <xf numFmtId="43" fontId="0" fillId="0" borderId="0" xfId="3" applyNumberFormat="1" applyFont="1"/>
    <xf numFmtId="0" fontId="0" fillId="2" borderId="2" xfId="0" applyFill="1" applyBorder="1" applyAlignment="1">
      <alignment horizontal="center"/>
    </xf>
    <xf numFmtId="9" fontId="0" fillId="10" borderId="2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43" fontId="0" fillId="30" borderId="2" xfId="0" applyNumberFormat="1" applyFill="1" applyBorder="1" applyAlignment="1">
      <alignment horizontal="center" vertical="center"/>
    </xf>
    <xf numFmtId="9" fontId="0" fillId="10" borderId="2" xfId="0" applyNumberFormat="1" applyFill="1" applyBorder="1" applyAlignment="1">
      <alignment horizontal="center" vertical="center"/>
    </xf>
    <xf numFmtId="43" fontId="0" fillId="27" borderId="2" xfId="3" applyNumberFormat="1" applyFont="1" applyFill="1" applyBorder="1" applyAlignment="1">
      <alignment horizontal="center"/>
    </xf>
    <xf numFmtId="43" fontId="0" fillId="15" borderId="2" xfId="3" applyNumberFormat="1" applyFont="1" applyFill="1" applyBorder="1" applyAlignment="1">
      <alignment horizontal="center" vertical="center"/>
    </xf>
    <xf numFmtId="0" fontId="6" fillId="12" borderId="77" xfId="0" applyFont="1" applyFill="1" applyBorder="1" applyAlignment="1">
      <alignment horizontal="center" vertical="center"/>
    </xf>
    <xf numFmtId="0" fontId="6" fillId="12" borderId="78" xfId="0" applyFont="1" applyFill="1" applyBorder="1" applyAlignment="1">
      <alignment horizontal="center" vertical="center"/>
    </xf>
    <xf numFmtId="0" fontId="6" fillId="12" borderId="16" xfId="0" applyFont="1" applyFill="1" applyBorder="1" applyAlignment="1">
      <alignment horizontal="center" vertical="center"/>
    </xf>
    <xf numFmtId="0" fontId="6" fillId="12" borderId="18" xfId="0" applyFont="1" applyFill="1" applyBorder="1" applyAlignment="1">
      <alignment horizontal="center" vertical="center"/>
    </xf>
    <xf numFmtId="0" fontId="24" fillId="26" borderId="0" xfId="0" applyFont="1" applyFill="1" applyAlignment="1">
      <alignment horizontal="center" vertical="center"/>
    </xf>
    <xf numFmtId="0" fontId="20" fillId="26" borderId="0" xfId="0" applyFont="1" applyFill="1" applyAlignment="1">
      <alignment horizontal="center" vertical="center"/>
    </xf>
    <xf numFmtId="0" fontId="20" fillId="26" borderId="56" xfId="0" applyFont="1" applyFill="1" applyBorder="1" applyAlignment="1">
      <alignment horizontal="center" vertical="center"/>
    </xf>
    <xf numFmtId="0" fontId="8" fillId="4" borderId="24" xfId="0" applyFont="1" applyFill="1" applyBorder="1" applyAlignment="1">
      <alignment horizontal="center" vertical="center"/>
    </xf>
    <xf numFmtId="0" fontId="8" fillId="4" borderId="25" xfId="0" applyFont="1" applyFill="1" applyBorder="1" applyAlignment="1">
      <alignment horizontal="center" vertical="center"/>
    </xf>
    <xf numFmtId="0" fontId="8" fillId="4" borderId="26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8" fillId="4" borderId="23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2" fillId="4" borderId="67" xfId="0" applyFont="1" applyFill="1" applyBorder="1" applyAlignment="1">
      <alignment horizontal="center" vertical="center"/>
    </xf>
    <xf numFmtId="0" fontId="2" fillId="4" borderId="68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9" fillId="15" borderId="3" xfId="0" applyFont="1" applyFill="1" applyBorder="1" applyAlignment="1">
      <alignment horizontal="center" vertical="center"/>
    </xf>
    <xf numFmtId="0" fontId="9" fillId="15" borderId="9" xfId="0" applyFont="1" applyFill="1" applyBorder="1" applyAlignment="1">
      <alignment horizontal="center" vertical="center"/>
    </xf>
    <xf numFmtId="2" fontId="23" fillId="2" borderId="3" xfId="0" applyNumberFormat="1" applyFont="1" applyFill="1" applyBorder="1" applyAlignment="1">
      <alignment horizontal="center" vertical="center"/>
    </xf>
    <xf numFmtId="2" fontId="23" fillId="2" borderId="9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1" fillId="2" borderId="64" xfId="0" applyFont="1" applyFill="1" applyBorder="1" applyAlignment="1">
      <alignment horizontal="center" vertical="center"/>
    </xf>
    <xf numFmtId="0" fontId="1" fillId="2" borderId="65" xfId="0" applyFont="1" applyFill="1" applyBorder="1" applyAlignment="1">
      <alignment horizontal="center" vertical="center"/>
    </xf>
    <xf numFmtId="0" fontId="1" fillId="27" borderId="29" xfId="0" applyFont="1" applyFill="1" applyBorder="1" applyAlignment="1">
      <alignment horizontal="center" vertical="center"/>
    </xf>
    <xf numFmtId="0" fontId="1" fillId="27" borderId="51" xfId="0" applyFont="1" applyFill="1" applyBorder="1" applyAlignment="1">
      <alignment horizontal="center" vertical="center"/>
    </xf>
    <xf numFmtId="0" fontId="22" fillId="27" borderId="29" xfId="0" applyFont="1" applyFill="1" applyBorder="1" applyAlignment="1">
      <alignment horizontal="center" vertical="center"/>
    </xf>
    <xf numFmtId="0" fontId="22" fillId="27" borderId="52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 wrapText="1"/>
    </xf>
    <xf numFmtId="0" fontId="4" fillId="2" borderId="48" xfId="0" applyFont="1" applyFill="1" applyBorder="1" applyAlignment="1">
      <alignment horizontal="center" vertical="center"/>
    </xf>
    <xf numFmtId="0" fontId="4" fillId="2" borderId="49" xfId="0" applyFont="1" applyFill="1" applyBorder="1" applyAlignment="1">
      <alignment horizontal="center" vertical="center"/>
    </xf>
    <xf numFmtId="0" fontId="4" fillId="2" borderId="50" xfId="0" applyFont="1" applyFill="1" applyBorder="1" applyAlignment="1">
      <alignment horizontal="center" vertical="center"/>
    </xf>
    <xf numFmtId="0" fontId="4" fillId="10" borderId="48" xfId="0" applyFont="1" applyFill="1" applyBorder="1" applyAlignment="1">
      <alignment horizontal="center" vertical="center"/>
    </xf>
    <xf numFmtId="0" fontId="4" fillId="10" borderId="49" xfId="0" applyFont="1" applyFill="1" applyBorder="1" applyAlignment="1">
      <alignment horizontal="center" vertical="center"/>
    </xf>
    <xf numFmtId="0" fontId="4" fillId="5" borderId="49" xfId="0" applyFont="1" applyFill="1" applyBorder="1" applyAlignment="1">
      <alignment horizontal="center" vertical="center"/>
    </xf>
    <xf numFmtId="0" fontId="4" fillId="10" borderId="50" xfId="0" applyFont="1" applyFill="1" applyBorder="1" applyAlignment="1">
      <alignment horizontal="center" vertical="center"/>
    </xf>
    <xf numFmtId="0" fontId="6" fillId="27" borderId="29" xfId="0" applyFont="1" applyFill="1" applyBorder="1" applyAlignment="1">
      <alignment horizontal="center" vertical="center"/>
    </xf>
    <xf numFmtId="0" fontId="6" fillId="27" borderId="52" xfId="0" applyFont="1" applyFill="1" applyBorder="1" applyAlignment="1">
      <alignment horizontal="center" vertical="center"/>
    </xf>
    <xf numFmtId="165" fontId="1" fillId="9" borderId="0" xfId="0" applyNumberFormat="1" applyFont="1" applyFill="1" applyAlignment="1">
      <alignment horizontal="center" vertical="center" wrapText="1"/>
    </xf>
    <xf numFmtId="0" fontId="4" fillId="5" borderId="48" xfId="0" applyFont="1" applyFill="1" applyBorder="1" applyAlignment="1">
      <alignment horizontal="center" vertical="center"/>
    </xf>
    <xf numFmtId="0" fontId="4" fillId="15" borderId="49" xfId="0" applyFont="1" applyFill="1" applyBorder="1" applyAlignment="1">
      <alignment horizontal="center" vertical="center"/>
    </xf>
    <xf numFmtId="0" fontId="4" fillId="15" borderId="50" xfId="0" applyFont="1" applyFill="1" applyBorder="1" applyAlignment="1">
      <alignment horizontal="center" vertical="center"/>
    </xf>
    <xf numFmtId="0" fontId="1" fillId="27" borderId="75" xfId="0" applyFont="1" applyFill="1" applyBorder="1" applyAlignment="1">
      <alignment horizontal="center" vertical="center"/>
    </xf>
    <xf numFmtId="0" fontId="1" fillId="27" borderId="76" xfId="0" applyFont="1" applyFill="1" applyBorder="1" applyAlignment="1">
      <alignment horizontal="center" vertical="center"/>
    </xf>
    <xf numFmtId="165" fontId="1" fillId="9" borderId="27" xfId="0" applyNumberFormat="1" applyFont="1" applyFill="1" applyBorder="1" applyAlignment="1">
      <alignment horizontal="center" vertical="center"/>
    </xf>
    <xf numFmtId="165" fontId="1" fillId="9" borderId="42" xfId="0" applyNumberFormat="1" applyFont="1" applyFill="1" applyBorder="1" applyAlignment="1">
      <alignment horizontal="center" vertical="center"/>
    </xf>
    <xf numFmtId="0" fontId="1" fillId="28" borderId="30" xfId="1" applyNumberFormat="1" applyFont="1" applyFill="1" applyBorder="1" applyAlignment="1">
      <alignment horizontal="center" vertical="center"/>
    </xf>
    <xf numFmtId="0" fontId="1" fillId="28" borderId="37" xfId="1" applyNumberFormat="1" applyFont="1" applyFill="1" applyBorder="1" applyAlignment="1">
      <alignment horizontal="center" vertical="center"/>
    </xf>
    <xf numFmtId="0" fontId="1" fillId="28" borderId="32" xfId="1" applyNumberFormat="1" applyFont="1" applyFill="1" applyBorder="1" applyAlignment="1">
      <alignment horizontal="center" vertical="center"/>
    </xf>
    <xf numFmtId="0" fontId="1" fillId="28" borderId="34" xfId="1" applyNumberFormat="1" applyFont="1" applyFill="1" applyBorder="1" applyAlignment="1">
      <alignment horizontal="center" vertical="center"/>
    </xf>
    <xf numFmtId="0" fontId="1" fillId="28" borderId="35" xfId="1" applyNumberFormat="1" applyFont="1" applyFill="1" applyBorder="1" applyAlignment="1">
      <alignment horizontal="center" vertical="center"/>
    </xf>
    <xf numFmtId="0" fontId="1" fillId="28" borderId="36" xfId="1" applyNumberFormat="1" applyFont="1" applyFill="1" applyBorder="1" applyAlignment="1">
      <alignment horizontal="center" vertical="center"/>
    </xf>
    <xf numFmtId="0" fontId="1" fillId="28" borderId="29" xfId="0" applyFont="1" applyFill="1" applyBorder="1" applyAlignment="1">
      <alignment horizontal="center" vertical="center"/>
    </xf>
    <xf numFmtId="0" fontId="1" fillId="28" borderId="42" xfId="0" applyFont="1" applyFill="1" applyBorder="1" applyAlignment="1">
      <alignment horizontal="center" vertical="center"/>
    </xf>
    <xf numFmtId="165" fontId="1" fillId="28" borderId="29" xfId="0" applyNumberFormat="1" applyFont="1" applyFill="1" applyBorder="1" applyAlignment="1">
      <alignment horizontal="center" vertical="center"/>
    </xf>
    <xf numFmtId="165" fontId="1" fillId="28" borderId="42" xfId="0" applyNumberFormat="1" applyFont="1" applyFill="1" applyBorder="1" applyAlignment="1">
      <alignment horizontal="center" vertical="center"/>
    </xf>
    <xf numFmtId="0" fontId="1" fillId="13" borderId="34" xfId="0" applyFont="1" applyFill="1" applyBorder="1" applyAlignment="1">
      <alignment horizontal="center" vertical="center"/>
    </xf>
    <xf numFmtId="0" fontId="1" fillId="13" borderId="35" xfId="0" applyFont="1" applyFill="1" applyBorder="1" applyAlignment="1">
      <alignment horizontal="center" vertical="center"/>
    </xf>
    <xf numFmtId="0" fontId="1" fillId="13" borderId="36" xfId="0" applyFont="1" applyFill="1" applyBorder="1" applyAlignment="1">
      <alignment horizontal="center" vertical="center"/>
    </xf>
    <xf numFmtId="0" fontId="1" fillId="13" borderId="63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13" borderId="13" xfId="0" applyFont="1" applyFill="1" applyBorder="1" applyAlignment="1">
      <alignment horizontal="center" vertical="center"/>
    </xf>
    <xf numFmtId="0" fontId="1" fillId="9" borderId="27" xfId="0" applyFont="1" applyFill="1" applyBorder="1" applyAlignment="1">
      <alignment horizontal="center" vertical="center"/>
    </xf>
    <xf numFmtId="0" fontId="1" fillId="9" borderId="42" xfId="0" applyFont="1" applyFill="1" applyBorder="1" applyAlignment="1">
      <alignment horizontal="center" vertical="center"/>
    </xf>
    <xf numFmtId="0" fontId="1" fillId="28" borderId="28" xfId="1" applyNumberFormat="1" applyFont="1" applyFill="1" applyBorder="1" applyAlignment="1">
      <alignment horizontal="center" vertical="center"/>
    </xf>
    <xf numFmtId="0" fontId="1" fillId="28" borderId="33" xfId="1" applyNumberFormat="1" applyFont="1" applyFill="1" applyBorder="1" applyAlignment="1">
      <alignment horizontal="center" vertical="center"/>
    </xf>
    <xf numFmtId="0" fontId="1" fillId="28" borderId="31" xfId="1" applyNumberFormat="1" applyFont="1" applyFill="1" applyBorder="1" applyAlignment="1">
      <alignment horizontal="center" vertical="center"/>
    </xf>
    <xf numFmtId="0" fontId="1" fillId="13" borderId="27" xfId="0" applyFont="1" applyFill="1" applyBorder="1" applyAlignment="1">
      <alignment horizontal="center" vertical="center"/>
    </xf>
    <xf numFmtId="0" fontId="1" fillId="15" borderId="28" xfId="1" applyNumberFormat="1" applyFont="1" applyFill="1" applyBorder="1" applyAlignment="1">
      <alignment horizontal="center" vertical="center"/>
    </xf>
    <xf numFmtId="0" fontId="1" fillId="15" borderId="33" xfId="1" applyNumberFormat="1" applyFont="1" applyFill="1" applyBorder="1" applyAlignment="1">
      <alignment horizontal="center" vertical="center"/>
    </xf>
    <xf numFmtId="0" fontId="1" fillId="15" borderId="31" xfId="1" applyNumberFormat="1" applyFont="1" applyFill="1" applyBorder="1" applyAlignment="1">
      <alignment horizontal="center" vertical="center"/>
    </xf>
    <xf numFmtId="0" fontId="1" fillId="28" borderId="27" xfId="0" applyFont="1" applyFill="1" applyBorder="1" applyAlignment="1">
      <alignment horizontal="center" vertical="center"/>
    </xf>
    <xf numFmtId="0" fontId="1" fillId="15" borderId="27" xfId="0" applyFont="1" applyFill="1" applyBorder="1" applyAlignment="1">
      <alignment horizontal="center" vertical="center"/>
    </xf>
    <xf numFmtId="165" fontId="1" fillId="28" borderId="27" xfId="0" applyNumberFormat="1" applyFont="1" applyFill="1" applyBorder="1" applyAlignment="1">
      <alignment horizontal="center" vertical="center"/>
    </xf>
    <xf numFmtId="165" fontId="1" fillId="15" borderId="27" xfId="0" applyNumberFormat="1" applyFont="1" applyFill="1" applyBorder="1" applyAlignment="1">
      <alignment horizontal="center" vertical="center"/>
    </xf>
    <xf numFmtId="165" fontId="1" fillId="26" borderId="0" xfId="0" applyNumberFormat="1" applyFont="1" applyFill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0" fillId="17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9" borderId="15" xfId="0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8" borderId="2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10" fillId="0" borderId="0" xfId="0" applyFont="1" applyAlignment="1">
      <alignment horizontal="center"/>
    </xf>
    <xf numFmtId="0" fontId="11" fillId="9" borderId="0" xfId="0" applyFont="1" applyFill="1" applyAlignment="1">
      <alignment horizontal="center"/>
    </xf>
    <xf numFmtId="0" fontId="0" fillId="0" borderId="39" xfId="0" applyBorder="1" applyAlignment="1">
      <alignment horizontal="center"/>
    </xf>
    <xf numFmtId="165" fontId="22" fillId="8" borderId="0" xfId="0" applyNumberFormat="1" applyFont="1" applyFill="1" applyAlignment="1">
      <alignment horizontal="center" vertical="center"/>
    </xf>
  </cellXfs>
  <cellStyles count="4">
    <cellStyle name="Comma" xfId="1" builtinId="3"/>
    <cellStyle name="Currency" xfId="3" builtinId="4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colors>
    <mruColors>
      <color rgb="FFBC37F1"/>
      <color rgb="FF041D2A"/>
      <color rgb="FF74020A"/>
      <color rgb="FFCE91E7"/>
      <color rgb="FFDE9EF8"/>
      <color rgb="FFA005FF"/>
      <color rgb="FFDA37FB"/>
      <color rgb="FFEB07FD"/>
      <color rgb="FF66CCFF"/>
      <color rgb="FFA0EE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jawal" panose="00000500000000000000" pitchFamily="2" charset="-78"/>
                <a:ea typeface="+mn-ea"/>
                <a:cs typeface="Tajawal" panose="00000500000000000000" pitchFamily="2" charset="-78"/>
              </a:defRPr>
            </a:pPr>
            <a:r>
              <a:rPr lang="ar-EG" sz="2400" b="1">
                <a:solidFill>
                  <a:schemeClr val="accent1">
                    <a:lumMod val="50000"/>
                  </a:schemeClr>
                </a:solidFill>
                <a:latin typeface="Tajawal" panose="00000500000000000000" pitchFamily="2" charset="-78"/>
                <a:cs typeface="Tajawal" panose="00000500000000000000" pitchFamily="2" charset="-78"/>
              </a:rPr>
              <a:t>المصنعيات</a:t>
            </a:r>
            <a:endParaRPr lang="en-US" sz="1600" b="1">
              <a:solidFill>
                <a:schemeClr val="accent1">
                  <a:lumMod val="50000"/>
                </a:schemeClr>
              </a:solidFill>
              <a:latin typeface="Tajawal" panose="00000500000000000000" pitchFamily="2" charset="-78"/>
              <a:cs typeface="Tajawal" panose="00000500000000000000" pitchFamily="2" charset="-78"/>
            </a:endParaRPr>
          </a:p>
        </c:rich>
      </c:tx>
      <c:layout>
        <c:manualLayout>
          <c:xMode val="edge"/>
          <c:yMode val="edge"/>
          <c:x val="0.44414703492316598"/>
          <c:y val="4.92948055201713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ajawal" panose="00000500000000000000" pitchFamily="2" charset="-78"/>
              <a:ea typeface="+mn-ea"/>
              <a:cs typeface="Tajawal" panose="00000500000000000000" pitchFamily="2" charset="-78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Sheet5!$B$1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shade val="4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A0A-441F-AADF-23F87793A67E}"/>
              </c:ext>
            </c:extLst>
          </c:dPt>
          <c:dPt>
            <c:idx val="1"/>
            <c:bubble3D val="0"/>
            <c:spPr>
              <a:solidFill>
                <a:schemeClr val="accent2">
                  <a:shade val="6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370-4985-A0F9-94D840197327}"/>
              </c:ext>
            </c:extLst>
          </c:dPt>
          <c:dPt>
            <c:idx val="2"/>
            <c:bubble3D val="0"/>
            <c:spPr>
              <a:solidFill>
                <a:schemeClr val="accent2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0A-441F-AADF-23F87793A67E}"/>
              </c:ext>
            </c:extLst>
          </c:dPt>
          <c:dPt>
            <c:idx val="3"/>
            <c:bubble3D val="0"/>
            <c:spPr>
              <a:solidFill>
                <a:schemeClr val="accent2">
                  <a:shade val="9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370-4985-A0F9-94D840197327}"/>
              </c:ext>
            </c:extLst>
          </c:dPt>
          <c:dPt>
            <c:idx val="4"/>
            <c:bubble3D val="0"/>
            <c:explosion val="45"/>
            <c:spPr>
              <a:solidFill>
                <a:schemeClr val="accent2">
                  <a:tint val="9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0A-441F-AADF-23F87793A67E}"/>
              </c:ext>
            </c:extLst>
          </c:dPt>
          <c:dPt>
            <c:idx val="5"/>
            <c:bubble3D val="0"/>
            <c:spPr>
              <a:solidFill>
                <a:schemeClr val="accent2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370-4985-A0F9-94D840197327}"/>
              </c:ext>
            </c:extLst>
          </c:dPt>
          <c:dPt>
            <c:idx val="6"/>
            <c:bubble3D val="0"/>
            <c:spPr>
              <a:solidFill>
                <a:schemeClr val="accent2">
                  <a:tint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370-4985-A0F9-94D840197327}"/>
              </c:ext>
            </c:extLst>
          </c:dPt>
          <c:dPt>
            <c:idx val="7"/>
            <c:bubble3D val="0"/>
            <c:spPr>
              <a:solidFill>
                <a:schemeClr val="accent2">
                  <a:tint val="4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370-4985-A0F9-94D840197327}"/>
              </c:ext>
            </c:extLst>
          </c:dPt>
          <c:dLbls>
            <c:dLbl>
              <c:idx val="0"/>
              <c:layout>
                <c:manualLayout>
                  <c:x val="0.16764513946651233"/>
                  <c:y val="-5.091303013087647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A0A-441F-AADF-23F87793A67E}"/>
                </c:ext>
              </c:extLst>
            </c:dLbl>
            <c:dLbl>
              <c:idx val="2"/>
              <c:layout>
                <c:manualLayout>
                  <c:x val="9.73910639472262E-2"/>
                  <c:y val="-1.037907952448332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A0A-441F-AADF-23F87793A67E}"/>
                </c:ext>
              </c:extLst>
            </c:dLbl>
            <c:dLbl>
              <c:idx val="4"/>
              <c:layout>
                <c:manualLayout>
                  <c:x val="7.3208659304603144E-2"/>
                  <c:y val="0.1642939057223612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A0A-441F-AADF-23F87793A6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jawal" panose="00000500000000000000" pitchFamily="2" charset="-78"/>
                    <a:ea typeface="+mn-ea"/>
                    <a:cs typeface="Tajawal" panose="00000500000000000000" pitchFamily="2" charset="-78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Sheet5!$A$2:$A$9</c:f>
              <c:strCache>
                <c:ptCount val="8"/>
                <c:pt idx="0">
                  <c:v>نجار</c:v>
                </c:pt>
                <c:pt idx="1">
                  <c:v>حداد</c:v>
                </c:pt>
                <c:pt idx="2">
                  <c:v>فرمجي</c:v>
                </c:pt>
                <c:pt idx="3">
                  <c:v>مباني</c:v>
                </c:pt>
                <c:pt idx="4">
                  <c:v>عزل</c:v>
                </c:pt>
                <c:pt idx="5">
                  <c:v>مصنعية</c:v>
                </c:pt>
                <c:pt idx="6">
                  <c:v>تشوين</c:v>
                </c:pt>
                <c:pt idx="7">
                  <c:v>اخري</c:v>
                </c:pt>
              </c:strCache>
            </c:strRef>
          </c:cat>
          <c:val>
            <c:numRef>
              <c:f>Sheet5!$B$2:$B$9</c:f>
              <c:numCache>
                <c:formatCode>_(* #,##0.00_);_(* \(#,##0.00\);_(* "-"??_);_(@_)</c:formatCode>
                <c:ptCount val="8"/>
                <c:pt idx="0">
                  <c:v>2805015</c:v>
                </c:pt>
                <c:pt idx="1">
                  <c:v>3691706</c:v>
                </c:pt>
                <c:pt idx="2">
                  <c:v>1986546</c:v>
                </c:pt>
                <c:pt idx="3">
                  <c:v>2166940</c:v>
                </c:pt>
                <c:pt idx="4">
                  <c:v>435000</c:v>
                </c:pt>
                <c:pt idx="5">
                  <c:v>21550461.25</c:v>
                </c:pt>
                <c:pt idx="6">
                  <c:v>53422.545454545456</c:v>
                </c:pt>
                <c:pt idx="7">
                  <c:v>6665992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A-441F-AADF-23F87793A67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 sz="3200">
                <a:solidFill>
                  <a:schemeClr val="accent1">
                    <a:lumMod val="50000"/>
                  </a:schemeClr>
                </a:solidFill>
                <a:latin typeface="Tajawal" panose="00000500000000000000" pitchFamily="2" charset="-78"/>
                <a:cs typeface="Tajawal" panose="00000500000000000000" pitchFamily="2" charset="-78"/>
              </a:rPr>
              <a:t>معدات</a:t>
            </a:r>
            <a:endParaRPr lang="en-US" sz="3200">
              <a:solidFill>
                <a:schemeClr val="accent1">
                  <a:lumMod val="50000"/>
                </a:schemeClr>
              </a:solidFill>
              <a:latin typeface="Tajawal" panose="00000500000000000000" pitchFamily="2" charset="-78"/>
              <a:cs typeface="Tajawal" panose="00000500000000000000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Sheet5!$B$22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shade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BA6-447E-B64C-9EFF97B6048B}"/>
              </c:ext>
            </c:extLst>
          </c:dPt>
          <c:dPt>
            <c:idx val="1"/>
            <c:bubble3D val="0"/>
            <c:spPr>
              <a:solidFill>
                <a:schemeClr val="accent3">
                  <a:shade val="7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0BA6-447E-B64C-9EFF97B6048B}"/>
              </c:ext>
            </c:extLst>
          </c:dPt>
          <c:dPt>
            <c:idx val="2"/>
            <c:bubble3D val="0"/>
            <c:spPr>
              <a:solidFill>
                <a:schemeClr val="accent3">
                  <a:shade val="9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5E7-44EC-A03D-CDA5B2A03287}"/>
              </c:ext>
            </c:extLst>
          </c:dPt>
          <c:dPt>
            <c:idx val="3"/>
            <c:bubble3D val="0"/>
            <c:spPr>
              <a:solidFill>
                <a:schemeClr val="accent3">
                  <a:tint val="9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BA6-447E-B64C-9EFF97B6048B}"/>
              </c:ext>
            </c:extLst>
          </c:dPt>
          <c:dPt>
            <c:idx val="4"/>
            <c:bubble3D val="0"/>
            <c:spPr>
              <a:solidFill>
                <a:schemeClr val="accent3">
                  <a:tint val="7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BA6-447E-B64C-9EFF97B6048B}"/>
              </c:ext>
            </c:extLst>
          </c:dPt>
          <c:dPt>
            <c:idx val="5"/>
            <c:bubble3D val="0"/>
            <c:spPr>
              <a:solidFill>
                <a:schemeClr val="accent3">
                  <a:tint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0BA6-447E-B64C-9EFF97B6048B}"/>
              </c:ext>
            </c:extLst>
          </c:dPt>
          <c:dLbls>
            <c:dLbl>
              <c:idx val="0"/>
              <c:layout>
                <c:manualLayout>
                  <c:x val="-1.6900566005800626E-2"/>
                  <c:y val="-7.8190051962200961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BA6-447E-B64C-9EFF97B6048B}"/>
                </c:ext>
              </c:extLst>
            </c:dLbl>
            <c:dLbl>
              <c:idx val="1"/>
              <c:layout>
                <c:manualLayout>
                  <c:x val="3.682828561838726E-2"/>
                  <c:y val="1.240416414284371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BA6-447E-B64C-9EFF97B6048B}"/>
                </c:ext>
              </c:extLst>
            </c:dLbl>
            <c:dLbl>
              <c:idx val="3"/>
              <c:layout>
                <c:manualLayout>
                  <c:x val="-4.114392104196541E-2"/>
                  <c:y val="-1.153574226335850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BA6-447E-B64C-9EFF97B6048B}"/>
                </c:ext>
              </c:extLst>
            </c:dLbl>
            <c:dLbl>
              <c:idx val="4"/>
              <c:layout>
                <c:manualLayout>
                  <c:x val="-5.7798593571278985E-2"/>
                  <c:y val="-1.4672068564581526E-2"/>
                </c:manualLayout>
              </c:layout>
              <c:tx>
                <c:rich>
                  <a:bodyPr/>
                  <a:lstStyle/>
                  <a:p>
                    <a:fld id="{771CD07D-BE3D-4291-B117-F7528C74456D}" type="CATEGORYNAME">
                      <a:rPr lang="ar-EG">
                        <a:solidFill>
                          <a:schemeClr val="tx1"/>
                        </a:solidFill>
                      </a:rPr>
                      <a:pPr/>
                      <a:t>[CATEGORY NAME]</a:t>
                    </a:fld>
                    <a:r>
                      <a:rPr lang="ar-EG" baseline="0"/>
                      <a:t>
</a:t>
                    </a:r>
                    <a:fld id="{8A3FF7F2-A9BE-45BF-89D7-C288A56CBA9C}" type="PERCENTAGE">
                      <a:rPr lang="ar-EG" baseline="0">
                        <a:solidFill>
                          <a:schemeClr val="tx1"/>
                        </a:solidFill>
                      </a:rPr>
                      <a:pPr/>
                      <a:t>[PERCENTAGE]</a:t>
                    </a:fld>
                    <a:endParaRPr lang="ar-EG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BA6-447E-B64C-9EFF97B6048B}"/>
                </c:ext>
              </c:extLst>
            </c:dLbl>
            <c:dLbl>
              <c:idx val="5"/>
              <c:layout>
                <c:manualLayout>
                  <c:x val="2.0868774438225615E-2"/>
                  <c:y val="-8.112402561050320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BA6-447E-B64C-9EFF97B604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Tajawal" panose="00000500000000000000" pitchFamily="2" charset="-78"/>
                    <a:ea typeface="+mn-ea"/>
                    <a:cs typeface="Tajawal" panose="00000500000000000000" pitchFamily="2" charset="-78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Sheet5!$A$23:$A$28</c:f>
              <c:strCache>
                <c:ptCount val="6"/>
                <c:pt idx="0">
                  <c:v>مضخات</c:v>
                </c:pt>
                <c:pt idx="1">
                  <c:v>قلابات</c:v>
                </c:pt>
                <c:pt idx="2">
                  <c:v>لوادر</c:v>
                </c:pt>
                <c:pt idx="3">
                  <c:v>حفارات</c:v>
                </c:pt>
                <c:pt idx="4">
                  <c:v>دكاك</c:v>
                </c:pt>
                <c:pt idx="5">
                  <c:v>عربات مياة</c:v>
                </c:pt>
              </c:strCache>
            </c:strRef>
          </c:cat>
          <c:val>
            <c:numRef>
              <c:f>Sheet5!$B$23:$B$28</c:f>
              <c:numCache>
                <c:formatCode>_(* #,##0.00_);_(* \(#,##0.00\);_(* "-"??_);_(@_)</c:formatCode>
                <c:ptCount val="6"/>
                <c:pt idx="0">
                  <c:v>2077500</c:v>
                </c:pt>
                <c:pt idx="1">
                  <c:v>2708200</c:v>
                </c:pt>
                <c:pt idx="2">
                  <c:v>684509.1</c:v>
                </c:pt>
                <c:pt idx="3">
                  <c:v>2277350</c:v>
                </c:pt>
                <c:pt idx="4">
                  <c:v>463570.79999999993</c:v>
                </c:pt>
                <c:pt idx="5">
                  <c:v>4246937.165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A6-447E-B64C-9EFF97B6048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 sz="2800" b="1">
                <a:solidFill>
                  <a:schemeClr val="accent1">
                    <a:lumMod val="50000"/>
                  </a:schemeClr>
                </a:solidFill>
                <a:latin typeface="Tajawal" panose="00000500000000000000" pitchFamily="2" charset="-78"/>
                <a:cs typeface="Tajawal" panose="00000500000000000000" pitchFamily="2" charset="-78"/>
              </a:rPr>
              <a:t>خامات</a:t>
            </a:r>
            <a:endParaRPr lang="en-US" sz="2400" b="1">
              <a:solidFill>
                <a:schemeClr val="accent1">
                  <a:lumMod val="50000"/>
                </a:schemeClr>
              </a:solidFill>
              <a:latin typeface="Tajawal" panose="00000500000000000000" pitchFamily="2" charset="-78"/>
              <a:cs typeface="Tajawal" panose="00000500000000000000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Sheet5!$B$39</c:f>
              <c:strCache>
                <c:ptCount val="1"/>
                <c:pt idx="0">
                  <c:v>Amount</c:v>
                </c:pt>
              </c:strCache>
            </c:strRef>
          </c:tx>
          <c:explosion val="48"/>
          <c:dPt>
            <c:idx val="0"/>
            <c:bubble3D val="0"/>
            <c:explosion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8FE-4F8A-85D1-0DD4567F5AAA}"/>
              </c:ext>
            </c:extLst>
          </c:dPt>
          <c:dPt>
            <c:idx val="1"/>
            <c:bubble3D val="0"/>
            <c:explosion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98FE-4F8A-85D1-0DD4567F5AAA}"/>
              </c:ext>
            </c:extLst>
          </c:dPt>
          <c:dPt>
            <c:idx val="2"/>
            <c:bubble3D val="0"/>
            <c:explosion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8FE-4F8A-85D1-0DD4567F5AAA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FE-4F8A-85D1-0DD4567F5AAA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8FE-4F8A-85D1-0DD4567F5AAA}"/>
              </c:ext>
            </c:extLst>
          </c:dPt>
          <c:dPt>
            <c:idx val="5"/>
            <c:bubble3D val="0"/>
            <c:explosion val="86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8FE-4F8A-85D1-0DD4567F5AAA}"/>
              </c:ext>
            </c:extLst>
          </c:dPt>
          <c:dPt>
            <c:idx val="6"/>
            <c:bubble3D val="0"/>
            <c:explosion val="141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98FE-4F8A-85D1-0DD4567F5AAA}"/>
              </c:ext>
            </c:extLst>
          </c:dPt>
          <c:dPt>
            <c:idx val="7"/>
            <c:bubble3D val="0"/>
            <c:explosion val="167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8FE-4F8A-85D1-0DD4567F5AAA}"/>
              </c:ext>
            </c:extLst>
          </c:dPt>
          <c:dPt>
            <c:idx val="8"/>
            <c:bubble3D val="0"/>
            <c:explosion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FE-4F8A-85D1-0DD4567F5AAA}"/>
              </c:ext>
            </c:extLst>
          </c:dPt>
          <c:dLbls>
            <c:dLbl>
              <c:idx val="0"/>
              <c:layout>
                <c:manualLayout>
                  <c:x val="0.16273131411309558"/>
                  <c:y val="9.372018405475214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8FE-4F8A-85D1-0DD4567F5AAA}"/>
                </c:ext>
              </c:extLst>
            </c:dLbl>
            <c:dLbl>
              <c:idx val="3"/>
              <c:layout>
                <c:manualLayout>
                  <c:x val="-3.7469152919138722E-2"/>
                  <c:y val="0.38385059863795185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8FE-4F8A-85D1-0DD4567F5AAA}"/>
                </c:ext>
              </c:extLst>
            </c:dLbl>
            <c:dLbl>
              <c:idx val="4"/>
              <c:layout>
                <c:manualLayout>
                  <c:x val="-0.12589690684876234"/>
                  <c:y val="0.21610646296576816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8FE-4F8A-85D1-0DD4567F5AAA}"/>
                </c:ext>
              </c:extLst>
            </c:dLbl>
            <c:dLbl>
              <c:idx val="5"/>
              <c:layout>
                <c:manualLayout>
                  <c:x val="-0.19498590475426117"/>
                  <c:y val="4.922729365152746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8FE-4F8A-85D1-0DD4567F5AAA}"/>
                </c:ext>
              </c:extLst>
            </c:dLbl>
            <c:dLbl>
              <c:idx val="6"/>
              <c:layout>
                <c:manualLayout>
                  <c:x val="-0.1999294959040743"/>
                  <c:y val="-6.546770090906051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8FE-4F8A-85D1-0DD4567F5AAA}"/>
                </c:ext>
              </c:extLst>
            </c:dLbl>
            <c:dLbl>
              <c:idx val="7"/>
              <c:layout>
                <c:manualLayout>
                  <c:x val="-0.11961674753737274"/>
                  <c:y val="-0.1503633487892636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8FE-4F8A-85D1-0DD4567F5AAA}"/>
                </c:ext>
              </c:extLst>
            </c:dLbl>
            <c:dLbl>
              <c:idx val="8"/>
              <c:layout>
                <c:manualLayout>
                  <c:x val="-6.7199822541469278E-2"/>
                  <c:y val="-2.892085212864947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8FE-4F8A-85D1-0DD4567F5A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jawal" panose="00000500000000000000" pitchFamily="2" charset="-78"/>
                    <a:ea typeface="+mn-ea"/>
                    <a:cs typeface="Tajawal" panose="00000500000000000000" pitchFamily="2" charset="-78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Sheet5!$A$40:$A$48</c:f>
              <c:strCache>
                <c:ptCount val="9"/>
                <c:pt idx="0">
                  <c:v>اخشاب</c:v>
                </c:pt>
                <c:pt idx="1">
                  <c:v>خرسانة </c:v>
                </c:pt>
                <c:pt idx="2">
                  <c:v>حديد</c:v>
                </c:pt>
                <c:pt idx="3">
                  <c:v>طوب</c:v>
                </c:pt>
                <c:pt idx="4">
                  <c:v>رمل</c:v>
                </c:pt>
                <c:pt idx="5">
                  <c:v>اسمنت</c:v>
                </c:pt>
                <c:pt idx="6">
                  <c:v>عزل</c:v>
                </c:pt>
                <c:pt idx="7">
                  <c:v>زجاج</c:v>
                </c:pt>
                <c:pt idx="8">
                  <c:v>اخري</c:v>
                </c:pt>
              </c:strCache>
            </c:strRef>
          </c:cat>
          <c:val>
            <c:numRef>
              <c:f>Sheet5!$B$40:$B$48</c:f>
              <c:numCache>
                <c:formatCode>_(* #,##0.00_);_(* \(#,##0.00\);_(* "-"??_);_(@_)</c:formatCode>
                <c:ptCount val="9"/>
                <c:pt idx="0">
                  <c:v>18241478.550000001</c:v>
                </c:pt>
                <c:pt idx="1">
                  <c:v>67767000</c:v>
                </c:pt>
                <c:pt idx="2">
                  <c:v>217970234</c:v>
                </c:pt>
                <c:pt idx="3">
                  <c:v>453517.903930131</c:v>
                </c:pt>
                <c:pt idx="4">
                  <c:v>742145.15</c:v>
                </c:pt>
                <c:pt idx="5">
                  <c:v>2772213</c:v>
                </c:pt>
                <c:pt idx="6">
                  <c:v>5830150</c:v>
                </c:pt>
                <c:pt idx="7">
                  <c:v>6429230</c:v>
                </c:pt>
                <c:pt idx="8">
                  <c:v>57381606.391999997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FE-4F8A-85D1-0DD4567F5AA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 sz="3200" b="1">
                <a:latin typeface="Tajawal" panose="00000500000000000000" pitchFamily="2" charset="-78"/>
                <a:cs typeface="Tajawal" panose="00000500000000000000" pitchFamily="2" charset="-78"/>
              </a:rPr>
              <a:t>التكلفة المباشرة</a:t>
            </a:r>
            <a:endParaRPr lang="en-US" b="1">
              <a:latin typeface="Tajawal" panose="00000500000000000000" pitchFamily="2" charset="-78"/>
              <a:cs typeface="Tajawal" panose="00000500000000000000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2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71B-48C8-91A8-204808C07E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71B-48C8-91A8-204808C07E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71B-48C8-91A8-204808C07E80}"/>
              </c:ext>
            </c:extLst>
          </c:dPt>
          <c:dLbls>
            <c:dLbl>
              <c:idx val="0"/>
              <c:layout>
                <c:manualLayout>
                  <c:x val="-0.76752614364875027"/>
                  <c:y val="0.1502510097155610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none" lIns="38100" tIns="19050" rIns="38100" bIns="19050" anchor="ctr" anchorCtr="1">
                  <a:no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Tajawal" panose="00000500000000000000" pitchFamily="2" charset="-78"/>
                      <a:ea typeface="+mn-ea"/>
                      <a:cs typeface="Tajawal" panose="00000500000000000000" pitchFamily="2" charset="-78"/>
                    </a:defRPr>
                  </a:pPr>
                  <a:endParaRPr lang="en-US"/>
                </a:p>
              </c:txPr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30306628290613513"/>
                      <c:h val="0.28297287223145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771B-48C8-91A8-204808C07E80}"/>
                </c:ext>
              </c:extLst>
            </c:dLbl>
            <c:dLbl>
              <c:idx val="1"/>
              <c:layout>
                <c:manualLayout>
                  <c:x val="2.1176967961404024E-2"/>
                  <c:y val="0.37694535902369913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498750021003881"/>
                      <c:h val="0.2829728983931386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771B-48C8-91A8-204808C07E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none" lIns="38100" tIns="19050" rIns="38100" bIns="19050" anchor="ctr" anchorCtr="1">
                <a:no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jawal" panose="00000500000000000000" pitchFamily="2" charset="-78"/>
                    <a:ea typeface="+mn-ea"/>
                    <a:cs typeface="Tajawal" panose="00000500000000000000" pitchFamily="2" charset="-78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Sheet5!$A$52:$A$54</c:f>
              <c:strCache>
                <c:ptCount val="3"/>
                <c:pt idx="0">
                  <c:v>المصنعيات</c:v>
                </c:pt>
                <c:pt idx="1">
                  <c:v>المعدات</c:v>
                </c:pt>
                <c:pt idx="2">
                  <c:v>الخامات</c:v>
                </c:pt>
              </c:strCache>
            </c:strRef>
          </c:cat>
          <c:val>
            <c:numRef>
              <c:f>Sheet5!$B$52:$B$54</c:f>
              <c:numCache>
                <c:formatCode>_(* #,##0.00_);_(* \(#,##0.00\);_(* "-"??_);_(@_)</c:formatCode>
                <c:ptCount val="3"/>
                <c:pt idx="0">
                  <c:v>6665992</c:v>
                </c:pt>
                <c:pt idx="1">
                  <c:v>12458067.065000001</c:v>
                </c:pt>
                <c:pt idx="2">
                  <c:v>154298438.43093011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1B-48C8-91A8-204808C07E8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142964</xdr:colOff>
      <xdr:row>2</xdr:row>
      <xdr:rowOff>145659</xdr:rowOff>
    </xdr:from>
    <xdr:to>
      <xdr:col>30</xdr:col>
      <xdr:colOff>191810</xdr:colOff>
      <xdr:row>23</xdr:row>
      <xdr:rowOff>116157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04F02A-942E-2FDF-D58E-3AE49795A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</xdr:colOff>
      <xdr:row>2</xdr:row>
      <xdr:rowOff>133600</xdr:rowOff>
    </xdr:from>
    <xdr:to>
      <xdr:col>17</xdr:col>
      <xdr:colOff>556410</xdr:colOff>
      <xdr:row>23</xdr:row>
      <xdr:rowOff>122115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26C358-0669-8B8E-2C76-1866D9870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395251</xdr:colOff>
      <xdr:row>27</xdr:row>
      <xdr:rowOff>46265</xdr:rowOff>
    </xdr:from>
    <xdr:to>
      <xdr:col>19</xdr:col>
      <xdr:colOff>344825</xdr:colOff>
      <xdr:row>48</xdr:row>
      <xdr:rowOff>107736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B8F773-A119-5D82-24FA-E708FA1D07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66202</xdr:colOff>
      <xdr:row>26</xdr:row>
      <xdr:rowOff>103909</xdr:rowOff>
    </xdr:from>
    <xdr:to>
      <xdr:col>32</xdr:col>
      <xdr:colOff>588818</xdr:colOff>
      <xdr:row>51</xdr:row>
      <xdr:rowOff>159350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05558A-3C82-5F65-A87C-0728E7A37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Violet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E113"/>
  <sheetViews>
    <sheetView rightToLeft="1" tabSelected="1" zoomScale="70" zoomScaleNormal="70" workbookViewId="0">
      <pane xSplit="4" ySplit="4" topLeftCell="BI89" activePane="bottomRight" state="frozen"/>
      <selection pane="topRight" activeCell="E1" sqref="E1"/>
      <selection pane="bottomLeft" activeCell="A5" sqref="A5"/>
      <selection pane="bottomRight" activeCell="BL98" sqref="BL98"/>
    </sheetView>
  </sheetViews>
  <sheetFormatPr defaultColWidth="9.109375" defaultRowHeight="21" x14ac:dyDescent="0.3"/>
  <cols>
    <col min="1" max="1" width="13.109375" style="80" bestFit="1" customWidth="1"/>
    <col min="2" max="2" width="63.5546875" style="157" customWidth="1"/>
    <col min="3" max="3" width="9.109375" style="80"/>
    <col min="4" max="4" width="10.6640625" style="80" customWidth="1"/>
    <col min="5" max="5" width="10" style="107" bestFit="1" customWidth="1"/>
    <col min="6" max="6" width="13.44140625" style="123" bestFit="1" customWidth="1"/>
    <col min="7" max="7" width="10" style="107" bestFit="1" customWidth="1"/>
    <col min="8" max="8" width="13.44140625" style="123" bestFit="1" customWidth="1"/>
    <col min="9" max="9" width="9.5546875" style="107" bestFit="1" customWidth="1"/>
    <col min="10" max="10" width="13.44140625" style="123" bestFit="1" customWidth="1"/>
    <col min="11" max="11" width="9.6640625" style="107" bestFit="1" customWidth="1"/>
    <col min="12" max="12" width="13.44140625" style="123" bestFit="1" customWidth="1"/>
    <col min="13" max="13" width="11" style="107" bestFit="1" customWidth="1"/>
    <col min="14" max="14" width="14.6640625" style="123" bestFit="1" customWidth="1"/>
    <col min="15" max="15" width="11.6640625" style="107" bestFit="1" customWidth="1"/>
    <col min="16" max="16" width="18.5546875" style="123" customWidth="1"/>
    <col min="17" max="17" width="11" style="107" customWidth="1"/>
    <col min="18" max="18" width="13.44140625" style="123" bestFit="1" customWidth="1"/>
    <col min="19" max="19" width="10" style="107" bestFit="1" customWidth="1"/>
    <col min="20" max="20" width="22.6640625" style="123" bestFit="1" customWidth="1"/>
    <col min="21" max="21" width="9.5546875" style="107" customWidth="1"/>
    <col min="22" max="22" width="21" style="123" bestFit="1" customWidth="1"/>
    <col min="23" max="23" width="9.5546875" style="107" bestFit="1" customWidth="1"/>
    <col min="24" max="24" width="13.44140625" style="123" bestFit="1" customWidth="1"/>
    <col min="25" max="25" width="10" style="107" bestFit="1" customWidth="1"/>
    <col min="26" max="26" width="18.5546875" style="123" bestFit="1" customWidth="1"/>
    <col min="27" max="27" width="10" style="107" bestFit="1" customWidth="1"/>
    <col min="28" max="28" width="21" style="123" bestFit="1" customWidth="1"/>
    <col min="29" max="29" width="11.6640625" style="107" bestFit="1" customWidth="1"/>
    <col min="30" max="30" width="18.5546875" style="123" bestFit="1" customWidth="1"/>
    <col min="31" max="31" width="12" style="107" bestFit="1" customWidth="1"/>
    <col min="32" max="32" width="21.33203125" style="123" bestFit="1" customWidth="1"/>
    <col min="33" max="33" width="9.109375" style="107"/>
    <col min="34" max="34" width="9.109375" style="123"/>
    <col min="35" max="35" width="9.109375" style="107"/>
    <col min="36" max="36" width="8.5546875" style="123" bestFit="1" customWidth="1"/>
    <col min="37" max="37" width="10" style="107" bestFit="1" customWidth="1"/>
    <col min="38" max="38" width="18.6640625" style="123" bestFit="1" customWidth="1"/>
    <col min="39" max="39" width="13.88671875" style="107" bestFit="1" customWidth="1"/>
    <col min="40" max="40" width="12.88671875" style="123" customWidth="1"/>
    <col min="41" max="41" width="9.44140625" style="107" customWidth="1"/>
    <col min="42" max="42" width="19.109375" style="123" bestFit="1" customWidth="1"/>
    <col min="43" max="43" width="9.6640625" style="107" bestFit="1" customWidth="1"/>
    <col min="44" max="44" width="21.109375" style="123" bestFit="1" customWidth="1"/>
    <col min="45" max="45" width="11.5546875" style="107" bestFit="1" customWidth="1"/>
    <col min="46" max="46" width="20.88671875" style="123" bestFit="1" customWidth="1"/>
    <col min="47" max="47" width="13.6640625" style="107" bestFit="1" customWidth="1"/>
    <col min="48" max="48" width="23" style="123" bestFit="1" customWidth="1"/>
    <col min="49" max="49" width="9.44140625" style="107" bestFit="1" customWidth="1"/>
    <col min="50" max="50" width="16.44140625" style="123" bestFit="1" customWidth="1"/>
    <col min="51" max="51" width="9.5546875" style="107" bestFit="1" customWidth="1"/>
    <col min="52" max="52" width="21" style="123" bestFit="1" customWidth="1"/>
    <col min="53" max="53" width="13.88671875" style="107" bestFit="1" customWidth="1"/>
    <col min="54" max="54" width="21" style="123" bestFit="1" customWidth="1"/>
    <col min="55" max="55" width="13.88671875" style="107" bestFit="1" customWidth="1"/>
    <col min="56" max="56" width="17.88671875" style="123" bestFit="1" customWidth="1"/>
    <col min="57" max="57" width="11.33203125" style="107" bestFit="1" customWidth="1"/>
    <col min="58" max="58" width="17.88671875" style="123" bestFit="1" customWidth="1"/>
    <col min="59" max="59" width="20.33203125" style="107" bestFit="1" customWidth="1"/>
    <col min="60" max="60" width="24.88671875" style="123" bestFit="1" customWidth="1"/>
    <col min="61" max="61" width="28" style="107" bestFit="1" customWidth="1"/>
    <col min="62" max="62" width="35.33203125" style="123" bestFit="1" customWidth="1"/>
    <col min="63" max="63" width="39.5546875" style="119" bestFit="1" customWidth="1"/>
    <col min="64" max="64" width="39.88671875" style="141" bestFit="1" customWidth="1"/>
    <col min="65" max="65" width="24.88671875" style="80" bestFit="1" customWidth="1"/>
    <col min="66" max="68" width="9.109375" style="80"/>
    <col min="69" max="69" width="20.88671875" style="80" bestFit="1" customWidth="1"/>
    <col min="70" max="71" width="9.109375" style="80"/>
    <col min="72" max="72" width="16.109375" style="80" customWidth="1"/>
    <col min="73" max="77" width="9.109375" style="80"/>
    <col min="78" max="79" width="9.109375" style="163"/>
    <col min="80" max="80" width="13" style="80" bestFit="1" customWidth="1"/>
    <col min="81" max="16384" width="9.109375" style="80"/>
  </cols>
  <sheetData>
    <row r="1" spans="1:135" ht="22.2" thickTop="1" thickBot="1" x14ac:dyDescent="0.35">
      <c r="E1" s="158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60"/>
      <c r="W1" s="161"/>
      <c r="X1" s="161"/>
      <c r="Y1" s="161"/>
      <c r="Z1" s="161"/>
      <c r="AA1" s="161"/>
      <c r="AB1" s="161"/>
      <c r="AC1" s="161"/>
      <c r="AD1" s="161"/>
      <c r="AE1" s="161"/>
      <c r="AF1" s="161"/>
      <c r="AG1" s="161"/>
      <c r="AH1" s="161"/>
      <c r="AI1" s="161"/>
      <c r="AJ1" s="161"/>
      <c r="AK1" s="161"/>
      <c r="AL1" s="161"/>
      <c r="AM1" s="161"/>
      <c r="AN1" s="161"/>
      <c r="AO1" s="161"/>
      <c r="AP1" s="161"/>
      <c r="AQ1" s="161"/>
      <c r="AR1" s="161"/>
      <c r="AS1" s="161"/>
      <c r="AT1" s="161"/>
      <c r="AU1" s="161"/>
      <c r="AV1" s="161"/>
      <c r="AW1" s="161"/>
      <c r="AX1" s="161"/>
      <c r="AY1" s="161"/>
      <c r="AZ1" s="161"/>
      <c r="BA1" s="161"/>
      <c r="BB1" s="161"/>
      <c r="BC1" s="161"/>
      <c r="BD1" s="161"/>
      <c r="BE1" s="161"/>
      <c r="BF1" s="161"/>
      <c r="BG1" s="161"/>
      <c r="BH1" s="161"/>
      <c r="BI1" s="161"/>
      <c r="BJ1" s="161"/>
      <c r="BK1" s="161"/>
      <c r="BL1" s="162"/>
      <c r="BM1" s="161"/>
      <c r="BN1" s="161"/>
      <c r="BO1" s="161"/>
      <c r="BP1" s="161"/>
      <c r="BQ1" s="161"/>
      <c r="BR1" s="161"/>
      <c r="BS1" s="161"/>
      <c r="BT1" s="161"/>
      <c r="BU1" s="161"/>
      <c r="BV1" s="161"/>
      <c r="BW1" s="161"/>
      <c r="BX1" s="161"/>
    </row>
    <row r="2" spans="1:135" ht="27.75" customHeight="1" thickTop="1" thickBot="1" x14ac:dyDescent="0.35">
      <c r="A2" s="221" t="s">
        <v>0</v>
      </c>
      <c r="B2" s="222" t="s">
        <v>1</v>
      </c>
      <c r="C2" s="221" t="s">
        <v>2</v>
      </c>
      <c r="D2" s="220" t="s">
        <v>3</v>
      </c>
      <c r="E2" s="246" t="s">
        <v>4</v>
      </c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  <c r="U2" s="247"/>
      <c r="V2" s="248"/>
      <c r="W2" s="249" t="s">
        <v>120</v>
      </c>
      <c r="X2" s="250"/>
      <c r="Y2" s="250"/>
      <c r="Z2" s="250"/>
      <c r="AA2" s="251"/>
      <c r="AB2" s="250"/>
      <c r="AC2" s="251"/>
      <c r="AD2" s="250"/>
      <c r="AE2" s="251"/>
      <c r="AF2" s="250"/>
      <c r="AG2" s="251"/>
      <c r="AH2" s="250"/>
      <c r="AI2" s="251"/>
      <c r="AJ2" s="250"/>
      <c r="AK2" s="251"/>
      <c r="AL2" s="250"/>
      <c r="AM2" s="251"/>
      <c r="AN2" s="250"/>
      <c r="AO2" s="251"/>
      <c r="AP2" s="252"/>
      <c r="AQ2" s="256" t="s">
        <v>5</v>
      </c>
      <c r="AR2" s="257"/>
      <c r="AS2" s="251"/>
      <c r="AT2" s="257"/>
      <c r="AU2" s="251"/>
      <c r="AV2" s="257"/>
      <c r="AW2" s="251"/>
      <c r="AX2" s="257"/>
      <c r="AY2" s="251"/>
      <c r="AZ2" s="257"/>
      <c r="BA2" s="251"/>
      <c r="BB2" s="257"/>
      <c r="BC2" s="251"/>
      <c r="BD2" s="257"/>
      <c r="BE2" s="251"/>
      <c r="BF2" s="257"/>
      <c r="BG2" s="251"/>
      <c r="BH2" s="257"/>
      <c r="BI2" s="251"/>
      <c r="BJ2" s="258"/>
      <c r="BK2" s="245" t="s">
        <v>48</v>
      </c>
      <c r="BL2" s="255" t="s">
        <v>49</v>
      </c>
      <c r="BM2" s="143" t="s">
        <v>307</v>
      </c>
      <c r="BN2" s="144">
        <v>0.05</v>
      </c>
      <c r="BO2" s="143" t="s">
        <v>308</v>
      </c>
      <c r="BP2" s="144">
        <v>0.05</v>
      </c>
      <c r="BQ2" s="143" t="s">
        <v>309</v>
      </c>
      <c r="BR2" s="144">
        <v>0.15</v>
      </c>
      <c r="BS2" s="143">
        <v>10</v>
      </c>
      <c r="BT2" s="143" t="s">
        <v>313</v>
      </c>
      <c r="BU2" s="279" t="s">
        <v>305</v>
      </c>
      <c r="BV2" s="279"/>
      <c r="BW2" s="279"/>
      <c r="BX2" s="279"/>
      <c r="BY2" s="279" t="s">
        <v>310</v>
      </c>
      <c r="BZ2" s="279"/>
      <c r="CA2" s="279"/>
      <c r="CB2" s="261" t="s">
        <v>311</v>
      </c>
      <c r="CC2" s="261"/>
      <c r="CD2" s="261"/>
    </row>
    <row r="3" spans="1:135" ht="22.5" customHeight="1" thickTop="1" thickBot="1" x14ac:dyDescent="0.35">
      <c r="A3" s="221"/>
      <c r="B3" s="222"/>
      <c r="C3" s="221"/>
      <c r="D3" s="220"/>
      <c r="E3" s="242" t="s">
        <v>6</v>
      </c>
      <c r="F3" s="241"/>
      <c r="G3" s="241" t="s">
        <v>7</v>
      </c>
      <c r="H3" s="241"/>
      <c r="I3" s="241" t="s">
        <v>32</v>
      </c>
      <c r="J3" s="241"/>
      <c r="K3" s="241" t="s">
        <v>33</v>
      </c>
      <c r="L3" s="241"/>
      <c r="M3" s="241" t="s">
        <v>34</v>
      </c>
      <c r="N3" s="241"/>
      <c r="O3" s="241" t="s">
        <v>281</v>
      </c>
      <c r="P3" s="241"/>
      <c r="Q3" s="241" t="s">
        <v>40</v>
      </c>
      <c r="R3" s="241"/>
      <c r="S3" s="241" t="s">
        <v>35</v>
      </c>
      <c r="T3" s="241"/>
      <c r="U3" s="253" t="s">
        <v>121</v>
      </c>
      <c r="V3" s="254"/>
      <c r="W3" s="242" t="s">
        <v>36</v>
      </c>
      <c r="X3" s="241"/>
      <c r="Y3" s="241" t="s">
        <v>37</v>
      </c>
      <c r="Z3" s="241"/>
      <c r="AA3" s="241" t="s">
        <v>38</v>
      </c>
      <c r="AB3" s="241"/>
      <c r="AC3" s="241" t="s">
        <v>39</v>
      </c>
      <c r="AD3" s="241"/>
      <c r="AE3" s="241" t="s">
        <v>47</v>
      </c>
      <c r="AF3" s="241"/>
      <c r="AG3" s="241" t="s">
        <v>41</v>
      </c>
      <c r="AH3" s="241"/>
      <c r="AI3" s="241" t="s">
        <v>42</v>
      </c>
      <c r="AJ3" s="241"/>
      <c r="AK3" s="241" t="s">
        <v>43</v>
      </c>
      <c r="AL3" s="241"/>
      <c r="AM3" s="142" t="s">
        <v>331</v>
      </c>
      <c r="AN3" s="142"/>
      <c r="AO3" s="243" t="s">
        <v>122</v>
      </c>
      <c r="AP3" s="244"/>
      <c r="AQ3" s="242" t="s">
        <v>10</v>
      </c>
      <c r="AR3" s="241"/>
      <c r="AS3" s="241" t="s">
        <v>11</v>
      </c>
      <c r="AT3" s="241"/>
      <c r="AU3" s="241" t="s">
        <v>12</v>
      </c>
      <c r="AV3" s="241"/>
      <c r="AW3" s="241" t="s">
        <v>44</v>
      </c>
      <c r="AX3" s="241"/>
      <c r="AY3" s="241" t="s">
        <v>45</v>
      </c>
      <c r="AZ3" s="241"/>
      <c r="BA3" s="241" t="s">
        <v>46</v>
      </c>
      <c r="BB3" s="241"/>
      <c r="BC3" s="241" t="s">
        <v>34</v>
      </c>
      <c r="BD3" s="241"/>
      <c r="BE3" s="259" t="s">
        <v>374</v>
      </c>
      <c r="BF3" s="260"/>
      <c r="BG3" s="241" t="s">
        <v>35</v>
      </c>
      <c r="BH3" s="241"/>
      <c r="BI3" s="243" t="s">
        <v>123</v>
      </c>
      <c r="BJ3" s="244"/>
      <c r="BK3" s="245"/>
      <c r="BL3" s="255"/>
      <c r="BM3" s="273" t="s">
        <v>306</v>
      </c>
      <c r="BN3" s="274"/>
      <c r="BO3" s="274"/>
      <c r="BP3" s="274"/>
      <c r="BQ3" s="274"/>
      <c r="BR3" s="275"/>
      <c r="BS3" s="284" t="s">
        <v>312</v>
      </c>
      <c r="BT3" s="284"/>
      <c r="BU3" s="279"/>
      <c r="BV3" s="279"/>
      <c r="BW3" s="279"/>
      <c r="BX3" s="279"/>
      <c r="BY3" s="279"/>
      <c r="BZ3" s="279"/>
      <c r="CA3" s="279"/>
      <c r="CB3" s="261"/>
      <c r="CC3" s="261"/>
      <c r="CD3" s="261"/>
    </row>
    <row r="4" spans="1:135" ht="22.2" thickTop="1" thickBot="1" x14ac:dyDescent="0.35">
      <c r="A4" s="221"/>
      <c r="B4" s="222"/>
      <c r="C4" s="221"/>
      <c r="D4" s="220"/>
      <c r="E4" s="104" t="s">
        <v>8</v>
      </c>
      <c r="F4" s="121" t="s">
        <v>9</v>
      </c>
      <c r="G4" s="109" t="s">
        <v>8</v>
      </c>
      <c r="H4" s="121" t="s">
        <v>3</v>
      </c>
      <c r="I4" s="109" t="s">
        <v>8</v>
      </c>
      <c r="J4" s="121" t="s">
        <v>3</v>
      </c>
      <c r="K4" s="109" t="s">
        <v>8</v>
      </c>
      <c r="L4" s="121" t="s">
        <v>3</v>
      </c>
      <c r="M4" s="109" t="s">
        <v>8</v>
      </c>
      <c r="N4" s="121" t="s">
        <v>3</v>
      </c>
      <c r="O4" s="109" t="s">
        <v>8</v>
      </c>
      <c r="P4" s="121" t="s">
        <v>3</v>
      </c>
      <c r="Q4" s="109" t="s">
        <v>8</v>
      </c>
      <c r="R4" s="121" t="s">
        <v>3</v>
      </c>
      <c r="S4" s="109" t="s">
        <v>8</v>
      </c>
      <c r="T4" s="121" t="s">
        <v>3</v>
      </c>
      <c r="U4" s="109" t="s">
        <v>8</v>
      </c>
      <c r="V4" s="125" t="s">
        <v>3</v>
      </c>
      <c r="W4" s="104" t="s">
        <v>8</v>
      </c>
      <c r="X4" s="121" t="s">
        <v>3</v>
      </c>
      <c r="Y4" s="109" t="s">
        <v>8</v>
      </c>
      <c r="Z4" s="121" t="s">
        <v>3</v>
      </c>
      <c r="AA4" s="109" t="s">
        <v>8</v>
      </c>
      <c r="AB4" s="121" t="s">
        <v>3</v>
      </c>
      <c r="AC4" s="109" t="s">
        <v>8</v>
      </c>
      <c r="AD4" s="121" t="s">
        <v>3</v>
      </c>
      <c r="AE4" s="109" t="s">
        <v>8</v>
      </c>
      <c r="AF4" s="121" t="s">
        <v>3</v>
      </c>
      <c r="AG4" s="109" t="s">
        <v>8</v>
      </c>
      <c r="AH4" s="121" t="s">
        <v>3</v>
      </c>
      <c r="AI4" s="109" t="s">
        <v>8</v>
      </c>
      <c r="AJ4" s="121" t="s">
        <v>3</v>
      </c>
      <c r="AK4" s="109" t="s">
        <v>8</v>
      </c>
      <c r="AL4" s="121" t="s">
        <v>3</v>
      </c>
      <c r="AM4" s="109" t="s">
        <v>332</v>
      </c>
      <c r="AN4" s="121" t="s">
        <v>333</v>
      </c>
      <c r="AO4" s="109" t="s">
        <v>8</v>
      </c>
      <c r="AP4" s="125" t="s">
        <v>3</v>
      </c>
      <c r="AQ4" s="104" t="s">
        <v>8</v>
      </c>
      <c r="AR4" s="121" t="s">
        <v>3</v>
      </c>
      <c r="AS4" s="109" t="s">
        <v>2</v>
      </c>
      <c r="AT4" s="121" t="s">
        <v>9</v>
      </c>
      <c r="AU4" s="109" t="s">
        <v>2</v>
      </c>
      <c r="AV4" s="121" t="s">
        <v>9</v>
      </c>
      <c r="AW4" s="109" t="s">
        <v>2</v>
      </c>
      <c r="AX4" s="121" t="s">
        <v>9</v>
      </c>
      <c r="AY4" s="109" t="s">
        <v>2</v>
      </c>
      <c r="AZ4" s="121" t="s">
        <v>9</v>
      </c>
      <c r="BA4" s="109" t="s">
        <v>2</v>
      </c>
      <c r="BB4" s="121" t="s">
        <v>9</v>
      </c>
      <c r="BC4" s="109" t="s">
        <v>2</v>
      </c>
      <c r="BD4" s="121" t="s">
        <v>9</v>
      </c>
      <c r="BE4" s="109" t="s">
        <v>2</v>
      </c>
      <c r="BF4" s="121" t="s">
        <v>9</v>
      </c>
      <c r="BG4" s="109" t="s">
        <v>2</v>
      </c>
      <c r="BH4" s="121" t="s">
        <v>9</v>
      </c>
      <c r="BI4" s="109" t="s">
        <v>2</v>
      </c>
      <c r="BJ4" s="125" t="s">
        <v>9</v>
      </c>
      <c r="BK4" s="245"/>
      <c r="BL4" s="255"/>
      <c r="BM4" s="276"/>
      <c r="BN4" s="277"/>
      <c r="BO4" s="277"/>
      <c r="BP4" s="277"/>
      <c r="BQ4" s="277"/>
      <c r="BR4" s="278"/>
      <c r="BS4" s="53" t="s">
        <v>2</v>
      </c>
      <c r="BT4" s="53" t="s">
        <v>9</v>
      </c>
      <c r="BU4" s="280"/>
      <c r="BV4" s="280"/>
      <c r="BW4" s="280"/>
      <c r="BX4" s="280"/>
      <c r="BY4" s="280"/>
      <c r="BZ4" s="280"/>
      <c r="CA4" s="280"/>
      <c r="CB4" s="262"/>
      <c r="CC4" s="262"/>
      <c r="CD4" s="262"/>
    </row>
    <row r="5" spans="1:135" ht="32.4" thickTop="1" thickBot="1" x14ac:dyDescent="0.35">
      <c r="A5" s="223" t="s">
        <v>13</v>
      </c>
      <c r="B5" s="223"/>
      <c r="C5" s="223"/>
      <c r="D5" s="224"/>
      <c r="E5" s="239"/>
      <c r="F5" s="240"/>
      <c r="G5" s="240"/>
      <c r="H5" s="240"/>
      <c r="I5" s="240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112"/>
      <c r="V5" s="126"/>
      <c r="W5" s="112"/>
      <c r="X5" s="126"/>
      <c r="Y5" s="112"/>
      <c r="Z5" s="126"/>
      <c r="AA5" s="112"/>
      <c r="AB5" s="126"/>
      <c r="AC5" s="112"/>
      <c r="AD5" s="126"/>
      <c r="AE5" s="112"/>
      <c r="AF5" s="126"/>
      <c r="AG5" s="112"/>
      <c r="AH5" s="126"/>
      <c r="AI5" s="112"/>
      <c r="AJ5" s="126"/>
      <c r="AK5" s="112"/>
      <c r="AL5" s="126"/>
      <c r="AM5" s="112"/>
      <c r="AN5" s="126"/>
      <c r="AO5" s="112"/>
      <c r="AP5" s="126"/>
      <c r="AQ5" s="112"/>
      <c r="AR5" s="126"/>
      <c r="AS5" s="112"/>
      <c r="AT5" s="126"/>
      <c r="AU5" s="112"/>
      <c r="AV5" s="126"/>
      <c r="AW5" s="112"/>
      <c r="AX5" s="126"/>
      <c r="AY5" s="112"/>
      <c r="AZ5" s="126"/>
      <c r="BA5" s="112"/>
      <c r="BB5" s="126"/>
      <c r="BC5" s="112"/>
      <c r="BD5" s="126"/>
      <c r="BE5" s="112"/>
      <c r="BF5" s="126"/>
      <c r="BG5" s="112"/>
      <c r="BH5" s="126"/>
      <c r="BI5" s="112"/>
      <c r="BJ5" s="126"/>
      <c r="BK5" s="120"/>
      <c r="BL5" s="136"/>
      <c r="BM5" s="79"/>
      <c r="BN5" s="79"/>
      <c r="BO5" s="79"/>
      <c r="BP5" s="79"/>
      <c r="BQ5" s="79"/>
      <c r="BR5" s="79"/>
      <c r="BS5" s="79"/>
      <c r="BT5" s="79"/>
      <c r="BU5" s="79"/>
      <c r="BV5" s="79"/>
      <c r="BW5" s="79"/>
      <c r="BX5" s="79"/>
      <c r="BY5" s="79"/>
      <c r="BZ5" s="55"/>
      <c r="CA5" s="55"/>
      <c r="CB5" s="70"/>
      <c r="CC5" s="70"/>
      <c r="CD5" s="78"/>
    </row>
    <row r="6" spans="1:135" ht="22.2" thickTop="1" thickBot="1" x14ac:dyDescent="0.35">
      <c r="A6" s="16">
        <v>1</v>
      </c>
      <c r="B6" s="17" t="s">
        <v>14</v>
      </c>
      <c r="C6" s="17" t="s">
        <v>16</v>
      </c>
      <c r="D6" s="18">
        <v>127660</v>
      </c>
      <c r="E6" s="105">
        <v>0</v>
      </c>
      <c r="F6" s="122">
        <v>0</v>
      </c>
      <c r="G6" s="110">
        <v>0</v>
      </c>
      <c r="H6" s="122">
        <v>0</v>
      </c>
      <c r="I6" s="110">
        <v>0</v>
      </c>
      <c r="J6" s="122">
        <v>0</v>
      </c>
      <c r="K6" s="110">
        <v>0</v>
      </c>
      <c r="L6" s="122">
        <v>0</v>
      </c>
      <c r="M6" s="110">
        <v>0</v>
      </c>
      <c r="N6" s="122">
        <v>0</v>
      </c>
      <c r="O6" s="110">
        <v>2.33</v>
      </c>
      <c r="P6" s="122">
        <f>O6*D6</f>
        <v>297447.8</v>
      </c>
      <c r="Q6" s="110">
        <v>0</v>
      </c>
      <c r="R6" s="122">
        <v>0</v>
      </c>
      <c r="S6" s="110">
        <v>0</v>
      </c>
      <c r="T6" s="122">
        <v>0</v>
      </c>
      <c r="U6" s="110">
        <v>0</v>
      </c>
      <c r="V6" s="127">
        <v>0</v>
      </c>
      <c r="W6" s="105">
        <v>0</v>
      </c>
      <c r="X6" s="122">
        <v>0</v>
      </c>
      <c r="Y6" s="110">
        <v>22</v>
      </c>
      <c r="Z6" s="122">
        <f>Y6*D6</f>
        <v>2808520</v>
      </c>
      <c r="AA6" s="110">
        <v>0</v>
      </c>
      <c r="AB6" s="122">
        <v>0</v>
      </c>
      <c r="AC6" s="110">
        <v>18.5</v>
      </c>
      <c r="AD6" s="122">
        <f>AC6*D6</f>
        <v>2361710</v>
      </c>
      <c r="AE6" s="110">
        <v>0</v>
      </c>
      <c r="AF6" s="122">
        <v>0</v>
      </c>
      <c r="AG6" s="110">
        <v>0</v>
      </c>
      <c r="AH6" s="122">
        <v>0</v>
      </c>
      <c r="AI6" s="110">
        <v>0</v>
      </c>
      <c r="AJ6" s="122">
        <v>0</v>
      </c>
      <c r="AK6" s="110">
        <v>0</v>
      </c>
      <c r="AL6" s="122">
        <v>0</v>
      </c>
      <c r="AM6" s="110">
        <v>0</v>
      </c>
      <c r="AN6" s="122">
        <v>0</v>
      </c>
      <c r="AO6" s="110">
        <f>W6+Y6+AA6+AC6+AE6+AG6+AI6+AK6</f>
        <v>40.5</v>
      </c>
      <c r="AP6" s="127">
        <f>AO6*D6</f>
        <v>5170230</v>
      </c>
      <c r="AQ6" s="105">
        <v>0</v>
      </c>
      <c r="AR6" s="122">
        <v>0</v>
      </c>
      <c r="AS6" s="110">
        <v>0</v>
      </c>
      <c r="AT6" s="122">
        <v>0</v>
      </c>
      <c r="AU6" s="110">
        <v>0</v>
      </c>
      <c r="AV6" s="122">
        <v>0</v>
      </c>
      <c r="AW6" s="110">
        <v>0</v>
      </c>
      <c r="AX6" s="122">
        <v>0</v>
      </c>
      <c r="AY6" s="110">
        <v>0</v>
      </c>
      <c r="AZ6" s="122">
        <v>0</v>
      </c>
      <c r="BA6" s="110">
        <v>0</v>
      </c>
      <c r="BB6" s="122">
        <v>0</v>
      </c>
      <c r="BC6" s="110">
        <v>0</v>
      </c>
      <c r="BD6" s="122">
        <v>0</v>
      </c>
      <c r="BE6" s="110">
        <v>0</v>
      </c>
      <c r="BF6" s="122">
        <v>0</v>
      </c>
      <c r="BG6" s="110">
        <v>0</v>
      </c>
      <c r="BH6" s="122">
        <v>0</v>
      </c>
      <c r="BI6" s="110">
        <v>0</v>
      </c>
      <c r="BJ6" s="127">
        <v>0</v>
      </c>
      <c r="BK6" s="133">
        <f>SUM(O6,Y6,AC6)</f>
        <v>42.83</v>
      </c>
      <c r="BL6" s="137">
        <f>BK6*D6</f>
        <v>5467677.7999999998</v>
      </c>
      <c r="BM6" s="263">
        <f>0.25*BK6</f>
        <v>10.7075</v>
      </c>
      <c r="BN6" s="264"/>
      <c r="BO6" s="264"/>
      <c r="BP6" s="264"/>
      <c r="BQ6" s="264"/>
      <c r="BR6" s="265"/>
      <c r="BS6" s="145">
        <f>0.1*BK6</f>
        <v>4.2830000000000004</v>
      </c>
      <c r="BT6" s="145">
        <f>BS6*BL6</f>
        <v>23418064.0174</v>
      </c>
      <c r="BU6" s="269">
        <f>(BM6+BS6)*D6</f>
        <v>1913687.2300000002</v>
      </c>
      <c r="BV6" s="269"/>
      <c r="BW6" s="269"/>
      <c r="BX6" s="269"/>
      <c r="BY6" s="269">
        <f>BK6+BM6+BS6</f>
        <v>57.820499999999996</v>
      </c>
      <c r="BZ6" s="269"/>
      <c r="CA6" s="269"/>
      <c r="CB6" s="271">
        <f>BY6*D6</f>
        <v>7381365.0299999993</v>
      </c>
      <c r="CC6" s="271"/>
      <c r="CD6" s="271"/>
    </row>
    <row r="7" spans="1:135" ht="22.2" thickTop="1" thickBot="1" x14ac:dyDescent="0.35">
      <c r="A7" s="19">
        <v>2</v>
      </c>
      <c r="B7" s="20" t="s">
        <v>15</v>
      </c>
      <c r="C7" s="20" t="s">
        <v>16</v>
      </c>
      <c r="D7" s="21">
        <v>32595</v>
      </c>
      <c r="E7" s="104">
        <v>0</v>
      </c>
      <c r="F7" s="121">
        <v>0</v>
      </c>
      <c r="G7" s="109">
        <v>0</v>
      </c>
      <c r="H7" s="121">
        <v>0</v>
      </c>
      <c r="I7" s="109">
        <v>0</v>
      </c>
      <c r="J7" s="121">
        <v>0</v>
      </c>
      <c r="K7" s="109">
        <v>0</v>
      </c>
      <c r="L7" s="121">
        <v>0</v>
      </c>
      <c r="M7" s="109">
        <v>0</v>
      </c>
      <c r="N7" s="121">
        <v>0</v>
      </c>
      <c r="O7" s="109">
        <v>5.25</v>
      </c>
      <c r="P7" s="121">
        <f>O7*D7</f>
        <v>171123.75</v>
      </c>
      <c r="Q7" s="109">
        <v>0</v>
      </c>
      <c r="R7" s="121">
        <v>0</v>
      </c>
      <c r="S7" s="109">
        <v>0</v>
      </c>
      <c r="T7" s="121">
        <v>0</v>
      </c>
      <c r="U7" s="109">
        <v>0</v>
      </c>
      <c r="V7" s="125">
        <v>0</v>
      </c>
      <c r="W7" s="104">
        <v>0</v>
      </c>
      <c r="X7" s="121">
        <v>0</v>
      </c>
      <c r="Y7" s="109">
        <v>0</v>
      </c>
      <c r="Z7" s="121">
        <v>0</v>
      </c>
      <c r="AA7" s="109">
        <v>23.98</v>
      </c>
      <c r="AB7" s="121">
        <f>AA7*D7</f>
        <v>781628.1</v>
      </c>
      <c r="AC7" s="109">
        <v>0</v>
      </c>
      <c r="AD7" s="121">
        <v>0</v>
      </c>
      <c r="AE7" s="109">
        <v>16.239999999999998</v>
      </c>
      <c r="AF7" s="121">
        <f>AE7*D7</f>
        <v>529342.79999999993</v>
      </c>
      <c r="AG7" s="109">
        <v>0</v>
      </c>
      <c r="AH7" s="121">
        <v>0</v>
      </c>
      <c r="AI7" s="109">
        <v>0</v>
      </c>
      <c r="AJ7" s="121">
        <v>0</v>
      </c>
      <c r="AK7" s="109">
        <v>0</v>
      </c>
      <c r="AL7" s="121">
        <v>0</v>
      </c>
      <c r="AM7" s="109">
        <v>0</v>
      </c>
      <c r="AN7" s="121">
        <v>0</v>
      </c>
      <c r="AO7" s="110">
        <f t="shared" ref="AO7:AO69" si="0">W7+Y7+AA7+AC7+AE7+AG7+AI7+AK7</f>
        <v>40.22</v>
      </c>
      <c r="AP7" s="127">
        <f t="shared" ref="AP7:AP69" si="1">AO7*D7</f>
        <v>1310970.8999999999</v>
      </c>
      <c r="AQ7" s="104">
        <v>0</v>
      </c>
      <c r="AR7" s="121">
        <v>0</v>
      </c>
      <c r="AS7" s="109">
        <v>0</v>
      </c>
      <c r="AT7" s="121">
        <v>0</v>
      </c>
      <c r="AU7" s="109">
        <v>0</v>
      </c>
      <c r="AV7" s="121">
        <v>0</v>
      </c>
      <c r="AW7" s="109">
        <v>0</v>
      </c>
      <c r="AX7" s="121">
        <v>0</v>
      </c>
      <c r="AY7" s="109">
        <v>0</v>
      </c>
      <c r="AZ7" s="121">
        <v>0</v>
      </c>
      <c r="BA7" s="109">
        <v>0</v>
      </c>
      <c r="BB7" s="121">
        <v>0</v>
      </c>
      <c r="BC7" s="109">
        <v>0</v>
      </c>
      <c r="BD7" s="121">
        <v>0</v>
      </c>
      <c r="BE7" s="109">
        <v>0</v>
      </c>
      <c r="BF7" s="121">
        <v>0</v>
      </c>
      <c r="BG7" s="109">
        <v>0</v>
      </c>
      <c r="BH7" s="121"/>
      <c r="BI7" s="109"/>
      <c r="BJ7" s="125">
        <v>0</v>
      </c>
      <c r="BK7" s="134">
        <f>SUM(O7,AA7,AE7)</f>
        <v>45.47</v>
      </c>
      <c r="BL7" s="138">
        <f>D7*BK7</f>
        <v>1482094.65</v>
      </c>
      <c r="BM7" s="266">
        <f t="shared" ref="BM7:BM69" si="2">0.25*BK7</f>
        <v>11.3675</v>
      </c>
      <c r="BN7" s="267"/>
      <c r="BO7" s="267"/>
      <c r="BP7" s="267"/>
      <c r="BQ7" s="267"/>
      <c r="BR7" s="268"/>
      <c r="BS7" s="146">
        <f t="shared" ref="BS7:BS69" si="3">0.1*BK7</f>
        <v>4.5469999999999997</v>
      </c>
      <c r="BT7" s="146">
        <f t="shared" ref="BT7:BT69" si="4">BS7*BL7</f>
        <v>6739084.3735499987</v>
      </c>
      <c r="BU7" s="270">
        <f>(BM7+BS7)*D7</f>
        <v>518733.1275</v>
      </c>
      <c r="BV7" s="270"/>
      <c r="BW7" s="270"/>
      <c r="BX7" s="270"/>
      <c r="BY7" s="270">
        <f t="shared" ref="BY7:BY69" si="5">BK7+BM7+BS7</f>
        <v>61.384499999999996</v>
      </c>
      <c r="BZ7" s="270"/>
      <c r="CA7" s="270"/>
      <c r="CB7" s="272">
        <f>BY7*D7</f>
        <v>2000827.7774999999</v>
      </c>
      <c r="CC7" s="272"/>
      <c r="CD7" s="272"/>
    </row>
    <row r="8" spans="1:135" s="66" customFormat="1" ht="34.799999999999997" thickTop="1" thickBot="1" x14ac:dyDescent="0.35">
      <c r="A8" s="225" t="s">
        <v>17</v>
      </c>
      <c r="B8" s="225"/>
      <c r="C8" s="225"/>
      <c r="D8" s="226"/>
      <c r="E8" s="164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5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117"/>
      <c r="AP8" s="118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54"/>
      <c r="BJ8" s="54"/>
      <c r="BK8" s="120"/>
      <c r="BL8" s="136"/>
      <c r="BM8" s="166"/>
      <c r="BN8" s="166"/>
      <c r="BO8" s="166"/>
      <c r="BP8" s="166"/>
      <c r="BQ8" s="166"/>
      <c r="BR8" s="166"/>
      <c r="BS8" s="167"/>
      <c r="BT8" s="167"/>
      <c r="BU8" s="166"/>
      <c r="BV8" s="166"/>
      <c r="BW8" s="166"/>
      <c r="BX8" s="166"/>
      <c r="BY8" s="166"/>
      <c r="BZ8" s="168"/>
      <c r="CA8" s="168"/>
      <c r="CB8" s="169"/>
      <c r="CC8" s="169"/>
      <c r="CD8" s="170"/>
      <c r="CE8" s="80"/>
      <c r="CF8" s="80"/>
      <c r="CG8" s="80"/>
      <c r="CH8" s="80"/>
      <c r="CI8" s="80"/>
      <c r="CJ8" s="80"/>
      <c r="CK8" s="80"/>
      <c r="CL8" s="80"/>
      <c r="CM8" s="80"/>
      <c r="CN8" s="80"/>
      <c r="CO8" s="80"/>
      <c r="CP8" s="80"/>
      <c r="CQ8" s="80"/>
      <c r="CR8" s="80"/>
      <c r="CS8" s="80"/>
      <c r="CT8" s="80"/>
      <c r="CU8" s="80"/>
      <c r="CV8" s="80"/>
      <c r="CW8" s="80"/>
      <c r="CX8" s="80"/>
      <c r="CY8" s="80"/>
      <c r="CZ8" s="80"/>
      <c r="DA8" s="80"/>
      <c r="DB8" s="80"/>
      <c r="DC8" s="80"/>
      <c r="DD8" s="80"/>
      <c r="DE8" s="80"/>
      <c r="DF8" s="80"/>
      <c r="DG8" s="80"/>
      <c r="DH8" s="80"/>
      <c r="DI8" s="80"/>
      <c r="DJ8" s="80"/>
      <c r="DK8" s="80"/>
      <c r="DL8" s="80"/>
      <c r="DM8" s="80"/>
      <c r="DN8" s="80"/>
      <c r="DO8" s="80"/>
      <c r="DP8" s="80"/>
      <c r="DQ8" s="80"/>
      <c r="DR8" s="80"/>
      <c r="DS8" s="80"/>
      <c r="DT8" s="80"/>
      <c r="DU8" s="80"/>
      <c r="DV8" s="80"/>
      <c r="DW8" s="80"/>
      <c r="DX8" s="80"/>
      <c r="DY8" s="80"/>
      <c r="DZ8" s="80"/>
      <c r="EA8" s="80"/>
      <c r="EB8" s="80"/>
      <c r="EC8" s="80"/>
      <c r="ED8" s="80"/>
      <c r="EE8" s="80"/>
    </row>
    <row r="9" spans="1:135" ht="22.2" thickTop="1" thickBot="1" x14ac:dyDescent="0.35">
      <c r="A9" s="22">
        <v>1</v>
      </c>
      <c r="B9" s="22" t="s">
        <v>18</v>
      </c>
      <c r="C9" s="22" t="s">
        <v>16</v>
      </c>
      <c r="D9" s="49">
        <v>2275</v>
      </c>
      <c r="E9" s="105">
        <v>35</v>
      </c>
      <c r="F9" s="122">
        <f>E9*D9</f>
        <v>79625</v>
      </c>
      <c r="G9" s="110">
        <v>0</v>
      </c>
      <c r="H9" s="122">
        <v>0</v>
      </c>
      <c r="I9" s="110">
        <v>30</v>
      </c>
      <c r="J9" s="122">
        <f t="shared" ref="J9:J14" si="6">I9*D9</f>
        <v>68250</v>
      </c>
      <c r="K9" s="110">
        <v>0</v>
      </c>
      <c r="L9" s="122">
        <v>0</v>
      </c>
      <c r="M9" s="110">
        <v>0</v>
      </c>
      <c r="N9" s="122">
        <v>0</v>
      </c>
      <c r="O9" s="110">
        <v>0</v>
      </c>
      <c r="P9" s="122">
        <v>0</v>
      </c>
      <c r="Q9" s="110">
        <v>0</v>
      </c>
      <c r="R9" s="122">
        <v>0</v>
      </c>
      <c r="S9" s="110">
        <v>0</v>
      </c>
      <c r="T9" s="122">
        <v>0</v>
      </c>
      <c r="U9" s="110">
        <f>E9+G9+I9+K9+M9+O9+Q9+S9</f>
        <v>65</v>
      </c>
      <c r="V9" s="127">
        <f>U9*D9</f>
        <v>147875</v>
      </c>
      <c r="W9" s="105">
        <v>50</v>
      </c>
      <c r="X9" s="122">
        <f>W9*D9</f>
        <v>113750</v>
      </c>
      <c r="Y9" s="115">
        <v>0</v>
      </c>
      <c r="Z9" s="122">
        <v>0</v>
      </c>
      <c r="AA9" s="115">
        <v>0</v>
      </c>
      <c r="AB9" s="122">
        <v>0</v>
      </c>
      <c r="AC9" s="115">
        <v>0</v>
      </c>
      <c r="AD9" s="122">
        <v>0</v>
      </c>
      <c r="AE9" s="110">
        <v>0</v>
      </c>
      <c r="AF9" s="171">
        <v>0</v>
      </c>
      <c r="AG9" s="110"/>
      <c r="AH9" s="122">
        <v>0</v>
      </c>
      <c r="AI9" s="115">
        <v>0</v>
      </c>
      <c r="AJ9" s="122">
        <v>0</v>
      </c>
      <c r="AK9" s="110">
        <v>100</v>
      </c>
      <c r="AL9" s="122">
        <f>AK9*D9</f>
        <v>227500</v>
      </c>
      <c r="AM9" s="110">
        <v>0</v>
      </c>
      <c r="AN9" s="122">
        <v>0</v>
      </c>
      <c r="AO9" s="110">
        <f t="shared" si="0"/>
        <v>150</v>
      </c>
      <c r="AP9" s="127">
        <f t="shared" si="1"/>
        <v>341250</v>
      </c>
      <c r="AQ9" s="105">
        <v>225.33</v>
      </c>
      <c r="AR9" s="122">
        <f>AQ9*D9</f>
        <v>512625.75</v>
      </c>
      <c r="AS9" s="110">
        <v>1450</v>
      </c>
      <c r="AT9" s="122">
        <f t="shared" ref="AT9:AT14" si="7">AS9*D9</f>
        <v>3298750</v>
      </c>
      <c r="AU9" s="110"/>
      <c r="AV9" s="122"/>
      <c r="AW9" s="110">
        <v>0</v>
      </c>
      <c r="AX9" s="122">
        <v>0</v>
      </c>
      <c r="AY9" s="110">
        <v>0</v>
      </c>
      <c r="AZ9" s="122">
        <v>0</v>
      </c>
      <c r="BA9" s="110">
        <v>0</v>
      </c>
      <c r="BB9" s="122">
        <v>0</v>
      </c>
      <c r="BC9" s="110">
        <v>0</v>
      </c>
      <c r="BD9" s="122">
        <v>0</v>
      </c>
      <c r="BE9" s="110">
        <v>0</v>
      </c>
      <c r="BF9" s="122">
        <v>0</v>
      </c>
      <c r="BG9" s="110">
        <v>0</v>
      </c>
      <c r="BH9" s="122">
        <v>0</v>
      </c>
      <c r="BI9" s="110">
        <f>AQ9+AS9+AW9+AY9+BA9</f>
        <v>1675.33</v>
      </c>
      <c r="BJ9" s="127">
        <f t="shared" ref="BJ9:BJ14" si="8">BI9*D9</f>
        <v>3811375.75</v>
      </c>
      <c r="BK9" s="133">
        <f t="shared" ref="BK9:BK14" si="9">BI9+AO9+U9</f>
        <v>1890.33</v>
      </c>
      <c r="BL9" s="139">
        <f t="shared" ref="BL9:BL14" si="10">BK9*D9</f>
        <v>4300500.75</v>
      </c>
      <c r="BM9" s="263">
        <f t="shared" si="2"/>
        <v>472.58249999999998</v>
      </c>
      <c r="BN9" s="264"/>
      <c r="BO9" s="264"/>
      <c r="BP9" s="264"/>
      <c r="BQ9" s="264"/>
      <c r="BR9" s="265"/>
      <c r="BS9" s="145">
        <f t="shared" si="3"/>
        <v>189.03300000000002</v>
      </c>
      <c r="BT9" s="145">
        <f t="shared" si="4"/>
        <v>812936558.27475011</v>
      </c>
      <c r="BU9" s="269">
        <f t="shared" ref="BU9:BU14" si="11">(BM9+BS9)*D9</f>
        <v>1505175.2625</v>
      </c>
      <c r="BV9" s="269"/>
      <c r="BW9" s="269"/>
      <c r="BX9" s="269"/>
      <c r="BY9" s="269">
        <f t="shared" si="5"/>
        <v>2551.9454999999998</v>
      </c>
      <c r="BZ9" s="269"/>
      <c r="CA9" s="269"/>
      <c r="CB9" s="271">
        <f t="shared" ref="CB9:CB14" si="12">BY9*D9</f>
        <v>5805676.0124999993</v>
      </c>
      <c r="CC9" s="271"/>
      <c r="CD9" s="271"/>
    </row>
    <row r="10" spans="1:135" ht="22.2" thickTop="1" thickBot="1" x14ac:dyDescent="0.35">
      <c r="A10" s="22">
        <v>2</v>
      </c>
      <c r="B10" s="22" t="s">
        <v>19</v>
      </c>
      <c r="C10" s="22" t="s">
        <v>16</v>
      </c>
      <c r="D10" s="49">
        <v>3775</v>
      </c>
      <c r="E10" s="106">
        <v>116.6</v>
      </c>
      <c r="F10" s="26">
        <f>E10*D10</f>
        <v>440165</v>
      </c>
      <c r="G10" s="111">
        <v>116.6</v>
      </c>
      <c r="H10" s="26">
        <f>G10*D10</f>
        <v>440165</v>
      </c>
      <c r="I10" s="111">
        <v>35</v>
      </c>
      <c r="J10" s="26">
        <f t="shared" si="6"/>
        <v>132125</v>
      </c>
      <c r="K10" s="111">
        <v>0</v>
      </c>
      <c r="L10" s="26">
        <v>0</v>
      </c>
      <c r="M10" s="111">
        <v>0</v>
      </c>
      <c r="N10" s="26">
        <v>0</v>
      </c>
      <c r="O10" s="111">
        <v>0</v>
      </c>
      <c r="P10" s="26">
        <v>0</v>
      </c>
      <c r="Q10" s="111">
        <v>0</v>
      </c>
      <c r="R10" s="26">
        <v>0</v>
      </c>
      <c r="S10" s="111">
        <v>0</v>
      </c>
      <c r="T10" s="26">
        <v>0</v>
      </c>
      <c r="U10" s="111">
        <f t="shared" ref="U10:U72" si="13">E10+G10+I10+K10+M10+O10+Q10+S10</f>
        <v>268.2</v>
      </c>
      <c r="V10" s="52">
        <f t="shared" ref="V10:V72" si="14">U10*D10</f>
        <v>1012455</v>
      </c>
      <c r="W10" s="106">
        <v>50</v>
      </c>
      <c r="X10" s="26">
        <f>W10*D10</f>
        <v>188750</v>
      </c>
      <c r="Y10" s="115">
        <v>0</v>
      </c>
      <c r="Z10" s="122">
        <v>0</v>
      </c>
      <c r="AA10" s="115">
        <v>0</v>
      </c>
      <c r="AB10" s="122">
        <v>0</v>
      </c>
      <c r="AC10" s="115">
        <v>0</v>
      </c>
      <c r="AD10" s="122">
        <v>0</v>
      </c>
      <c r="AE10" s="110">
        <v>0</v>
      </c>
      <c r="AF10" s="171">
        <v>0</v>
      </c>
      <c r="AG10" s="115">
        <v>0</v>
      </c>
      <c r="AH10" s="122">
        <v>0</v>
      </c>
      <c r="AI10" s="115">
        <v>0</v>
      </c>
      <c r="AJ10" s="122">
        <v>0</v>
      </c>
      <c r="AK10" s="111">
        <v>100</v>
      </c>
      <c r="AL10" s="26">
        <f>AK10*D10</f>
        <v>377500</v>
      </c>
      <c r="AM10" s="110">
        <v>0</v>
      </c>
      <c r="AN10" s="122">
        <v>0</v>
      </c>
      <c r="AO10" s="110">
        <f t="shared" si="0"/>
        <v>150</v>
      </c>
      <c r="AP10" s="127">
        <f t="shared" si="1"/>
        <v>566250</v>
      </c>
      <c r="AQ10" s="106">
        <v>450.6</v>
      </c>
      <c r="AR10" s="26">
        <f>AQ10*D10</f>
        <v>1701015</v>
      </c>
      <c r="AS10" s="111">
        <v>1750</v>
      </c>
      <c r="AT10" s="26">
        <f t="shared" si="7"/>
        <v>6606250</v>
      </c>
      <c r="AU10" s="111">
        <v>5508</v>
      </c>
      <c r="AV10" s="26">
        <f>AU10*D10</f>
        <v>20792700</v>
      </c>
      <c r="AW10" s="110">
        <v>0</v>
      </c>
      <c r="AX10" s="122">
        <v>0</v>
      </c>
      <c r="AY10" s="111">
        <v>0</v>
      </c>
      <c r="AZ10" s="122">
        <v>0</v>
      </c>
      <c r="BA10" s="111">
        <v>0</v>
      </c>
      <c r="BB10" s="122">
        <v>0</v>
      </c>
      <c r="BC10" s="111">
        <v>0</v>
      </c>
      <c r="BD10" s="122">
        <v>0</v>
      </c>
      <c r="BE10" s="111">
        <v>0</v>
      </c>
      <c r="BF10" s="122">
        <v>0</v>
      </c>
      <c r="BG10" s="111">
        <v>0</v>
      </c>
      <c r="BH10" s="122">
        <v>0</v>
      </c>
      <c r="BI10" s="111">
        <f>AQ10+AS10+AW10+AY10+BA10</f>
        <v>2200.6</v>
      </c>
      <c r="BJ10" s="52">
        <f t="shared" si="8"/>
        <v>8307265</v>
      </c>
      <c r="BK10" s="135">
        <f t="shared" si="9"/>
        <v>2618.7999999999997</v>
      </c>
      <c r="BL10" s="140">
        <f t="shared" si="10"/>
        <v>9885969.9999999981</v>
      </c>
      <c r="BM10" s="281">
        <f t="shared" si="2"/>
        <v>654.69999999999993</v>
      </c>
      <c r="BN10" s="282"/>
      <c r="BO10" s="282"/>
      <c r="BP10" s="282"/>
      <c r="BQ10" s="282"/>
      <c r="BR10" s="283"/>
      <c r="BS10" s="147">
        <f t="shared" si="3"/>
        <v>261.88</v>
      </c>
      <c r="BT10" s="147">
        <f t="shared" si="4"/>
        <v>2588937823.5999994</v>
      </c>
      <c r="BU10" s="288">
        <f t="shared" si="11"/>
        <v>3460089.4999999995</v>
      </c>
      <c r="BV10" s="288"/>
      <c r="BW10" s="288"/>
      <c r="BX10" s="288"/>
      <c r="BY10" s="288">
        <f t="shared" si="5"/>
        <v>3535.3799999999997</v>
      </c>
      <c r="BZ10" s="288"/>
      <c r="CA10" s="288"/>
      <c r="CB10" s="290">
        <f t="shared" si="12"/>
        <v>13346059.499999998</v>
      </c>
      <c r="CC10" s="290"/>
      <c r="CD10" s="290"/>
    </row>
    <row r="11" spans="1:135" ht="22.2" thickTop="1" thickBot="1" x14ac:dyDescent="0.35">
      <c r="A11" s="22">
        <v>3</v>
      </c>
      <c r="B11" s="22" t="s">
        <v>20</v>
      </c>
      <c r="C11" s="22" t="s">
        <v>16</v>
      </c>
      <c r="D11" s="49">
        <v>1845</v>
      </c>
      <c r="E11" s="106">
        <v>116.6</v>
      </c>
      <c r="F11" s="26">
        <f>E11*D11</f>
        <v>215127</v>
      </c>
      <c r="G11" s="111">
        <v>116.6</v>
      </c>
      <c r="H11" s="26">
        <f>G11*D11</f>
        <v>215127</v>
      </c>
      <c r="I11" s="111">
        <v>45</v>
      </c>
      <c r="J11" s="26">
        <f t="shared" si="6"/>
        <v>83025</v>
      </c>
      <c r="K11" s="111">
        <v>0</v>
      </c>
      <c r="L11" s="26">
        <v>0</v>
      </c>
      <c r="M11" s="111">
        <v>0</v>
      </c>
      <c r="N11" s="26">
        <v>0</v>
      </c>
      <c r="O11" s="111">
        <v>0</v>
      </c>
      <c r="P11" s="26">
        <v>0</v>
      </c>
      <c r="Q11" s="111">
        <v>0</v>
      </c>
      <c r="R11" s="26">
        <v>0</v>
      </c>
      <c r="S11" s="111">
        <v>0</v>
      </c>
      <c r="T11" s="26">
        <v>0</v>
      </c>
      <c r="U11" s="111">
        <f t="shared" si="13"/>
        <v>278.2</v>
      </c>
      <c r="V11" s="52">
        <f t="shared" si="14"/>
        <v>513279</v>
      </c>
      <c r="W11" s="106">
        <v>50</v>
      </c>
      <c r="X11" s="26">
        <f>W11*D11</f>
        <v>92250</v>
      </c>
      <c r="Y11" s="115">
        <v>0</v>
      </c>
      <c r="Z11" s="122">
        <v>0</v>
      </c>
      <c r="AA11" s="115">
        <v>0</v>
      </c>
      <c r="AB11" s="122">
        <v>0</v>
      </c>
      <c r="AC11" s="115">
        <v>0</v>
      </c>
      <c r="AD11" s="122">
        <v>0</v>
      </c>
      <c r="AE11" s="110">
        <v>0</v>
      </c>
      <c r="AF11" s="171">
        <v>0</v>
      </c>
      <c r="AG11" s="115">
        <v>0</v>
      </c>
      <c r="AH11" s="122">
        <v>0</v>
      </c>
      <c r="AI11" s="115">
        <v>0</v>
      </c>
      <c r="AJ11" s="122">
        <v>0</v>
      </c>
      <c r="AK11" s="111">
        <v>100</v>
      </c>
      <c r="AL11" s="26">
        <f>AK11*D11</f>
        <v>184500</v>
      </c>
      <c r="AM11" s="110">
        <v>0</v>
      </c>
      <c r="AN11" s="122">
        <v>0</v>
      </c>
      <c r="AO11" s="110">
        <f t="shared" si="0"/>
        <v>150</v>
      </c>
      <c r="AP11" s="127">
        <f t="shared" si="1"/>
        <v>276750</v>
      </c>
      <c r="AQ11" s="106">
        <v>450.6</v>
      </c>
      <c r="AR11" s="26">
        <f>AQ11*D11</f>
        <v>831357</v>
      </c>
      <c r="AS11" s="111">
        <v>1750</v>
      </c>
      <c r="AT11" s="26">
        <f t="shared" si="7"/>
        <v>3228750</v>
      </c>
      <c r="AU11" s="111">
        <v>5508</v>
      </c>
      <c r="AV11" s="26">
        <f>AU11*D11</f>
        <v>10162260</v>
      </c>
      <c r="AW11" s="110">
        <v>0</v>
      </c>
      <c r="AX11" s="122">
        <v>0</v>
      </c>
      <c r="AY11" s="111">
        <v>0</v>
      </c>
      <c r="AZ11" s="122">
        <v>0</v>
      </c>
      <c r="BA11" s="111">
        <v>0</v>
      </c>
      <c r="BB11" s="122">
        <v>0</v>
      </c>
      <c r="BC11" s="111">
        <v>0</v>
      </c>
      <c r="BD11" s="122">
        <v>0</v>
      </c>
      <c r="BE11" s="111">
        <v>0</v>
      </c>
      <c r="BF11" s="122">
        <v>0</v>
      </c>
      <c r="BG11" s="111">
        <v>0</v>
      </c>
      <c r="BH11" s="122">
        <v>0</v>
      </c>
      <c r="BI11" s="111">
        <f>AQ11+AS11+AW11+AY11+BA11</f>
        <v>2200.6</v>
      </c>
      <c r="BJ11" s="52">
        <f t="shared" si="8"/>
        <v>4060107</v>
      </c>
      <c r="BK11" s="135">
        <f t="shared" si="9"/>
        <v>2628.7999999999997</v>
      </c>
      <c r="BL11" s="140">
        <f t="shared" si="10"/>
        <v>4850135.9999999991</v>
      </c>
      <c r="BM11" s="281">
        <f t="shared" si="2"/>
        <v>657.19999999999993</v>
      </c>
      <c r="BN11" s="282"/>
      <c r="BO11" s="282"/>
      <c r="BP11" s="282"/>
      <c r="BQ11" s="282"/>
      <c r="BR11" s="283"/>
      <c r="BS11" s="147">
        <f t="shared" si="3"/>
        <v>262.88</v>
      </c>
      <c r="BT11" s="147">
        <f t="shared" si="4"/>
        <v>1275003751.6799998</v>
      </c>
      <c r="BU11" s="288">
        <f t="shared" si="11"/>
        <v>1697547.5999999999</v>
      </c>
      <c r="BV11" s="288"/>
      <c r="BW11" s="288"/>
      <c r="BX11" s="288"/>
      <c r="BY11" s="288">
        <f t="shared" si="5"/>
        <v>3548.8799999999997</v>
      </c>
      <c r="BZ11" s="288"/>
      <c r="CA11" s="288"/>
      <c r="CB11" s="290">
        <f t="shared" si="12"/>
        <v>6547683.5999999996</v>
      </c>
      <c r="CC11" s="290"/>
      <c r="CD11" s="290"/>
    </row>
    <row r="12" spans="1:135" ht="43.2" thickTop="1" thickBot="1" x14ac:dyDescent="0.35">
      <c r="A12" s="22">
        <v>4</v>
      </c>
      <c r="B12" s="23" t="s">
        <v>21</v>
      </c>
      <c r="C12" s="22" t="s">
        <v>16</v>
      </c>
      <c r="D12" s="49">
        <v>13380</v>
      </c>
      <c r="E12" s="106">
        <v>155.5</v>
      </c>
      <c r="F12" s="26">
        <f>E12*D12</f>
        <v>2080590</v>
      </c>
      <c r="G12" s="111">
        <v>124.4</v>
      </c>
      <c r="H12" s="26">
        <f>G12*D12</f>
        <v>1664472</v>
      </c>
      <c r="I12" s="111">
        <v>45</v>
      </c>
      <c r="J12" s="26">
        <f t="shared" si="6"/>
        <v>602100</v>
      </c>
      <c r="K12" s="111">
        <v>0</v>
      </c>
      <c r="L12" s="26">
        <v>0</v>
      </c>
      <c r="M12" s="111">
        <v>0</v>
      </c>
      <c r="N12" s="26">
        <v>0</v>
      </c>
      <c r="O12" s="111">
        <v>0</v>
      </c>
      <c r="P12" s="26">
        <v>0</v>
      </c>
      <c r="Q12" s="111">
        <v>0</v>
      </c>
      <c r="R12" s="26">
        <v>0</v>
      </c>
      <c r="S12" s="111">
        <v>1</v>
      </c>
      <c r="T12" s="124">
        <v>2500000</v>
      </c>
      <c r="U12" s="111">
        <f t="shared" si="13"/>
        <v>325.89999999999998</v>
      </c>
      <c r="V12" s="128">
        <f>(U12*D12)+T12</f>
        <v>6860542</v>
      </c>
      <c r="W12" s="106">
        <v>50</v>
      </c>
      <c r="X12" s="26">
        <f>W12*D12</f>
        <v>669000</v>
      </c>
      <c r="Y12" s="115">
        <v>0</v>
      </c>
      <c r="Z12" s="122">
        <v>0</v>
      </c>
      <c r="AA12" s="115">
        <v>0</v>
      </c>
      <c r="AB12" s="122">
        <v>0</v>
      </c>
      <c r="AC12" s="115">
        <v>0</v>
      </c>
      <c r="AD12" s="122">
        <v>0</v>
      </c>
      <c r="AE12" s="110">
        <v>0</v>
      </c>
      <c r="AF12" s="171">
        <v>0</v>
      </c>
      <c r="AG12" s="115">
        <v>0</v>
      </c>
      <c r="AH12" s="122">
        <v>0</v>
      </c>
      <c r="AI12" s="115">
        <v>0</v>
      </c>
      <c r="AJ12" s="122">
        <v>0</v>
      </c>
      <c r="AK12" s="111">
        <v>100</v>
      </c>
      <c r="AL12" s="26">
        <f>AK12*D12</f>
        <v>1338000</v>
      </c>
      <c r="AM12" s="110">
        <v>0</v>
      </c>
      <c r="AN12" s="122">
        <v>0</v>
      </c>
      <c r="AO12" s="110">
        <f t="shared" si="0"/>
        <v>150</v>
      </c>
      <c r="AP12" s="127">
        <f t="shared" si="1"/>
        <v>2007000</v>
      </c>
      <c r="AQ12" s="106">
        <v>450.6</v>
      </c>
      <c r="AR12" s="26">
        <f>AQ12*D12</f>
        <v>6029028</v>
      </c>
      <c r="AS12" s="111">
        <v>1750</v>
      </c>
      <c r="AT12" s="26">
        <f t="shared" si="7"/>
        <v>23415000</v>
      </c>
      <c r="AU12" s="111">
        <v>5508</v>
      </c>
      <c r="AV12" s="26">
        <f>AU12*D12</f>
        <v>73697040</v>
      </c>
      <c r="AW12" s="110">
        <v>0</v>
      </c>
      <c r="AX12" s="122">
        <v>0</v>
      </c>
      <c r="AY12" s="111">
        <v>0</v>
      </c>
      <c r="AZ12" s="122">
        <v>0</v>
      </c>
      <c r="BA12" s="111">
        <v>0</v>
      </c>
      <c r="BB12" s="122">
        <v>0</v>
      </c>
      <c r="BC12" s="111">
        <v>0</v>
      </c>
      <c r="BD12" s="122">
        <v>0</v>
      </c>
      <c r="BE12" s="111">
        <v>0</v>
      </c>
      <c r="BF12" s="122">
        <v>0</v>
      </c>
      <c r="BG12" s="111">
        <v>0</v>
      </c>
      <c r="BH12" s="122">
        <v>0</v>
      </c>
      <c r="BI12" s="111">
        <f>AQ12+AS12+AW12+AY12+BA12</f>
        <v>2200.6</v>
      </c>
      <c r="BJ12" s="52">
        <f t="shared" si="8"/>
        <v>29444028</v>
      </c>
      <c r="BK12" s="135">
        <f t="shared" si="9"/>
        <v>2676.5</v>
      </c>
      <c r="BL12" s="140">
        <f>(BK12*D12)+V12</f>
        <v>42672112</v>
      </c>
      <c r="BM12" s="281">
        <f t="shared" si="2"/>
        <v>669.125</v>
      </c>
      <c r="BN12" s="282"/>
      <c r="BO12" s="282"/>
      <c r="BP12" s="282"/>
      <c r="BQ12" s="282"/>
      <c r="BR12" s="283"/>
      <c r="BS12" s="147">
        <f t="shared" si="3"/>
        <v>267.65000000000003</v>
      </c>
      <c r="BT12" s="147">
        <f t="shared" si="4"/>
        <v>11421190776.800001</v>
      </c>
      <c r="BU12" s="288">
        <f t="shared" si="11"/>
        <v>12534049.500000002</v>
      </c>
      <c r="BV12" s="288"/>
      <c r="BW12" s="288"/>
      <c r="BX12" s="288"/>
      <c r="BY12" s="288">
        <f t="shared" si="5"/>
        <v>3613.2750000000001</v>
      </c>
      <c r="BZ12" s="288"/>
      <c r="CA12" s="288"/>
      <c r="CB12" s="290">
        <f t="shared" si="12"/>
        <v>48345619.5</v>
      </c>
      <c r="CC12" s="290"/>
      <c r="CD12" s="290"/>
    </row>
    <row r="13" spans="1:135" ht="43.2" thickTop="1" thickBot="1" x14ac:dyDescent="0.35">
      <c r="A13" s="22">
        <v>5</v>
      </c>
      <c r="B13" s="23" t="s">
        <v>22</v>
      </c>
      <c r="C13" s="22" t="s">
        <v>16</v>
      </c>
      <c r="D13" s="49">
        <v>22085</v>
      </c>
      <c r="E13" s="106">
        <v>7</v>
      </c>
      <c r="F13" s="26">
        <f>E13*D13</f>
        <v>154595</v>
      </c>
      <c r="G13" s="111">
        <v>70</v>
      </c>
      <c r="H13" s="26">
        <f>G13*D13</f>
        <v>1545950</v>
      </c>
      <c r="I13" s="111">
        <v>40</v>
      </c>
      <c r="J13" s="26">
        <f t="shared" si="6"/>
        <v>883400</v>
      </c>
      <c r="K13" s="111">
        <v>0</v>
      </c>
      <c r="L13" s="26">
        <v>0</v>
      </c>
      <c r="M13" s="111">
        <v>0</v>
      </c>
      <c r="N13" s="26">
        <v>0</v>
      </c>
      <c r="O13" s="111">
        <v>0</v>
      </c>
      <c r="P13" s="26">
        <v>0</v>
      </c>
      <c r="Q13" s="111">
        <v>0</v>
      </c>
      <c r="R13" s="26">
        <v>0</v>
      </c>
      <c r="S13" s="111">
        <v>0</v>
      </c>
      <c r="T13" s="26">
        <v>0</v>
      </c>
      <c r="U13" s="111">
        <f t="shared" si="13"/>
        <v>117</v>
      </c>
      <c r="V13" s="52">
        <f t="shared" si="14"/>
        <v>2583945</v>
      </c>
      <c r="W13" s="106">
        <v>50</v>
      </c>
      <c r="X13" s="26">
        <f>W13*D13</f>
        <v>1104250</v>
      </c>
      <c r="Y13" s="115">
        <v>0</v>
      </c>
      <c r="Z13" s="122">
        <v>0</v>
      </c>
      <c r="AA13" s="115">
        <v>0</v>
      </c>
      <c r="AB13" s="122">
        <v>0</v>
      </c>
      <c r="AC13" s="115">
        <v>0</v>
      </c>
      <c r="AD13" s="122">
        <v>0</v>
      </c>
      <c r="AE13" s="110">
        <v>0</v>
      </c>
      <c r="AF13" s="171">
        <v>0</v>
      </c>
      <c r="AG13" s="115">
        <v>0</v>
      </c>
      <c r="AH13" s="122">
        <v>0</v>
      </c>
      <c r="AI13" s="115">
        <v>0</v>
      </c>
      <c r="AJ13" s="122">
        <v>0</v>
      </c>
      <c r="AK13" s="111">
        <v>100</v>
      </c>
      <c r="AL13" s="26">
        <f>AK13*D13</f>
        <v>2208500</v>
      </c>
      <c r="AM13" s="110">
        <v>0</v>
      </c>
      <c r="AN13" s="122">
        <v>0</v>
      </c>
      <c r="AO13" s="110">
        <f t="shared" si="0"/>
        <v>150</v>
      </c>
      <c r="AP13" s="127">
        <f t="shared" si="1"/>
        <v>3312750</v>
      </c>
      <c r="AQ13" s="106">
        <v>450.6</v>
      </c>
      <c r="AR13" s="26">
        <f>AQ13*D13</f>
        <v>9951501</v>
      </c>
      <c r="AS13" s="111">
        <v>1550</v>
      </c>
      <c r="AT13" s="26">
        <f t="shared" si="7"/>
        <v>34231750</v>
      </c>
      <c r="AU13" s="111">
        <v>5508</v>
      </c>
      <c r="AV13" s="26">
        <f>AU13*D13</f>
        <v>121644180</v>
      </c>
      <c r="AW13" s="110">
        <v>0</v>
      </c>
      <c r="AX13" s="122">
        <v>0</v>
      </c>
      <c r="AY13" s="111">
        <v>0</v>
      </c>
      <c r="AZ13" s="122">
        <v>0</v>
      </c>
      <c r="BA13" s="111">
        <v>0</v>
      </c>
      <c r="BB13" s="122">
        <v>0</v>
      </c>
      <c r="BC13" s="111">
        <v>0</v>
      </c>
      <c r="BD13" s="122">
        <v>0</v>
      </c>
      <c r="BE13" s="111">
        <v>0</v>
      </c>
      <c r="BF13" s="122">
        <v>0</v>
      </c>
      <c r="BG13" s="111">
        <v>0</v>
      </c>
      <c r="BH13" s="122">
        <v>0</v>
      </c>
      <c r="BI13" s="111">
        <f>AQ13+AS13+AW13+AY13+BA13</f>
        <v>2000.6</v>
      </c>
      <c r="BJ13" s="52">
        <f t="shared" si="8"/>
        <v>44183251</v>
      </c>
      <c r="BK13" s="135">
        <f t="shared" si="9"/>
        <v>2267.6</v>
      </c>
      <c r="BL13" s="140">
        <f t="shared" si="10"/>
        <v>50079946</v>
      </c>
      <c r="BM13" s="281">
        <f t="shared" si="2"/>
        <v>566.9</v>
      </c>
      <c r="BN13" s="282"/>
      <c r="BO13" s="282"/>
      <c r="BP13" s="282"/>
      <c r="BQ13" s="282"/>
      <c r="BR13" s="283"/>
      <c r="BS13" s="147">
        <f t="shared" si="3"/>
        <v>226.76</v>
      </c>
      <c r="BT13" s="147">
        <f t="shared" si="4"/>
        <v>11356128554.959999</v>
      </c>
      <c r="BU13" s="288">
        <f t="shared" si="11"/>
        <v>17527981.099999998</v>
      </c>
      <c r="BV13" s="288"/>
      <c r="BW13" s="288"/>
      <c r="BX13" s="288"/>
      <c r="BY13" s="288">
        <f t="shared" si="5"/>
        <v>3061.26</v>
      </c>
      <c r="BZ13" s="288"/>
      <c r="CA13" s="288"/>
      <c r="CB13" s="290">
        <f t="shared" si="12"/>
        <v>67607927.100000009</v>
      </c>
      <c r="CC13" s="290"/>
      <c r="CD13" s="290"/>
    </row>
    <row r="14" spans="1:135" ht="43.2" thickTop="1" thickBot="1" x14ac:dyDescent="0.35">
      <c r="A14" s="22">
        <v>6</v>
      </c>
      <c r="B14" s="23" t="s">
        <v>23</v>
      </c>
      <c r="C14" s="22" t="s">
        <v>26</v>
      </c>
      <c r="D14" s="50">
        <v>7785</v>
      </c>
      <c r="E14" s="104">
        <v>0</v>
      </c>
      <c r="F14" s="121">
        <v>0</v>
      </c>
      <c r="G14" s="109">
        <v>0</v>
      </c>
      <c r="H14" s="121">
        <v>0</v>
      </c>
      <c r="I14" s="109">
        <v>40</v>
      </c>
      <c r="J14" s="121">
        <f t="shared" si="6"/>
        <v>311400</v>
      </c>
      <c r="K14" s="109">
        <v>0</v>
      </c>
      <c r="L14" s="121">
        <v>0</v>
      </c>
      <c r="M14" s="109">
        <v>0</v>
      </c>
      <c r="N14" s="121">
        <v>0</v>
      </c>
      <c r="O14" s="109">
        <v>0</v>
      </c>
      <c r="P14" s="121">
        <v>0</v>
      </c>
      <c r="Q14" s="109">
        <v>0</v>
      </c>
      <c r="R14" s="121">
        <v>0</v>
      </c>
      <c r="S14" s="109">
        <v>0</v>
      </c>
      <c r="T14" s="121">
        <v>0</v>
      </c>
      <c r="U14" s="109">
        <f t="shared" si="13"/>
        <v>40</v>
      </c>
      <c r="V14" s="125">
        <f t="shared" si="14"/>
        <v>311400</v>
      </c>
      <c r="W14" s="172">
        <v>0</v>
      </c>
      <c r="X14" s="121">
        <v>0</v>
      </c>
      <c r="Y14" s="115">
        <v>0</v>
      </c>
      <c r="Z14" s="122">
        <v>0</v>
      </c>
      <c r="AA14" s="115">
        <v>0</v>
      </c>
      <c r="AB14" s="122">
        <v>0</v>
      </c>
      <c r="AC14" s="115">
        <v>0</v>
      </c>
      <c r="AD14" s="122">
        <v>0</v>
      </c>
      <c r="AE14" s="110">
        <v>0</v>
      </c>
      <c r="AF14" s="171">
        <v>0</v>
      </c>
      <c r="AG14" s="115">
        <v>0</v>
      </c>
      <c r="AH14" s="122">
        <v>0</v>
      </c>
      <c r="AI14" s="115">
        <v>0</v>
      </c>
      <c r="AJ14" s="122">
        <v>0</v>
      </c>
      <c r="AK14" s="109">
        <v>0</v>
      </c>
      <c r="AL14" s="121">
        <v>0</v>
      </c>
      <c r="AM14" s="110">
        <v>0</v>
      </c>
      <c r="AN14" s="122">
        <v>0</v>
      </c>
      <c r="AO14" s="110">
        <f t="shared" si="0"/>
        <v>0</v>
      </c>
      <c r="AP14" s="127">
        <f t="shared" si="1"/>
        <v>0</v>
      </c>
      <c r="AQ14" s="104">
        <v>0</v>
      </c>
      <c r="AR14" s="26">
        <v>0</v>
      </c>
      <c r="AS14" s="109">
        <v>0</v>
      </c>
      <c r="AT14" s="121">
        <f t="shared" si="7"/>
        <v>0</v>
      </c>
      <c r="AU14" s="109">
        <v>0</v>
      </c>
      <c r="AV14" s="121">
        <v>0</v>
      </c>
      <c r="AW14" s="110">
        <v>0</v>
      </c>
      <c r="AX14" s="122">
        <v>0</v>
      </c>
      <c r="AY14" s="109">
        <v>0</v>
      </c>
      <c r="AZ14" s="122">
        <v>0</v>
      </c>
      <c r="BA14" s="109">
        <v>0</v>
      </c>
      <c r="BB14" s="122">
        <v>0</v>
      </c>
      <c r="BC14" s="109">
        <v>0</v>
      </c>
      <c r="BD14" s="122">
        <v>0</v>
      </c>
      <c r="BE14" s="109">
        <v>0</v>
      </c>
      <c r="BF14" s="122">
        <v>0</v>
      </c>
      <c r="BG14" s="109">
        <v>0</v>
      </c>
      <c r="BH14" s="122">
        <v>0</v>
      </c>
      <c r="BI14" s="109">
        <f>AQ14+AS14+AW14+AY14+BA14+BC14+BG14</f>
        <v>0</v>
      </c>
      <c r="BJ14" s="125">
        <f t="shared" si="8"/>
        <v>0</v>
      </c>
      <c r="BK14" s="134">
        <f t="shared" si="9"/>
        <v>40</v>
      </c>
      <c r="BL14" s="138">
        <f t="shared" si="10"/>
        <v>311400</v>
      </c>
      <c r="BM14" s="266">
        <f t="shared" si="2"/>
        <v>10</v>
      </c>
      <c r="BN14" s="267"/>
      <c r="BO14" s="267"/>
      <c r="BP14" s="267"/>
      <c r="BQ14" s="267"/>
      <c r="BR14" s="268"/>
      <c r="BS14" s="146">
        <f t="shared" si="3"/>
        <v>4</v>
      </c>
      <c r="BT14" s="146">
        <f t="shared" si="4"/>
        <v>1245600</v>
      </c>
      <c r="BU14" s="270">
        <f t="shared" si="11"/>
        <v>108990</v>
      </c>
      <c r="BV14" s="270"/>
      <c r="BW14" s="270"/>
      <c r="BX14" s="270"/>
      <c r="BY14" s="270">
        <f t="shared" si="5"/>
        <v>54</v>
      </c>
      <c r="BZ14" s="270"/>
      <c r="CA14" s="270"/>
      <c r="CB14" s="272">
        <f t="shared" si="12"/>
        <v>420390</v>
      </c>
      <c r="CC14" s="272"/>
      <c r="CD14" s="272"/>
    </row>
    <row r="15" spans="1:135" s="66" customFormat="1" ht="34.799999999999997" thickTop="1" thickBot="1" x14ac:dyDescent="0.35">
      <c r="A15" s="217" t="s">
        <v>24</v>
      </c>
      <c r="B15" s="218"/>
      <c r="C15" s="218"/>
      <c r="D15" s="219"/>
      <c r="E15" s="173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174"/>
      <c r="X15" s="116"/>
      <c r="Y15" s="67"/>
      <c r="Z15" s="117"/>
      <c r="AA15" s="67"/>
      <c r="AB15" s="117"/>
      <c r="AC15" s="67"/>
      <c r="AD15" s="117"/>
      <c r="AE15" s="117"/>
      <c r="AF15" s="67"/>
      <c r="AG15" s="67"/>
      <c r="AH15" s="117"/>
      <c r="AI15" s="67"/>
      <c r="AJ15" s="117"/>
      <c r="AK15" s="54"/>
      <c r="AL15" s="116"/>
      <c r="AM15" s="117"/>
      <c r="AN15" s="117"/>
      <c r="AO15" s="117"/>
      <c r="AP15" s="118"/>
      <c r="AQ15" s="149"/>
      <c r="AR15" s="24"/>
      <c r="AS15" s="54"/>
      <c r="AT15" s="54"/>
      <c r="AU15" s="54"/>
      <c r="AV15" s="54"/>
      <c r="AW15" s="117"/>
      <c r="AX15" s="117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120"/>
      <c r="BL15" s="136"/>
      <c r="BM15" s="166"/>
      <c r="BN15" s="166"/>
      <c r="BO15" s="166"/>
      <c r="BP15" s="166"/>
      <c r="BQ15" s="166"/>
      <c r="BR15" s="166"/>
      <c r="BS15" s="167"/>
      <c r="BT15" s="167"/>
      <c r="BU15" s="166"/>
      <c r="BV15" s="166"/>
      <c r="BW15" s="166"/>
      <c r="BX15" s="166"/>
      <c r="BY15" s="166"/>
      <c r="BZ15" s="168"/>
      <c r="CA15" s="168"/>
      <c r="CB15" s="169"/>
      <c r="CC15" s="169"/>
      <c r="CD15" s="170"/>
      <c r="CE15" s="80"/>
      <c r="CF15" s="80"/>
      <c r="CG15" s="80"/>
      <c r="CH15" s="80"/>
      <c r="CI15" s="80"/>
      <c r="CJ15" s="80"/>
      <c r="CK15" s="80"/>
      <c r="CL15" s="80"/>
      <c r="CM15" s="80"/>
      <c r="CN15" s="80"/>
      <c r="CO15" s="80"/>
      <c r="CP15" s="80"/>
      <c r="CQ15" s="80"/>
      <c r="CR15" s="80"/>
      <c r="CS15" s="80"/>
      <c r="CT15" s="80"/>
      <c r="CU15" s="80"/>
      <c r="CV15" s="80"/>
      <c r="CW15" s="80"/>
      <c r="CX15" s="80"/>
      <c r="CY15" s="80"/>
      <c r="CZ15" s="80"/>
      <c r="DA15" s="80"/>
      <c r="DB15" s="80"/>
      <c r="DC15" s="80"/>
      <c r="DD15" s="80"/>
      <c r="DE15" s="80"/>
      <c r="DF15" s="80"/>
      <c r="DG15" s="80"/>
      <c r="DH15" s="80"/>
      <c r="DI15" s="80"/>
      <c r="DJ15" s="80"/>
      <c r="DK15" s="80"/>
      <c r="DL15" s="80"/>
      <c r="DM15" s="80"/>
      <c r="DN15" s="80"/>
      <c r="DO15" s="80"/>
      <c r="DP15" s="80"/>
      <c r="DQ15" s="80"/>
      <c r="DR15" s="80"/>
      <c r="DS15" s="80"/>
      <c r="DT15" s="80"/>
      <c r="DU15" s="80"/>
      <c r="DV15" s="80"/>
      <c r="DW15" s="80"/>
      <c r="DX15" s="80"/>
      <c r="DY15" s="80"/>
      <c r="DZ15" s="80"/>
      <c r="EA15" s="80"/>
      <c r="EB15" s="80"/>
      <c r="EC15" s="80"/>
      <c r="ED15" s="80"/>
      <c r="EE15" s="80"/>
    </row>
    <row r="16" spans="1:135" ht="43.2" thickTop="1" thickBot="1" x14ac:dyDescent="0.35">
      <c r="A16" s="91">
        <v>1</v>
      </c>
      <c r="B16" s="92" t="s">
        <v>25</v>
      </c>
      <c r="C16" s="93" t="s">
        <v>26</v>
      </c>
      <c r="D16" s="94">
        <v>10600</v>
      </c>
      <c r="E16" s="105">
        <v>0</v>
      </c>
      <c r="F16" s="122">
        <v>0</v>
      </c>
      <c r="G16" s="110">
        <v>0</v>
      </c>
      <c r="H16" s="122">
        <v>0</v>
      </c>
      <c r="I16" s="110">
        <v>0</v>
      </c>
      <c r="J16" s="122">
        <v>0</v>
      </c>
      <c r="K16" s="110">
        <v>0</v>
      </c>
      <c r="L16" s="122">
        <v>0</v>
      </c>
      <c r="M16" s="110">
        <v>0</v>
      </c>
      <c r="N16" s="122">
        <v>0</v>
      </c>
      <c r="O16" s="110">
        <v>0</v>
      </c>
      <c r="P16" s="122">
        <v>0</v>
      </c>
      <c r="Q16" s="110">
        <v>0</v>
      </c>
      <c r="R16" s="122">
        <v>0</v>
      </c>
      <c r="S16" s="110">
        <v>18</v>
      </c>
      <c r="T16" s="122">
        <f>S16*D16</f>
        <v>190800</v>
      </c>
      <c r="U16" s="110">
        <f>E16+G16+I16+K16+M16+O16+Q16+S16</f>
        <v>18</v>
      </c>
      <c r="V16" s="127">
        <f t="shared" si="14"/>
        <v>190800</v>
      </c>
      <c r="W16" s="172">
        <v>0</v>
      </c>
      <c r="X16" s="121">
        <v>0</v>
      </c>
      <c r="Y16" s="115">
        <v>0</v>
      </c>
      <c r="Z16" s="122">
        <v>0</v>
      </c>
      <c r="AA16" s="115">
        <v>0</v>
      </c>
      <c r="AB16" s="122">
        <v>0</v>
      </c>
      <c r="AC16" s="115">
        <v>0</v>
      </c>
      <c r="AD16" s="122">
        <v>0</v>
      </c>
      <c r="AE16" s="110">
        <v>0</v>
      </c>
      <c r="AF16" s="171">
        <v>0</v>
      </c>
      <c r="AG16" s="115">
        <v>0</v>
      </c>
      <c r="AH16" s="122">
        <v>0</v>
      </c>
      <c r="AI16" s="115">
        <v>0</v>
      </c>
      <c r="AJ16" s="122">
        <v>0</v>
      </c>
      <c r="AK16" s="110">
        <v>0</v>
      </c>
      <c r="AL16" s="121">
        <v>0</v>
      </c>
      <c r="AM16" s="110">
        <v>0</v>
      </c>
      <c r="AN16" s="122">
        <v>0</v>
      </c>
      <c r="AO16" s="110">
        <f t="shared" si="0"/>
        <v>0</v>
      </c>
      <c r="AP16" s="127">
        <f t="shared" si="1"/>
        <v>0</v>
      </c>
      <c r="AQ16" s="104">
        <v>0</v>
      </c>
      <c r="AR16" s="26">
        <v>0</v>
      </c>
      <c r="AS16" s="110">
        <v>0</v>
      </c>
      <c r="AT16" s="26">
        <v>0</v>
      </c>
      <c r="AU16" s="110">
        <v>0</v>
      </c>
      <c r="AV16" s="122">
        <v>0</v>
      </c>
      <c r="AW16" s="110">
        <v>0</v>
      </c>
      <c r="AX16" s="122">
        <v>0</v>
      </c>
      <c r="AY16" s="110">
        <v>0</v>
      </c>
      <c r="AZ16" s="122">
        <v>0</v>
      </c>
      <c r="BA16" s="110">
        <v>0</v>
      </c>
      <c r="BB16" s="122">
        <v>0</v>
      </c>
      <c r="BC16" s="110">
        <v>0</v>
      </c>
      <c r="BD16" s="122">
        <v>0</v>
      </c>
      <c r="BE16" s="110">
        <v>0</v>
      </c>
      <c r="BF16" s="122">
        <v>0</v>
      </c>
      <c r="BG16" s="110">
        <v>50</v>
      </c>
      <c r="BH16" s="122">
        <f>BG16*D16</f>
        <v>530000</v>
      </c>
      <c r="BI16" s="110">
        <f>AQ16+AS16+AU16+AW16+AY16+BA16+BC16+BG16</f>
        <v>50</v>
      </c>
      <c r="BJ16" s="127">
        <f>BI16*D16</f>
        <v>530000</v>
      </c>
      <c r="BK16" s="133">
        <f>BI16+AO16+U16</f>
        <v>68</v>
      </c>
      <c r="BL16" s="139">
        <f>BK16*D16</f>
        <v>720800</v>
      </c>
      <c r="BM16" s="263">
        <f t="shared" si="2"/>
        <v>17</v>
      </c>
      <c r="BN16" s="264"/>
      <c r="BO16" s="264"/>
      <c r="BP16" s="264"/>
      <c r="BQ16" s="264"/>
      <c r="BR16" s="265"/>
      <c r="BS16" s="145">
        <f t="shared" si="3"/>
        <v>6.8000000000000007</v>
      </c>
      <c r="BT16" s="145">
        <f t="shared" si="4"/>
        <v>4901440.0000000009</v>
      </c>
      <c r="BU16" s="269">
        <f>(BM16+BS16)*D16</f>
        <v>252280</v>
      </c>
      <c r="BV16" s="269"/>
      <c r="BW16" s="269"/>
      <c r="BX16" s="269"/>
      <c r="BY16" s="269">
        <f t="shared" si="5"/>
        <v>91.8</v>
      </c>
      <c r="BZ16" s="269"/>
      <c r="CA16" s="269"/>
      <c r="CB16" s="271">
        <f>BY16*D16</f>
        <v>973080</v>
      </c>
      <c r="CC16" s="271"/>
      <c r="CD16" s="271"/>
    </row>
    <row r="17" spans="1:135" ht="43.2" thickTop="1" thickBot="1" x14ac:dyDescent="0.35">
      <c r="A17" s="91">
        <v>2</v>
      </c>
      <c r="B17" s="92" t="s">
        <v>138</v>
      </c>
      <c r="C17" s="93" t="s">
        <v>26</v>
      </c>
      <c r="D17" s="94">
        <v>22500</v>
      </c>
      <c r="E17" s="106">
        <v>0</v>
      </c>
      <c r="F17" s="26">
        <v>0</v>
      </c>
      <c r="G17" s="111">
        <v>0</v>
      </c>
      <c r="H17" s="26">
        <v>0</v>
      </c>
      <c r="I17" s="111">
        <v>0</v>
      </c>
      <c r="J17" s="26">
        <v>0</v>
      </c>
      <c r="K17" s="111">
        <v>0</v>
      </c>
      <c r="L17" s="26">
        <v>0</v>
      </c>
      <c r="M17" s="111">
        <v>0</v>
      </c>
      <c r="N17" s="26">
        <v>0</v>
      </c>
      <c r="O17" s="111">
        <v>0</v>
      </c>
      <c r="P17" s="26">
        <v>0</v>
      </c>
      <c r="Q17" s="111">
        <v>0</v>
      </c>
      <c r="R17" s="26">
        <v>0</v>
      </c>
      <c r="S17" s="111">
        <v>0</v>
      </c>
      <c r="T17" s="26">
        <f t="shared" ref="T17:T19" si="15">S17*D17</f>
        <v>0</v>
      </c>
      <c r="U17" s="111">
        <f t="shared" si="13"/>
        <v>0</v>
      </c>
      <c r="V17" s="52">
        <f t="shared" si="14"/>
        <v>0</v>
      </c>
      <c r="W17" s="172">
        <v>0</v>
      </c>
      <c r="X17" s="121">
        <v>0</v>
      </c>
      <c r="Y17" s="115">
        <v>0</v>
      </c>
      <c r="Z17" s="122">
        <v>0</v>
      </c>
      <c r="AA17" s="115">
        <v>0</v>
      </c>
      <c r="AB17" s="122">
        <v>0</v>
      </c>
      <c r="AC17" s="115">
        <v>0</v>
      </c>
      <c r="AD17" s="122">
        <v>0</v>
      </c>
      <c r="AE17" s="110">
        <v>0</v>
      </c>
      <c r="AF17" s="171">
        <v>0</v>
      </c>
      <c r="AG17" s="115">
        <v>0</v>
      </c>
      <c r="AH17" s="122">
        <v>0</v>
      </c>
      <c r="AI17" s="115">
        <v>0</v>
      </c>
      <c r="AJ17" s="122">
        <v>0</v>
      </c>
      <c r="AK17" s="111">
        <v>0</v>
      </c>
      <c r="AL17" s="121">
        <v>0</v>
      </c>
      <c r="AM17" s="110">
        <v>0</v>
      </c>
      <c r="AN17" s="122">
        <v>0</v>
      </c>
      <c r="AO17" s="110">
        <f t="shared" si="0"/>
        <v>0</v>
      </c>
      <c r="AP17" s="127">
        <f t="shared" si="1"/>
        <v>0</v>
      </c>
      <c r="AQ17" s="104">
        <v>0</v>
      </c>
      <c r="AR17" s="26">
        <v>0</v>
      </c>
      <c r="AS17" s="110">
        <v>0</v>
      </c>
      <c r="AT17" s="26">
        <v>0</v>
      </c>
      <c r="AU17" s="111">
        <v>0</v>
      </c>
      <c r="AV17" s="26">
        <v>0</v>
      </c>
      <c r="AW17" s="110">
        <v>0</v>
      </c>
      <c r="AX17" s="122">
        <v>0</v>
      </c>
      <c r="AY17" s="111">
        <v>0</v>
      </c>
      <c r="AZ17" s="26">
        <v>0</v>
      </c>
      <c r="BA17" s="111">
        <v>0</v>
      </c>
      <c r="BB17" s="26">
        <v>0</v>
      </c>
      <c r="BC17" s="111">
        <v>0</v>
      </c>
      <c r="BD17" s="26">
        <v>0</v>
      </c>
      <c r="BE17" s="111">
        <v>0</v>
      </c>
      <c r="BF17" s="26">
        <v>0</v>
      </c>
      <c r="BG17" s="111">
        <v>0</v>
      </c>
      <c r="BH17" s="26">
        <v>0</v>
      </c>
      <c r="BI17" s="111">
        <f>AQ17+AS17+AU17+AW17+AY17+BA17+BC17+BG17</f>
        <v>0</v>
      </c>
      <c r="BJ17" s="52">
        <f>BI17*D17</f>
        <v>0</v>
      </c>
      <c r="BK17" s="135">
        <f>BI17+AO17+U17</f>
        <v>0</v>
      </c>
      <c r="BL17" s="140">
        <f>BK17*D17</f>
        <v>0</v>
      </c>
      <c r="BM17" s="281">
        <f t="shared" si="2"/>
        <v>0</v>
      </c>
      <c r="BN17" s="282"/>
      <c r="BO17" s="282"/>
      <c r="BP17" s="282"/>
      <c r="BQ17" s="282"/>
      <c r="BR17" s="283"/>
      <c r="BS17" s="147">
        <f t="shared" si="3"/>
        <v>0</v>
      </c>
      <c r="BT17" s="147">
        <f t="shared" si="4"/>
        <v>0</v>
      </c>
      <c r="BU17" s="288">
        <f>(BM17+BS17)*D17</f>
        <v>0</v>
      </c>
      <c r="BV17" s="288"/>
      <c r="BW17" s="288"/>
      <c r="BX17" s="288"/>
      <c r="BY17" s="288">
        <f t="shared" si="5"/>
        <v>0</v>
      </c>
      <c r="BZ17" s="288"/>
      <c r="CA17" s="288"/>
      <c r="CB17" s="290">
        <f>BY17*D17</f>
        <v>0</v>
      </c>
      <c r="CC17" s="290"/>
      <c r="CD17" s="290"/>
    </row>
    <row r="18" spans="1:135" ht="43.2" thickTop="1" thickBot="1" x14ac:dyDescent="0.35">
      <c r="A18" s="91">
        <v>3</v>
      </c>
      <c r="B18" s="92" t="s">
        <v>139</v>
      </c>
      <c r="C18" s="93" t="s">
        <v>26</v>
      </c>
      <c r="D18" s="95">
        <v>7250</v>
      </c>
      <c r="E18" s="106">
        <v>0</v>
      </c>
      <c r="F18" s="26">
        <v>0</v>
      </c>
      <c r="G18" s="111">
        <v>0</v>
      </c>
      <c r="H18" s="26">
        <v>0</v>
      </c>
      <c r="I18" s="111">
        <v>0</v>
      </c>
      <c r="J18" s="26">
        <v>0</v>
      </c>
      <c r="K18" s="111">
        <v>0</v>
      </c>
      <c r="L18" s="26">
        <v>0</v>
      </c>
      <c r="M18" s="111">
        <v>35</v>
      </c>
      <c r="N18" s="26">
        <f>M18*D18</f>
        <v>253750</v>
      </c>
      <c r="O18" s="111">
        <v>0</v>
      </c>
      <c r="P18" s="26">
        <v>0</v>
      </c>
      <c r="Q18" s="111">
        <v>0</v>
      </c>
      <c r="R18" s="26">
        <v>0</v>
      </c>
      <c r="S18" s="111">
        <v>0</v>
      </c>
      <c r="T18" s="26">
        <f t="shared" si="15"/>
        <v>0</v>
      </c>
      <c r="U18" s="111">
        <f t="shared" si="13"/>
        <v>35</v>
      </c>
      <c r="V18" s="52">
        <f t="shared" si="14"/>
        <v>253750</v>
      </c>
      <c r="W18" s="172">
        <v>0</v>
      </c>
      <c r="X18" s="121">
        <v>0</v>
      </c>
      <c r="Y18" s="115">
        <v>0</v>
      </c>
      <c r="Z18" s="122">
        <v>0</v>
      </c>
      <c r="AA18" s="115">
        <v>0</v>
      </c>
      <c r="AB18" s="122">
        <v>0</v>
      </c>
      <c r="AC18" s="115">
        <v>0</v>
      </c>
      <c r="AD18" s="122">
        <v>0</v>
      </c>
      <c r="AE18" s="110">
        <v>0</v>
      </c>
      <c r="AF18" s="171">
        <v>0</v>
      </c>
      <c r="AG18" s="115">
        <v>0</v>
      </c>
      <c r="AH18" s="122">
        <v>0</v>
      </c>
      <c r="AI18" s="115">
        <v>0</v>
      </c>
      <c r="AJ18" s="122">
        <v>0</v>
      </c>
      <c r="AK18" s="111">
        <v>0</v>
      </c>
      <c r="AL18" s="121">
        <v>0</v>
      </c>
      <c r="AM18" s="110">
        <v>0</v>
      </c>
      <c r="AN18" s="122">
        <v>0</v>
      </c>
      <c r="AO18" s="110">
        <f t="shared" si="0"/>
        <v>0</v>
      </c>
      <c r="AP18" s="127">
        <f t="shared" si="1"/>
        <v>0</v>
      </c>
      <c r="AQ18" s="104">
        <v>0</v>
      </c>
      <c r="AR18" s="26">
        <v>0</v>
      </c>
      <c r="AS18" s="110">
        <v>0</v>
      </c>
      <c r="AT18" s="26">
        <v>0</v>
      </c>
      <c r="AU18" s="111">
        <v>0</v>
      </c>
      <c r="AV18" s="26">
        <v>0</v>
      </c>
      <c r="AW18" s="110">
        <v>0</v>
      </c>
      <c r="AX18" s="122">
        <v>0</v>
      </c>
      <c r="AY18" s="111">
        <v>0</v>
      </c>
      <c r="AZ18" s="26">
        <v>0</v>
      </c>
      <c r="BA18" s="111">
        <v>0</v>
      </c>
      <c r="BB18" s="26">
        <v>0</v>
      </c>
      <c r="BC18" s="111">
        <v>220</v>
      </c>
      <c r="BD18" s="26">
        <f>D17*BC18</f>
        <v>4950000</v>
      </c>
      <c r="BE18" s="111">
        <v>0</v>
      </c>
      <c r="BF18" s="26">
        <v>0</v>
      </c>
      <c r="BG18" s="111">
        <v>0</v>
      </c>
      <c r="BH18" s="26">
        <v>0</v>
      </c>
      <c r="BI18" s="111">
        <f>AQ18+AS18+AU18+AW18+AY18+BA18+BC18+BG18</f>
        <v>220</v>
      </c>
      <c r="BJ18" s="52">
        <f>BI18*D18</f>
        <v>1595000</v>
      </c>
      <c r="BK18" s="135">
        <f>BI18+AO18+U18</f>
        <v>255</v>
      </c>
      <c r="BL18" s="140">
        <f>BK18*D18</f>
        <v>1848750</v>
      </c>
      <c r="BM18" s="281">
        <f t="shared" si="2"/>
        <v>63.75</v>
      </c>
      <c r="BN18" s="282"/>
      <c r="BO18" s="282"/>
      <c r="BP18" s="282"/>
      <c r="BQ18" s="282"/>
      <c r="BR18" s="283"/>
      <c r="BS18" s="147">
        <f t="shared" si="3"/>
        <v>25.5</v>
      </c>
      <c r="BT18" s="147">
        <f t="shared" si="4"/>
        <v>47143125</v>
      </c>
      <c r="BU18" s="288">
        <f>(BM18+BS18)*D18</f>
        <v>647062.5</v>
      </c>
      <c r="BV18" s="288"/>
      <c r="BW18" s="288"/>
      <c r="BX18" s="288"/>
      <c r="BY18" s="288">
        <f t="shared" si="5"/>
        <v>344.25</v>
      </c>
      <c r="BZ18" s="288"/>
      <c r="CA18" s="288"/>
      <c r="CB18" s="290">
        <f>BY18*D18</f>
        <v>2495812.5</v>
      </c>
      <c r="CC18" s="290"/>
      <c r="CD18" s="290"/>
    </row>
    <row r="19" spans="1:135" ht="22.2" thickTop="1" thickBot="1" x14ac:dyDescent="0.35">
      <c r="A19" s="19">
        <v>4</v>
      </c>
      <c r="B19" s="20" t="s">
        <v>27</v>
      </c>
      <c r="C19" s="20" t="s">
        <v>26</v>
      </c>
      <c r="D19" s="96">
        <v>7250</v>
      </c>
      <c r="E19" s="104">
        <v>0</v>
      </c>
      <c r="F19" s="121">
        <v>0</v>
      </c>
      <c r="G19" s="109">
        <v>0</v>
      </c>
      <c r="H19" s="121">
        <v>0</v>
      </c>
      <c r="I19" s="109">
        <v>0</v>
      </c>
      <c r="J19" s="121">
        <v>0</v>
      </c>
      <c r="K19" s="109">
        <v>0</v>
      </c>
      <c r="L19" s="121">
        <v>0</v>
      </c>
      <c r="M19" s="109">
        <v>25</v>
      </c>
      <c r="N19" s="121">
        <f>M19*D19</f>
        <v>181250</v>
      </c>
      <c r="O19" s="109">
        <v>0</v>
      </c>
      <c r="P19" s="121">
        <v>0</v>
      </c>
      <c r="Q19" s="109">
        <v>0</v>
      </c>
      <c r="R19" s="121">
        <v>0</v>
      </c>
      <c r="S19" s="109">
        <v>0</v>
      </c>
      <c r="T19" s="121">
        <f t="shared" si="15"/>
        <v>0</v>
      </c>
      <c r="U19" s="109">
        <f t="shared" si="13"/>
        <v>25</v>
      </c>
      <c r="V19" s="125">
        <f t="shared" si="14"/>
        <v>181250</v>
      </c>
      <c r="W19" s="172">
        <v>0</v>
      </c>
      <c r="X19" s="121">
        <v>0</v>
      </c>
      <c r="Y19" s="115">
        <v>0</v>
      </c>
      <c r="Z19" s="122">
        <v>0</v>
      </c>
      <c r="AA19" s="115">
        <v>0</v>
      </c>
      <c r="AB19" s="122">
        <v>0</v>
      </c>
      <c r="AC19" s="115">
        <v>0</v>
      </c>
      <c r="AD19" s="122">
        <v>0</v>
      </c>
      <c r="AE19" s="110">
        <v>0</v>
      </c>
      <c r="AF19" s="171">
        <v>0</v>
      </c>
      <c r="AG19" s="115">
        <v>0</v>
      </c>
      <c r="AH19" s="122">
        <v>0</v>
      </c>
      <c r="AI19" s="115">
        <v>0</v>
      </c>
      <c r="AJ19" s="122">
        <v>0</v>
      </c>
      <c r="AK19" s="109">
        <v>0</v>
      </c>
      <c r="AL19" s="121">
        <v>0</v>
      </c>
      <c r="AM19" s="110">
        <v>0</v>
      </c>
      <c r="AN19" s="122">
        <v>0</v>
      </c>
      <c r="AO19" s="110">
        <f t="shared" si="0"/>
        <v>0</v>
      </c>
      <c r="AP19" s="127">
        <f t="shared" si="1"/>
        <v>0</v>
      </c>
      <c r="AQ19" s="104">
        <v>0</v>
      </c>
      <c r="AR19" s="26">
        <v>0</v>
      </c>
      <c r="AS19" s="110">
        <v>0</v>
      </c>
      <c r="AT19" s="26">
        <v>0</v>
      </c>
      <c r="AU19" s="109">
        <v>0</v>
      </c>
      <c r="AV19" s="121">
        <v>0</v>
      </c>
      <c r="AW19" s="110">
        <v>0</v>
      </c>
      <c r="AX19" s="122">
        <v>0</v>
      </c>
      <c r="AY19" s="109">
        <v>0</v>
      </c>
      <c r="AZ19" s="121">
        <v>0</v>
      </c>
      <c r="BA19" s="109">
        <v>0</v>
      </c>
      <c r="BB19" s="121">
        <v>0</v>
      </c>
      <c r="BC19" s="109">
        <f>2428*0.05</f>
        <v>121.4</v>
      </c>
      <c r="BD19" s="121">
        <f>D19*BC19</f>
        <v>880150</v>
      </c>
      <c r="BE19" s="109">
        <v>0</v>
      </c>
      <c r="BF19" s="121">
        <v>0</v>
      </c>
      <c r="BG19" s="109">
        <f>5*0.33</f>
        <v>1.6500000000000001</v>
      </c>
      <c r="BH19" s="121">
        <f>D19*BG19</f>
        <v>11962.500000000002</v>
      </c>
      <c r="BI19" s="109">
        <f>AQ19+AS19+AU19+AW19+AY19+BA19+BC19+BG19</f>
        <v>123.05000000000001</v>
      </c>
      <c r="BJ19" s="125">
        <f>BI19*D19</f>
        <v>892112.50000000012</v>
      </c>
      <c r="BK19" s="134">
        <f>BI19+AO19+U19</f>
        <v>148.05000000000001</v>
      </c>
      <c r="BL19" s="138">
        <f>BK19*D19</f>
        <v>1073362.5</v>
      </c>
      <c r="BM19" s="266">
        <f t="shared" si="2"/>
        <v>37.012500000000003</v>
      </c>
      <c r="BN19" s="267"/>
      <c r="BO19" s="267"/>
      <c r="BP19" s="267"/>
      <c r="BQ19" s="267"/>
      <c r="BR19" s="268"/>
      <c r="BS19" s="146">
        <f t="shared" si="3"/>
        <v>14.805000000000001</v>
      </c>
      <c r="BT19" s="146">
        <f t="shared" si="4"/>
        <v>15891131.812500002</v>
      </c>
      <c r="BU19" s="270">
        <f>(BM19+BS19)*D19</f>
        <v>375676.875</v>
      </c>
      <c r="BV19" s="270"/>
      <c r="BW19" s="270"/>
      <c r="BX19" s="270"/>
      <c r="BY19" s="270">
        <f t="shared" si="5"/>
        <v>199.86750000000001</v>
      </c>
      <c r="BZ19" s="270"/>
      <c r="CA19" s="270"/>
      <c r="CB19" s="272">
        <f>BY19*D19</f>
        <v>1449039.375</v>
      </c>
      <c r="CC19" s="272"/>
      <c r="CD19" s="272"/>
    </row>
    <row r="20" spans="1:135" s="66" customFormat="1" ht="32.4" thickTop="1" thickBot="1" x14ac:dyDescent="0.35">
      <c r="A20" s="227" t="s">
        <v>28</v>
      </c>
      <c r="B20" s="228"/>
      <c r="C20" s="228"/>
      <c r="D20" s="228"/>
      <c r="E20" s="173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172">
        <v>0</v>
      </c>
      <c r="X20" s="121">
        <v>0</v>
      </c>
      <c r="Y20" s="115">
        <v>0</v>
      </c>
      <c r="Z20" s="122">
        <v>0</v>
      </c>
      <c r="AA20" s="115">
        <v>0</v>
      </c>
      <c r="AB20" s="122">
        <v>0</v>
      </c>
      <c r="AC20" s="115">
        <v>0</v>
      </c>
      <c r="AD20" s="122">
        <v>0</v>
      </c>
      <c r="AE20" s="110">
        <v>0</v>
      </c>
      <c r="AF20" s="171">
        <v>0</v>
      </c>
      <c r="AG20" s="115">
        <v>0</v>
      </c>
      <c r="AH20" s="122">
        <v>0</v>
      </c>
      <c r="AI20" s="115">
        <v>0</v>
      </c>
      <c r="AJ20" s="122">
        <v>0</v>
      </c>
      <c r="AK20" s="54"/>
      <c r="AL20" s="121">
        <v>0</v>
      </c>
      <c r="AM20" s="110">
        <v>0</v>
      </c>
      <c r="AN20" s="122">
        <v>0</v>
      </c>
      <c r="AO20" s="117">
        <f t="shared" si="0"/>
        <v>0</v>
      </c>
      <c r="AP20" s="118">
        <f t="shared" si="1"/>
        <v>0</v>
      </c>
      <c r="AQ20" s="104">
        <v>0</v>
      </c>
      <c r="AR20" s="26">
        <v>0</v>
      </c>
      <c r="AS20" s="110">
        <v>0</v>
      </c>
      <c r="AT20" s="26">
        <v>0</v>
      </c>
      <c r="AU20" s="54"/>
      <c r="AV20" s="54"/>
      <c r="AW20" s="110">
        <v>0</v>
      </c>
      <c r="AX20" s="122">
        <v>0</v>
      </c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54"/>
      <c r="BJ20" s="54"/>
      <c r="BK20" s="120"/>
      <c r="BL20" s="136"/>
      <c r="BM20" s="166"/>
      <c r="BN20" s="166"/>
      <c r="BO20" s="166"/>
      <c r="BP20" s="166"/>
      <c r="BQ20" s="166"/>
      <c r="BR20" s="166"/>
      <c r="BS20" s="167"/>
      <c r="BT20" s="167"/>
      <c r="BU20" s="166"/>
      <c r="BV20" s="166"/>
      <c r="BW20" s="166"/>
      <c r="BX20" s="166"/>
      <c r="BY20" s="166"/>
      <c r="BZ20" s="168"/>
      <c r="CA20" s="168"/>
      <c r="CB20" s="169"/>
      <c r="CC20" s="169"/>
      <c r="CD20" s="170"/>
      <c r="CE20" s="80"/>
      <c r="CF20" s="80"/>
      <c r="CG20" s="80"/>
      <c r="CH20" s="80"/>
      <c r="CI20" s="80"/>
      <c r="CJ20" s="80"/>
      <c r="CK20" s="80"/>
      <c r="CL20" s="80"/>
      <c r="CM20" s="80"/>
      <c r="CN20" s="80"/>
      <c r="CO20" s="80"/>
      <c r="CP20" s="80"/>
      <c r="CQ20" s="80"/>
      <c r="CR20" s="80"/>
      <c r="CS20" s="80"/>
      <c r="CT20" s="80"/>
      <c r="CU20" s="80"/>
      <c r="CV20" s="80"/>
      <c r="CW20" s="80"/>
      <c r="CX20" s="80"/>
      <c r="CY20" s="80"/>
      <c r="CZ20" s="80"/>
      <c r="DA20" s="80"/>
      <c r="DB20" s="80"/>
      <c r="DC20" s="80"/>
      <c r="DD20" s="80"/>
      <c r="DE20" s="80"/>
      <c r="DF20" s="80"/>
      <c r="DG20" s="80"/>
      <c r="DH20" s="80"/>
      <c r="DI20" s="80"/>
      <c r="DJ20" s="80"/>
      <c r="DK20" s="80"/>
      <c r="DL20" s="80"/>
      <c r="DM20" s="80"/>
      <c r="DN20" s="80"/>
      <c r="DO20" s="80"/>
      <c r="DP20" s="80"/>
      <c r="DQ20" s="80"/>
      <c r="DR20" s="80"/>
      <c r="DS20" s="80"/>
      <c r="DT20" s="80"/>
      <c r="DU20" s="80"/>
      <c r="DV20" s="80"/>
      <c r="DW20" s="80"/>
      <c r="DX20" s="80"/>
      <c r="DY20" s="80"/>
      <c r="DZ20" s="80"/>
      <c r="EA20" s="80"/>
      <c r="EB20" s="80"/>
      <c r="EC20" s="80"/>
      <c r="ED20" s="80"/>
      <c r="EE20" s="80"/>
    </row>
    <row r="21" spans="1:135" ht="22.2" thickTop="1" thickBot="1" x14ac:dyDescent="0.35">
      <c r="A21" s="97">
        <v>1</v>
      </c>
      <c r="B21" s="98" t="s">
        <v>29</v>
      </c>
      <c r="C21" s="98" t="s">
        <v>30</v>
      </c>
      <c r="D21" s="99">
        <v>13.7</v>
      </c>
      <c r="E21" s="105">
        <v>0</v>
      </c>
      <c r="F21" s="122">
        <v>0</v>
      </c>
      <c r="G21" s="110">
        <v>150</v>
      </c>
      <c r="H21" s="122">
        <v>0</v>
      </c>
      <c r="I21" s="110">
        <v>0</v>
      </c>
      <c r="J21" s="122">
        <v>0</v>
      </c>
      <c r="K21" s="110">
        <v>0</v>
      </c>
      <c r="L21" s="122">
        <v>0</v>
      </c>
      <c r="M21" s="110">
        <v>0</v>
      </c>
      <c r="N21" s="122">
        <v>0</v>
      </c>
      <c r="O21" s="110">
        <v>0</v>
      </c>
      <c r="P21" s="122">
        <v>0</v>
      </c>
      <c r="Q21" s="110">
        <v>0</v>
      </c>
      <c r="R21" s="122">
        <v>0</v>
      </c>
      <c r="S21" s="110">
        <v>30</v>
      </c>
      <c r="T21" s="122">
        <v>0</v>
      </c>
      <c r="U21" s="110">
        <f t="shared" si="13"/>
        <v>180</v>
      </c>
      <c r="V21" s="127">
        <f t="shared" si="14"/>
        <v>2466</v>
      </c>
      <c r="W21" s="172">
        <v>0</v>
      </c>
      <c r="X21" s="121">
        <v>0</v>
      </c>
      <c r="Y21" s="115">
        <v>0</v>
      </c>
      <c r="Z21" s="122">
        <v>0</v>
      </c>
      <c r="AA21" s="115">
        <v>0</v>
      </c>
      <c r="AB21" s="122">
        <v>0</v>
      </c>
      <c r="AC21" s="115">
        <v>0</v>
      </c>
      <c r="AD21" s="122">
        <v>0</v>
      </c>
      <c r="AE21" s="110">
        <v>0</v>
      </c>
      <c r="AF21" s="171">
        <v>0</v>
      </c>
      <c r="AG21" s="115">
        <v>0</v>
      </c>
      <c r="AH21" s="122">
        <v>0</v>
      </c>
      <c r="AI21" s="115">
        <v>0</v>
      </c>
      <c r="AJ21" s="122">
        <v>0</v>
      </c>
      <c r="AK21" s="110">
        <v>0</v>
      </c>
      <c r="AL21" s="121">
        <v>0</v>
      </c>
      <c r="AM21" s="110">
        <v>0</v>
      </c>
      <c r="AN21" s="122">
        <v>0</v>
      </c>
      <c r="AO21" s="110">
        <f t="shared" si="0"/>
        <v>0</v>
      </c>
      <c r="AP21" s="127">
        <f t="shared" si="1"/>
        <v>0</v>
      </c>
      <c r="AQ21" s="104">
        <v>0</v>
      </c>
      <c r="AR21" s="26">
        <v>0</v>
      </c>
      <c r="AS21" s="110">
        <v>0</v>
      </c>
      <c r="AT21" s="26">
        <v>0</v>
      </c>
      <c r="AU21" s="110">
        <v>57500</v>
      </c>
      <c r="AV21" s="122">
        <f>AU21*D21</f>
        <v>787750</v>
      </c>
      <c r="AW21" s="110">
        <v>0</v>
      </c>
      <c r="AX21" s="122">
        <v>0</v>
      </c>
      <c r="AY21" s="110">
        <v>0</v>
      </c>
      <c r="AZ21" s="122">
        <v>0</v>
      </c>
      <c r="BA21" s="110">
        <v>0</v>
      </c>
      <c r="BB21" s="122">
        <v>0</v>
      </c>
      <c r="BC21" s="110">
        <v>0</v>
      </c>
      <c r="BD21" s="122">
        <v>0</v>
      </c>
      <c r="BE21" s="110">
        <v>0</v>
      </c>
      <c r="BF21" s="122">
        <v>0</v>
      </c>
      <c r="BG21" s="110">
        <v>0</v>
      </c>
      <c r="BH21" s="122">
        <v>0</v>
      </c>
      <c r="BI21" s="110">
        <v>0</v>
      </c>
      <c r="BJ21" s="127">
        <v>0</v>
      </c>
      <c r="BK21" s="133">
        <f>BI21+AO21+U21</f>
        <v>180</v>
      </c>
      <c r="BL21" s="139">
        <f>BK21*D21</f>
        <v>2466</v>
      </c>
      <c r="BM21" s="263">
        <f t="shared" si="2"/>
        <v>45</v>
      </c>
      <c r="BN21" s="264"/>
      <c r="BO21" s="264"/>
      <c r="BP21" s="264"/>
      <c r="BQ21" s="264"/>
      <c r="BR21" s="265"/>
      <c r="BS21" s="145">
        <f t="shared" si="3"/>
        <v>18</v>
      </c>
      <c r="BT21" s="145">
        <f t="shared" si="4"/>
        <v>44388</v>
      </c>
      <c r="BU21" s="269">
        <f>(BM21+BS21)*D21</f>
        <v>863.09999999999991</v>
      </c>
      <c r="BV21" s="269"/>
      <c r="BW21" s="269"/>
      <c r="BX21" s="269"/>
      <c r="BY21" s="269">
        <f t="shared" si="5"/>
        <v>243</v>
      </c>
      <c r="BZ21" s="269"/>
      <c r="CA21" s="269"/>
      <c r="CB21" s="271">
        <f>BY21*D21</f>
        <v>3329.1</v>
      </c>
      <c r="CC21" s="271"/>
      <c r="CD21" s="271"/>
    </row>
    <row r="22" spans="1:135" ht="22.2" thickTop="1" thickBot="1" x14ac:dyDescent="0.35">
      <c r="A22" s="19">
        <v>2</v>
      </c>
      <c r="B22" s="20" t="s">
        <v>31</v>
      </c>
      <c r="C22" s="20" t="s">
        <v>26</v>
      </c>
      <c r="D22" s="21">
        <v>152</v>
      </c>
      <c r="E22" s="104">
        <v>0</v>
      </c>
      <c r="F22" s="121">
        <v>0</v>
      </c>
      <c r="G22" s="109">
        <v>150</v>
      </c>
      <c r="H22" s="121">
        <v>0</v>
      </c>
      <c r="I22" s="109">
        <v>0</v>
      </c>
      <c r="J22" s="121">
        <v>0</v>
      </c>
      <c r="K22" s="109">
        <v>0</v>
      </c>
      <c r="L22" s="121">
        <v>0</v>
      </c>
      <c r="M22" s="109">
        <v>0</v>
      </c>
      <c r="N22" s="121">
        <v>0</v>
      </c>
      <c r="O22" s="109">
        <v>0</v>
      </c>
      <c r="P22" s="121">
        <v>0</v>
      </c>
      <c r="Q22" s="109">
        <v>0</v>
      </c>
      <c r="R22" s="121">
        <v>0</v>
      </c>
      <c r="S22" s="109">
        <v>30</v>
      </c>
      <c r="T22" s="121">
        <v>0</v>
      </c>
      <c r="U22" s="109">
        <f t="shared" si="13"/>
        <v>180</v>
      </c>
      <c r="V22" s="125">
        <f t="shared" si="14"/>
        <v>27360</v>
      </c>
      <c r="W22" s="172">
        <v>0</v>
      </c>
      <c r="X22" s="121">
        <v>0</v>
      </c>
      <c r="Y22" s="115">
        <v>0</v>
      </c>
      <c r="Z22" s="122">
        <v>0</v>
      </c>
      <c r="AA22" s="115">
        <v>0</v>
      </c>
      <c r="AB22" s="122">
        <v>0</v>
      </c>
      <c r="AC22" s="115">
        <v>0</v>
      </c>
      <c r="AD22" s="122">
        <v>0</v>
      </c>
      <c r="AE22" s="110">
        <v>0</v>
      </c>
      <c r="AF22" s="171">
        <v>0</v>
      </c>
      <c r="AG22" s="115">
        <v>0</v>
      </c>
      <c r="AH22" s="122">
        <v>0</v>
      </c>
      <c r="AI22" s="115">
        <v>0</v>
      </c>
      <c r="AJ22" s="122">
        <v>0</v>
      </c>
      <c r="AK22" s="109">
        <v>0</v>
      </c>
      <c r="AL22" s="121">
        <v>0</v>
      </c>
      <c r="AM22" s="110">
        <v>0</v>
      </c>
      <c r="AN22" s="122">
        <v>0</v>
      </c>
      <c r="AO22" s="110">
        <f t="shared" si="0"/>
        <v>0</v>
      </c>
      <c r="AP22" s="127">
        <f t="shared" si="1"/>
        <v>0</v>
      </c>
      <c r="AQ22" s="104">
        <v>0</v>
      </c>
      <c r="AR22" s="26">
        <v>0</v>
      </c>
      <c r="AS22" s="110">
        <v>0</v>
      </c>
      <c r="AT22" s="26">
        <v>0</v>
      </c>
      <c r="AU22" s="109">
        <v>557</v>
      </c>
      <c r="AV22" s="121">
        <f>AU22*D22</f>
        <v>84664</v>
      </c>
      <c r="AW22" s="110">
        <v>0</v>
      </c>
      <c r="AX22" s="122">
        <v>0</v>
      </c>
      <c r="AY22" s="109">
        <v>0</v>
      </c>
      <c r="AZ22" s="121">
        <v>0</v>
      </c>
      <c r="BA22" s="109">
        <v>0</v>
      </c>
      <c r="BB22" s="121">
        <v>0</v>
      </c>
      <c r="BC22" s="109">
        <v>0</v>
      </c>
      <c r="BD22" s="121">
        <v>0</v>
      </c>
      <c r="BE22" s="109">
        <v>0</v>
      </c>
      <c r="BF22" s="121">
        <v>0</v>
      </c>
      <c r="BG22" s="109">
        <v>0</v>
      </c>
      <c r="BH22" s="121">
        <v>0</v>
      </c>
      <c r="BI22" s="109">
        <v>0</v>
      </c>
      <c r="BJ22" s="125">
        <v>0</v>
      </c>
      <c r="BK22" s="134">
        <f>BI22+AO22+U22</f>
        <v>180</v>
      </c>
      <c r="BL22" s="138">
        <f>BK22*D22</f>
        <v>27360</v>
      </c>
      <c r="BM22" s="266">
        <f t="shared" si="2"/>
        <v>45</v>
      </c>
      <c r="BN22" s="267"/>
      <c r="BO22" s="267"/>
      <c r="BP22" s="267"/>
      <c r="BQ22" s="267"/>
      <c r="BR22" s="268"/>
      <c r="BS22" s="146">
        <f t="shared" si="3"/>
        <v>18</v>
      </c>
      <c r="BT22" s="146">
        <f t="shared" si="4"/>
        <v>492480</v>
      </c>
      <c r="BU22" s="270">
        <f>(BM22+BS22)*D22</f>
        <v>9576</v>
      </c>
      <c r="BV22" s="270"/>
      <c r="BW22" s="270"/>
      <c r="BX22" s="270"/>
      <c r="BY22" s="270">
        <f t="shared" si="5"/>
        <v>243</v>
      </c>
      <c r="BZ22" s="270"/>
      <c r="CA22" s="270"/>
      <c r="CB22" s="272">
        <f>BY22*D22</f>
        <v>36936</v>
      </c>
      <c r="CC22" s="272"/>
      <c r="CD22" s="272"/>
    </row>
    <row r="23" spans="1:135" s="66" customFormat="1" ht="34.799999999999997" thickTop="1" thickBot="1" x14ac:dyDescent="0.35">
      <c r="A23" s="229" t="s">
        <v>150</v>
      </c>
      <c r="B23" s="229"/>
      <c r="C23" s="229"/>
      <c r="D23" s="230"/>
      <c r="U23" s="66">
        <f t="shared" si="13"/>
        <v>0</v>
      </c>
      <c r="V23" s="66">
        <f t="shared" si="14"/>
        <v>0</v>
      </c>
      <c r="W23" s="172">
        <v>0</v>
      </c>
      <c r="X23" s="121">
        <v>0</v>
      </c>
      <c r="Y23" s="115">
        <v>0</v>
      </c>
      <c r="Z23" s="122">
        <v>0</v>
      </c>
      <c r="AA23" s="115">
        <v>0</v>
      </c>
      <c r="AB23" s="122">
        <v>0</v>
      </c>
      <c r="AC23" s="115">
        <v>0</v>
      </c>
      <c r="AD23" s="122">
        <v>0</v>
      </c>
      <c r="AE23" s="110">
        <v>0</v>
      </c>
      <c r="AF23" s="171">
        <v>0</v>
      </c>
      <c r="AG23" s="115">
        <v>0</v>
      </c>
      <c r="AH23" s="122">
        <v>0</v>
      </c>
      <c r="AI23" s="115">
        <v>0</v>
      </c>
      <c r="AJ23" s="122">
        <v>0</v>
      </c>
      <c r="AM23" s="110">
        <v>0</v>
      </c>
      <c r="AN23" s="122">
        <v>0</v>
      </c>
      <c r="AO23" s="117">
        <f t="shared" si="0"/>
        <v>0</v>
      </c>
      <c r="AP23" s="118">
        <f t="shared" si="1"/>
        <v>0</v>
      </c>
      <c r="AQ23" s="104">
        <v>0</v>
      </c>
      <c r="AR23" s="26">
        <v>0</v>
      </c>
      <c r="AS23" s="110">
        <v>0</v>
      </c>
      <c r="AT23" s="26">
        <v>0</v>
      </c>
      <c r="BK23" s="119"/>
      <c r="BL23" s="141"/>
      <c r="BM23" s="175"/>
      <c r="BN23" s="175"/>
      <c r="BO23" s="175"/>
      <c r="BP23" s="175"/>
      <c r="BQ23" s="175"/>
      <c r="BR23" s="175"/>
      <c r="BS23" s="176"/>
      <c r="BT23" s="176"/>
      <c r="BU23" s="175"/>
      <c r="BV23" s="175"/>
      <c r="BW23" s="175"/>
      <c r="BX23" s="175"/>
      <c r="BY23" s="175"/>
      <c r="BZ23" s="177"/>
      <c r="CA23" s="177"/>
      <c r="CB23" s="178"/>
      <c r="CC23" s="178"/>
      <c r="CD23" s="178"/>
      <c r="CE23" s="80"/>
      <c r="CF23" s="80"/>
      <c r="CG23" s="80"/>
      <c r="CH23" s="80"/>
      <c r="CI23" s="80"/>
      <c r="CJ23" s="80"/>
      <c r="CK23" s="80"/>
      <c r="CL23" s="80"/>
      <c r="CM23" s="80"/>
      <c r="CN23" s="80"/>
      <c r="CO23" s="80"/>
      <c r="CP23" s="80"/>
      <c r="CQ23" s="80"/>
      <c r="CR23" s="80"/>
      <c r="CS23" s="80"/>
      <c r="CT23" s="80"/>
      <c r="CU23" s="80"/>
      <c r="CV23" s="80"/>
      <c r="CW23" s="80"/>
      <c r="CX23" s="80"/>
      <c r="CY23" s="80"/>
      <c r="CZ23" s="80"/>
      <c r="DA23" s="80"/>
      <c r="DB23" s="80"/>
      <c r="DC23" s="80"/>
      <c r="DD23" s="80"/>
      <c r="DE23" s="80"/>
      <c r="DF23" s="80"/>
      <c r="DG23" s="80"/>
      <c r="DH23" s="80"/>
      <c r="DI23" s="80"/>
      <c r="DJ23" s="80"/>
      <c r="DK23" s="80"/>
      <c r="DL23" s="80"/>
      <c r="DM23" s="80"/>
      <c r="DN23" s="80"/>
      <c r="DO23" s="80"/>
      <c r="DP23" s="80"/>
      <c r="DQ23" s="80"/>
      <c r="DR23" s="80"/>
      <c r="DS23" s="80"/>
      <c r="DT23" s="80"/>
      <c r="DU23" s="80"/>
      <c r="DV23" s="80"/>
      <c r="DW23" s="80"/>
      <c r="DX23" s="80"/>
      <c r="DY23" s="80"/>
      <c r="DZ23" s="80"/>
      <c r="EA23" s="80"/>
      <c r="EB23" s="80"/>
      <c r="EC23" s="80"/>
      <c r="ED23" s="80"/>
      <c r="EE23" s="80"/>
    </row>
    <row r="24" spans="1:135" ht="43.2" thickTop="1" thickBot="1" x14ac:dyDescent="0.35">
      <c r="A24" s="100">
        <v>1</v>
      </c>
      <c r="B24" s="101" t="s">
        <v>147</v>
      </c>
      <c r="C24" s="100" t="s">
        <v>26</v>
      </c>
      <c r="D24" s="102">
        <v>16478</v>
      </c>
      <c r="E24" s="108">
        <v>0</v>
      </c>
      <c r="F24" s="89">
        <v>0</v>
      </c>
      <c r="G24" s="108">
        <v>0</v>
      </c>
      <c r="H24" s="89">
        <v>0</v>
      </c>
      <c r="I24" s="108">
        <v>0</v>
      </c>
      <c r="J24" s="89">
        <v>0</v>
      </c>
      <c r="K24" s="108">
        <v>80</v>
      </c>
      <c r="L24" s="89">
        <f>D24*K24</f>
        <v>1318240</v>
      </c>
      <c r="M24" s="108">
        <v>0</v>
      </c>
      <c r="N24" s="89">
        <v>0</v>
      </c>
      <c r="O24" s="108">
        <v>0</v>
      </c>
      <c r="P24" s="89">
        <v>0</v>
      </c>
      <c r="Q24" s="108">
        <f>160/55</f>
        <v>2.9090909090909092</v>
      </c>
      <c r="R24" s="89">
        <f>Q24*D24</f>
        <v>47936</v>
      </c>
      <c r="S24" s="108">
        <v>0</v>
      </c>
      <c r="T24" s="89">
        <v>0</v>
      </c>
      <c r="U24" s="113">
        <f t="shared" si="13"/>
        <v>82.909090909090907</v>
      </c>
      <c r="V24" s="129">
        <f t="shared" si="14"/>
        <v>1366176</v>
      </c>
      <c r="W24" s="172">
        <v>0</v>
      </c>
      <c r="X24" s="121">
        <v>0</v>
      </c>
      <c r="Y24" s="115">
        <v>0</v>
      </c>
      <c r="Z24" s="122">
        <v>0</v>
      </c>
      <c r="AA24" s="115">
        <v>0</v>
      </c>
      <c r="AB24" s="122">
        <v>0</v>
      </c>
      <c r="AC24" s="115">
        <v>0</v>
      </c>
      <c r="AD24" s="122">
        <v>0</v>
      </c>
      <c r="AE24" s="110">
        <v>0</v>
      </c>
      <c r="AF24" s="171">
        <v>0</v>
      </c>
      <c r="AG24" s="115">
        <v>0</v>
      </c>
      <c r="AH24" s="122">
        <v>0</v>
      </c>
      <c r="AI24" s="115">
        <v>0</v>
      </c>
      <c r="AJ24" s="122">
        <v>0</v>
      </c>
      <c r="AK24" s="110">
        <f>0.005*1000</f>
        <v>5</v>
      </c>
      <c r="AL24" s="122">
        <f>AK24*D24</f>
        <v>82390</v>
      </c>
      <c r="AM24" s="110">
        <v>0</v>
      </c>
      <c r="AN24" s="122">
        <v>0</v>
      </c>
      <c r="AO24" s="110">
        <f t="shared" si="0"/>
        <v>5</v>
      </c>
      <c r="AP24" s="127">
        <f t="shared" si="1"/>
        <v>82390</v>
      </c>
      <c r="AQ24" s="104">
        <v>0</v>
      </c>
      <c r="AR24" s="26">
        <v>0</v>
      </c>
      <c r="AS24" s="110">
        <v>0</v>
      </c>
      <c r="AT24" s="26">
        <v>0</v>
      </c>
      <c r="AU24" s="110">
        <v>0</v>
      </c>
      <c r="AV24" s="26">
        <v>0</v>
      </c>
      <c r="AW24" s="110">
        <f>1500/55</f>
        <v>27.272727272727273</v>
      </c>
      <c r="AX24" s="122">
        <f>AW24*D24</f>
        <v>449400</v>
      </c>
      <c r="AY24" s="110">
        <f>100*0.03</f>
        <v>3</v>
      </c>
      <c r="AZ24" s="122">
        <f>D24*AY24</f>
        <v>49434</v>
      </c>
      <c r="BA24" s="110">
        <f>111/5</f>
        <v>22.2</v>
      </c>
      <c r="BB24" s="122">
        <f>BA24*D24</f>
        <v>365811.6</v>
      </c>
      <c r="BC24" s="110">
        <v>0</v>
      </c>
      <c r="BD24" s="122">
        <v>0</v>
      </c>
      <c r="BE24" s="110">
        <v>0</v>
      </c>
      <c r="BF24" s="122">
        <v>0</v>
      </c>
      <c r="BG24" s="110">
        <v>0</v>
      </c>
      <c r="BH24" s="122">
        <v>0</v>
      </c>
      <c r="BI24" s="110">
        <f>AQ24+AS24+AU24+AW24+AY24+BA24+BC24+BG24</f>
        <v>52.472727272727269</v>
      </c>
      <c r="BJ24" s="127">
        <f t="shared" ref="BJ24:BJ30" si="16">BI24*D24</f>
        <v>864645.6</v>
      </c>
      <c r="BK24" s="133">
        <f t="shared" ref="BK24:BK30" si="17">BI24+AO24+U24</f>
        <v>140.38181818181818</v>
      </c>
      <c r="BL24" s="139">
        <f>BK24*D24</f>
        <v>2313211.6</v>
      </c>
      <c r="BM24" s="263">
        <f t="shared" si="2"/>
        <v>35.095454545454544</v>
      </c>
      <c r="BN24" s="264"/>
      <c r="BO24" s="264"/>
      <c r="BP24" s="264"/>
      <c r="BQ24" s="264"/>
      <c r="BR24" s="265"/>
      <c r="BS24" s="145">
        <f t="shared" si="3"/>
        <v>14.038181818181819</v>
      </c>
      <c r="BT24" s="145">
        <f t="shared" si="4"/>
        <v>32473285.024727277</v>
      </c>
      <c r="BU24" s="269">
        <f t="shared" ref="BU24:BU55" si="18">(BM24+BS24)*D24</f>
        <v>809624.05999999994</v>
      </c>
      <c r="BV24" s="269"/>
      <c r="BW24" s="269"/>
      <c r="BX24" s="269"/>
      <c r="BY24" s="269">
        <f t="shared" si="5"/>
        <v>189.51545454545453</v>
      </c>
      <c r="BZ24" s="269"/>
      <c r="CA24" s="269"/>
      <c r="CB24" s="271">
        <f t="shared" ref="CB24:CB55" si="19">BY24*D24</f>
        <v>3122835.6599999997</v>
      </c>
      <c r="CC24" s="271"/>
      <c r="CD24" s="271"/>
    </row>
    <row r="25" spans="1:135" ht="43.2" thickTop="1" thickBot="1" x14ac:dyDescent="0.35">
      <c r="A25" s="100">
        <v>2</v>
      </c>
      <c r="B25" s="101" t="s">
        <v>148</v>
      </c>
      <c r="C25" s="100" t="s">
        <v>16</v>
      </c>
      <c r="D25" s="102">
        <v>1445</v>
      </c>
      <c r="E25" s="108">
        <v>0</v>
      </c>
      <c r="F25" s="89">
        <v>0</v>
      </c>
      <c r="G25" s="108">
        <v>0</v>
      </c>
      <c r="H25" s="89">
        <v>0</v>
      </c>
      <c r="I25" s="108">
        <v>0</v>
      </c>
      <c r="J25" s="89">
        <v>0</v>
      </c>
      <c r="K25" s="108">
        <v>450</v>
      </c>
      <c r="L25" s="89">
        <f t="shared" ref="L25:L26" si="20">D25*K25</f>
        <v>650250</v>
      </c>
      <c r="M25" s="108">
        <v>0</v>
      </c>
      <c r="N25" s="89">
        <v>0</v>
      </c>
      <c r="O25" s="108">
        <v>0</v>
      </c>
      <c r="P25" s="89">
        <v>0</v>
      </c>
      <c r="Q25" s="108">
        <f>160/55</f>
        <v>2.9090909090909092</v>
      </c>
      <c r="R25" s="89">
        <f>Q25*D25</f>
        <v>4203.636363636364</v>
      </c>
      <c r="S25" s="108">
        <v>0</v>
      </c>
      <c r="T25" s="89">
        <v>0</v>
      </c>
      <c r="U25" s="113">
        <f t="shared" si="13"/>
        <v>452.90909090909093</v>
      </c>
      <c r="V25" s="129">
        <f t="shared" si="14"/>
        <v>654453.63636363635</v>
      </c>
      <c r="W25" s="172">
        <v>0</v>
      </c>
      <c r="X25" s="121">
        <v>0</v>
      </c>
      <c r="Y25" s="115">
        <v>0</v>
      </c>
      <c r="Z25" s="122">
        <v>0</v>
      </c>
      <c r="AA25" s="115">
        <v>0</v>
      </c>
      <c r="AB25" s="122">
        <v>0</v>
      </c>
      <c r="AC25" s="115">
        <v>0</v>
      </c>
      <c r="AD25" s="122">
        <v>0</v>
      </c>
      <c r="AE25" s="110">
        <v>0</v>
      </c>
      <c r="AF25" s="171">
        <v>0</v>
      </c>
      <c r="AG25" s="115">
        <v>0</v>
      </c>
      <c r="AH25" s="122">
        <v>0</v>
      </c>
      <c r="AI25" s="115">
        <v>0</v>
      </c>
      <c r="AJ25" s="122">
        <v>0</v>
      </c>
      <c r="AK25" s="111">
        <f>1000*0.03</f>
        <v>30</v>
      </c>
      <c r="AL25" s="26">
        <f>AK25*D25</f>
        <v>43350</v>
      </c>
      <c r="AM25" s="110">
        <v>0</v>
      </c>
      <c r="AN25" s="122">
        <v>0</v>
      </c>
      <c r="AO25" s="110">
        <f t="shared" si="0"/>
        <v>30</v>
      </c>
      <c r="AP25" s="127">
        <f t="shared" si="1"/>
        <v>43350</v>
      </c>
      <c r="AQ25" s="104">
        <v>0</v>
      </c>
      <c r="AR25" s="26">
        <v>0</v>
      </c>
      <c r="AS25" s="110">
        <v>0</v>
      </c>
      <c r="AT25" s="26">
        <v>0</v>
      </c>
      <c r="AU25" s="110">
        <v>0</v>
      </c>
      <c r="AV25" s="26">
        <v>0</v>
      </c>
      <c r="AW25" s="111">
        <f>1500/458</f>
        <v>3.2751091703056767</v>
      </c>
      <c r="AX25" s="26">
        <f>AW25*D25</f>
        <v>4732.5327510917032</v>
      </c>
      <c r="AY25" s="111">
        <f>100*0.2</f>
        <v>20</v>
      </c>
      <c r="AZ25" s="26">
        <f>D25*AY25</f>
        <v>28900</v>
      </c>
      <c r="BA25" s="111">
        <f>111*1.1</f>
        <v>122.10000000000001</v>
      </c>
      <c r="BB25" s="26">
        <f>BA25*D25</f>
        <v>176434.5</v>
      </c>
      <c r="BC25" s="111">
        <v>0</v>
      </c>
      <c r="BD25" s="26">
        <v>0</v>
      </c>
      <c r="BE25" s="111">
        <v>0</v>
      </c>
      <c r="BF25" s="26">
        <v>0</v>
      </c>
      <c r="BG25" s="111">
        <v>0</v>
      </c>
      <c r="BH25" s="26">
        <v>0</v>
      </c>
      <c r="BI25" s="111">
        <f>AQ25+AS25+AU25+AW25+AY25+BA25+BC25+BG25</f>
        <v>145.37510917030568</v>
      </c>
      <c r="BJ25" s="52">
        <f t="shared" si="16"/>
        <v>210067.0327510917</v>
      </c>
      <c r="BK25" s="135">
        <f t="shared" si="17"/>
        <v>628.28420007939667</v>
      </c>
      <c r="BL25" s="140">
        <f>BK25*D25</f>
        <v>907870.66911472823</v>
      </c>
      <c r="BM25" s="281">
        <f t="shared" si="2"/>
        <v>157.07105001984917</v>
      </c>
      <c r="BN25" s="282"/>
      <c r="BO25" s="282"/>
      <c r="BP25" s="282"/>
      <c r="BQ25" s="282"/>
      <c r="BR25" s="283"/>
      <c r="BS25" s="147">
        <f t="shared" si="3"/>
        <v>62.82842000793967</v>
      </c>
      <c r="BT25" s="147">
        <f t="shared" si="4"/>
        <v>57040079.712029368</v>
      </c>
      <c r="BU25" s="288">
        <f t="shared" si="18"/>
        <v>317754.73419015482</v>
      </c>
      <c r="BV25" s="288"/>
      <c r="BW25" s="288"/>
      <c r="BX25" s="288"/>
      <c r="BY25" s="288">
        <f t="shared" si="5"/>
        <v>848.18367010718555</v>
      </c>
      <c r="BZ25" s="288"/>
      <c r="CA25" s="288"/>
      <c r="CB25" s="290">
        <f t="shared" si="19"/>
        <v>1225625.403304883</v>
      </c>
      <c r="CC25" s="290"/>
      <c r="CD25" s="290"/>
    </row>
    <row r="26" spans="1:135" ht="64.2" thickTop="1" thickBot="1" x14ac:dyDescent="0.35">
      <c r="A26" s="100">
        <v>3</v>
      </c>
      <c r="B26" s="101" t="s">
        <v>149</v>
      </c>
      <c r="C26" s="100" t="s">
        <v>16</v>
      </c>
      <c r="D26" s="102">
        <v>441</v>
      </c>
      <c r="E26" s="108">
        <v>0</v>
      </c>
      <c r="F26" s="89">
        <v>0</v>
      </c>
      <c r="G26" s="108">
        <v>0</v>
      </c>
      <c r="H26" s="89">
        <v>0</v>
      </c>
      <c r="I26" s="108">
        <v>0</v>
      </c>
      <c r="J26" s="89">
        <v>0</v>
      </c>
      <c r="K26" s="108">
        <v>450</v>
      </c>
      <c r="L26" s="89">
        <f t="shared" si="20"/>
        <v>198450</v>
      </c>
      <c r="M26" s="108">
        <v>0</v>
      </c>
      <c r="N26" s="89">
        <v>0</v>
      </c>
      <c r="O26" s="108">
        <v>0</v>
      </c>
      <c r="P26" s="89">
        <v>0</v>
      </c>
      <c r="Q26" s="108">
        <f>160/55</f>
        <v>2.9090909090909092</v>
      </c>
      <c r="R26" s="89">
        <f>Q26*D26</f>
        <v>1282.909090909091</v>
      </c>
      <c r="S26" s="108">
        <v>0</v>
      </c>
      <c r="T26" s="89">
        <v>0</v>
      </c>
      <c r="U26" s="113">
        <f t="shared" si="13"/>
        <v>452.90909090909093</v>
      </c>
      <c r="V26" s="129">
        <f t="shared" si="14"/>
        <v>199732.90909090909</v>
      </c>
      <c r="W26" s="172">
        <v>0</v>
      </c>
      <c r="X26" s="121">
        <v>0</v>
      </c>
      <c r="Y26" s="115">
        <v>0</v>
      </c>
      <c r="Z26" s="122">
        <v>0</v>
      </c>
      <c r="AA26" s="115">
        <v>0</v>
      </c>
      <c r="AB26" s="122">
        <v>0</v>
      </c>
      <c r="AC26" s="115">
        <v>0</v>
      </c>
      <c r="AD26" s="122">
        <v>0</v>
      </c>
      <c r="AE26" s="110">
        <v>0</v>
      </c>
      <c r="AF26" s="171">
        <v>0</v>
      </c>
      <c r="AG26" s="115">
        <v>0</v>
      </c>
      <c r="AH26" s="122">
        <v>0</v>
      </c>
      <c r="AI26" s="115">
        <v>0</v>
      </c>
      <c r="AJ26" s="122">
        <v>0</v>
      </c>
      <c r="AK26" s="111">
        <f>1000*0.03</f>
        <v>30</v>
      </c>
      <c r="AL26" s="26">
        <f>AK26*D26</f>
        <v>13230</v>
      </c>
      <c r="AM26" s="110">
        <v>0</v>
      </c>
      <c r="AN26" s="122">
        <v>0</v>
      </c>
      <c r="AO26" s="110">
        <f t="shared" si="0"/>
        <v>30</v>
      </c>
      <c r="AP26" s="127">
        <f t="shared" si="1"/>
        <v>13230</v>
      </c>
      <c r="AQ26" s="104">
        <v>0</v>
      </c>
      <c r="AR26" s="26">
        <v>0</v>
      </c>
      <c r="AS26" s="110">
        <v>0</v>
      </c>
      <c r="AT26" s="26">
        <v>0</v>
      </c>
      <c r="AU26" s="110">
        <v>0</v>
      </c>
      <c r="AV26" s="26">
        <v>0</v>
      </c>
      <c r="AW26" s="111">
        <f>1500/458</f>
        <v>3.2751091703056767</v>
      </c>
      <c r="AX26" s="26">
        <f>AW26*D26</f>
        <v>1444.3231441048035</v>
      </c>
      <c r="AY26" s="111">
        <f>100*0.2</f>
        <v>20</v>
      </c>
      <c r="AZ26" s="26">
        <f>D26*AY26</f>
        <v>8820</v>
      </c>
      <c r="BA26" s="111">
        <f>111*1.1</f>
        <v>122.10000000000001</v>
      </c>
      <c r="BB26" s="26">
        <f>BA26*D26</f>
        <v>53846.100000000006</v>
      </c>
      <c r="BC26" s="111">
        <v>0</v>
      </c>
      <c r="BD26" s="26">
        <v>0</v>
      </c>
      <c r="BE26" s="111">
        <v>0</v>
      </c>
      <c r="BF26" s="26">
        <v>0</v>
      </c>
      <c r="BG26" s="111">
        <v>0</v>
      </c>
      <c r="BH26" s="26">
        <v>0</v>
      </c>
      <c r="BI26" s="111">
        <f>BA26+AY26+AW26</f>
        <v>145.37510917030571</v>
      </c>
      <c r="BJ26" s="52">
        <f t="shared" si="16"/>
        <v>64110.423144104818</v>
      </c>
      <c r="BK26" s="135">
        <f t="shared" si="17"/>
        <v>628.28420007939667</v>
      </c>
      <c r="BL26" s="140">
        <f t="shared" ref="BL26:BL30" si="21">BK26*D26</f>
        <v>277073.33223501395</v>
      </c>
      <c r="BM26" s="281">
        <f t="shared" si="2"/>
        <v>157.07105001984917</v>
      </c>
      <c r="BN26" s="282"/>
      <c r="BO26" s="282"/>
      <c r="BP26" s="282"/>
      <c r="BQ26" s="282"/>
      <c r="BR26" s="283"/>
      <c r="BS26" s="147">
        <f t="shared" si="3"/>
        <v>62.82842000793967</v>
      </c>
      <c r="BT26" s="147">
        <f t="shared" si="4"/>
        <v>17408079.690660864</v>
      </c>
      <c r="BU26" s="288">
        <f t="shared" si="18"/>
        <v>96975.666282254868</v>
      </c>
      <c r="BV26" s="288"/>
      <c r="BW26" s="288"/>
      <c r="BX26" s="288"/>
      <c r="BY26" s="288">
        <f t="shared" si="5"/>
        <v>848.18367010718555</v>
      </c>
      <c r="BZ26" s="288"/>
      <c r="CA26" s="288"/>
      <c r="CB26" s="290">
        <f t="shared" si="19"/>
        <v>374048.9985172688</v>
      </c>
      <c r="CC26" s="290"/>
      <c r="CD26" s="290"/>
    </row>
    <row r="27" spans="1:135" s="66" customFormat="1" ht="34.799999999999997" thickTop="1" thickBot="1" x14ac:dyDescent="0.35">
      <c r="A27" s="229" t="s">
        <v>151</v>
      </c>
      <c r="B27" s="229"/>
      <c r="C27" s="229"/>
      <c r="D27" s="230"/>
      <c r="E27" s="179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8"/>
      <c r="W27" s="172">
        <v>0</v>
      </c>
      <c r="X27" s="121">
        <v>0</v>
      </c>
      <c r="Y27" s="115">
        <v>0</v>
      </c>
      <c r="Z27" s="122">
        <v>0</v>
      </c>
      <c r="AA27" s="115">
        <v>0</v>
      </c>
      <c r="AB27" s="122">
        <v>0</v>
      </c>
      <c r="AC27" s="115">
        <v>0</v>
      </c>
      <c r="AD27" s="122">
        <v>0</v>
      </c>
      <c r="AE27" s="110">
        <v>0</v>
      </c>
      <c r="AF27" s="171">
        <v>0</v>
      </c>
      <c r="AG27" s="115">
        <v>0</v>
      </c>
      <c r="AH27" s="122">
        <v>0</v>
      </c>
      <c r="AI27" s="115">
        <v>0</v>
      </c>
      <c r="AJ27" s="122">
        <v>0</v>
      </c>
      <c r="AK27" s="24"/>
      <c r="AL27" s="24"/>
      <c r="AM27" s="110">
        <v>0</v>
      </c>
      <c r="AN27" s="122">
        <v>0</v>
      </c>
      <c r="AO27" s="117">
        <f t="shared" si="0"/>
        <v>0</v>
      </c>
      <c r="AP27" s="118">
        <f t="shared" si="1"/>
        <v>0</v>
      </c>
      <c r="AQ27" s="104">
        <v>0</v>
      </c>
      <c r="AR27" s="26">
        <v>0</v>
      </c>
      <c r="AS27" s="110">
        <v>0</v>
      </c>
      <c r="AT27" s="26">
        <v>0</v>
      </c>
      <c r="AU27" s="110">
        <v>0</v>
      </c>
      <c r="AV27" s="26">
        <v>0</v>
      </c>
      <c r="AW27" s="24">
        <v>0</v>
      </c>
      <c r="AX27" s="24"/>
      <c r="AY27" s="24"/>
      <c r="AZ27" s="24"/>
      <c r="BA27" s="24"/>
      <c r="BB27" s="24">
        <f t="shared" ref="BB27:BB90" si="22">BA27*D27</f>
        <v>0</v>
      </c>
      <c r="BC27" s="24"/>
      <c r="BD27" s="24"/>
      <c r="BE27" s="24"/>
      <c r="BF27" s="24"/>
      <c r="BG27" s="24"/>
      <c r="BH27" s="24"/>
      <c r="BI27" s="24">
        <f>BA27+AY27+AW27</f>
        <v>0</v>
      </c>
      <c r="BJ27" s="51">
        <f t="shared" si="16"/>
        <v>0</v>
      </c>
      <c r="BK27" s="135">
        <f t="shared" si="17"/>
        <v>0</v>
      </c>
      <c r="BL27" s="140">
        <f t="shared" si="21"/>
        <v>0</v>
      </c>
      <c r="BM27" s="281">
        <f t="shared" si="2"/>
        <v>0</v>
      </c>
      <c r="BN27" s="282"/>
      <c r="BO27" s="282"/>
      <c r="BP27" s="282"/>
      <c r="BQ27" s="282"/>
      <c r="BR27" s="283"/>
      <c r="BS27" s="147">
        <f t="shared" si="3"/>
        <v>0</v>
      </c>
      <c r="BT27" s="147">
        <f t="shared" si="4"/>
        <v>0</v>
      </c>
      <c r="BU27" s="288">
        <f t="shared" si="18"/>
        <v>0</v>
      </c>
      <c r="BV27" s="288"/>
      <c r="BW27" s="288"/>
      <c r="BX27" s="288"/>
      <c r="BY27" s="288">
        <f t="shared" si="5"/>
        <v>0</v>
      </c>
      <c r="BZ27" s="288"/>
      <c r="CA27" s="288"/>
      <c r="CB27" s="290">
        <f t="shared" si="19"/>
        <v>0</v>
      </c>
      <c r="CC27" s="290"/>
      <c r="CD27" s="290"/>
      <c r="CE27" s="80"/>
      <c r="CF27" s="80"/>
      <c r="CG27" s="80"/>
      <c r="CH27" s="80"/>
      <c r="CI27" s="80"/>
      <c r="CJ27" s="80"/>
      <c r="CK27" s="80"/>
      <c r="CL27" s="80"/>
      <c r="CM27" s="80"/>
      <c r="CN27" s="80"/>
      <c r="CO27" s="80"/>
      <c r="CP27" s="80"/>
      <c r="CQ27" s="80"/>
      <c r="CR27" s="80"/>
      <c r="CS27" s="80"/>
      <c r="CT27" s="80"/>
      <c r="CU27" s="80"/>
      <c r="CV27" s="80"/>
      <c r="CW27" s="80"/>
      <c r="CX27" s="80"/>
      <c r="CY27" s="80"/>
      <c r="CZ27" s="80"/>
      <c r="DA27" s="80"/>
      <c r="DB27" s="80"/>
      <c r="DC27" s="80"/>
      <c r="DD27" s="80"/>
      <c r="DE27" s="80"/>
      <c r="DF27" s="80"/>
      <c r="DG27" s="80"/>
      <c r="DH27" s="80"/>
      <c r="DI27" s="80"/>
      <c r="DJ27" s="80"/>
      <c r="DK27" s="80"/>
      <c r="DL27" s="80"/>
      <c r="DM27" s="80"/>
      <c r="DN27" s="80"/>
      <c r="DO27" s="80"/>
      <c r="DP27" s="80"/>
      <c r="DQ27" s="80"/>
      <c r="DR27" s="80"/>
      <c r="DS27" s="80"/>
      <c r="DT27" s="80"/>
      <c r="DU27" s="80"/>
      <c r="DV27" s="80"/>
      <c r="DW27" s="80"/>
      <c r="DX27" s="80"/>
      <c r="DY27" s="80"/>
      <c r="DZ27" s="80"/>
      <c r="EA27" s="80"/>
      <c r="EB27" s="80"/>
      <c r="EC27" s="80"/>
      <c r="ED27" s="80"/>
      <c r="EE27" s="80"/>
    </row>
    <row r="28" spans="1:135" ht="22.2" thickTop="1" thickBot="1" x14ac:dyDescent="0.35">
      <c r="A28" s="100">
        <v>1</v>
      </c>
      <c r="B28" s="100" t="s">
        <v>152</v>
      </c>
      <c r="C28" s="100" t="s">
        <v>26</v>
      </c>
      <c r="D28" s="102">
        <v>24865</v>
      </c>
      <c r="E28" s="106">
        <v>0</v>
      </c>
      <c r="F28" s="90">
        <v>0</v>
      </c>
      <c r="G28" s="106">
        <v>0</v>
      </c>
      <c r="H28" s="90">
        <v>0</v>
      </c>
      <c r="I28" s="106">
        <v>0</v>
      </c>
      <c r="J28" s="90">
        <v>0</v>
      </c>
      <c r="K28" s="106">
        <v>0</v>
      </c>
      <c r="L28" s="90">
        <v>0</v>
      </c>
      <c r="M28" s="106">
        <v>0</v>
      </c>
      <c r="N28" s="90">
        <v>0</v>
      </c>
      <c r="O28" s="111">
        <v>65</v>
      </c>
      <c r="P28" s="26">
        <f>O28*D28</f>
        <v>1616225</v>
      </c>
      <c r="Q28" s="111">
        <v>0</v>
      </c>
      <c r="R28" s="26">
        <v>0</v>
      </c>
      <c r="S28" s="111">
        <v>70</v>
      </c>
      <c r="T28" s="26">
        <f>S28*D28</f>
        <v>1740550</v>
      </c>
      <c r="U28" s="111">
        <f t="shared" si="13"/>
        <v>135</v>
      </c>
      <c r="V28" s="52">
        <f t="shared" si="14"/>
        <v>3356775</v>
      </c>
      <c r="W28" s="172">
        <v>0</v>
      </c>
      <c r="X28" s="121">
        <v>0</v>
      </c>
      <c r="Y28" s="115">
        <v>0</v>
      </c>
      <c r="Z28" s="122">
        <v>0</v>
      </c>
      <c r="AA28" s="115">
        <v>0</v>
      </c>
      <c r="AB28" s="122">
        <v>0</v>
      </c>
      <c r="AC28" s="115">
        <v>0</v>
      </c>
      <c r="AD28" s="122">
        <v>0</v>
      </c>
      <c r="AE28" s="110">
        <v>0</v>
      </c>
      <c r="AF28" s="171">
        <v>0</v>
      </c>
      <c r="AG28" s="115">
        <v>0</v>
      </c>
      <c r="AH28" s="122">
        <v>0</v>
      </c>
      <c r="AI28" s="115">
        <v>0</v>
      </c>
      <c r="AJ28" s="122">
        <v>0</v>
      </c>
      <c r="AK28" s="111">
        <f>1000*0.0071</f>
        <v>7.1000000000000005</v>
      </c>
      <c r="AL28" s="26">
        <f>AK28*D28</f>
        <v>176541.5</v>
      </c>
      <c r="AM28" s="110">
        <v>0</v>
      </c>
      <c r="AN28" s="122">
        <v>0</v>
      </c>
      <c r="AO28" s="110">
        <f t="shared" si="0"/>
        <v>7.1000000000000005</v>
      </c>
      <c r="AP28" s="127">
        <f t="shared" si="1"/>
        <v>176541.5</v>
      </c>
      <c r="AQ28" s="104">
        <v>0</v>
      </c>
      <c r="AR28" s="26">
        <v>0</v>
      </c>
      <c r="AS28" s="110">
        <v>0</v>
      </c>
      <c r="AT28" s="26">
        <v>0</v>
      </c>
      <c r="AU28" s="110">
        <v>0</v>
      </c>
      <c r="AV28" s="26">
        <v>0</v>
      </c>
      <c r="AW28" s="111">
        <v>0</v>
      </c>
      <c r="AX28" s="26">
        <v>0</v>
      </c>
      <c r="AY28" s="111">
        <f>100*0.061</f>
        <v>6.1</v>
      </c>
      <c r="AZ28" s="26">
        <f t="shared" ref="AZ28:AZ90" si="23">D28*AY28</f>
        <v>151676.5</v>
      </c>
      <c r="BA28" s="111">
        <f>11.25*2.2</f>
        <v>24.750000000000004</v>
      </c>
      <c r="BB28" s="26">
        <f t="shared" si="22"/>
        <v>615408.75000000012</v>
      </c>
      <c r="BC28" s="111">
        <v>0</v>
      </c>
      <c r="BD28" s="26">
        <v>0</v>
      </c>
      <c r="BE28" s="111">
        <v>0</v>
      </c>
      <c r="BF28" s="26">
        <v>0</v>
      </c>
      <c r="BG28" s="111">
        <v>35</v>
      </c>
      <c r="BH28" s="26">
        <f t="shared" ref="BH28:BH35" si="24">BG28*D28</f>
        <v>870275</v>
      </c>
      <c r="BI28" s="111">
        <f>BA28+AY28+AW28</f>
        <v>30.85</v>
      </c>
      <c r="BJ28" s="52">
        <f t="shared" si="16"/>
        <v>767085.25</v>
      </c>
      <c r="BK28" s="135">
        <f t="shared" si="17"/>
        <v>172.95</v>
      </c>
      <c r="BL28" s="140">
        <f t="shared" si="21"/>
        <v>4300401.75</v>
      </c>
      <c r="BM28" s="281">
        <f t="shared" si="2"/>
        <v>43.237499999999997</v>
      </c>
      <c r="BN28" s="282"/>
      <c r="BO28" s="282"/>
      <c r="BP28" s="282"/>
      <c r="BQ28" s="282"/>
      <c r="BR28" s="283"/>
      <c r="BS28" s="147">
        <f t="shared" si="3"/>
        <v>17.294999999999998</v>
      </c>
      <c r="BT28" s="147">
        <f t="shared" si="4"/>
        <v>74375448.266249999</v>
      </c>
      <c r="BU28" s="288">
        <f t="shared" si="18"/>
        <v>1505140.6125</v>
      </c>
      <c r="BV28" s="288"/>
      <c r="BW28" s="288"/>
      <c r="BX28" s="288"/>
      <c r="BY28" s="288">
        <f t="shared" si="5"/>
        <v>233.48249999999999</v>
      </c>
      <c r="BZ28" s="288"/>
      <c r="CA28" s="288"/>
      <c r="CB28" s="290">
        <f t="shared" si="19"/>
        <v>5805542.3624999998</v>
      </c>
      <c r="CC28" s="290"/>
      <c r="CD28" s="290"/>
    </row>
    <row r="29" spans="1:135" ht="22.2" thickTop="1" thickBot="1" x14ac:dyDescent="0.35">
      <c r="A29" s="100">
        <v>2</v>
      </c>
      <c r="B29" s="100" t="s">
        <v>153</v>
      </c>
      <c r="C29" s="100" t="s">
        <v>26</v>
      </c>
      <c r="D29" s="102">
        <v>13127</v>
      </c>
      <c r="E29" s="106">
        <v>0</v>
      </c>
      <c r="F29" s="90">
        <v>0</v>
      </c>
      <c r="G29" s="106">
        <v>0</v>
      </c>
      <c r="H29" s="90">
        <v>0</v>
      </c>
      <c r="I29" s="106">
        <v>0</v>
      </c>
      <c r="J29" s="90">
        <v>0</v>
      </c>
      <c r="K29" s="106">
        <v>0</v>
      </c>
      <c r="L29" s="90">
        <v>0</v>
      </c>
      <c r="M29" s="106">
        <v>0</v>
      </c>
      <c r="N29" s="26">
        <v>0</v>
      </c>
      <c r="O29" s="111">
        <v>65</v>
      </c>
      <c r="P29" s="26">
        <f>O29*D29</f>
        <v>853255</v>
      </c>
      <c r="Q29" s="111">
        <v>0</v>
      </c>
      <c r="R29" s="26">
        <v>0</v>
      </c>
      <c r="S29" s="111">
        <v>70</v>
      </c>
      <c r="T29" s="26">
        <f>S29*D29</f>
        <v>918890</v>
      </c>
      <c r="U29" s="111">
        <f t="shared" si="13"/>
        <v>135</v>
      </c>
      <c r="V29" s="52">
        <f t="shared" si="14"/>
        <v>1772145</v>
      </c>
      <c r="W29" s="172">
        <v>0</v>
      </c>
      <c r="X29" s="121">
        <v>0</v>
      </c>
      <c r="Y29" s="115">
        <v>0</v>
      </c>
      <c r="Z29" s="122">
        <v>0</v>
      </c>
      <c r="AA29" s="115">
        <v>0</v>
      </c>
      <c r="AB29" s="122">
        <v>0</v>
      </c>
      <c r="AC29" s="115">
        <v>0</v>
      </c>
      <c r="AD29" s="122">
        <v>0</v>
      </c>
      <c r="AE29" s="110">
        <v>0</v>
      </c>
      <c r="AF29" s="171">
        <v>0</v>
      </c>
      <c r="AG29" s="115">
        <v>0</v>
      </c>
      <c r="AH29" s="122">
        <v>0</v>
      </c>
      <c r="AI29" s="115">
        <v>0</v>
      </c>
      <c r="AJ29" s="122">
        <v>0</v>
      </c>
      <c r="AK29" s="111">
        <f>100*0.0062</f>
        <v>0.62</v>
      </c>
      <c r="AL29" s="26">
        <f>AK29*D29</f>
        <v>8138.74</v>
      </c>
      <c r="AM29" s="110">
        <v>0</v>
      </c>
      <c r="AN29" s="122">
        <v>0</v>
      </c>
      <c r="AO29" s="110">
        <f t="shared" si="0"/>
        <v>0.62</v>
      </c>
      <c r="AP29" s="127">
        <f t="shared" si="1"/>
        <v>8138.74</v>
      </c>
      <c r="AQ29" s="104">
        <v>0</v>
      </c>
      <c r="AR29" s="26">
        <v>0</v>
      </c>
      <c r="AS29" s="110">
        <v>0</v>
      </c>
      <c r="AT29" s="26">
        <v>0</v>
      </c>
      <c r="AU29" s="110">
        <v>0</v>
      </c>
      <c r="AV29" s="26">
        <v>0</v>
      </c>
      <c r="AW29" s="111">
        <v>0</v>
      </c>
      <c r="AX29" s="26">
        <v>0</v>
      </c>
      <c r="AY29" s="111">
        <f>100*0.067</f>
        <v>6.7</v>
      </c>
      <c r="AZ29" s="26">
        <f t="shared" si="23"/>
        <v>87950.900000000009</v>
      </c>
      <c r="BA29" s="111">
        <f>9.75*2.2</f>
        <v>21.450000000000003</v>
      </c>
      <c r="BB29" s="26">
        <f t="shared" si="22"/>
        <v>281574.15000000002</v>
      </c>
      <c r="BC29" s="111">
        <v>0</v>
      </c>
      <c r="BD29" s="26">
        <v>0</v>
      </c>
      <c r="BE29" s="111">
        <v>0</v>
      </c>
      <c r="BF29" s="26">
        <v>0</v>
      </c>
      <c r="BG29" s="111">
        <v>35</v>
      </c>
      <c r="BH29" s="26">
        <f t="shared" si="24"/>
        <v>459445</v>
      </c>
      <c r="BI29" s="111">
        <f>BA29+AY29+AW29</f>
        <v>28.150000000000002</v>
      </c>
      <c r="BJ29" s="52">
        <f t="shared" si="16"/>
        <v>369525.05000000005</v>
      </c>
      <c r="BK29" s="135">
        <f t="shared" si="17"/>
        <v>163.77000000000001</v>
      </c>
      <c r="BL29" s="140">
        <f t="shared" si="21"/>
        <v>2149808.79</v>
      </c>
      <c r="BM29" s="281">
        <f t="shared" si="2"/>
        <v>40.942500000000003</v>
      </c>
      <c r="BN29" s="282"/>
      <c r="BO29" s="282"/>
      <c r="BP29" s="282"/>
      <c r="BQ29" s="282"/>
      <c r="BR29" s="283"/>
      <c r="BS29" s="147">
        <f t="shared" si="3"/>
        <v>16.377000000000002</v>
      </c>
      <c r="BT29" s="147">
        <f t="shared" si="4"/>
        <v>35207418.553830005</v>
      </c>
      <c r="BU29" s="288">
        <f t="shared" si="18"/>
        <v>752433.07650000008</v>
      </c>
      <c r="BV29" s="288"/>
      <c r="BW29" s="288"/>
      <c r="BX29" s="288"/>
      <c r="BY29" s="288">
        <f t="shared" si="5"/>
        <v>221.08950000000002</v>
      </c>
      <c r="BZ29" s="288"/>
      <c r="CA29" s="288"/>
      <c r="CB29" s="290">
        <f t="shared" si="19"/>
        <v>2902241.8665</v>
      </c>
      <c r="CC29" s="290"/>
      <c r="CD29" s="290"/>
    </row>
    <row r="30" spans="1:135" ht="22.2" thickTop="1" thickBot="1" x14ac:dyDescent="0.35">
      <c r="A30" s="100">
        <v>3</v>
      </c>
      <c r="B30" s="100" t="s">
        <v>154</v>
      </c>
      <c r="C30" s="100" t="s">
        <v>26</v>
      </c>
      <c r="D30" s="102">
        <v>9941</v>
      </c>
      <c r="E30" s="106">
        <v>0</v>
      </c>
      <c r="F30" s="90">
        <v>0</v>
      </c>
      <c r="G30" s="106">
        <v>0</v>
      </c>
      <c r="H30" s="90">
        <v>0</v>
      </c>
      <c r="I30" s="106">
        <v>0</v>
      </c>
      <c r="J30" s="90">
        <v>0</v>
      </c>
      <c r="K30" s="106">
        <v>0</v>
      </c>
      <c r="L30" s="90">
        <v>0</v>
      </c>
      <c r="M30" s="106">
        <v>0</v>
      </c>
      <c r="N30" s="90">
        <v>0</v>
      </c>
      <c r="O30" s="111">
        <v>85</v>
      </c>
      <c r="P30" s="26">
        <f>O30*D30</f>
        <v>844985</v>
      </c>
      <c r="Q30" s="111">
        <v>0</v>
      </c>
      <c r="R30" s="26">
        <v>0</v>
      </c>
      <c r="S30" s="111">
        <v>70</v>
      </c>
      <c r="T30" s="26">
        <f>S30*D30</f>
        <v>695870</v>
      </c>
      <c r="U30" s="111">
        <f t="shared" si="13"/>
        <v>155</v>
      </c>
      <c r="V30" s="52">
        <f t="shared" si="14"/>
        <v>1540855</v>
      </c>
      <c r="W30" s="172">
        <v>0</v>
      </c>
      <c r="X30" s="121">
        <v>0</v>
      </c>
      <c r="Y30" s="115">
        <v>0</v>
      </c>
      <c r="Z30" s="122">
        <v>0</v>
      </c>
      <c r="AA30" s="115">
        <v>0</v>
      </c>
      <c r="AB30" s="122">
        <v>0</v>
      </c>
      <c r="AC30" s="115">
        <v>0</v>
      </c>
      <c r="AD30" s="122">
        <v>0</v>
      </c>
      <c r="AE30" s="110">
        <v>0</v>
      </c>
      <c r="AF30" s="171">
        <v>0</v>
      </c>
      <c r="AG30" s="115">
        <v>0</v>
      </c>
      <c r="AH30" s="122">
        <v>0</v>
      </c>
      <c r="AI30" s="115">
        <v>0</v>
      </c>
      <c r="AJ30" s="122">
        <v>0</v>
      </c>
      <c r="AK30" s="111">
        <v>2</v>
      </c>
      <c r="AL30" s="26">
        <f>AK30*D30</f>
        <v>19882</v>
      </c>
      <c r="AM30" s="110">
        <v>0</v>
      </c>
      <c r="AN30" s="122">
        <v>0</v>
      </c>
      <c r="AO30" s="110">
        <f t="shared" si="0"/>
        <v>2</v>
      </c>
      <c r="AP30" s="127">
        <f t="shared" si="1"/>
        <v>19882</v>
      </c>
      <c r="AQ30" s="104">
        <v>0</v>
      </c>
      <c r="AR30" s="26">
        <v>0</v>
      </c>
      <c r="AS30" s="110">
        <v>0</v>
      </c>
      <c r="AT30" s="26">
        <v>0</v>
      </c>
      <c r="AU30" s="110">
        <v>0</v>
      </c>
      <c r="AV30" s="26">
        <v>0</v>
      </c>
      <c r="AW30" s="111">
        <v>0</v>
      </c>
      <c r="AX30" s="26">
        <v>0</v>
      </c>
      <c r="AY30" s="111">
        <v>9.25</v>
      </c>
      <c r="AZ30" s="26">
        <f t="shared" si="23"/>
        <v>91954.25</v>
      </c>
      <c r="BA30" s="111">
        <v>66</v>
      </c>
      <c r="BB30" s="26">
        <f t="shared" si="22"/>
        <v>656106</v>
      </c>
      <c r="BC30" s="111">
        <v>0</v>
      </c>
      <c r="BD30" s="26">
        <v>0</v>
      </c>
      <c r="BE30" s="111">
        <v>0</v>
      </c>
      <c r="BF30" s="26">
        <v>0</v>
      </c>
      <c r="BG30" s="111">
        <v>35</v>
      </c>
      <c r="BH30" s="26">
        <f t="shared" si="24"/>
        <v>347935</v>
      </c>
      <c r="BI30" s="111">
        <f>BA30+AY30+AW30</f>
        <v>75.25</v>
      </c>
      <c r="BJ30" s="52">
        <f t="shared" si="16"/>
        <v>748060.25</v>
      </c>
      <c r="BK30" s="135">
        <f t="shared" si="17"/>
        <v>232.25</v>
      </c>
      <c r="BL30" s="140">
        <f t="shared" si="21"/>
        <v>2308797.25</v>
      </c>
      <c r="BM30" s="281">
        <f t="shared" si="2"/>
        <v>58.0625</v>
      </c>
      <c r="BN30" s="282"/>
      <c r="BO30" s="282"/>
      <c r="BP30" s="282"/>
      <c r="BQ30" s="282"/>
      <c r="BR30" s="283"/>
      <c r="BS30" s="147">
        <f t="shared" si="3"/>
        <v>23.225000000000001</v>
      </c>
      <c r="BT30" s="147">
        <f t="shared" si="4"/>
        <v>53621816.131250001</v>
      </c>
      <c r="BU30" s="288">
        <f t="shared" si="18"/>
        <v>808079.03749999998</v>
      </c>
      <c r="BV30" s="288"/>
      <c r="BW30" s="288"/>
      <c r="BX30" s="288"/>
      <c r="BY30" s="288">
        <f t="shared" si="5"/>
        <v>313.53750000000002</v>
      </c>
      <c r="BZ30" s="288"/>
      <c r="CA30" s="288"/>
      <c r="CB30" s="290">
        <f t="shared" si="19"/>
        <v>3116876.2875000001</v>
      </c>
      <c r="CC30" s="290"/>
      <c r="CD30" s="290"/>
    </row>
    <row r="31" spans="1:135" s="82" customFormat="1" ht="34.799999999999997" thickTop="1" thickBot="1" x14ac:dyDescent="0.35">
      <c r="A31" s="237" t="s">
        <v>155</v>
      </c>
      <c r="B31" s="237"/>
      <c r="C31" s="237"/>
      <c r="D31" s="238"/>
      <c r="E31" s="150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151"/>
      <c r="W31" s="180"/>
      <c r="X31" s="152"/>
      <c r="Y31" s="181"/>
      <c r="Z31" s="83"/>
      <c r="AA31" s="181"/>
      <c r="AB31" s="83"/>
      <c r="AC31" s="181"/>
      <c r="AD31" s="83"/>
      <c r="AE31" s="83"/>
      <c r="AF31" s="181"/>
      <c r="AG31" s="181"/>
      <c r="AH31" s="83"/>
      <c r="AI31" s="181"/>
      <c r="AJ31" s="83"/>
      <c r="AK31" s="86"/>
      <c r="AL31" s="86"/>
      <c r="AM31" s="83"/>
      <c r="AN31" s="83"/>
      <c r="AO31" s="83"/>
      <c r="AP31" s="84"/>
      <c r="AQ31" s="153"/>
      <c r="AR31" s="86"/>
      <c r="AS31" s="83"/>
      <c r="AT31" s="86"/>
      <c r="AU31" s="83"/>
      <c r="AV31" s="86"/>
      <c r="AW31" s="86"/>
      <c r="AX31" s="86"/>
      <c r="AY31" s="86"/>
      <c r="AZ31" s="86"/>
      <c r="BA31" s="86"/>
      <c r="BB31" s="86"/>
      <c r="BC31" s="86"/>
      <c r="BD31" s="86"/>
      <c r="BE31" s="86"/>
      <c r="BF31" s="86"/>
      <c r="BG31" s="86"/>
      <c r="BH31" s="86"/>
      <c r="BI31" s="86"/>
      <c r="BJ31" s="151"/>
      <c r="BK31" s="87"/>
      <c r="BL31" s="88"/>
      <c r="BZ31" s="182"/>
      <c r="CA31" s="182"/>
      <c r="CB31" s="85"/>
      <c r="CC31" s="85"/>
      <c r="CD31" s="85"/>
      <c r="CE31" s="80"/>
      <c r="CF31" s="80"/>
      <c r="CG31" s="80"/>
      <c r="CH31" s="80"/>
      <c r="CI31" s="80"/>
      <c r="CJ31" s="80"/>
      <c r="CK31" s="80"/>
      <c r="CL31" s="80"/>
      <c r="CM31" s="80"/>
      <c r="CN31" s="80"/>
      <c r="CO31" s="80"/>
      <c r="CP31" s="80"/>
      <c r="CQ31" s="80"/>
      <c r="CR31" s="80"/>
      <c r="CS31" s="80"/>
      <c r="CT31" s="80"/>
      <c r="CU31" s="80"/>
      <c r="CV31" s="80"/>
      <c r="CW31" s="80"/>
      <c r="CX31" s="80"/>
      <c r="CY31" s="80"/>
      <c r="CZ31" s="80"/>
      <c r="DA31" s="80"/>
      <c r="DB31" s="80"/>
      <c r="DC31" s="80"/>
      <c r="DD31" s="80"/>
      <c r="DE31" s="80"/>
      <c r="DF31" s="80"/>
      <c r="DG31" s="80"/>
      <c r="DH31" s="80"/>
      <c r="DI31" s="80"/>
      <c r="DJ31" s="80"/>
      <c r="DK31" s="80"/>
      <c r="DL31" s="80"/>
      <c r="DM31" s="80"/>
      <c r="DN31" s="80"/>
      <c r="DO31" s="80"/>
      <c r="DP31" s="80"/>
      <c r="DQ31" s="80"/>
      <c r="DR31" s="80"/>
      <c r="DS31" s="80"/>
      <c r="DT31" s="80"/>
      <c r="DU31" s="80"/>
      <c r="DV31" s="80"/>
      <c r="DW31" s="80"/>
      <c r="DX31" s="80"/>
      <c r="DY31" s="80"/>
      <c r="DZ31" s="80"/>
      <c r="EA31" s="80"/>
      <c r="EB31" s="80"/>
      <c r="EC31" s="80"/>
      <c r="ED31" s="80"/>
      <c r="EE31" s="80"/>
    </row>
    <row r="32" spans="1:135" ht="43.2" thickTop="1" thickBot="1" x14ac:dyDescent="0.35">
      <c r="A32" s="100">
        <v>1</v>
      </c>
      <c r="B32" s="101" t="s">
        <v>156</v>
      </c>
      <c r="C32" s="100" t="s">
        <v>26</v>
      </c>
      <c r="D32" s="102">
        <v>9941</v>
      </c>
      <c r="E32" s="106">
        <v>0</v>
      </c>
      <c r="F32" s="90">
        <v>0</v>
      </c>
      <c r="G32" s="106">
        <v>0</v>
      </c>
      <c r="H32" s="90">
        <v>0</v>
      </c>
      <c r="I32" s="106">
        <v>0</v>
      </c>
      <c r="J32" s="90">
        <v>0</v>
      </c>
      <c r="K32" s="106">
        <v>0</v>
      </c>
      <c r="L32" s="90">
        <v>0</v>
      </c>
      <c r="M32" s="106">
        <v>0</v>
      </c>
      <c r="N32" s="90">
        <v>0</v>
      </c>
      <c r="O32" s="111">
        <v>84</v>
      </c>
      <c r="P32" s="26">
        <f t="shared" ref="P32:P37" si="25">O32*D32</f>
        <v>835044</v>
      </c>
      <c r="Q32" s="111">
        <v>0</v>
      </c>
      <c r="R32" s="26">
        <v>0</v>
      </c>
      <c r="S32" s="111">
        <v>0</v>
      </c>
      <c r="T32" s="26">
        <v>0</v>
      </c>
      <c r="U32" s="111">
        <f t="shared" si="13"/>
        <v>84</v>
      </c>
      <c r="V32" s="52">
        <f t="shared" si="14"/>
        <v>835044</v>
      </c>
      <c r="W32" s="172">
        <v>0</v>
      </c>
      <c r="X32" s="121">
        <v>0</v>
      </c>
      <c r="Y32" s="115">
        <v>0</v>
      </c>
      <c r="Z32" s="122">
        <v>0</v>
      </c>
      <c r="AA32" s="115">
        <v>0</v>
      </c>
      <c r="AB32" s="122">
        <v>0</v>
      </c>
      <c r="AC32" s="115">
        <v>0</v>
      </c>
      <c r="AD32" s="122">
        <v>0</v>
      </c>
      <c r="AE32" s="110">
        <v>0</v>
      </c>
      <c r="AF32" s="171">
        <v>0</v>
      </c>
      <c r="AG32" s="115">
        <v>0</v>
      </c>
      <c r="AH32" s="122">
        <v>0</v>
      </c>
      <c r="AI32" s="115">
        <v>0</v>
      </c>
      <c r="AJ32" s="122">
        <v>0</v>
      </c>
      <c r="AK32" s="111">
        <v>2</v>
      </c>
      <c r="AL32" s="26">
        <f t="shared" ref="AL32:AL49" si="26">AK32*D32</f>
        <v>19882</v>
      </c>
      <c r="AM32" s="110">
        <v>0</v>
      </c>
      <c r="AN32" s="122">
        <v>0</v>
      </c>
      <c r="AO32" s="110">
        <f t="shared" si="0"/>
        <v>2</v>
      </c>
      <c r="AP32" s="127">
        <f t="shared" si="1"/>
        <v>19882</v>
      </c>
      <c r="AQ32" s="104">
        <v>0</v>
      </c>
      <c r="AR32" s="26">
        <v>0</v>
      </c>
      <c r="AS32" s="110">
        <v>0</v>
      </c>
      <c r="AT32" s="26">
        <v>0</v>
      </c>
      <c r="AU32" s="110">
        <v>0</v>
      </c>
      <c r="AV32" s="26">
        <v>0</v>
      </c>
      <c r="AW32" s="111">
        <v>0</v>
      </c>
      <c r="AX32" s="26">
        <v>0</v>
      </c>
      <c r="AY32" s="111">
        <v>0</v>
      </c>
      <c r="AZ32" s="26">
        <f t="shared" si="23"/>
        <v>0</v>
      </c>
      <c r="BA32" s="111">
        <v>0</v>
      </c>
      <c r="BB32" s="26">
        <f t="shared" si="22"/>
        <v>0</v>
      </c>
      <c r="BC32" s="111">
        <v>0</v>
      </c>
      <c r="BD32" s="26">
        <v>0</v>
      </c>
      <c r="BE32" s="111">
        <v>0</v>
      </c>
      <c r="BF32" s="26">
        <v>0</v>
      </c>
      <c r="BG32" s="111">
        <v>27</v>
      </c>
      <c r="BH32" s="26">
        <f t="shared" si="24"/>
        <v>268407</v>
      </c>
      <c r="BI32" s="111">
        <f>BA32+AY32+AW32+BC32+BG32</f>
        <v>27</v>
      </c>
      <c r="BJ32" s="52">
        <f>BI32*D32</f>
        <v>268407</v>
      </c>
      <c r="BK32" s="135">
        <f>BI32+AO32+U32</f>
        <v>113</v>
      </c>
      <c r="BL32" s="140">
        <f>BK32*D32</f>
        <v>1123333</v>
      </c>
      <c r="BM32" s="281">
        <f t="shared" si="2"/>
        <v>28.25</v>
      </c>
      <c r="BN32" s="282"/>
      <c r="BO32" s="282"/>
      <c r="BP32" s="282"/>
      <c r="BQ32" s="282"/>
      <c r="BR32" s="283"/>
      <c r="BS32" s="147">
        <f t="shared" si="3"/>
        <v>11.3</v>
      </c>
      <c r="BT32" s="147">
        <f t="shared" si="4"/>
        <v>12693662.9</v>
      </c>
      <c r="BU32" s="288">
        <f t="shared" si="18"/>
        <v>393166.55</v>
      </c>
      <c r="BV32" s="288"/>
      <c r="BW32" s="288"/>
      <c r="BX32" s="288"/>
      <c r="BY32" s="288">
        <f t="shared" si="5"/>
        <v>152.55000000000001</v>
      </c>
      <c r="BZ32" s="288"/>
      <c r="CA32" s="288"/>
      <c r="CB32" s="290">
        <f t="shared" si="19"/>
        <v>1516499.55</v>
      </c>
      <c r="CC32" s="290"/>
      <c r="CD32" s="290"/>
    </row>
    <row r="33" spans="1:135" ht="43.2" thickTop="1" thickBot="1" x14ac:dyDescent="0.35">
      <c r="A33" s="100">
        <v>2</v>
      </c>
      <c r="B33" s="101" t="s">
        <v>157</v>
      </c>
      <c r="C33" s="100" t="s">
        <v>26</v>
      </c>
      <c r="D33" s="102">
        <v>13127</v>
      </c>
      <c r="E33" s="106">
        <v>0</v>
      </c>
      <c r="F33" s="90">
        <v>0</v>
      </c>
      <c r="G33" s="106">
        <v>0</v>
      </c>
      <c r="H33" s="90">
        <v>0</v>
      </c>
      <c r="I33" s="106">
        <v>0</v>
      </c>
      <c r="J33" s="90">
        <v>0</v>
      </c>
      <c r="K33" s="106">
        <v>0</v>
      </c>
      <c r="L33" s="90">
        <v>0</v>
      </c>
      <c r="M33" s="106">
        <v>0</v>
      </c>
      <c r="N33" s="26">
        <v>0</v>
      </c>
      <c r="O33" s="111">
        <f>38*2</f>
        <v>76</v>
      </c>
      <c r="P33" s="26">
        <f t="shared" si="25"/>
        <v>997652</v>
      </c>
      <c r="Q33" s="111">
        <v>0</v>
      </c>
      <c r="R33" s="26">
        <v>0</v>
      </c>
      <c r="S33" s="111">
        <v>0</v>
      </c>
      <c r="T33" s="26">
        <v>0</v>
      </c>
      <c r="U33" s="111">
        <f t="shared" si="13"/>
        <v>76</v>
      </c>
      <c r="V33" s="52">
        <f t="shared" si="14"/>
        <v>997652</v>
      </c>
      <c r="W33" s="172">
        <v>0</v>
      </c>
      <c r="X33" s="121">
        <v>0</v>
      </c>
      <c r="Y33" s="115">
        <v>0</v>
      </c>
      <c r="Z33" s="122">
        <v>0</v>
      </c>
      <c r="AA33" s="115">
        <v>0</v>
      </c>
      <c r="AB33" s="122">
        <v>0</v>
      </c>
      <c r="AC33" s="115">
        <v>0</v>
      </c>
      <c r="AD33" s="122">
        <v>0</v>
      </c>
      <c r="AE33" s="110">
        <v>0</v>
      </c>
      <c r="AF33" s="171">
        <v>0</v>
      </c>
      <c r="AG33" s="115">
        <v>0</v>
      </c>
      <c r="AH33" s="122">
        <v>0</v>
      </c>
      <c r="AI33" s="115">
        <v>0</v>
      </c>
      <c r="AJ33" s="122">
        <v>0</v>
      </c>
      <c r="AK33" s="111">
        <v>2</v>
      </c>
      <c r="AL33" s="26">
        <f t="shared" si="26"/>
        <v>26254</v>
      </c>
      <c r="AM33" s="110">
        <v>0</v>
      </c>
      <c r="AN33" s="122">
        <v>0</v>
      </c>
      <c r="AO33" s="110">
        <f t="shared" si="0"/>
        <v>2</v>
      </c>
      <c r="AP33" s="127">
        <f t="shared" si="1"/>
        <v>26254</v>
      </c>
      <c r="AQ33" s="104">
        <v>0</v>
      </c>
      <c r="AR33" s="26">
        <v>0</v>
      </c>
      <c r="AS33" s="110">
        <v>0</v>
      </c>
      <c r="AT33" s="26">
        <v>0</v>
      </c>
      <c r="AU33" s="110">
        <v>0</v>
      </c>
      <c r="AV33" s="26">
        <v>0</v>
      </c>
      <c r="AW33" s="111">
        <v>0</v>
      </c>
      <c r="AX33" s="26">
        <v>0</v>
      </c>
      <c r="AY33" s="111">
        <v>0</v>
      </c>
      <c r="AZ33" s="26">
        <f t="shared" si="23"/>
        <v>0</v>
      </c>
      <c r="BA33" s="111">
        <v>0</v>
      </c>
      <c r="BB33" s="26">
        <f t="shared" si="22"/>
        <v>0</v>
      </c>
      <c r="BC33" s="111">
        <v>0</v>
      </c>
      <c r="BD33" s="26">
        <v>0</v>
      </c>
      <c r="BE33" s="111">
        <v>0</v>
      </c>
      <c r="BF33" s="26">
        <v>0</v>
      </c>
      <c r="BG33" s="111">
        <v>27</v>
      </c>
      <c r="BH33" s="26">
        <f t="shared" si="24"/>
        <v>354429</v>
      </c>
      <c r="BI33" s="111">
        <f>BA33+AY33+AW33+BC33+BG33</f>
        <v>27</v>
      </c>
      <c r="BJ33" s="52">
        <f>BI33*D33</f>
        <v>354429</v>
      </c>
      <c r="BK33" s="135">
        <f>BI33+AO33+U33</f>
        <v>105</v>
      </c>
      <c r="BL33" s="140">
        <f>BK33*D33</f>
        <v>1378335</v>
      </c>
      <c r="BM33" s="281">
        <f t="shared" si="2"/>
        <v>26.25</v>
      </c>
      <c r="BN33" s="282"/>
      <c r="BO33" s="282"/>
      <c r="BP33" s="282"/>
      <c r="BQ33" s="282"/>
      <c r="BR33" s="283"/>
      <c r="BS33" s="147">
        <f t="shared" si="3"/>
        <v>10.5</v>
      </c>
      <c r="BT33" s="147">
        <f t="shared" si="4"/>
        <v>14472517.5</v>
      </c>
      <c r="BU33" s="288">
        <f t="shared" si="18"/>
        <v>482417.25</v>
      </c>
      <c r="BV33" s="288"/>
      <c r="BW33" s="288"/>
      <c r="BX33" s="288"/>
      <c r="BY33" s="288">
        <f t="shared" si="5"/>
        <v>141.75</v>
      </c>
      <c r="BZ33" s="288"/>
      <c r="CA33" s="288"/>
      <c r="CB33" s="290">
        <f t="shared" si="19"/>
        <v>1860752.25</v>
      </c>
      <c r="CC33" s="290"/>
      <c r="CD33" s="290"/>
    </row>
    <row r="34" spans="1:135" ht="22.2" thickTop="1" thickBot="1" x14ac:dyDescent="0.35">
      <c r="A34" s="100">
        <v>3</v>
      </c>
      <c r="B34" s="100" t="s">
        <v>158</v>
      </c>
      <c r="C34" s="100" t="s">
        <v>26</v>
      </c>
      <c r="D34" s="102">
        <v>15310</v>
      </c>
      <c r="E34" s="111">
        <v>0</v>
      </c>
      <c r="F34" s="26">
        <v>0</v>
      </c>
      <c r="G34" s="111">
        <v>0</v>
      </c>
      <c r="H34" s="26">
        <v>0</v>
      </c>
      <c r="I34" s="111">
        <v>0</v>
      </c>
      <c r="J34" s="26">
        <v>0</v>
      </c>
      <c r="K34" s="111">
        <v>0</v>
      </c>
      <c r="L34" s="26">
        <v>0</v>
      </c>
      <c r="M34" s="111">
        <v>0</v>
      </c>
      <c r="N34" s="26">
        <v>0</v>
      </c>
      <c r="O34" s="111">
        <f>38*3</f>
        <v>114</v>
      </c>
      <c r="P34" s="26">
        <f t="shared" si="25"/>
        <v>1745340</v>
      </c>
      <c r="Q34" s="111">
        <v>0</v>
      </c>
      <c r="R34" s="26">
        <v>0</v>
      </c>
      <c r="S34" s="111">
        <v>0</v>
      </c>
      <c r="T34" s="26">
        <v>0</v>
      </c>
      <c r="U34" s="111">
        <f t="shared" si="13"/>
        <v>114</v>
      </c>
      <c r="V34" s="52">
        <f t="shared" si="14"/>
        <v>1745340</v>
      </c>
      <c r="W34" s="172">
        <v>0</v>
      </c>
      <c r="X34" s="121">
        <v>0</v>
      </c>
      <c r="Y34" s="115">
        <v>0</v>
      </c>
      <c r="Z34" s="122">
        <v>0</v>
      </c>
      <c r="AA34" s="115">
        <v>0</v>
      </c>
      <c r="AB34" s="122">
        <v>0</v>
      </c>
      <c r="AC34" s="115">
        <v>0</v>
      </c>
      <c r="AD34" s="122">
        <v>0</v>
      </c>
      <c r="AE34" s="110">
        <v>0</v>
      </c>
      <c r="AF34" s="171">
        <v>0</v>
      </c>
      <c r="AG34" s="115">
        <v>0</v>
      </c>
      <c r="AH34" s="122">
        <v>0</v>
      </c>
      <c r="AI34" s="115">
        <v>0</v>
      </c>
      <c r="AJ34" s="122">
        <v>0</v>
      </c>
      <c r="AK34" s="111">
        <v>0</v>
      </c>
      <c r="AL34" s="26">
        <f t="shared" si="26"/>
        <v>0</v>
      </c>
      <c r="AM34" s="110">
        <v>0</v>
      </c>
      <c r="AN34" s="122">
        <v>0</v>
      </c>
      <c r="AO34" s="110">
        <f t="shared" si="0"/>
        <v>0</v>
      </c>
      <c r="AP34" s="127">
        <f t="shared" si="1"/>
        <v>0</v>
      </c>
      <c r="AQ34" s="104">
        <v>0</v>
      </c>
      <c r="AR34" s="26">
        <v>0</v>
      </c>
      <c r="AS34" s="110">
        <v>0</v>
      </c>
      <c r="AT34" s="26">
        <v>0</v>
      </c>
      <c r="AU34" s="110">
        <v>0</v>
      </c>
      <c r="AV34" s="26">
        <v>0</v>
      </c>
      <c r="AW34" s="111">
        <v>0</v>
      </c>
      <c r="AX34" s="26">
        <v>0</v>
      </c>
      <c r="AY34" s="111">
        <v>0</v>
      </c>
      <c r="AZ34" s="26">
        <f t="shared" si="23"/>
        <v>0</v>
      </c>
      <c r="BA34" s="111">
        <v>0</v>
      </c>
      <c r="BB34" s="26">
        <f t="shared" si="22"/>
        <v>0</v>
      </c>
      <c r="BC34" s="111">
        <v>0</v>
      </c>
      <c r="BD34" s="26">
        <v>0</v>
      </c>
      <c r="BE34" s="111">
        <v>0</v>
      </c>
      <c r="BF34" s="26">
        <v>0</v>
      </c>
      <c r="BG34" s="111">
        <f>0.17*11.2</f>
        <v>1.9039999999999999</v>
      </c>
      <c r="BH34" s="26">
        <f t="shared" si="24"/>
        <v>29150.239999999998</v>
      </c>
      <c r="BI34" s="111">
        <f>BA34+AY34+AW34+BC34+BG34</f>
        <v>1.9039999999999999</v>
      </c>
      <c r="BJ34" s="52">
        <f>BI34*D34</f>
        <v>29150.239999999998</v>
      </c>
      <c r="BK34" s="135">
        <f>BI34+AO34+U34</f>
        <v>115.904</v>
      </c>
      <c r="BL34" s="140">
        <f>BK34*D34</f>
        <v>1774490.24</v>
      </c>
      <c r="BM34" s="281">
        <f t="shared" si="2"/>
        <v>28.975999999999999</v>
      </c>
      <c r="BN34" s="282"/>
      <c r="BO34" s="282"/>
      <c r="BP34" s="282"/>
      <c r="BQ34" s="282"/>
      <c r="BR34" s="283"/>
      <c r="BS34" s="147">
        <f t="shared" si="3"/>
        <v>11.590400000000001</v>
      </c>
      <c r="BT34" s="147">
        <f t="shared" si="4"/>
        <v>20567051.677696001</v>
      </c>
      <c r="BU34" s="288">
        <f t="shared" si="18"/>
        <v>621071.58400000003</v>
      </c>
      <c r="BV34" s="288"/>
      <c r="BW34" s="288"/>
      <c r="BX34" s="288"/>
      <c r="BY34" s="288">
        <f t="shared" si="5"/>
        <v>156.47039999999998</v>
      </c>
      <c r="BZ34" s="288"/>
      <c r="CA34" s="288"/>
      <c r="CB34" s="290">
        <f t="shared" si="19"/>
        <v>2395561.8239999996</v>
      </c>
      <c r="CC34" s="290"/>
      <c r="CD34" s="290"/>
    </row>
    <row r="35" spans="1:135" ht="22.2" thickTop="1" thickBot="1" x14ac:dyDescent="0.35">
      <c r="A35" s="100">
        <v>4</v>
      </c>
      <c r="B35" s="100" t="s">
        <v>159</v>
      </c>
      <c r="C35" s="100" t="s">
        <v>26</v>
      </c>
      <c r="D35" s="102">
        <v>1003</v>
      </c>
      <c r="E35" s="111">
        <v>0</v>
      </c>
      <c r="F35" s="26">
        <v>0</v>
      </c>
      <c r="G35" s="111">
        <v>0</v>
      </c>
      <c r="H35" s="26">
        <v>0</v>
      </c>
      <c r="I35" s="111">
        <v>0</v>
      </c>
      <c r="J35" s="26">
        <v>0</v>
      </c>
      <c r="K35" s="111">
        <v>0</v>
      </c>
      <c r="L35" s="26">
        <v>0</v>
      </c>
      <c r="M35" s="111">
        <v>0</v>
      </c>
      <c r="N35" s="26">
        <v>0</v>
      </c>
      <c r="O35" s="111">
        <f>38*3</f>
        <v>114</v>
      </c>
      <c r="P35" s="26">
        <f t="shared" si="25"/>
        <v>114342</v>
      </c>
      <c r="Q35" s="111">
        <v>0</v>
      </c>
      <c r="R35" s="26">
        <v>0</v>
      </c>
      <c r="S35" s="111">
        <v>0</v>
      </c>
      <c r="T35" s="26">
        <v>0</v>
      </c>
      <c r="U35" s="111">
        <f t="shared" si="13"/>
        <v>114</v>
      </c>
      <c r="V35" s="52">
        <f t="shared" si="14"/>
        <v>114342</v>
      </c>
      <c r="W35" s="172">
        <v>0</v>
      </c>
      <c r="X35" s="121">
        <v>0</v>
      </c>
      <c r="Y35" s="115">
        <v>0</v>
      </c>
      <c r="Z35" s="122">
        <v>0</v>
      </c>
      <c r="AA35" s="115">
        <v>0</v>
      </c>
      <c r="AB35" s="122">
        <v>0</v>
      </c>
      <c r="AC35" s="115">
        <v>0</v>
      </c>
      <c r="AD35" s="122">
        <v>0</v>
      </c>
      <c r="AE35" s="110">
        <v>0</v>
      </c>
      <c r="AF35" s="171">
        <v>0</v>
      </c>
      <c r="AG35" s="115">
        <v>0</v>
      </c>
      <c r="AH35" s="122">
        <v>0</v>
      </c>
      <c r="AI35" s="115">
        <v>0</v>
      </c>
      <c r="AJ35" s="122">
        <v>0</v>
      </c>
      <c r="AK35" s="111">
        <v>0</v>
      </c>
      <c r="AL35" s="26">
        <f t="shared" si="26"/>
        <v>0</v>
      </c>
      <c r="AM35" s="110">
        <v>0</v>
      </c>
      <c r="AN35" s="122">
        <v>0</v>
      </c>
      <c r="AO35" s="110">
        <f t="shared" si="0"/>
        <v>0</v>
      </c>
      <c r="AP35" s="127">
        <f t="shared" si="1"/>
        <v>0</v>
      </c>
      <c r="AQ35" s="104">
        <v>0</v>
      </c>
      <c r="AR35" s="26">
        <v>0</v>
      </c>
      <c r="AS35" s="110">
        <v>0</v>
      </c>
      <c r="AT35" s="26">
        <v>0</v>
      </c>
      <c r="AU35" s="110">
        <v>0</v>
      </c>
      <c r="AV35" s="26">
        <v>0</v>
      </c>
      <c r="AW35" s="111">
        <v>0</v>
      </c>
      <c r="AX35" s="26">
        <v>0</v>
      </c>
      <c r="AY35" s="111">
        <v>0</v>
      </c>
      <c r="AZ35" s="26">
        <f t="shared" si="23"/>
        <v>0</v>
      </c>
      <c r="BA35" s="111">
        <v>0</v>
      </c>
      <c r="BB35" s="26">
        <f t="shared" si="22"/>
        <v>0</v>
      </c>
      <c r="BC35" s="111">
        <v>0</v>
      </c>
      <c r="BD35" s="26">
        <v>0</v>
      </c>
      <c r="BE35" s="111">
        <v>0</v>
      </c>
      <c r="BF35" s="26">
        <v>0</v>
      </c>
      <c r="BG35" s="111">
        <f>0.17*11.2</f>
        <v>1.9039999999999999</v>
      </c>
      <c r="BH35" s="26">
        <f t="shared" si="24"/>
        <v>1909.712</v>
      </c>
      <c r="BI35" s="111">
        <f>BA35+AY35+AW35+BC35+BG35</f>
        <v>1.9039999999999999</v>
      </c>
      <c r="BJ35" s="52">
        <f>BI35*D35</f>
        <v>1909.712</v>
      </c>
      <c r="BK35" s="135">
        <f>BI35+AO35+U35</f>
        <v>115.904</v>
      </c>
      <c r="BL35" s="140">
        <f>BK35*D35</f>
        <v>116251.712</v>
      </c>
      <c r="BM35" s="281">
        <f t="shared" si="2"/>
        <v>28.975999999999999</v>
      </c>
      <c r="BN35" s="282"/>
      <c r="BO35" s="282"/>
      <c r="BP35" s="282"/>
      <c r="BQ35" s="282"/>
      <c r="BR35" s="283"/>
      <c r="BS35" s="147">
        <f t="shared" si="3"/>
        <v>11.590400000000001</v>
      </c>
      <c r="BT35" s="147">
        <f t="shared" si="4"/>
        <v>1347403.8427648002</v>
      </c>
      <c r="BU35" s="288">
        <f t="shared" si="18"/>
        <v>40688.099200000004</v>
      </c>
      <c r="BV35" s="288"/>
      <c r="BW35" s="288"/>
      <c r="BX35" s="288"/>
      <c r="BY35" s="288">
        <f t="shared" si="5"/>
        <v>156.47039999999998</v>
      </c>
      <c r="BZ35" s="288"/>
      <c r="CA35" s="288"/>
      <c r="CB35" s="290">
        <f t="shared" si="19"/>
        <v>156939.8112</v>
      </c>
      <c r="CC35" s="290"/>
      <c r="CD35" s="290"/>
    </row>
    <row r="36" spans="1:135" s="82" customFormat="1" ht="34.799999999999997" thickTop="1" thickBot="1" x14ac:dyDescent="0.35">
      <c r="A36" s="237" t="s">
        <v>160</v>
      </c>
      <c r="B36" s="237"/>
      <c r="C36" s="237"/>
      <c r="D36" s="238"/>
      <c r="E36" s="150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151"/>
      <c r="W36" s="180"/>
      <c r="X36" s="152"/>
      <c r="Y36" s="181"/>
      <c r="Z36" s="83"/>
      <c r="AA36" s="181"/>
      <c r="AB36" s="83"/>
      <c r="AC36" s="181"/>
      <c r="AD36" s="83"/>
      <c r="AE36" s="83"/>
      <c r="AF36" s="181"/>
      <c r="AG36" s="181"/>
      <c r="AH36" s="83"/>
      <c r="AI36" s="181"/>
      <c r="AJ36" s="83"/>
      <c r="AK36" s="86"/>
      <c r="AL36" s="86"/>
      <c r="AM36" s="83"/>
      <c r="AN36" s="83"/>
      <c r="AO36" s="83"/>
      <c r="AP36" s="84"/>
      <c r="AQ36" s="150"/>
      <c r="AR36" s="86"/>
      <c r="AS36" s="83"/>
      <c r="AT36" s="86"/>
      <c r="AU36" s="83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86"/>
      <c r="BG36" s="86"/>
      <c r="BH36" s="86"/>
      <c r="BI36" s="86"/>
      <c r="BJ36" s="151"/>
      <c r="BK36" s="87"/>
      <c r="BL36" s="88"/>
      <c r="BZ36" s="182"/>
      <c r="CA36" s="182"/>
      <c r="CB36" s="85"/>
      <c r="CC36" s="85"/>
      <c r="CD36" s="85"/>
      <c r="CE36" s="80"/>
      <c r="CF36" s="80"/>
      <c r="CG36" s="80"/>
      <c r="CH36" s="80"/>
      <c r="CI36" s="80"/>
      <c r="CJ36" s="80"/>
      <c r="CK36" s="80"/>
      <c r="CL36" s="80"/>
      <c r="CM36" s="80"/>
      <c r="CN36" s="80"/>
      <c r="CO36" s="80"/>
      <c r="CP36" s="80"/>
      <c r="CQ36" s="80"/>
      <c r="CR36" s="80"/>
      <c r="CS36" s="80"/>
      <c r="CT36" s="80"/>
      <c r="CU36" s="80"/>
      <c r="CV36" s="80"/>
      <c r="CW36" s="80"/>
      <c r="CX36" s="80"/>
      <c r="CY36" s="80"/>
      <c r="CZ36" s="80"/>
      <c r="DA36" s="80"/>
      <c r="DB36" s="80"/>
      <c r="DC36" s="80"/>
      <c r="DD36" s="80"/>
      <c r="DE36" s="80"/>
      <c r="DF36" s="80"/>
      <c r="DG36" s="80"/>
      <c r="DH36" s="80"/>
      <c r="DI36" s="80"/>
      <c r="DJ36" s="80"/>
      <c r="DK36" s="80"/>
      <c r="DL36" s="80"/>
      <c r="DM36" s="80"/>
      <c r="DN36" s="80"/>
      <c r="DO36" s="80"/>
      <c r="DP36" s="80"/>
      <c r="DQ36" s="80"/>
      <c r="DR36" s="80"/>
      <c r="DS36" s="80"/>
      <c r="DT36" s="80"/>
      <c r="DU36" s="80"/>
      <c r="DV36" s="80"/>
      <c r="DW36" s="80"/>
      <c r="DX36" s="80"/>
      <c r="DY36" s="80"/>
      <c r="DZ36" s="80"/>
      <c r="EA36" s="80"/>
      <c r="EB36" s="80"/>
      <c r="EC36" s="80"/>
      <c r="ED36" s="80"/>
      <c r="EE36" s="80"/>
    </row>
    <row r="37" spans="1:135" ht="43.2" thickTop="1" thickBot="1" x14ac:dyDescent="0.35">
      <c r="A37" s="100">
        <v>1</v>
      </c>
      <c r="B37" s="101" t="s">
        <v>161</v>
      </c>
      <c r="C37" s="100" t="s">
        <v>26</v>
      </c>
      <c r="D37" s="102">
        <v>17407</v>
      </c>
      <c r="E37" s="106">
        <v>0</v>
      </c>
      <c r="F37" s="26">
        <v>0</v>
      </c>
      <c r="G37" s="111">
        <v>0</v>
      </c>
      <c r="H37" s="26">
        <v>0</v>
      </c>
      <c r="I37" s="111">
        <v>0</v>
      </c>
      <c r="J37" s="26">
        <v>0</v>
      </c>
      <c r="K37" s="111">
        <v>0</v>
      </c>
      <c r="L37" s="26">
        <v>0</v>
      </c>
      <c r="M37" s="111">
        <v>0</v>
      </c>
      <c r="N37" s="26">
        <v>0</v>
      </c>
      <c r="O37" s="111">
        <v>60</v>
      </c>
      <c r="P37" s="26">
        <f t="shared" si="25"/>
        <v>1044420</v>
      </c>
      <c r="Q37" s="111">
        <v>0</v>
      </c>
      <c r="R37" s="26">
        <v>0</v>
      </c>
      <c r="S37" s="111">
        <v>0</v>
      </c>
      <c r="T37" s="26">
        <v>0</v>
      </c>
      <c r="U37" s="111">
        <f t="shared" ref="U37:U51" si="27">E37+G37+I37+K37+M37+O37+Q37+S37</f>
        <v>60</v>
      </c>
      <c r="V37" s="52">
        <f t="shared" si="14"/>
        <v>1044420</v>
      </c>
      <c r="W37" s="172">
        <v>0</v>
      </c>
      <c r="X37" s="121">
        <v>0</v>
      </c>
      <c r="Y37" s="115">
        <v>0</v>
      </c>
      <c r="Z37" s="122">
        <v>0</v>
      </c>
      <c r="AA37" s="115">
        <v>0</v>
      </c>
      <c r="AB37" s="122">
        <v>0</v>
      </c>
      <c r="AC37" s="115">
        <v>0</v>
      </c>
      <c r="AD37" s="122">
        <v>0</v>
      </c>
      <c r="AE37" s="110">
        <v>0</v>
      </c>
      <c r="AF37" s="171">
        <v>0</v>
      </c>
      <c r="AG37" s="115">
        <v>0</v>
      </c>
      <c r="AH37" s="122">
        <v>0</v>
      </c>
      <c r="AI37" s="115">
        <v>0</v>
      </c>
      <c r="AJ37" s="122">
        <v>0</v>
      </c>
      <c r="AK37" s="111">
        <v>0</v>
      </c>
      <c r="AL37" s="26">
        <f t="shared" si="26"/>
        <v>0</v>
      </c>
      <c r="AM37" s="110">
        <v>0</v>
      </c>
      <c r="AN37" s="122">
        <v>0</v>
      </c>
      <c r="AO37" s="110">
        <f t="shared" si="0"/>
        <v>0</v>
      </c>
      <c r="AP37" s="127">
        <f t="shared" si="1"/>
        <v>0</v>
      </c>
      <c r="AQ37" s="106">
        <v>0</v>
      </c>
      <c r="AR37" s="26">
        <v>0</v>
      </c>
      <c r="AS37" s="110">
        <v>0</v>
      </c>
      <c r="AT37" s="26">
        <v>0</v>
      </c>
      <c r="AU37" s="110">
        <v>0</v>
      </c>
      <c r="AV37" s="26">
        <v>0</v>
      </c>
      <c r="AW37" s="111">
        <v>0</v>
      </c>
      <c r="AX37" s="26">
        <v>0</v>
      </c>
      <c r="AY37" s="111">
        <v>8</v>
      </c>
      <c r="AZ37" s="26">
        <f t="shared" si="23"/>
        <v>139256</v>
      </c>
      <c r="BA37" s="111">
        <v>13.32</v>
      </c>
      <c r="BB37" s="26">
        <f t="shared" si="22"/>
        <v>231861.24</v>
      </c>
      <c r="BC37" s="111">
        <v>0</v>
      </c>
      <c r="BD37" s="26">
        <v>0</v>
      </c>
      <c r="BE37" s="111">
        <v>0</v>
      </c>
      <c r="BF37" s="26">
        <v>0</v>
      </c>
      <c r="BG37" s="111">
        <v>800</v>
      </c>
      <c r="BH37" s="26">
        <f>BG37*D37</f>
        <v>13925600</v>
      </c>
      <c r="BI37" s="111">
        <f>BA37+AY37+AW37+BG37</f>
        <v>821.32</v>
      </c>
      <c r="BJ37" s="52">
        <f>BI37*D37</f>
        <v>14296717.24</v>
      </c>
      <c r="BK37" s="135">
        <f>BI37+AO37+U37</f>
        <v>881.32</v>
      </c>
      <c r="BL37" s="140">
        <f t="shared" ref="BL37:BL68" si="28">BK37*D37</f>
        <v>15341137.24</v>
      </c>
      <c r="BM37" s="281">
        <f t="shared" si="2"/>
        <v>220.33</v>
      </c>
      <c r="BN37" s="282"/>
      <c r="BO37" s="282"/>
      <c r="BP37" s="282"/>
      <c r="BQ37" s="282"/>
      <c r="BR37" s="283"/>
      <c r="BS37" s="147">
        <f t="shared" si="3"/>
        <v>88.132000000000005</v>
      </c>
      <c r="BT37" s="147">
        <f t="shared" si="4"/>
        <v>1352045107.2356801</v>
      </c>
      <c r="BU37" s="288">
        <f t="shared" si="18"/>
        <v>5369398.034</v>
      </c>
      <c r="BV37" s="288"/>
      <c r="BW37" s="288"/>
      <c r="BX37" s="288"/>
      <c r="BY37" s="288">
        <f t="shared" si="5"/>
        <v>1189.7820000000002</v>
      </c>
      <c r="BZ37" s="288"/>
      <c r="CA37" s="288"/>
      <c r="CB37" s="290">
        <f t="shared" si="19"/>
        <v>20710535.274000004</v>
      </c>
      <c r="CC37" s="290"/>
      <c r="CD37" s="290"/>
    </row>
    <row r="38" spans="1:135" ht="43.2" thickTop="1" thickBot="1" x14ac:dyDescent="0.35">
      <c r="A38" s="100">
        <v>2</v>
      </c>
      <c r="B38" s="101" t="s">
        <v>162</v>
      </c>
      <c r="C38" s="100" t="s">
        <v>26</v>
      </c>
      <c r="D38" s="102">
        <v>1518</v>
      </c>
      <c r="E38" s="106">
        <v>0</v>
      </c>
      <c r="F38" s="26">
        <v>0</v>
      </c>
      <c r="G38" s="111">
        <v>0</v>
      </c>
      <c r="H38" s="26">
        <v>0</v>
      </c>
      <c r="I38" s="111">
        <v>0</v>
      </c>
      <c r="J38" s="26">
        <v>0</v>
      </c>
      <c r="K38" s="111">
        <v>0</v>
      </c>
      <c r="L38" s="26">
        <v>0</v>
      </c>
      <c r="M38" s="111">
        <v>0</v>
      </c>
      <c r="N38" s="26">
        <v>0</v>
      </c>
      <c r="O38" s="111">
        <v>70</v>
      </c>
      <c r="P38" s="26">
        <f>D38*D38</f>
        <v>2304324</v>
      </c>
      <c r="Q38" s="111">
        <v>0</v>
      </c>
      <c r="R38" s="26">
        <v>0</v>
      </c>
      <c r="S38" s="111">
        <v>0</v>
      </c>
      <c r="T38" s="26">
        <v>0</v>
      </c>
      <c r="U38" s="111">
        <f t="shared" si="27"/>
        <v>70</v>
      </c>
      <c r="V38" s="52">
        <f t="shared" si="14"/>
        <v>106260</v>
      </c>
      <c r="W38" s="172">
        <v>0</v>
      </c>
      <c r="X38" s="121">
        <v>0</v>
      </c>
      <c r="Y38" s="115">
        <v>0</v>
      </c>
      <c r="Z38" s="122">
        <v>0</v>
      </c>
      <c r="AA38" s="115">
        <v>0</v>
      </c>
      <c r="AB38" s="122">
        <v>0</v>
      </c>
      <c r="AC38" s="115">
        <v>0</v>
      </c>
      <c r="AD38" s="122">
        <v>0</v>
      </c>
      <c r="AE38" s="110">
        <v>0</v>
      </c>
      <c r="AF38" s="171">
        <v>0</v>
      </c>
      <c r="AG38" s="115">
        <v>0</v>
      </c>
      <c r="AH38" s="122">
        <v>0</v>
      </c>
      <c r="AI38" s="115">
        <v>0</v>
      </c>
      <c r="AJ38" s="122">
        <v>0</v>
      </c>
      <c r="AK38" s="111">
        <v>0</v>
      </c>
      <c r="AL38" s="26">
        <f t="shared" si="26"/>
        <v>0</v>
      </c>
      <c r="AM38" s="110">
        <v>0</v>
      </c>
      <c r="AN38" s="122">
        <v>0</v>
      </c>
      <c r="AO38" s="110">
        <f t="shared" si="0"/>
        <v>0</v>
      </c>
      <c r="AP38" s="127">
        <f t="shared" si="1"/>
        <v>0</v>
      </c>
      <c r="AQ38" s="106">
        <v>0</v>
      </c>
      <c r="AR38" s="26">
        <v>0</v>
      </c>
      <c r="AS38" s="110">
        <v>0</v>
      </c>
      <c r="AT38" s="26">
        <v>0</v>
      </c>
      <c r="AU38" s="110">
        <v>0</v>
      </c>
      <c r="AV38" s="26">
        <v>0</v>
      </c>
      <c r="AW38" s="111">
        <v>0</v>
      </c>
      <c r="AX38" s="26">
        <v>0</v>
      </c>
      <c r="AY38" s="111">
        <v>10</v>
      </c>
      <c r="AZ38" s="26">
        <f t="shared" si="23"/>
        <v>15180</v>
      </c>
      <c r="BA38" s="111">
        <v>13.2</v>
      </c>
      <c r="BB38" s="26">
        <f t="shared" si="22"/>
        <v>20037.599999999999</v>
      </c>
      <c r="BC38" s="111">
        <v>0</v>
      </c>
      <c r="BD38" s="26">
        <v>0</v>
      </c>
      <c r="BE38" s="111">
        <v>0</v>
      </c>
      <c r="BF38" s="26">
        <v>0</v>
      </c>
      <c r="BG38" s="111">
        <v>0.35499999999999998</v>
      </c>
      <c r="BH38" s="26">
        <f>BG38*D38</f>
        <v>538.89</v>
      </c>
      <c r="BI38" s="111">
        <f>BA38+AY38+BG38</f>
        <v>23.555</v>
      </c>
      <c r="BJ38" s="52">
        <f>BI38*D38</f>
        <v>35756.49</v>
      </c>
      <c r="BK38" s="135">
        <f>BI38+AO38+U38</f>
        <v>93.555000000000007</v>
      </c>
      <c r="BL38" s="140">
        <f t="shared" si="28"/>
        <v>142016.49000000002</v>
      </c>
      <c r="BM38" s="281">
        <f t="shared" si="2"/>
        <v>23.388750000000002</v>
      </c>
      <c r="BN38" s="282"/>
      <c r="BO38" s="282"/>
      <c r="BP38" s="282"/>
      <c r="BQ38" s="282"/>
      <c r="BR38" s="283"/>
      <c r="BS38" s="147">
        <f t="shared" si="3"/>
        <v>9.355500000000001</v>
      </c>
      <c r="BT38" s="147">
        <f t="shared" si="4"/>
        <v>1328635.2721950004</v>
      </c>
      <c r="BU38" s="288">
        <f t="shared" si="18"/>
        <v>49705.771500000003</v>
      </c>
      <c r="BV38" s="288"/>
      <c r="BW38" s="288"/>
      <c r="BX38" s="288"/>
      <c r="BY38" s="288">
        <f t="shared" si="5"/>
        <v>126.29925000000001</v>
      </c>
      <c r="BZ38" s="288"/>
      <c r="CA38" s="288"/>
      <c r="CB38" s="290">
        <f t="shared" si="19"/>
        <v>191722.26150000002</v>
      </c>
      <c r="CC38" s="290"/>
      <c r="CD38" s="290"/>
    </row>
    <row r="39" spans="1:135" ht="22.2" thickTop="1" thickBot="1" x14ac:dyDescent="0.35">
      <c r="A39" s="100">
        <v>3</v>
      </c>
      <c r="B39" s="100" t="s">
        <v>164</v>
      </c>
      <c r="C39" s="100" t="s">
        <v>163</v>
      </c>
      <c r="D39" s="102">
        <v>106</v>
      </c>
      <c r="E39" s="106">
        <v>0</v>
      </c>
      <c r="F39" s="26">
        <v>0</v>
      </c>
      <c r="G39" s="111">
        <v>0</v>
      </c>
      <c r="H39" s="26">
        <v>0</v>
      </c>
      <c r="I39" s="111">
        <v>16</v>
      </c>
      <c r="J39" s="26">
        <f>I39*D39</f>
        <v>1696</v>
      </c>
      <c r="K39" s="111">
        <v>0</v>
      </c>
      <c r="L39" s="26">
        <v>0</v>
      </c>
      <c r="M39" s="111">
        <v>0</v>
      </c>
      <c r="N39" s="26">
        <v>0</v>
      </c>
      <c r="O39" s="111">
        <v>0</v>
      </c>
      <c r="P39" s="26"/>
      <c r="Q39" s="111">
        <v>0</v>
      </c>
      <c r="R39" s="26">
        <v>0</v>
      </c>
      <c r="S39" s="111">
        <v>0</v>
      </c>
      <c r="T39" s="26">
        <v>0</v>
      </c>
      <c r="U39" s="111">
        <f t="shared" si="27"/>
        <v>16</v>
      </c>
      <c r="V39" s="52">
        <f t="shared" si="14"/>
        <v>1696</v>
      </c>
      <c r="W39" s="172">
        <v>0</v>
      </c>
      <c r="X39" s="121">
        <v>0</v>
      </c>
      <c r="Y39" s="115">
        <v>0</v>
      </c>
      <c r="Z39" s="122">
        <v>0</v>
      </c>
      <c r="AA39" s="115">
        <v>0</v>
      </c>
      <c r="AB39" s="122">
        <v>0</v>
      </c>
      <c r="AC39" s="115">
        <v>0</v>
      </c>
      <c r="AD39" s="122">
        <v>0</v>
      </c>
      <c r="AE39" s="110">
        <v>0</v>
      </c>
      <c r="AF39" s="171">
        <v>0</v>
      </c>
      <c r="AG39" s="115">
        <v>0</v>
      </c>
      <c r="AH39" s="122">
        <v>0</v>
      </c>
      <c r="AI39" s="115">
        <v>0</v>
      </c>
      <c r="AJ39" s="122">
        <v>0</v>
      </c>
      <c r="AK39" s="111">
        <v>0</v>
      </c>
      <c r="AL39" s="26">
        <f t="shared" si="26"/>
        <v>0</v>
      </c>
      <c r="AM39" s="111">
        <v>5</v>
      </c>
      <c r="AN39" s="122">
        <v>0</v>
      </c>
      <c r="AO39" s="110">
        <f t="shared" si="0"/>
        <v>0</v>
      </c>
      <c r="AP39" s="127">
        <f t="shared" si="1"/>
        <v>0</v>
      </c>
      <c r="AQ39" s="106">
        <v>0</v>
      </c>
      <c r="AR39" s="26">
        <v>0</v>
      </c>
      <c r="AS39" s="111">
        <v>550</v>
      </c>
      <c r="AT39" s="26">
        <v>0</v>
      </c>
      <c r="AU39" s="110">
        <v>0</v>
      </c>
      <c r="AV39" s="26">
        <v>0</v>
      </c>
      <c r="AW39" s="111">
        <v>0</v>
      </c>
      <c r="AX39" s="26">
        <v>0</v>
      </c>
      <c r="AY39" s="111">
        <v>0</v>
      </c>
      <c r="AZ39" s="26">
        <v>0</v>
      </c>
      <c r="BA39" s="111">
        <v>0</v>
      </c>
      <c r="BB39" s="26">
        <f t="shared" si="22"/>
        <v>0</v>
      </c>
      <c r="BC39" s="111">
        <v>0</v>
      </c>
      <c r="BD39" s="26">
        <v>0</v>
      </c>
      <c r="BE39" s="111">
        <v>0</v>
      </c>
      <c r="BF39" s="26">
        <v>0</v>
      </c>
      <c r="BG39" s="111"/>
      <c r="BH39" s="26"/>
      <c r="BI39" s="111">
        <f t="shared" ref="BI39:BI46" si="29">BA39+AY39+AW39</f>
        <v>0</v>
      </c>
      <c r="BJ39" s="183"/>
      <c r="BK39" s="135">
        <f>BI39+AO39+U39</f>
        <v>16</v>
      </c>
      <c r="BL39" s="140">
        <f t="shared" si="28"/>
        <v>1696</v>
      </c>
      <c r="BM39" s="281">
        <f t="shared" si="2"/>
        <v>4</v>
      </c>
      <c r="BN39" s="282"/>
      <c r="BO39" s="282"/>
      <c r="BP39" s="282"/>
      <c r="BQ39" s="282"/>
      <c r="BR39" s="283"/>
      <c r="BS39" s="147">
        <f t="shared" si="3"/>
        <v>1.6</v>
      </c>
      <c r="BT39" s="147">
        <f t="shared" si="4"/>
        <v>2713.6000000000004</v>
      </c>
      <c r="BU39" s="288">
        <f t="shared" si="18"/>
        <v>593.59999999999991</v>
      </c>
      <c r="BV39" s="288"/>
      <c r="BW39" s="288"/>
      <c r="BX39" s="288"/>
      <c r="BY39" s="288">
        <f t="shared" si="5"/>
        <v>21.6</v>
      </c>
      <c r="BZ39" s="288"/>
      <c r="CA39" s="288"/>
      <c r="CB39" s="290">
        <f t="shared" si="19"/>
        <v>2289.6000000000004</v>
      </c>
      <c r="CC39" s="290"/>
      <c r="CD39" s="290"/>
    </row>
    <row r="40" spans="1:135" ht="22.2" thickTop="1" thickBot="1" x14ac:dyDescent="0.35">
      <c r="A40" s="100">
        <v>4</v>
      </c>
      <c r="B40" s="101" t="s">
        <v>165</v>
      </c>
      <c r="C40" s="100" t="s">
        <v>163</v>
      </c>
      <c r="D40" s="102">
        <v>1736</v>
      </c>
      <c r="E40" s="106">
        <v>0</v>
      </c>
      <c r="F40" s="26">
        <v>0</v>
      </c>
      <c r="G40" s="111">
        <v>0</v>
      </c>
      <c r="H40" s="26">
        <v>0</v>
      </c>
      <c r="I40" s="111">
        <v>0</v>
      </c>
      <c r="J40" s="26">
        <v>0</v>
      </c>
      <c r="K40" s="111">
        <v>0</v>
      </c>
      <c r="L40" s="26">
        <v>0</v>
      </c>
      <c r="M40" s="111">
        <v>0</v>
      </c>
      <c r="N40" s="26">
        <v>0</v>
      </c>
      <c r="O40" s="111">
        <v>60</v>
      </c>
      <c r="P40" s="26">
        <f>D40*O40</f>
        <v>104160</v>
      </c>
      <c r="Q40" s="111">
        <v>0</v>
      </c>
      <c r="R40" s="26">
        <v>0</v>
      </c>
      <c r="S40" s="111">
        <v>0</v>
      </c>
      <c r="T40" s="26">
        <v>0</v>
      </c>
      <c r="U40" s="111">
        <f t="shared" si="27"/>
        <v>60</v>
      </c>
      <c r="V40" s="52">
        <f t="shared" si="14"/>
        <v>104160</v>
      </c>
      <c r="W40" s="172">
        <v>0</v>
      </c>
      <c r="X40" s="121">
        <v>0</v>
      </c>
      <c r="Y40" s="115">
        <v>0</v>
      </c>
      <c r="Z40" s="122">
        <v>0</v>
      </c>
      <c r="AA40" s="115">
        <v>0</v>
      </c>
      <c r="AB40" s="122">
        <v>0</v>
      </c>
      <c r="AC40" s="115">
        <v>0</v>
      </c>
      <c r="AD40" s="122">
        <v>0</v>
      </c>
      <c r="AE40" s="110">
        <v>0</v>
      </c>
      <c r="AF40" s="171">
        <v>0</v>
      </c>
      <c r="AG40" s="115">
        <v>0</v>
      </c>
      <c r="AH40" s="122">
        <v>0</v>
      </c>
      <c r="AI40" s="115">
        <v>0</v>
      </c>
      <c r="AJ40" s="122">
        <v>0</v>
      </c>
      <c r="AK40" s="111">
        <v>0</v>
      </c>
      <c r="AL40" s="26">
        <f t="shared" si="26"/>
        <v>0</v>
      </c>
      <c r="AM40" s="111">
        <v>0</v>
      </c>
      <c r="AN40" s="122">
        <v>0</v>
      </c>
      <c r="AO40" s="110">
        <f t="shared" si="0"/>
        <v>0</v>
      </c>
      <c r="AP40" s="127">
        <f t="shared" si="1"/>
        <v>0</v>
      </c>
      <c r="AQ40" s="106">
        <v>0</v>
      </c>
      <c r="AR40" s="26">
        <v>0</v>
      </c>
      <c r="AS40" s="111">
        <v>0</v>
      </c>
      <c r="AT40" s="26">
        <v>0</v>
      </c>
      <c r="AU40" s="110">
        <v>0</v>
      </c>
      <c r="AV40" s="26">
        <v>0</v>
      </c>
      <c r="AW40" s="111">
        <v>0</v>
      </c>
      <c r="AX40" s="26">
        <v>0</v>
      </c>
      <c r="AY40" s="111">
        <v>0.3</v>
      </c>
      <c r="AZ40" s="26">
        <f t="shared" si="23"/>
        <v>520.79999999999995</v>
      </c>
      <c r="BA40" s="111">
        <v>2</v>
      </c>
      <c r="BB40" s="26">
        <f t="shared" si="22"/>
        <v>3472</v>
      </c>
      <c r="BC40" s="111">
        <v>0</v>
      </c>
      <c r="BD40" s="26">
        <v>0</v>
      </c>
      <c r="BE40" s="111">
        <v>0</v>
      </c>
      <c r="BF40" s="26">
        <v>0</v>
      </c>
      <c r="BG40" s="111">
        <v>0.18</v>
      </c>
      <c r="BH40" s="26">
        <f t="shared" ref="BH40:BH46" si="30">BG40*D40</f>
        <v>312.47999999999996</v>
      </c>
      <c r="BI40" s="111">
        <f t="shared" si="29"/>
        <v>2.2999999999999998</v>
      </c>
      <c r="BJ40" s="52">
        <f>BI40*D40</f>
        <v>3992.7999999999997</v>
      </c>
      <c r="BK40" s="135">
        <f>BI40+AO40+U40</f>
        <v>62.3</v>
      </c>
      <c r="BL40" s="140">
        <f t="shared" si="28"/>
        <v>108152.79999999999</v>
      </c>
      <c r="BM40" s="281">
        <f t="shared" si="2"/>
        <v>15.574999999999999</v>
      </c>
      <c r="BN40" s="282"/>
      <c r="BO40" s="282"/>
      <c r="BP40" s="282"/>
      <c r="BQ40" s="282"/>
      <c r="BR40" s="283"/>
      <c r="BS40" s="147">
        <f t="shared" si="3"/>
        <v>6.23</v>
      </c>
      <c r="BT40" s="147">
        <f t="shared" si="4"/>
        <v>673791.94400000002</v>
      </c>
      <c r="BU40" s="288">
        <f t="shared" si="18"/>
        <v>37853.479999999996</v>
      </c>
      <c r="BV40" s="288"/>
      <c r="BW40" s="288"/>
      <c r="BX40" s="288"/>
      <c r="BY40" s="288">
        <f t="shared" si="5"/>
        <v>84.105000000000004</v>
      </c>
      <c r="BZ40" s="288"/>
      <c r="CA40" s="288"/>
      <c r="CB40" s="290">
        <f t="shared" si="19"/>
        <v>146006.28</v>
      </c>
      <c r="CC40" s="290"/>
      <c r="CD40" s="290"/>
    </row>
    <row r="41" spans="1:135" ht="22.2" thickTop="1" thickBot="1" x14ac:dyDescent="0.35">
      <c r="A41" s="100">
        <v>5</v>
      </c>
      <c r="B41" s="100" t="s">
        <v>166</v>
      </c>
      <c r="C41" s="100" t="s">
        <v>163</v>
      </c>
      <c r="D41" s="102">
        <v>404</v>
      </c>
      <c r="E41" s="106">
        <v>0</v>
      </c>
      <c r="F41" s="26">
        <v>0</v>
      </c>
      <c r="G41" s="111">
        <v>0</v>
      </c>
      <c r="H41" s="26">
        <v>0</v>
      </c>
      <c r="I41" s="111">
        <v>0</v>
      </c>
      <c r="J41" s="26">
        <v>0</v>
      </c>
      <c r="K41" s="111">
        <v>0</v>
      </c>
      <c r="L41" s="26">
        <v>0</v>
      </c>
      <c r="M41" s="111">
        <v>0</v>
      </c>
      <c r="N41" s="26">
        <v>0</v>
      </c>
      <c r="O41" s="111">
        <v>60</v>
      </c>
      <c r="P41" s="26">
        <f>O41*D41</f>
        <v>24240</v>
      </c>
      <c r="Q41" s="111">
        <v>0</v>
      </c>
      <c r="R41" s="26">
        <v>0</v>
      </c>
      <c r="S41" s="111">
        <v>0</v>
      </c>
      <c r="T41" s="26">
        <v>0</v>
      </c>
      <c r="U41" s="111">
        <f t="shared" si="27"/>
        <v>60</v>
      </c>
      <c r="V41" s="52">
        <f t="shared" si="14"/>
        <v>24240</v>
      </c>
      <c r="W41" s="172">
        <v>0</v>
      </c>
      <c r="X41" s="121">
        <v>0</v>
      </c>
      <c r="Y41" s="115">
        <v>0</v>
      </c>
      <c r="Z41" s="122">
        <v>0</v>
      </c>
      <c r="AA41" s="115">
        <v>0</v>
      </c>
      <c r="AB41" s="122">
        <v>0</v>
      </c>
      <c r="AC41" s="115">
        <v>0</v>
      </c>
      <c r="AD41" s="122">
        <v>0</v>
      </c>
      <c r="AE41" s="110">
        <v>0</v>
      </c>
      <c r="AF41" s="171">
        <v>0</v>
      </c>
      <c r="AG41" s="115">
        <v>0</v>
      </c>
      <c r="AH41" s="122">
        <v>0</v>
      </c>
      <c r="AI41" s="115">
        <v>0</v>
      </c>
      <c r="AJ41" s="122">
        <v>0</v>
      </c>
      <c r="AK41" s="111">
        <v>0</v>
      </c>
      <c r="AL41" s="26">
        <f t="shared" si="26"/>
        <v>0</v>
      </c>
      <c r="AM41" s="111">
        <v>0</v>
      </c>
      <c r="AN41" s="122">
        <v>0</v>
      </c>
      <c r="AO41" s="110">
        <f t="shared" si="0"/>
        <v>0</v>
      </c>
      <c r="AP41" s="127">
        <f t="shared" si="1"/>
        <v>0</v>
      </c>
      <c r="AQ41" s="106">
        <v>0</v>
      </c>
      <c r="AR41" s="26">
        <v>0</v>
      </c>
      <c r="AS41" s="111">
        <v>0</v>
      </c>
      <c r="AT41" s="26">
        <v>0</v>
      </c>
      <c r="AU41" s="110">
        <v>0</v>
      </c>
      <c r="AV41" s="26">
        <v>0</v>
      </c>
      <c r="AW41" s="111">
        <v>0</v>
      </c>
      <c r="AX41" s="26">
        <v>0</v>
      </c>
      <c r="AY41" s="111">
        <v>0.3</v>
      </c>
      <c r="AZ41" s="26">
        <f t="shared" si="23"/>
        <v>121.19999999999999</v>
      </c>
      <c r="BA41" s="111">
        <v>2</v>
      </c>
      <c r="BB41" s="26">
        <f t="shared" si="22"/>
        <v>808</v>
      </c>
      <c r="BC41" s="111">
        <v>0</v>
      </c>
      <c r="BD41" s="26">
        <v>0</v>
      </c>
      <c r="BE41" s="111">
        <v>0</v>
      </c>
      <c r="BF41" s="26">
        <v>0</v>
      </c>
      <c r="BG41" s="111">
        <v>0.18</v>
      </c>
      <c r="BH41" s="26">
        <f t="shared" si="30"/>
        <v>72.72</v>
      </c>
      <c r="BI41" s="111">
        <f t="shared" si="29"/>
        <v>2.2999999999999998</v>
      </c>
      <c r="BJ41" s="52">
        <f>BI41*D41</f>
        <v>929.19999999999993</v>
      </c>
      <c r="BK41" s="135">
        <f>BI41+AO41+U41</f>
        <v>62.3</v>
      </c>
      <c r="BL41" s="140">
        <f t="shared" si="28"/>
        <v>25169.199999999997</v>
      </c>
      <c r="BM41" s="281">
        <f t="shared" si="2"/>
        <v>15.574999999999999</v>
      </c>
      <c r="BN41" s="282"/>
      <c r="BO41" s="282"/>
      <c r="BP41" s="282"/>
      <c r="BQ41" s="282"/>
      <c r="BR41" s="283"/>
      <c r="BS41" s="147">
        <f t="shared" si="3"/>
        <v>6.23</v>
      </c>
      <c r="BT41" s="147">
        <f t="shared" si="4"/>
        <v>156804.11599999998</v>
      </c>
      <c r="BU41" s="288">
        <f t="shared" si="18"/>
        <v>8809.2199999999993</v>
      </c>
      <c r="BV41" s="288"/>
      <c r="BW41" s="288"/>
      <c r="BX41" s="288"/>
      <c r="BY41" s="288">
        <f t="shared" si="5"/>
        <v>84.105000000000004</v>
      </c>
      <c r="BZ41" s="288"/>
      <c r="CA41" s="288"/>
      <c r="CB41" s="290">
        <f t="shared" si="19"/>
        <v>33978.42</v>
      </c>
      <c r="CC41" s="290"/>
      <c r="CD41" s="290"/>
    </row>
    <row r="42" spans="1:135" ht="43.2" thickTop="1" thickBot="1" x14ac:dyDescent="0.35">
      <c r="A42" s="100">
        <v>6</v>
      </c>
      <c r="B42" s="101" t="s">
        <v>167</v>
      </c>
      <c r="C42" s="100" t="s">
        <v>26</v>
      </c>
      <c r="D42" s="102">
        <v>227</v>
      </c>
      <c r="E42" s="106">
        <v>0</v>
      </c>
      <c r="F42" s="26">
        <v>0</v>
      </c>
      <c r="G42" s="111">
        <v>0</v>
      </c>
      <c r="H42" s="26">
        <v>0</v>
      </c>
      <c r="I42" s="111">
        <v>0</v>
      </c>
      <c r="J42" s="26">
        <v>0</v>
      </c>
      <c r="K42" s="111">
        <v>0</v>
      </c>
      <c r="L42" s="26">
        <v>0</v>
      </c>
      <c r="M42" s="111">
        <v>0</v>
      </c>
      <c r="N42" s="26">
        <v>0</v>
      </c>
      <c r="O42" s="111">
        <v>0</v>
      </c>
      <c r="P42" s="26">
        <v>0</v>
      </c>
      <c r="Q42" s="111">
        <v>0</v>
      </c>
      <c r="R42" s="26">
        <v>0</v>
      </c>
      <c r="S42" s="111">
        <v>0</v>
      </c>
      <c r="T42" s="26">
        <v>0</v>
      </c>
      <c r="U42" s="111">
        <f t="shared" si="27"/>
        <v>0</v>
      </c>
      <c r="V42" s="52">
        <f t="shared" si="14"/>
        <v>0</v>
      </c>
      <c r="W42" s="172">
        <v>0</v>
      </c>
      <c r="X42" s="121">
        <v>0</v>
      </c>
      <c r="Y42" s="115">
        <v>0</v>
      </c>
      <c r="Z42" s="122">
        <v>0</v>
      </c>
      <c r="AA42" s="115">
        <v>0</v>
      </c>
      <c r="AB42" s="122">
        <v>0</v>
      </c>
      <c r="AC42" s="115">
        <v>0</v>
      </c>
      <c r="AD42" s="122">
        <v>0</v>
      </c>
      <c r="AE42" s="110">
        <v>0</v>
      </c>
      <c r="AF42" s="171">
        <v>0</v>
      </c>
      <c r="AG42" s="115">
        <v>0</v>
      </c>
      <c r="AH42" s="122">
        <v>0</v>
      </c>
      <c r="AI42" s="115">
        <v>0</v>
      </c>
      <c r="AJ42" s="122">
        <v>0</v>
      </c>
      <c r="AK42" s="111">
        <v>0</v>
      </c>
      <c r="AL42" s="26">
        <f t="shared" si="26"/>
        <v>0</v>
      </c>
      <c r="AM42" s="111">
        <v>0</v>
      </c>
      <c r="AN42" s="122">
        <v>0</v>
      </c>
      <c r="AO42" s="110">
        <f t="shared" si="0"/>
        <v>0</v>
      </c>
      <c r="AP42" s="127">
        <f t="shared" si="1"/>
        <v>0</v>
      </c>
      <c r="AQ42" s="106">
        <v>0</v>
      </c>
      <c r="AR42" s="26">
        <v>0</v>
      </c>
      <c r="AS42" s="111">
        <v>0</v>
      </c>
      <c r="AT42" s="26">
        <v>0</v>
      </c>
      <c r="AU42" s="110">
        <v>0</v>
      </c>
      <c r="AV42" s="26">
        <v>0</v>
      </c>
      <c r="AW42" s="111">
        <v>0</v>
      </c>
      <c r="AX42" s="26">
        <v>0</v>
      </c>
      <c r="AY42" s="111">
        <v>0</v>
      </c>
      <c r="AZ42" s="26">
        <f t="shared" si="23"/>
        <v>0</v>
      </c>
      <c r="BA42" s="111"/>
      <c r="BB42" s="26">
        <f t="shared" si="22"/>
        <v>0</v>
      </c>
      <c r="BC42" s="111">
        <v>0</v>
      </c>
      <c r="BD42" s="26">
        <v>0</v>
      </c>
      <c r="BE42" s="111">
        <v>0</v>
      </c>
      <c r="BF42" s="26">
        <v>0</v>
      </c>
      <c r="BG42" s="111">
        <v>800</v>
      </c>
      <c r="BH42" s="26">
        <f t="shared" si="30"/>
        <v>181600</v>
      </c>
      <c r="BI42" s="111">
        <f t="shared" si="29"/>
        <v>0</v>
      </c>
      <c r="BJ42" s="52"/>
      <c r="BK42" s="135">
        <v>1350</v>
      </c>
      <c r="BL42" s="140">
        <f t="shared" si="28"/>
        <v>306450</v>
      </c>
      <c r="BM42" s="281">
        <f t="shared" si="2"/>
        <v>337.5</v>
      </c>
      <c r="BN42" s="282"/>
      <c r="BO42" s="282"/>
      <c r="BP42" s="282"/>
      <c r="BQ42" s="282"/>
      <c r="BR42" s="283"/>
      <c r="BS42" s="147">
        <f t="shared" si="3"/>
        <v>135</v>
      </c>
      <c r="BT42" s="147">
        <f t="shared" si="4"/>
        <v>41370750</v>
      </c>
      <c r="BU42" s="288">
        <f t="shared" si="18"/>
        <v>107257.5</v>
      </c>
      <c r="BV42" s="288"/>
      <c r="BW42" s="288"/>
      <c r="BX42" s="288"/>
      <c r="BY42" s="288">
        <f t="shared" si="5"/>
        <v>1822.5</v>
      </c>
      <c r="BZ42" s="288"/>
      <c r="CA42" s="288"/>
      <c r="CB42" s="290">
        <f t="shared" si="19"/>
        <v>413707.5</v>
      </c>
      <c r="CC42" s="290"/>
      <c r="CD42" s="290"/>
    </row>
    <row r="43" spans="1:135" ht="43.2" thickTop="1" thickBot="1" x14ac:dyDescent="0.35">
      <c r="A43" s="100">
        <v>7</v>
      </c>
      <c r="B43" s="101" t="s">
        <v>168</v>
      </c>
      <c r="C43" s="100" t="s">
        <v>26</v>
      </c>
      <c r="D43" s="102">
        <v>291</v>
      </c>
      <c r="E43" s="106">
        <v>0</v>
      </c>
      <c r="F43" s="26">
        <v>0</v>
      </c>
      <c r="G43" s="111">
        <v>0</v>
      </c>
      <c r="H43" s="26">
        <v>0</v>
      </c>
      <c r="I43" s="111">
        <v>0</v>
      </c>
      <c r="J43" s="26">
        <v>0</v>
      </c>
      <c r="K43" s="111">
        <v>0</v>
      </c>
      <c r="L43" s="26">
        <v>0</v>
      </c>
      <c r="M43" s="111">
        <v>0</v>
      </c>
      <c r="N43" s="26">
        <v>0</v>
      </c>
      <c r="O43" s="111">
        <v>0</v>
      </c>
      <c r="P43" s="26">
        <v>0</v>
      </c>
      <c r="Q43" s="111">
        <v>0</v>
      </c>
      <c r="R43" s="26">
        <v>0</v>
      </c>
      <c r="S43" s="111">
        <v>0</v>
      </c>
      <c r="T43" s="26">
        <v>0</v>
      </c>
      <c r="U43" s="111">
        <f t="shared" si="27"/>
        <v>0</v>
      </c>
      <c r="V43" s="52">
        <f t="shared" si="14"/>
        <v>0</v>
      </c>
      <c r="W43" s="172">
        <v>0</v>
      </c>
      <c r="X43" s="121">
        <v>0</v>
      </c>
      <c r="Y43" s="115">
        <v>0</v>
      </c>
      <c r="Z43" s="122">
        <v>0</v>
      </c>
      <c r="AA43" s="115">
        <v>0</v>
      </c>
      <c r="AB43" s="122">
        <v>0</v>
      </c>
      <c r="AC43" s="115">
        <v>0</v>
      </c>
      <c r="AD43" s="122">
        <v>0</v>
      </c>
      <c r="AE43" s="110">
        <v>0</v>
      </c>
      <c r="AF43" s="171">
        <v>0</v>
      </c>
      <c r="AG43" s="115">
        <v>0</v>
      </c>
      <c r="AH43" s="122">
        <v>0</v>
      </c>
      <c r="AI43" s="115">
        <v>0</v>
      </c>
      <c r="AJ43" s="122">
        <v>0</v>
      </c>
      <c r="AK43" s="111">
        <v>0</v>
      </c>
      <c r="AL43" s="26">
        <f t="shared" si="26"/>
        <v>0</v>
      </c>
      <c r="AM43" s="111">
        <v>0</v>
      </c>
      <c r="AN43" s="122">
        <v>0</v>
      </c>
      <c r="AO43" s="110">
        <f t="shared" si="0"/>
        <v>0</v>
      </c>
      <c r="AP43" s="127">
        <f t="shared" si="1"/>
        <v>0</v>
      </c>
      <c r="AQ43" s="106">
        <v>0</v>
      </c>
      <c r="AR43" s="26">
        <v>0</v>
      </c>
      <c r="AS43" s="111">
        <v>0</v>
      </c>
      <c r="AT43" s="26">
        <v>0</v>
      </c>
      <c r="AU43" s="110">
        <v>0</v>
      </c>
      <c r="AV43" s="26">
        <v>0</v>
      </c>
      <c r="AW43" s="111">
        <v>0</v>
      </c>
      <c r="AX43" s="26">
        <v>0</v>
      </c>
      <c r="AY43" s="111">
        <v>0</v>
      </c>
      <c r="AZ43" s="26">
        <f t="shared" si="23"/>
        <v>0</v>
      </c>
      <c r="BA43" s="111"/>
      <c r="BB43" s="26">
        <f t="shared" si="22"/>
        <v>0</v>
      </c>
      <c r="BC43" s="111">
        <v>0</v>
      </c>
      <c r="BD43" s="26">
        <v>0</v>
      </c>
      <c r="BE43" s="111">
        <v>0</v>
      </c>
      <c r="BF43" s="26">
        <v>0</v>
      </c>
      <c r="BG43" s="111">
        <v>800</v>
      </c>
      <c r="BH43" s="26">
        <f t="shared" si="30"/>
        <v>232800</v>
      </c>
      <c r="BI43" s="111">
        <f t="shared" si="29"/>
        <v>0</v>
      </c>
      <c r="BJ43" s="52">
        <v>0</v>
      </c>
      <c r="BK43" s="135">
        <v>1350</v>
      </c>
      <c r="BL43" s="140">
        <f t="shared" si="28"/>
        <v>392850</v>
      </c>
      <c r="BM43" s="281">
        <f t="shared" si="2"/>
        <v>337.5</v>
      </c>
      <c r="BN43" s="282"/>
      <c r="BO43" s="282"/>
      <c r="BP43" s="282"/>
      <c r="BQ43" s="282"/>
      <c r="BR43" s="283"/>
      <c r="BS43" s="147">
        <f t="shared" si="3"/>
        <v>135</v>
      </c>
      <c r="BT43" s="147">
        <f t="shared" si="4"/>
        <v>53034750</v>
      </c>
      <c r="BU43" s="288">
        <f t="shared" si="18"/>
        <v>137497.5</v>
      </c>
      <c r="BV43" s="288"/>
      <c r="BW43" s="288"/>
      <c r="BX43" s="288"/>
      <c r="BY43" s="288">
        <f t="shared" si="5"/>
        <v>1822.5</v>
      </c>
      <c r="BZ43" s="288"/>
      <c r="CA43" s="288"/>
      <c r="CB43" s="290">
        <f t="shared" si="19"/>
        <v>530347.5</v>
      </c>
      <c r="CC43" s="290"/>
      <c r="CD43" s="290"/>
    </row>
    <row r="44" spans="1:135" ht="22.2" thickTop="1" thickBot="1" x14ac:dyDescent="0.35">
      <c r="A44" s="100">
        <v>8</v>
      </c>
      <c r="B44" s="100" t="s">
        <v>169</v>
      </c>
      <c r="C44" s="100" t="s">
        <v>26</v>
      </c>
      <c r="D44" s="102">
        <v>63</v>
      </c>
      <c r="E44" s="106">
        <v>0</v>
      </c>
      <c r="F44" s="26">
        <v>0</v>
      </c>
      <c r="G44" s="111">
        <v>0</v>
      </c>
      <c r="H44" s="26">
        <v>0</v>
      </c>
      <c r="I44" s="111">
        <v>0</v>
      </c>
      <c r="J44" s="26">
        <v>0</v>
      </c>
      <c r="K44" s="111">
        <v>0</v>
      </c>
      <c r="L44" s="26">
        <v>0</v>
      </c>
      <c r="M44" s="111">
        <v>0</v>
      </c>
      <c r="N44" s="26">
        <v>0</v>
      </c>
      <c r="O44" s="111">
        <v>375</v>
      </c>
      <c r="P44" s="26">
        <f>O44*D44</f>
        <v>23625</v>
      </c>
      <c r="Q44" s="111">
        <v>0</v>
      </c>
      <c r="R44" s="26">
        <v>0</v>
      </c>
      <c r="S44" s="111">
        <v>0</v>
      </c>
      <c r="T44" s="26">
        <v>0</v>
      </c>
      <c r="U44" s="111">
        <f t="shared" si="27"/>
        <v>375</v>
      </c>
      <c r="V44" s="52">
        <f t="shared" si="14"/>
        <v>23625</v>
      </c>
      <c r="W44" s="172">
        <v>0</v>
      </c>
      <c r="X44" s="121">
        <v>0</v>
      </c>
      <c r="Y44" s="115">
        <v>0</v>
      </c>
      <c r="Z44" s="122">
        <v>0</v>
      </c>
      <c r="AA44" s="115">
        <v>0</v>
      </c>
      <c r="AB44" s="122">
        <v>0</v>
      </c>
      <c r="AC44" s="115">
        <v>0</v>
      </c>
      <c r="AD44" s="122">
        <v>0</v>
      </c>
      <c r="AE44" s="110">
        <v>0</v>
      </c>
      <c r="AF44" s="171">
        <v>0</v>
      </c>
      <c r="AG44" s="115">
        <v>0</v>
      </c>
      <c r="AH44" s="122">
        <v>0</v>
      </c>
      <c r="AI44" s="115">
        <v>0</v>
      </c>
      <c r="AJ44" s="122">
        <v>0</v>
      </c>
      <c r="AK44" s="111">
        <v>0</v>
      </c>
      <c r="AL44" s="26">
        <f t="shared" si="26"/>
        <v>0</v>
      </c>
      <c r="AM44" s="111">
        <v>0</v>
      </c>
      <c r="AN44" s="122">
        <v>0</v>
      </c>
      <c r="AO44" s="110">
        <f t="shared" si="0"/>
        <v>0</v>
      </c>
      <c r="AP44" s="127">
        <f t="shared" si="1"/>
        <v>0</v>
      </c>
      <c r="AQ44" s="106">
        <v>0</v>
      </c>
      <c r="AR44" s="26">
        <v>0</v>
      </c>
      <c r="AS44" s="111">
        <v>0</v>
      </c>
      <c r="AT44" s="26">
        <v>0</v>
      </c>
      <c r="AU44" s="110">
        <v>0</v>
      </c>
      <c r="AV44" s="26">
        <v>0</v>
      </c>
      <c r="AW44" s="111">
        <v>0</v>
      </c>
      <c r="AX44" s="26">
        <v>0</v>
      </c>
      <c r="AY44" s="111">
        <v>8</v>
      </c>
      <c r="AZ44" s="26">
        <f t="shared" si="23"/>
        <v>504</v>
      </c>
      <c r="BA44" s="111">
        <v>13.32</v>
      </c>
      <c r="BB44" s="26">
        <f t="shared" si="22"/>
        <v>839.16</v>
      </c>
      <c r="BC44" s="111">
        <v>0</v>
      </c>
      <c r="BD44" s="26">
        <v>0</v>
      </c>
      <c r="BE44" s="111">
        <v>0</v>
      </c>
      <c r="BF44" s="26">
        <v>0</v>
      </c>
      <c r="BG44" s="111">
        <v>800</v>
      </c>
      <c r="BH44" s="26">
        <f t="shared" si="30"/>
        <v>50400</v>
      </c>
      <c r="BI44" s="111">
        <f t="shared" si="29"/>
        <v>21.32</v>
      </c>
      <c r="BJ44" s="52">
        <f t="shared" ref="BJ44:BJ75" si="31">BI44*D44</f>
        <v>1343.16</v>
      </c>
      <c r="BK44" s="135">
        <f t="shared" ref="BK44:BK75" si="32">BI44+AO44+U44</f>
        <v>396.32</v>
      </c>
      <c r="BL44" s="140">
        <f t="shared" si="28"/>
        <v>24968.16</v>
      </c>
      <c r="BM44" s="281">
        <f t="shared" si="2"/>
        <v>99.08</v>
      </c>
      <c r="BN44" s="282"/>
      <c r="BO44" s="282"/>
      <c r="BP44" s="282"/>
      <c r="BQ44" s="282"/>
      <c r="BR44" s="283"/>
      <c r="BS44" s="147">
        <f t="shared" si="3"/>
        <v>39.632000000000005</v>
      </c>
      <c r="BT44" s="147">
        <f t="shared" si="4"/>
        <v>989538.11712000007</v>
      </c>
      <c r="BU44" s="288">
        <f t="shared" si="18"/>
        <v>8738.8559999999998</v>
      </c>
      <c r="BV44" s="288"/>
      <c r="BW44" s="288"/>
      <c r="BX44" s="288"/>
      <c r="BY44" s="288">
        <f t="shared" si="5"/>
        <v>535.03199999999993</v>
      </c>
      <c r="BZ44" s="288"/>
      <c r="CA44" s="288"/>
      <c r="CB44" s="290">
        <f t="shared" si="19"/>
        <v>33707.015999999996</v>
      </c>
      <c r="CC44" s="290"/>
      <c r="CD44" s="290"/>
    </row>
    <row r="45" spans="1:135" ht="22.2" thickTop="1" thickBot="1" x14ac:dyDescent="0.35">
      <c r="A45" s="100">
        <v>9</v>
      </c>
      <c r="B45" s="100" t="s">
        <v>170</v>
      </c>
      <c r="C45" s="100" t="s">
        <v>26</v>
      </c>
      <c r="D45" s="102">
        <v>730</v>
      </c>
      <c r="E45" s="106">
        <v>0</v>
      </c>
      <c r="F45" s="26">
        <v>0</v>
      </c>
      <c r="G45" s="111">
        <v>0</v>
      </c>
      <c r="H45" s="26">
        <v>0</v>
      </c>
      <c r="I45" s="111">
        <v>0</v>
      </c>
      <c r="J45" s="26">
        <v>0</v>
      </c>
      <c r="K45" s="111">
        <v>0</v>
      </c>
      <c r="L45" s="26">
        <v>0</v>
      </c>
      <c r="M45" s="111">
        <v>0</v>
      </c>
      <c r="N45" s="26">
        <v>0</v>
      </c>
      <c r="O45" s="111">
        <v>260</v>
      </c>
      <c r="P45" s="26">
        <f>O45*D45</f>
        <v>189800</v>
      </c>
      <c r="Q45" s="111">
        <v>0</v>
      </c>
      <c r="R45" s="26">
        <v>0</v>
      </c>
      <c r="S45" s="111">
        <v>0</v>
      </c>
      <c r="T45" s="26">
        <v>0</v>
      </c>
      <c r="U45" s="111">
        <f t="shared" si="27"/>
        <v>260</v>
      </c>
      <c r="V45" s="52">
        <f t="shared" si="14"/>
        <v>189800</v>
      </c>
      <c r="W45" s="172">
        <v>0</v>
      </c>
      <c r="X45" s="121">
        <v>0</v>
      </c>
      <c r="Y45" s="115">
        <v>0</v>
      </c>
      <c r="Z45" s="122">
        <v>0</v>
      </c>
      <c r="AA45" s="115">
        <v>0</v>
      </c>
      <c r="AB45" s="122">
        <v>0</v>
      </c>
      <c r="AC45" s="115">
        <v>0</v>
      </c>
      <c r="AD45" s="122">
        <v>0</v>
      </c>
      <c r="AE45" s="110">
        <v>0</v>
      </c>
      <c r="AF45" s="171">
        <v>0</v>
      </c>
      <c r="AG45" s="115">
        <v>0</v>
      </c>
      <c r="AH45" s="122">
        <v>0</v>
      </c>
      <c r="AI45" s="115">
        <v>0</v>
      </c>
      <c r="AJ45" s="122">
        <v>0</v>
      </c>
      <c r="AK45" s="111">
        <v>0</v>
      </c>
      <c r="AL45" s="26">
        <f t="shared" si="26"/>
        <v>0</v>
      </c>
      <c r="AM45" s="111">
        <v>0</v>
      </c>
      <c r="AN45" s="122">
        <v>0</v>
      </c>
      <c r="AO45" s="110">
        <f t="shared" si="0"/>
        <v>0</v>
      </c>
      <c r="AP45" s="127">
        <f t="shared" si="1"/>
        <v>0</v>
      </c>
      <c r="AQ45" s="106">
        <v>0</v>
      </c>
      <c r="AR45" s="26">
        <v>0</v>
      </c>
      <c r="AS45" s="111">
        <v>0</v>
      </c>
      <c r="AT45" s="26">
        <v>0</v>
      </c>
      <c r="AU45" s="110">
        <v>0</v>
      </c>
      <c r="AV45" s="26">
        <v>0</v>
      </c>
      <c r="AW45" s="111">
        <v>0</v>
      </c>
      <c r="AX45" s="26">
        <v>0</v>
      </c>
      <c r="AY45" s="111">
        <v>2</v>
      </c>
      <c r="AZ45" s="26">
        <f t="shared" si="23"/>
        <v>1460</v>
      </c>
      <c r="BA45" s="111">
        <v>19.98</v>
      </c>
      <c r="BB45" s="26">
        <f t="shared" si="22"/>
        <v>14585.4</v>
      </c>
      <c r="BC45" s="111">
        <v>0</v>
      </c>
      <c r="BD45" s="26">
        <v>0</v>
      </c>
      <c r="BE45" s="111">
        <v>0</v>
      </c>
      <c r="BF45" s="26">
        <v>0</v>
      </c>
      <c r="BG45" s="111">
        <v>800</v>
      </c>
      <c r="BH45" s="26">
        <f t="shared" si="30"/>
        <v>584000</v>
      </c>
      <c r="BI45" s="111">
        <f t="shared" si="29"/>
        <v>21.98</v>
      </c>
      <c r="BJ45" s="52">
        <f t="shared" si="31"/>
        <v>16045.4</v>
      </c>
      <c r="BK45" s="135">
        <f t="shared" si="32"/>
        <v>281.98</v>
      </c>
      <c r="BL45" s="140">
        <f t="shared" si="28"/>
        <v>205845.40000000002</v>
      </c>
      <c r="BM45" s="281">
        <f t="shared" si="2"/>
        <v>70.495000000000005</v>
      </c>
      <c r="BN45" s="282"/>
      <c r="BO45" s="282"/>
      <c r="BP45" s="282"/>
      <c r="BQ45" s="282"/>
      <c r="BR45" s="283"/>
      <c r="BS45" s="147">
        <f t="shared" si="3"/>
        <v>28.198000000000004</v>
      </c>
      <c r="BT45" s="147">
        <f t="shared" si="4"/>
        <v>5804428.5892000012</v>
      </c>
      <c r="BU45" s="288">
        <f t="shared" si="18"/>
        <v>72045.890000000014</v>
      </c>
      <c r="BV45" s="288"/>
      <c r="BW45" s="288"/>
      <c r="BX45" s="288"/>
      <c r="BY45" s="288">
        <f t="shared" si="5"/>
        <v>380.673</v>
      </c>
      <c r="BZ45" s="288"/>
      <c r="CA45" s="288"/>
      <c r="CB45" s="290">
        <f t="shared" si="19"/>
        <v>277891.28999999998</v>
      </c>
      <c r="CC45" s="290"/>
      <c r="CD45" s="290"/>
    </row>
    <row r="46" spans="1:135" ht="43.2" thickTop="1" thickBot="1" x14ac:dyDescent="0.35">
      <c r="A46" s="100">
        <v>10</v>
      </c>
      <c r="B46" s="101" t="s">
        <v>171</v>
      </c>
      <c r="C46" s="100" t="s">
        <v>26</v>
      </c>
      <c r="D46" s="102">
        <v>13581</v>
      </c>
      <c r="E46" s="106">
        <v>0</v>
      </c>
      <c r="F46" s="26">
        <v>0</v>
      </c>
      <c r="G46" s="111">
        <v>0</v>
      </c>
      <c r="H46" s="26">
        <v>0</v>
      </c>
      <c r="I46" s="111">
        <v>0</v>
      </c>
      <c r="J46" s="26">
        <v>0</v>
      </c>
      <c r="K46" s="111">
        <v>0</v>
      </c>
      <c r="L46" s="26">
        <v>0</v>
      </c>
      <c r="M46" s="111">
        <v>0</v>
      </c>
      <c r="N46" s="26">
        <v>0</v>
      </c>
      <c r="O46" s="111">
        <v>0</v>
      </c>
      <c r="P46" s="26">
        <v>0</v>
      </c>
      <c r="Q46" s="111">
        <v>0</v>
      </c>
      <c r="R46" s="26">
        <v>0</v>
      </c>
      <c r="S46" s="111">
        <v>0</v>
      </c>
      <c r="T46" s="26">
        <v>0</v>
      </c>
      <c r="U46" s="111">
        <f t="shared" si="27"/>
        <v>0</v>
      </c>
      <c r="V46" s="52">
        <f t="shared" si="14"/>
        <v>0</v>
      </c>
      <c r="W46" s="172">
        <v>0</v>
      </c>
      <c r="X46" s="121">
        <v>0</v>
      </c>
      <c r="Y46" s="115">
        <v>0</v>
      </c>
      <c r="Z46" s="122">
        <v>0</v>
      </c>
      <c r="AA46" s="115">
        <v>0</v>
      </c>
      <c r="AB46" s="122">
        <v>0</v>
      </c>
      <c r="AC46" s="115">
        <v>0</v>
      </c>
      <c r="AD46" s="122">
        <v>0</v>
      </c>
      <c r="AE46" s="110">
        <v>0</v>
      </c>
      <c r="AF46" s="171">
        <v>0</v>
      </c>
      <c r="AG46" s="115">
        <v>0</v>
      </c>
      <c r="AH46" s="122">
        <v>0</v>
      </c>
      <c r="AI46" s="115">
        <v>0</v>
      </c>
      <c r="AJ46" s="122">
        <v>0</v>
      </c>
      <c r="AK46" s="111">
        <v>0</v>
      </c>
      <c r="AL46" s="26">
        <f t="shared" si="26"/>
        <v>0</v>
      </c>
      <c r="AM46" s="111">
        <v>0</v>
      </c>
      <c r="AN46" s="122">
        <v>0</v>
      </c>
      <c r="AO46" s="110">
        <f t="shared" si="0"/>
        <v>0</v>
      </c>
      <c r="AP46" s="127">
        <f t="shared" si="1"/>
        <v>0</v>
      </c>
      <c r="AQ46" s="106">
        <v>0</v>
      </c>
      <c r="AR46" s="26">
        <v>0</v>
      </c>
      <c r="AS46" s="111">
        <v>0</v>
      </c>
      <c r="AT46" s="26">
        <v>0</v>
      </c>
      <c r="AU46" s="110">
        <v>0</v>
      </c>
      <c r="AV46" s="26">
        <v>0</v>
      </c>
      <c r="AW46" s="111">
        <v>0</v>
      </c>
      <c r="AX46" s="26">
        <v>0</v>
      </c>
      <c r="AY46" s="111">
        <v>0</v>
      </c>
      <c r="AZ46" s="26">
        <f t="shared" si="23"/>
        <v>0</v>
      </c>
      <c r="BA46" s="111"/>
      <c r="BB46" s="26">
        <f t="shared" si="22"/>
        <v>0</v>
      </c>
      <c r="BC46" s="111">
        <v>0</v>
      </c>
      <c r="BD46" s="26">
        <v>0</v>
      </c>
      <c r="BE46" s="111">
        <v>0</v>
      </c>
      <c r="BF46" s="26">
        <v>0</v>
      </c>
      <c r="BG46" s="111">
        <v>800</v>
      </c>
      <c r="BH46" s="26">
        <f t="shared" si="30"/>
        <v>10864800</v>
      </c>
      <c r="BI46" s="111">
        <f t="shared" si="29"/>
        <v>0</v>
      </c>
      <c r="BJ46" s="52">
        <f t="shared" si="31"/>
        <v>0</v>
      </c>
      <c r="BK46" s="135">
        <f t="shared" si="32"/>
        <v>0</v>
      </c>
      <c r="BL46" s="140">
        <f t="shared" si="28"/>
        <v>0</v>
      </c>
      <c r="BM46" s="281">
        <f t="shared" si="2"/>
        <v>0</v>
      </c>
      <c r="BN46" s="282"/>
      <c r="BO46" s="282"/>
      <c r="BP46" s="282"/>
      <c r="BQ46" s="282"/>
      <c r="BR46" s="283"/>
      <c r="BS46" s="147">
        <f t="shared" si="3"/>
        <v>0</v>
      </c>
      <c r="BT46" s="147">
        <f t="shared" si="4"/>
        <v>0</v>
      </c>
      <c r="BU46" s="288">
        <f t="shared" si="18"/>
        <v>0</v>
      </c>
      <c r="BV46" s="288"/>
      <c r="BW46" s="288"/>
      <c r="BX46" s="288"/>
      <c r="BY46" s="288">
        <f t="shared" si="5"/>
        <v>0</v>
      </c>
      <c r="BZ46" s="288"/>
      <c r="CA46" s="288"/>
      <c r="CB46" s="290">
        <f t="shared" si="19"/>
        <v>0</v>
      </c>
      <c r="CC46" s="290"/>
      <c r="CD46" s="290"/>
    </row>
    <row r="47" spans="1:135" ht="22.2" thickTop="1" thickBot="1" x14ac:dyDescent="0.35">
      <c r="A47" s="100">
        <v>11</v>
      </c>
      <c r="B47" s="100" t="s">
        <v>172</v>
      </c>
      <c r="C47" s="100" t="s">
        <v>163</v>
      </c>
      <c r="D47" s="102">
        <v>680</v>
      </c>
      <c r="E47" s="106">
        <v>0</v>
      </c>
      <c r="F47" s="26">
        <v>0</v>
      </c>
      <c r="G47" s="111">
        <v>0</v>
      </c>
      <c r="H47" s="26">
        <v>0</v>
      </c>
      <c r="I47" s="111">
        <v>0</v>
      </c>
      <c r="J47" s="26">
        <v>0</v>
      </c>
      <c r="K47" s="111">
        <v>0</v>
      </c>
      <c r="L47" s="26">
        <v>0</v>
      </c>
      <c r="M47" s="111">
        <v>0</v>
      </c>
      <c r="N47" s="26">
        <v>0</v>
      </c>
      <c r="O47" s="111">
        <v>375</v>
      </c>
      <c r="P47" s="26">
        <f>O47*D47</f>
        <v>255000</v>
      </c>
      <c r="Q47" s="111">
        <v>0</v>
      </c>
      <c r="R47" s="26">
        <v>0</v>
      </c>
      <c r="S47" s="111">
        <v>0</v>
      </c>
      <c r="T47" s="26">
        <v>0</v>
      </c>
      <c r="U47" s="111">
        <f t="shared" si="27"/>
        <v>375</v>
      </c>
      <c r="V47" s="52">
        <f t="shared" si="14"/>
        <v>255000</v>
      </c>
      <c r="W47" s="172">
        <v>0</v>
      </c>
      <c r="X47" s="121">
        <v>0</v>
      </c>
      <c r="Y47" s="115">
        <v>0</v>
      </c>
      <c r="Z47" s="122">
        <v>0</v>
      </c>
      <c r="AA47" s="115">
        <v>0</v>
      </c>
      <c r="AB47" s="122">
        <v>0</v>
      </c>
      <c r="AC47" s="115">
        <v>0</v>
      </c>
      <c r="AD47" s="122">
        <v>0</v>
      </c>
      <c r="AE47" s="110">
        <v>0</v>
      </c>
      <c r="AF47" s="171">
        <v>0</v>
      </c>
      <c r="AG47" s="115">
        <v>0</v>
      </c>
      <c r="AH47" s="122">
        <v>0</v>
      </c>
      <c r="AI47" s="115">
        <v>0</v>
      </c>
      <c r="AJ47" s="122">
        <v>0</v>
      </c>
      <c r="AK47" s="111">
        <v>0</v>
      </c>
      <c r="AL47" s="26">
        <f t="shared" si="26"/>
        <v>0</v>
      </c>
      <c r="AM47" s="111">
        <v>0</v>
      </c>
      <c r="AN47" s="122">
        <v>0</v>
      </c>
      <c r="AO47" s="110">
        <f t="shared" si="0"/>
        <v>0</v>
      </c>
      <c r="AP47" s="127">
        <f t="shared" si="1"/>
        <v>0</v>
      </c>
      <c r="AQ47" s="106">
        <v>0</v>
      </c>
      <c r="AR47" s="26">
        <v>0</v>
      </c>
      <c r="AS47" s="111">
        <v>0</v>
      </c>
      <c r="AT47" s="26">
        <v>0</v>
      </c>
      <c r="AU47" s="110">
        <v>0</v>
      </c>
      <c r="AV47" s="26">
        <v>0</v>
      </c>
      <c r="AW47" s="111">
        <v>0</v>
      </c>
      <c r="AX47" s="26">
        <v>0</v>
      </c>
      <c r="AY47" s="111">
        <v>0.2</v>
      </c>
      <c r="AZ47" s="26">
        <f t="shared" si="23"/>
        <v>136</v>
      </c>
      <c r="BA47" s="111">
        <v>1.34</v>
      </c>
      <c r="BB47" s="26">
        <f t="shared" si="22"/>
        <v>911.2</v>
      </c>
      <c r="BC47" s="111">
        <v>0</v>
      </c>
      <c r="BD47" s="26">
        <v>0</v>
      </c>
      <c r="BE47" s="111">
        <v>0</v>
      </c>
      <c r="BF47" s="26">
        <v>0</v>
      </c>
      <c r="BG47" s="111">
        <v>80.5</v>
      </c>
      <c r="BH47" s="26">
        <f>D47</f>
        <v>680</v>
      </c>
      <c r="BI47" s="111">
        <f>BA47+AY47+AW47+BG47</f>
        <v>82.04</v>
      </c>
      <c r="BJ47" s="52">
        <f t="shared" si="31"/>
        <v>55787.200000000004</v>
      </c>
      <c r="BK47" s="135">
        <f t="shared" si="32"/>
        <v>457.04</v>
      </c>
      <c r="BL47" s="140">
        <f t="shared" si="28"/>
        <v>310787.20000000001</v>
      </c>
      <c r="BM47" s="281">
        <f t="shared" si="2"/>
        <v>114.26</v>
      </c>
      <c r="BN47" s="282"/>
      <c r="BO47" s="282"/>
      <c r="BP47" s="282"/>
      <c r="BQ47" s="282"/>
      <c r="BR47" s="283"/>
      <c r="BS47" s="147">
        <f t="shared" si="3"/>
        <v>45.704000000000008</v>
      </c>
      <c r="BT47" s="147">
        <f t="shared" si="4"/>
        <v>14204218.188800003</v>
      </c>
      <c r="BU47" s="288">
        <f t="shared" si="18"/>
        <v>108775.52</v>
      </c>
      <c r="BV47" s="288"/>
      <c r="BW47" s="288"/>
      <c r="BX47" s="288"/>
      <c r="BY47" s="288">
        <f t="shared" si="5"/>
        <v>617.00400000000013</v>
      </c>
      <c r="BZ47" s="288"/>
      <c r="CA47" s="288"/>
      <c r="CB47" s="290">
        <f t="shared" si="19"/>
        <v>419562.72000000009</v>
      </c>
      <c r="CC47" s="290"/>
      <c r="CD47" s="290"/>
    </row>
    <row r="48" spans="1:135" ht="22.2" thickTop="1" thickBot="1" x14ac:dyDescent="0.35">
      <c r="A48" s="100">
        <v>12</v>
      </c>
      <c r="B48" s="100" t="s">
        <v>173</v>
      </c>
      <c r="C48" s="100" t="s">
        <v>26</v>
      </c>
      <c r="D48" s="102">
        <v>7780</v>
      </c>
      <c r="E48" s="106">
        <v>0</v>
      </c>
      <c r="F48" s="26">
        <v>0</v>
      </c>
      <c r="G48" s="111">
        <v>0</v>
      </c>
      <c r="H48" s="26">
        <v>0</v>
      </c>
      <c r="I48" s="111">
        <v>0</v>
      </c>
      <c r="J48" s="26">
        <v>0</v>
      </c>
      <c r="K48" s="111">
        <v>0</v>
      </c>
      <c r="L48" s="26">
        <v>0</v>
      </c>
      <c r="M48" s="111">
        <v>0</v>
      </c>
      <c r="N48" s="26">
        <v>0</v>
      </c>
      <c r="O48" s="111">
        <v>130</v>
      </c>
      <c r="P48" s="26">
        <f>O48*D48</f>
        <v>1011400</v>
      </c>
      <c r="Q48" s="111">
        <v>0</v>
      </c>
      <c r="R48" s="26">
        <v>0</v>
      </c>
      <c r="S48" s="111">
        <v>0</v>
      </c>
      <c r="T48" s="26">
        <v>0</v>
      </c>
      <c r="U48" s="111">
        <f t="shared" si="27"/>
        <v>130</v>
      </c>
      <c r="V48" s="52">
        <f t="shared" si="14"/>
        <v>1011400</v>
      </c>
      <c r="W48" s="172">
        <v>0</v>
      </c>
      <c r="X48" s="121">
        <v>0</v>
      </c>
      <c r="Y48" s="115">
        <v>0</v>
      </c>
      <c r="Z48" s="122">
        <v>0</v>
      </c>
      <c r="AA48" s="115">
        <v>0</v>
      </c>
      <c r="AB48" s="122">
        <v>0</v>
      </c>
      <c r="AC48" s="115">
        <v>0</v>
      </c>
      <c r="AD48" s="122">
        <v>0</v>
      </c>
      <c r="AE48" s="110">
        <v>0</v>
      </c>
      <c r="AF48" s="171">
        <v>0</v>
      </c>
      <c r="AG48" s="115">
        <v>0</v>
      </c>
      <c r="AH48" s="122">
        <v>0</v>
      </c>
      <c r="AI48" s="115">
        <v>0</v>
      </c>
      <c r="AJ48" s="122">
        <v>0</v>
      </c>
      <c r="AK48" s="111">
        <v>0</v>
      </c>
      <c r="AL48" s="26">
        <f t="shared" si="26"/>
        <v>0</v>
      </c>
      <c r="AM48" s="111">
        <v>0</v>
      </c>
      <c r="AN48" s="122">
        <v>0</v>
      </c>
      <c r="AO48" s="110">
        <f t="shared" si="0"/>
        <v>0</v>
      </c>
      <c r="AP48" s="127">
        <f t="shared" si="1"/>
        <v>0</v>
      </c>
      <c r="AQ48" s="106">
        <v>0</v>
      </c>
      <c r="AR48" s="26">
        <v>0</v>
      </c>
      <c r="AS48" s="111">
        <v>0</v>
      </c>
      <c r="AT48" s="26">
        <v>0</v>
      </c>
      <c r="AU48" s="110">
        <v>0</v>
      </c>
      <c r="AV48" s="26">
        <v>0</v>
      </c>
      <c r="AW48" s="111">
        <v>0</v>
      </c>
      <c r="AX48" s="26">
        <v>0</v>
      </c>
      <c r="AY48" s="111">
        <v>10</v>
      </c>
      <c r="AZ48" s="26">
        <f t="shared" si="23"/>
        <v>77800</v>
      </c>
      <c r="BA48" s="111">
        <v>19</v>
      </c>
      <c r="BB48" s="26">
        <f t="shared" si="22"/>
        <v>147820</v>
      </c>
      <c r="BC48" s="111">
        <v>0</v>
      </c>
      <c r="BD48" s="26">
        <v>0</v>
      </c>
      <c r="BE48" s="111">
        <v>0</v>
      </c>
      <c r="BF48" s="26">
        <v>0</v>
      </c>
      <c r="BG48" s="111">
        <v>160</v>
      </c>
      <c r="BH48" s="26">
        <f>BG48*D48</f>
        <v>1244800</v>
      </c>
      <c r="BI48" s="111">
        <f>BA48+AY48+AW48+BG48</f>
        <v>189</v>
      </c>
      <c r="BJ48" s="52">
        <f t="shared" si="31"/>
        <v>1470420</v>
      </c>
      <c r="BK48" s="135">
        <f t="shared" si="32"/>
        <v>319</v>
      </c>
      <c r="BL48" s="140">
        <f t="shared" si="28"/>
        <v>2481820</v>
      </c>
      <c r="BM48" s="281">
        <f t="shared" si="2"/>
        <v>79.75</v>
      </c>
      <c r="BN48" s="282"/>
      <c r="BO48" s="282"/>
      <c r="BP48" s="282"/>
      <c r="BQ48" s="282"/>
      <c r="BR48" s="283"/>
      <c r="BS48" s="147">
        <f t="shared" si="3"/>
        <v>31.900000000000002</v>
      </c>
      <c r="BT48" s="147">
        <f t="shared" si="4"/>
        <v>79170058</v>
      </c>
      <c r="BU48" s="288">
        <f t="shared" si="18"/>
        <v>868637</v>
      </c>
      <c r="BV48" s="288"/>
      <c r="BW48" s="288"/>
      <c r="BX48" s="288"/>
      <c r="BY48" s="288">
        <f t="shared" si="5"/>
        <v>430.65</v>
      </c>
      <c r="BZ48" s="288"/>
      <c r="CA48" s="288"/>
      <c r="CB48" s="290">
        <f t="shared" si="19"/>
        <v>3350457</v>
      </c>
      <c r="CC48" s="290"/>
      <c r="CD48" s="290"/>
    </row>
    <row r="49" spans="1:135" ht="43.2" thickTop="1" thickBot="1" x14ac:dyDescent="0.35">
      <c r="A49" s="100">
        <v>13</v>
      </c>
      <c r="B49" s="101" t="s">
        <v>174</v>
      </c>
      <c r="C49" s="100" t="s">
        <v>26</v>
      </c>
      <c r="D49" s="102">
        <v>5665</v>
      </c>
      <c r="E49" s="106">
        <v>0</v>
      </c>
      <c r="F49" s="26">
        <v>0</v>
      </c>
      <c r="G49" s="111">
        <v>0</v>
      </c>
      <c r="H49" s="26">
        <v>0</v>
      </c>
      <c r="I49" s="111">
        <v>0</v>
      </c>
      <c r="J49" s="26">
        <v>0</v>
      </c>
      <c r="K49" s="111">
        <v>0</v>
      </c>
      <c r="L49" s="26">
        <v>0</v>
      </c>
      <c r="M49" s="111">
        <v>0</v>
      </c>
      <c r="N49" s="26">
        <v>0</v>
      </c>
      <c r="O49" s="111">
        <v>60</v>
      </c>
      <c r="P49" s="26">
        <f>O49*D49</f>
        <v>339900</v>
      </c>
      <c r="Q49" s="111">
        <v>0</v>
      </c>
      <c r="R49" s="26">
        <v>0</v>
      </c>
      <c r="S49" s="111">
        <v>0</v>
      </c>
      <c r="T49" s="26">
        <v>0</v>
      </c>
      <c r="U49" s="111">
        <f t="shared" si="27"/>
        <v>60</v>
      </c>
      <c r="V49" s="52">
        <f t="shared" si="14"/>
        <v>339900</v>
      </c>
      <c r="W49" s="172">
        <v>0</v>
      </c>
      <c r="X49" s="121">
        <v>0</v>
      </c>
      <c r="Y49" s="115">
        <v>0</v>
      </c>
      <c r="Z49" s="122">
        <v>0</v>
      </c>
      <c r="AA49" s="115">
        <v>0</v>
      </c>
      <c r="AB49" s="122">
        <v>0</v>
      </c>
      <c r="AC49" s="115">
        <v>0</v>
      </c>
      <c r="AD49" s="122">
        <v>0</v>
      </c>
      <c r="AE49" s="110">
        <v>0</v>
      </c>
      <c r="AF49" s="171">
        <v>0</v>
      </c>
      <c r="AG49" s="115">
        <v>0</v>
      </c>
      <c r="AH49" s="122">
        <v>0</v>
      </c>
      <c r="AI49" s="115">
        <v>0</v>
      </c>
      <c r="AJ49" s="122">
        <v>0</v>
      </c>
      <c r="AK49" s="111">
        <v>0</v>
      </c>
      <c r="AL49" s="26">
        <f t="shared" si="26"/>
        <v>0</v>
      </c>
      <c r="AM49" s="111">
        <v>0</v>
      </c>
      <c r="AN49" s="122">
        <v>0</v>
      </c>
      <c r="AO49" s="110">
        <f t="shared" si="0"/>
        <v>0</v>
      </c>
      <c r="AP49" s="127">
        <f t="shared" si="1"/>
        <v>0</v>
      </c>
      <c r="AQ49" s="106">
        <v>0</v>
      </c>
      <c r="AR49" s="26">
        <v>0</v>
      </c>
      <c r="AS49" s="111">
        <v>0</v>
      </c>
      <c r="AT49" s="26">
        <v>0</v>
      </c>
      <c r="AU49" s="110">
        <v>0</v>
      </c>
      <c r="AV49" s="26">
        <v>0</v>
      </c>
      <c r="AW49" s="111">
        <v>0</v>
      </c>
      <c r="AX49" s="26">
        <v>0</v>
      </c>
      <c r="AY49" s="111">
        <v>0.3</v>
      </c>
      <c r="AZ49" s="26">
        <f t="shared" si="23"/>
        <v>1699.5</v>
      </c>
      <c r="BA49" s="111">
        <v>13.22</v>
      </c>
      <c r="BB49" s="26">
        <f t="shared" si="22"/>
        <v>74891.3</v>
      </c>
      <c r="BC49" s="111">
        <v>0</v>
      </c>
      <c r="BD49" s="26">
        <v>0</v>
      </c>
      <c r="BE49" s="111">
        <v>0</v>
      </c>
      <c r="BF49" s="26">
        <v>0</v>
      </c>
      <c r="BG49" s="111">
        <v>160</v>
      </c>
      <c r="BH49" s="26">
        <f>BG49*D49</f>
        <v>906400</v>
      </c>
      <c r="BI49" s="111">
        <f>BA49+AY49+AW49</f>
        <v>13.520000000000001</v>
      </c>
      <c r="BJ49" s="52">
        <f t="shared" si="31"/>
        <v>76590.8</v>
      </c>
      <c r="BK49" s="135">
        <f t="shared" si="32"/>
        <v>73.52</v>
      </c>
      <c r="BL49" s="140">
        <f t="shared" si="28"/>
        <v>416490.8</v>
      </c>
      <c r="BM49" s="281">
        <f t="shared" si="2"/>
        <v>18.38</v>
      </c>
      <c r="BN49" s="282"/>
      <c r="BO49" s="282"/>
      <c r="BP49" s="282"/>
      <c r="BQ49" s="282"/>
      <c r="BR49" s="283"/>
      <c r="BS49" s="147">
        <f t="shared" si="3"/>
        <v>7.3520000000000003</v>
      </c>
      <c r="BT49" s="147">
        <f t="shared" si="4"/>
        <v>3062040.3615999999</v>
      </c>
      <c r="BU49" s="288">
        <f t="shared" si="18"/>
        <v>145771.78</v>
      </c>
      <c r="BV49" s="288"/>
      <c r="BW49" s="288"/>
      <c r="BX49" s="288"/>
      <c r="BY49" s="288">
        <f t="shared" si="5"/>
        <v>99.251999999999995</v>
      </c>
      <c r="BZ49" s="288"/>
      <c r="CA49" s="288"/>
      <c r="CB49" s="290">
        <f t="shared" si="19"/>
        <v>562262.57999999996</v>
      </c>
      <c r="CC49" s="290"/>
      <c r="CD49" s="290"/>
    </row>
    <row r="50" spans="1:135" ht="48.75" customHeight="1" thickTop="1" thickBot="1" x14ac:dyDescent="0.35">
      <c r="A50" s="100">
        <v>14</v>
      </c>
      <c r="B50" s="101" t="s">
        <v>175</v>
      </c>
      <c r="C50" s="100" t="s">
        <v>26</v>
      </c>
      <c r="D50" s="102">
        <v>2501</v>
      </c>
      <c r="E50" s="106">
        <v>0</v>
      </c>
      <c r="F50" s="26">
        <v>0</v>
      </c>
      <c r="G50" s="111">
        <v>0</v>
      </c>
      <c r="H50" s="26">
        <v>0</v>
      </c>
      <c r="I50" s="111">
        <v>0</v>
      </c>
      <c r="J50" s="26">
        <v>0</v>
      </c>
      <c r="K50" s="111">
        <v>0</v>
      </c>
      <c r="L50" s="26">
        <v>0</v>
      </c>
      <c r="M50" s="111">
        <v>0</v>
      </c>
      <c r="N50" s="26">
        <v>0</v>
      </c>
      <c r="O50" s="111">
        <v>50</v>
      </c>
      <c r="P50" s="26">
        <f>O50*D50</f>
        <v>125050</v>
      </c>
      <c r="Q50" s="111">
        <v>0</v>
      </c>
      <c r="R50" s="26">
        <v>0</v>
      </c>
      <c r="S50" s="111">
        <v>0</v>
      </c>
      <c r="T50" s="26">
        <v>0</v>
      </c>
      <c r="U50" s="111">
        <f t="shared" si="27"/>
        <v>50</v>
      </c>
      <c r="V50" s="52">
        <f t="shared" si="14"/>
        <v>125050</v>
      </c>
      <c r="W50" s="172">
        <v>0</v>
      </c>
      <c r="X50" s="121">
        <v>0</v>
      </c>
      <c r="Y50" s="115">
        <v>0</v>
      </c>
      <c r="Z50" s="122">
        <v>0</v>
      </c>
      <c r="AA50" s="115">
        <v>0</v>
      </c>
      <c r="AB50" s="122">
        <v>0</v>
      </c>
      <c r="AC50" s="115">
        <v>0</v>
      </c>
      <c r="AD50" s="122">
        <v>0</v>
      </c>
      <c r="AE50" s="110">
        <v>0</v>
      </c>
      <c r="AF50" s="171">
        <v>0</v>
      </c>
      <c r="AG50" s="115">
        <v>0</v>
      </c>
      <c r="AH50" s="122">
        <v>0</v>
      </c>
      <c r="AI50" s="115">
        <v>0</v>
      </c>
      <c r="AJ50" s="122">
        <v>0</v>
      </c>
      <c r="AK50" s="111">
        <v>3</v>
      </c>
      <c r="AL50" s="26">
        <f>AK50*D50</f>
        <v>7503</v>
      </c>
      <c r="AM50" s="111">
        <v>0</v>
      </c>
      <c r="AN50" s="122">
        <v>0</v>
      </c>
      <c r="AO50" s="110">
        <f t="shared" si="0"/>
        <v>3</v>
      </c>
      <c r="AP50" s="127">
        <f t="shared" si="1"/>
        <v>7503</v>
      </c>
      <c r="AQ50" s="106">
        <v>0</v>
      </c>
      <c r="AR50" s="26">
        <v>0</v>
      </c>
      <c r="AS50" s="111">
        <v>0</v>
      </c>
      <c r="AT50" s="26">
        <v>0</v>
      </c>
      <c r="AU50" s="110">
        <v>0</v>
      </c>
      <c r="AV50" s="26">
        <v>0</v>
      </c>
      <c r="AW50" s="111">
        <v>0</v>
      </c>
      <c r="AX50" s="26">
        <v>0</v>
      </c>
      <c r="AY50" s="111">
        <f>100*0.2</f>
        <v>20</v>
      </c>
      <c r="AZ50" s="26">
        <f t="shared" si="23"/>
        <v>50020</v>
      </c>
      <c r="BA50" s="111"/>
      <c r="BB50" s="26">
        <f t="shared" si="22"/>
        <v>0</v>
      </c>
      <c r="BC50" s="111">
        <v>0</v>
      </c>
      <c r="BD50" s="26">
        <v>0</v>
      </c>
      <c r="BE50" s="111">
        <v>0</v>
      </c>
      <c r="BF50" s="26">
        <v>0</v>
      </c>
      <c r="BG50" s="111">
        <v>88</v>
      </c>
      <c r="BH50" s="26">
        <f>BG50*D50</f>
        <v>220088</v>
      </c>
      <c r="BI50" s="111">
        <f>BG50+BE50+BC50+BA50+AY50+AW50+AU50+AS50+AQ50</f>
        <v>108</v>
      </c>
      <c r="BJ50" s="52">
        <f t="shared" si="31"/>
        <v>270108</v>
      </c>
      <c r="BK50" s="135">
        <f t="shared" si="32"/>
        <v>161</v>
      </c>
      <c r="BL50" s="140">
        <f t="shared" si="28"/>
        <v>402661</v>
      </c>
      <c r="BM50" s="281">
        <f t="shared" si="2"/>
        <v>40.25</v>
      </c>
      <c r="BN50" s="282"/>
      <c r="BO50" s="282"/>
      <c r="BP50" s="282"/>
      <c r="BQ50" s="282"/>
      <c r="BR50" s="283"/>
      <c r="BS50" s="147">
        <f t="shared" si="3"/>
        <v>16.100000000000001</v>
      </c>
      <c r="BT50" s="147">
        <f t="shared" si="4"/>
        <v>6482842.1000000006</v>
      </c>
      <c r="BU50" s="288">
        <f t="shared" si="18"/>
        <v>140931.35</v>
      </c>
      <c r="BV50" s="288"/>
      <c r="BW50" s="288"/>
      <c r="BX50" s="288"/>
      <c r="BY50" s="288">
        <f t="shared" si="5"/>
        <v>217.35</v>
      </c>
      <c r="BZ50" s="288"/>
      <c r="CA50" s="288"/>
      <c r="CB50" s="290">
        <f t="shared" si="19"/>
        <v>543592.35</v>
      </c>
      <c r="CC50" s="290"/>
      <c r="CD50" s="290"/>
    </row>
    <row r="51" spans="1:135" ht="22.2" thickTop="1" thickBot="1" x14ac:dyDescent="0.35">
      <c r="A51" s="100">
        <v>15</v>
      </c>
      <c r="B51" s="100" t="s">
        <v>176</v>
      </c>
      <c r="C51" s="100" t="s">
        <v>163</v>
      </c>
      <c r="D51" s="102">
        <v>2360</v>
      </c>
      <c r="E51" s="106">
        <v>0</v>
      </c>
      <c r="F51" s="26">
        <v>0</v>
      </c>
      <c r="G51" s="111">
        <v>0</v>
      </c>
      <c r="H51" s="26">
        <v>0</v>
      </c>
      <c r="I51" s="111">
        <v>0</v>
      </c>
      <c r="J51" s="26">
        <v>0</v>
      </c>
      <c r="K51" s="111">
        <v>0</v>
      </c>
      <c r="L51" s="26">
        <v>0</v>
      </c>
      <c r="M51" s="111">
        <v>0</v>
      </c>
      <c r="N51" s="26">
        <v>0</v>
      </c>
      <c r="O51" s="111">
        <v>0</v>
      </c>
      <c r="P51" s="26">
        <v>0</v>
      </c>
      <c r="Q51" s="111">
        <v>0</v>
      </c>
      <c r="R51" s="26">
        <v>0</v>
      </c>
      <c r="S51" s="111">
        <v>0</v>
      </c>
      <c r="T51" s="26">
        <v>0</v>
      </c>
      <c r="U51" s="111">
        <f t="shared" si="27"/>
        <v>0</v>
      </c>
      <c r="V51" s="52">
        <f t="shared" si="14"/>
        <v>0</v>
      </c>
      <c r="W51" s="172">
        <v>0</v>
      </c>
      <c r="X51" s="121">
        <v>0</v>
      </c>
      <c r="Y51" s="115">
        <v>0</v>
      </c>
      <c r="Z51" s="122">
        <v>0</v>
      </c>
      <c r="AA51" s="115">
        <v>0</v>
      </c>
      <c r="AB51" s="122">
        <v>0</v>
      </c>
      <c r="AC51" s="115">
        <v>0</v>
      </c>
      <c r="AD51" s="122">
        <v>0</v>
      </c>
      <c r="AE51" s="110">
        <v>0</v>
      </c>
      <c r="AF51" s="171">
        <v>0</v>
      </c>
      <c r="AG51" s="115">
        <v>0</v>
      </c>
      <c r="AH51" s="122">
        <v>0</v>
      </c>
      <c r="AI51" s="115">
        <v>0</v>
      </c>
      <c r="AJ51" s="122">
        <v>0</v>
      </c>
      <c r="AK51" s="111">
        <v>0</v>
      </c>
      <c r="AL51" s="26">
        <v>0</v>
      </c>
      <c r="AM51" s="111">
        <v>0</v>
      </c>
      <c r="AN51" s="122">
        <v>0</v>
      </c>
      <c r="AO51" s="110">
        <f t="shared" si="0"/>
        <v>0</v>
      </c>
      <c r="AP51" s="127">
        <f t="shared" si="1"/>
        <v>0</v>
      </c>
      <c r="AQ51" s="106">
        <v>0</v>
      </c>
      <c r="AR51" s="26">
        <v>0</v>
      </c>
      <c r="AS51" s="111">
        <v>0</v>
      </c>
      <c r="AT51" s="26">
        <v>0</v>
      </c>
      <c r="AU51" s="110">
        <v>0</v>
      </c>
      <c r="AV51" s="26">
        <v>0</v>
      </c>
      <c r="AW51" s="111">
        <v>0</v>
      </c>
      <c r="AX51" s="26">
        <v>0</v>
      </c>
      <c r="AY51" s="111">
        <v>0</v>
      </c>
      <c r="AZ51" s="26">
        <f t="shared" si="23"/>
        <v>0</v>
      </c>
      <c r="BA51" s="111"/>
      <c r="BB51" s="26">
        <f t="shared" si="22"/>
        <v>0</v>
      </c>
      <c r="BC51" s="111">
        <v>0</v>
      </c>
      <c r="BD51" s="26">
        <v>0</v>
      </c>
      <c r="BE51" s="111">
        <v>0</v>
      </c>
      <c r="BF51" s="26">
        <v>0</v>
      </c>
      <c r="BG51" s="111"/>
      <c r="BH51" s="26"/>
      <c r="BI51" s="111">
        <f t="shared" ref="BI51:BI96" si="33">BG51+BE51+BC51+BA51+AY51+AW51+AU51+AS51+AQ51</f>
        <v>0</v>
      </c>
      <c r="BJ51" s="52">
        <f t="shared" si="31"/>
        <v>0</v>
      </c>
      <c r="BK51" s="135">
        <f t="shared" si="32"/>
        <v>0</v>
      </c>
      <c r="BL51" s="140">
        <f t="shared" si="28"/>
        <v>0</v>
      </c>
      <c r="BM51" s="281">
        <f t="shared" si="2"/>
        <v>0</v>
      </c>
      <c r="BN51" s="282"/>
      <c r="BO51" s="282"/>
      <c r="BP51" s="282"/>
      <c r="BQ51" s="282"/>
      <c r="BR51" s="283"/>
      <c r="BS51" s="147">
        <f t="shared" si="3"/>
        <v>0</v>
      </c>
      <c r="BT51" s="147">
        <f t="shared" si="4"/>
        <v>0</v>
      </c>
      <c r="BU51" s="288">
        <f t="shared" si="18"/>
        <v>0</v>
      </c>
      <c r="BV51" s="288"/>
      <c r="BW51" s="288"/>
      <c r="BX51" s="288"/>
      <c r="BY51" s="288">
        <f t="shared" si="5"/>
        <v>0</v>
      </c>
      <c r="BZ51" s="288"/>
      <c r="CA51" s="288"/>
      <c r="CB51" s="290">
        <f t="shared" si="19"/>
        <v>0</v>
      </c>
      <c r="CC51" s="290"/>
      <c r="CD51" s="290"/>
    </row>
    <row r="52" spans="1:135" s="66" customFormat="1" ht="34.799999999999997" thickTop="1" thickBot="1" x14ac:dyDescent="0.35">
      <c r="A52" s="229" t="s">
        <v>177</v>
      </c>
      <c r="B52" s="229"/>
      <c r="C52" s="229"/>
      <c r="D52" s="230"/>
      <c r="E52" s="150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151"/>
      <c r="W52" s="180"/>
      <c r="X52" s="152"/>
      <c r="Y52" s="181"/>
      <c r="Z52" s="83"/>
      <c r="AA52" s="181"/>
      <c r="AB52" s="83"/>
      <c r="AC52" s="181"/>
      <c r="AD52" s="83"/>
      <c r="AE52" s="83"/>
      <c r="AF52" s="181"/>
      <c r="AG52" s="181"/>
      <c r="AH52" s="83"/>
      <c r="AI52" s="181"/>
      <c r="AJ52" s="83"/>
      <c r="AK52" s="86"/>
      <c r="AL52" s="86"/>
      <c r="AM52" s="86"/>
      <c r="AN52" s="83"/>
      <c r="AO52" s="83"/>
      <c r="AP52" s="84"/>
      <c r="AQ52" s="150"/>
      <c r="AR52" s="86"/>
      <c r="AS52" s="86"/>
      <c r="AT52" s="86"/>
      <c r="AU52" s="83"/>
      <c r="AV52" s="86"/>
      <c r="AW52" s="86"/>
      <c r="AX52" s="86"/>
      <c r="AY52" s="86"/>
      <c r="AZ52" s="86"/>
      <c r="BA52" s="86"/>
      <c r="BB52" s="86"/>
      <c r="BC52" s="86"/>
      <c r="BD52" s="86"/>
      <c r="BE52" s="86"/>
      <c r="BF52" s="86"/>
      <c r="BG52" s="86"/>
      <c r="BH52" s="86"/>
      <c r="BI52" s="86"/>
      <c r="BJ52" s="151"/>
      <c r="BK52" s="87"/>
      <c r="BL52" s="88"/>
      <c r="BM52" s="82"/>
      <c r="BN52" s="82"/>
      <c r="BO52" s="82"/>
      <c r="BP52" s="82"/>
      <c r="BQ52" s="82"/>
      <c r="BR52" s="82"/>
      <c r="BS52" s="82"/>
      <c r="BT52" s="82"/>
      <c r="BU52" s="82"/>
      <c r="BV52" s="82"/>
      <c r="BW52" s="82"/>
      <c r="BX52" s="82"/>
      <c r="BY52" s="82"/>
      <c r="BZ52" s="182"/>
      <c r="CA52" s="182"/>
      <c r="CB52" s="85"/>
      <c r="CC52" s="85"/>
      <c r="CD52" s="85"/>
      <c r="CE52" s="80"/>
      <c r="CF52" s="80"/>
      <c r="CG52" s="80"/>
      <c r="CH52" s="80"/>
      <c r="CI52" s="80"/>
      <c r="CJ52" s="80"/>
      <c r="CK52" s="80"/>
      <c r="CL52" s="80"/>
      <c r="CM52" s="80"/>
      <c r="CN52" s="80"/>
      <c r="CO52" s="80"/>
      <c r="CP52" s="80"/>
      <c r="CQ52" s="80"/>
      <c r="CR52" s="80"/>
      <c r="CS52" s="80"/>
      <c r="CT52" s="80"/>
      <c r="CU52" s="80"/>
      <c r="CV52" s="80"/>
      <c r="CW52" s="80"/>
      <c r="CX52" s="80"/>
      <c r="CY52" s="80"/>
      <c r="CZ52" s="80"/>
      <c r="DA52" s="80"/>
      <c r="DB52" s="80"/>
      <c r="DC52" s="80"/>
      <c r="DD52" s="80"/>
      <c r="DE52" s="80"/>
      <c r="DF52" s="80"/>
      <c r="DG52" s="80"/>
      <c r="DH52" s="80"/>
      <c r="DI52" s="80"/>
      <c r="DJ52" s="80"/>
      <c r="DK52" s="80"/>
      <c r="DL52" s="80"/>
      <c r="DM52" s="80"/>
      <c r="DN52" s="80"/>
      <c r="DO52" s="80"/>
      <c r="DP52" s="80"/>
      <c r="DQ52" s="80"/>
      <c r="DR52" s="80"/>
      <c r="DS52" s="80"/>
      <c r="DT52" s="80"/>
      <c r="DU52" s="80"/>
      <c r="DV52" s="80"/>
      <c r="DW52" s="80"/>
      <c r="DX52" s="80"/>
      <c r="DY52" s="80"/>
      <c r="DZ52" s="80"/>
      <c r="EA52" s="80"/>
      <c r="EB52" s="80"/>
      <c r="EC52" s="80"/>
      <c r="ED52" s="80"/>
      <c r="EE52" s="80"/>
    </row>
    <row r="53" spans="1:135" ht="22.2" thickTop="1" thickBot="1" x14ac:dyDescent="0.35">
      <c r="A53" s="100">
        <v>1</v>
      </c>
      <c r="B53" s="100" t="s">
        <v>178</v>
      </c>
      <c r="C53" s="100" t="s">
        <v>26</v>
      </c>
      <c r="D53" s="102">
        <v>4394</v>
      </c>
      <c r="E53" s="106">
        <v>0</v>
      </c>
      <c r="F53" s="90">
        <v>0</v>
      </c>
      <c r="G53" s="106">
        <v>0</v>
      </c>
      <c r="H53" s="90">
        <v>0</v>
      </c>
      <c r="I53" s="106">
        <v>0</v>
      </c>
      <c r="J53" s="90">
        <v>0</v>
      </c>
      <c r="K53" s="106">
        <v>0</v>
      </c>
      <c r="L53" s="90">
        <v>0</v>
      </c>
      <c r="M53" s="106">
        <v>0</v>
      </c>
      <c r="N53" s="90">
        <v>0</v>
      </c>
      <c r="O53" s="111">
        <v>320</v>
      </c>
      <c r="P53" s="26">
        <f>O53*D53</f>
        <v>1406080</v>
      </c>
      <c r="Q53" s="111">
        <v>0</v>
      </c>
      <c r="R53" s="26">
        <v>0</v>
      </c>
      <c r="S53" s="111">
        <v>0</v>
      </c>
      <c r="T53" s="26">
        <v>0</v>
      </c>
      <c r="U53" s="111">
        <f t="shared" si="13"/>
        <v>320</v>
      </c>
      <c r="V53" s="52">
        <f t="shared" si="14"/>
        <v>1406080</v>
      </c>
      <c r="W53" s="172">
        <v>0</v>
      </c>
      <c r="X53" s="121">
        <v>0</v>
      </c>
      <c r="Y53" s="115">
        <v>0</v>
      </c>
      <c r="Z53" s="122">
        <v>0</v>
      </c>
      <c r="AA53" s="115">
        <v>0</v>
      </c>
      <c r="AB53" s="122">
        <v>0</v>
      </c>
      <c r="AC53" s="115">
        <v>0</v>
      </c>
      <c r="AD53" s="122">
        <v>0</v>
      </c>
      <c r="AE53" s="110">
        <v>0</v>
      </c>
      <c r="AF53" s="171">
        <v>0</v>
      </c>
      <c r="AG53" s="115">
        <v>0</v>
      </c>
      <c r="AH53" s="122">
        <v>0</v>
      </c>
      <c r="AI53" s="115">
        <v>0</v>
      </c>
      <c r="AJ53" s="122">
        <v>0</v>
      </c>
      <c r="AK53" s="111">
        <v>0</v>
      </c>
      <c r="AL53" s="26">
        <v>0</v>
      </c>
      <c r="AM53" s="111">
        <v>0</v>
      </c>
      <c r="AN53" s="122">
        <v>0</v>
      </c>
      <c r="AO53" s="110">
        <f t="shared" si="0"/>
        <v>0</v>
      </c>
      <c r="AP53" s="127">
        <f t="shared" si="1"/>
        <v>0</v>
      </c>
      <c r="AQ53" s="106">
        <v>0</v>
      </c>
      <c r="AR53" s="26">
        <v>0</v>
      </c>
      <c r="AS53" s="111">
        <v>0</v>
      </c>
      <c r="AT53" s="26">
        <v>0</v>
      </c>
      <c r="AU53" s="110">
        <v>0</v>
      </c>
      <c r="AV53" s="26">
        <v>0</v>
      </c>
      <c r="AW53" s="111">
        <v>0</v>
      </c>
      <c r="AX53" s="26">
        <v>0</v>
      </c>
      <c r="AY53" s="111">
        <v>8</v>
      </c>
      <c r="AZ53" s="26">
        <f t="shared" si="23"/>
        <v>35152</v>
      </c>
      <c r="BA53" s="111">
        <v>15</v>
      </c>
      <c r="BB53" s="26">
        <f t="shared" si="22"/>
        <v>65910</v>
      </c>
      <c r="BC53" s="111">
        <v>0</v>
      </c>
      <c r="BD53" s="26">
        <v>0</v>
      </c>
      <c r="BE53" s="111">
        <v>0</v>
      </c>
      <c r="BF53" s="26">
        <v>0</v>
      </c>
      <c r="BG53" s="111">
        <v>450</v>
      </c>
      <c r="BH53" s="26">
        <f>BG53*D53</f>
        <v>1977300</v>
      </c>
      <c r="BI53" s="111">
        <f t="shared" si="33"/>
        <v>473</v>
      </c>
      <c r="BJ53" s="52">
        <f t="shared" si="31"/>
        <v>2078362</v>
      </c>
      <c r="BK53" s="135">
        <f t="shared" si="32"/>
        <v>793</v>
      </c>
      <c r="BL53" s="140">
        <f t="shared" si="28"/>
        <v>3484442</v>
      </c>
      <c r="BM53" s="281">
        <f t="shared" si="2"/>
        <v>198.25</v>
      </c>
      <c r="BN53" s="282"/>
      <c r="BO53" s="282"/>
      <c r="BP53" s="282"/>
      <c r="BQ53" s="282"/>
      <c r="BR53" s="283"/>
      <c r="BS53" s="147">
        <f t="shared" si="3"/>
        <v>79.300000000000011</v>
      </c>
      <c r="BT53" s="147">
        <f t="shared" si="4"/>
        <v>276316250.60000002</v>
      </c>
      <c r="BU53" s="288">
        <f t="shared" si="18"/>
        <v>1219554.7</v>
      </c>
      <c r="BV53" s="288"/>
      <c r="BW53" s="288"/>
      <c r="BX53" s="288"/>
      <c r="BY53" s="288">
        <f t="shared" si="5"/>
        <v>1070.55</v>
      </c>
      <c r="BZ53" s="288"/>
      <c r="CA53" s="288"/>
      <c r="CB53" s="290">
        <f t="shared" si="19"/>
        <v>4703996.7</v>
      </c>
      <c r="CC53" s="290"/>
      <c r="CD53" s="290"/>
    </row>
    <row r="54" spans="1:135" ht="43.2" thickTop="1" thickBot="1" x14ac:dyDescent="0.35">
      <c r="A54" s="100">
        <v>2</v>
      </c>
      <c r="B54" s="101" t="s">
        <v>179</v>
      </c>
      <c r="C54" s="100" t="s">
        <v>26</v>
      </c>
      <c r="D54" s="102">
        <v>5158</v>
      </c>
      <c r="E54" s="106">
        <v>0</v>
      </c>
      <c r="F54" s="90">
        <v>0</v>
      </c>
      <c r="G54" s="106">
        <v>0</v>
      </c>
      <c r="H54" s="90">
        <v>0</v>
      </c>
      <c r="I54" s="106">
        <v>0</v>
      </c>
      <c r="J54" s="90">
        <v>0</v>
      </c>
      <c r="K54" s="106">
        <v>0</v>
      </c>
      <c r="L54" s="90">
        <v>0</v>
      </c>
      <c r="M54" s="106">
        <v>0</v>
      </c>
      <c r="N54" s="90">
        <v>0</v>
      </c>
      <c r="O54" s="111">
        <v>30</v>
      </c>
      <c r="P54" s="26">
        <f>D54*O54</f>
        <v>154740</v>
      </c>
      <c r="Q54" s="111">
        <v>0</v>
      </c>
      <c r="R54" s="26">
        <v>0</v>
      </c>
      <c r="S54" s="111">
        <v>0</v>
      </c>
      <c r="T54" s="26">
        <v>0</v>
      </c>
      <c r="U54" s="111">
        <f t="shared" si="13"/>
        <v>30</v>
      </c>
      <c r="V54" s="52">
        <f t="shared" si="14"/>
        <v>154740</v>
      </c>
      <c r="W54" s="172">
        <v>0</v>
      </c>
      <c r="X54" s="121">
        <v>0</v>
      </c>
      <c r="Y54" s="115">
        <v>0</v>
      </c>
      <c r="Z54" s="122">
        <v>0</v>
      </c>
      <c r="AA54" s="115">
        <v>0</v>
      </c>
      <c r="AB54" s="122">
        <v>0</v>
      </c>
      <c r="AC54" s="115">
        <v>0</v>
      </c>
      <c r="AD54" s="122">
        <v>0</v>
      </c>
      <c r="AE54" s="110">
        <v>0</v>
      </c>
      <c r="AF54" s="171">
        <v>0</v>
      </c>
      <c r="AG54" s="115">
        <v>0</v>
      </c>
      <c r="AH54" s="122">
        <v>0</v>
      </c>
      <c r="AI54" s="115">
        <v>0</v>
      </c>
      <c r="AJ54" s="122">
        <v>0</v>
      </c>
      <c r="AK54" s="111">
        <v>0</v>
      </c>
      <c r="AL54" s="171">
        <v>0</v>
      </c>
      <c r="AM54" s="111">
        <v>0</v>
      </c>
      <c r="AN54" s="122">
        <v>0</v>
      </c>
      <c r="AO54" s="110">
        <f t="shared" si="0"/>
        <v>0</v>
      </c>
      <c r="AP54" s="127">
        <f t="shared" si="1"/>
        <v>0</v>
      </c>
      <c r="AQ54" s="106">
        <v>0</v>
      </c>
      <c r="AR54" s="26">
        <v>0</v>
      </c>
      <c r="AS54" s="111">
        <v>0</v>
      </c>
      <c r="AT54" s="26">
        <v>0</v>
      </c>
      <c r="AU54" s="110">
        <v>0</v>
      </c>
      <c r="AV54" s="26">
        <v>0</v>
      </c>
      <c r="AW54" s="111">
        <v>0</v>
      </c>
      <c r="AX54" s="26">
        <v>0</v>
      </c>
      <c r="AY54" s="111">
        <v>10</v>
      </c>
      <c r="AZ54" s="26">
        <f t="shared" si="23"/>
        <v>51580</v>
      </c>
      <c r="BA54" s="111">
        <v>12</v>
      </c>
      <c r="BB54" s="26">
        <f t="shared" si="22"/>
        <v>61896</v>
      </c>
      <c r="BC54" s="111">
        <v>0</v>
      </c>
      <c r="BD54" s="26">
        <v>0</v>
      </c>
      <c r="BE54" s="111">
        <v>0</v>
      </c>
      <c r="BF54" s="26">
        <v>0</v>
      </c>
      <c r="BG54" s="111">
        <v>15</v>
      </c>
      <c r="BH54" s="26">
        <f>BG54*D54</f>
        <v>77370</v>
      </c>
      <c r="BI54" s="111">
        <f t="shared" si="33"/>
        <v>37</v>
      </c>
      <c r="BJ54" s="52">
        <f t="shared" si="31"/>
        <v>190846</v>
      </c>
      <c r="BK54" s="135">
        <f t="shared" si="32"/>
        <v>67</v>
      </c>
      <c r="BL54" s="140">
        <f t="shared" si="28"/>
        <v>345586</v>
      </c>
      <c r="BM54" s="281">
        <f t="shared" si="2"/>
        <v>16.75</v>
      </c>
      <c r="BN54" s="282"/>
      <c r="BO54" s="282"/>
      <c r="BP54" s="282"/>
      <c r="BQ54" s="282"/>
      <c r="BR54" s="283"/>
      <c r="BS54" s="147">
        <f t="shared" si="3"/>
        <v>6.7</v>
      </c>
      <c r="BT54" s="147">
        <f t="shared" si="4"/>
        <v>2315426.2000000002</v>
      </c>
      <c r="BU54" s="288">
        <f t="shared" si="18"/>
        <v>120955.09999999999</v>
      </c>
      <c r="BV54" s="288"/>
      <c r="BW54" s="288"/>
      <c r="BX54" s="288"/>
      <c r="BY54" s="288">
        <f t="shared" si="5"/>
        <v>90.45</v>
      </c>
      <c r="BZ54" s="288"/>
      <c r="CA54" s="288"/>
      <c r="CB54" s="290">
        <f t="shared" si="19"/>
        <v>466541.10000000003</v>
      </c>
      <c r="CC54" s="290"/>
      <c r="CD54" s="290"/>
    </row>
    <row r="55" spans="1:135" ht="43.2" thickTop="1" thickBot="1" x14ac:dyDescent="0.35">
      <c r="A55" s="100">
        <v>3</v>
      </c>
      <c r="B55" s="101" t="s">
        <v>180</v>
      </c>
      <c r="C55" s="100" t="s">
        <v>26</v>
      </c>
      <c r="D55" s="102">
        <v>495</v>
      </c>
      <c r="E55" s="106">
        <v>0</v>
      </c>
      <c r="F55" s="90">
        <v>0</v>
      </c>
      <c r="G55" s="106">
        <v>0</v>
      </c>
      <c r="H55" s="90">
        <v>0</v>
      </c>
      <c r="I55" s="106">
        <v>0</v>
      </c>
      <c r="J55" s="90">
        <v>0</v>
      </c>
      <c r="K55" s="106">
        <v>0</v>
      </c>
      <c r="L55" s="90">
        <v>0</v>
      </c>
      <c r="M55" s="106">
        <v>0</v>
      </c>
      <c r="N55" s="90">
        <v>0</v>
      </c>
      <c r="O55" s="111">
        <v>0</v>
      </c>
      <c r="P55" s="26">
        <v>0</v>
      </c>
      <c r="Q55" s="111">
        <v>0</v>
      </c>
      <c r="R55" s="26">
        <v>0</v>
      </c>
      <c r="S55" s="111">
        <v>0</v>
      </c>
      <c r="T55" s="26">
        <v>0</v>
      </c>
      <c r="U55" s="111">
        <f t="shared" si="13"/>
        <v>0</v>
      </c>
      <c r="V55" s="52">
        <f t="shared" si="14"/>
        <v>0</v>
      </c>
      <c r="W55" s="172">
        <v>0</v>
      </c>
      <c r="X55" s="121">
        <v>0</v>
      </c>
      <c r="Y55" s="115">
        <v>0</v>
      </c>
      <c r="Z55" s="122">
        <v>0</v>
      </c>
      <c r="AA55" s="115">
        <v>0</v>
      </c>
      <c r="AB55" s="122">
        <v>0</v>
      </c>
      <c r="AC55" s="115">
        <v>0</v>
      </c>
      <c r="AD55" s="122">
        <v>0</v>
      </c>
      <c r="AE55" s="110">
        <v>0</v>
      </c>
      <c r="AF55" s="171">
        <v>0</v>
      </c>
      <c r="AG55" s="115">
        <v>0</v>
      </c>
      <c r="AH55" s="122">
        <v>0</v>
      </c>
      <c r="AI55" s="115">
        <v>0</v>
      </c>
      <c r="AJ55" s="122">
        <v>0</v>
      </c>
      <c r="AK55" s="111">
        <v>0</v>
      </c>
      <c r="AL55" s="171">
        <v>0</v>
      </c>
      <c r="AM55" s="111">
        <v>0</v>
      </c>
      <c r="AN55" s="122">
        <v>0</v>
      </c>
      <c r="AO55" s="110">
        <f t="shared" si="0"/>
        <v>0</v>
      </c>
      <c r="AP55" s="127">
        <f t="shared" si="1"/>
        <v>0</v>
      </c>
      <c r="AQ55" s="106">
        <v>0</v>
      </c>
      <c r="AR55" s="26">
        <v>0</v>
      </c>
      <c r="AS55" s="111">
        <v>0</v>
      </c>
      <c r="AT55" s="26">
        <v>0</v>
      </c>
      <c r="AU55" s="110">
        <v>0</v>
      </c>
      <c r="AV55" s="26">
        <v>0</v>
      </c>
      <c r="AW55" s="111">
        <v>0</v>
      </c>
      <c r="AX55" s="26">
        <v>0</v>
      </c>
      <c r="AY55" s="111">
        <v>0</v>
      </c>
      <c r="AZ55" s="26">
        <f t="shared" si="23"/>
        <v>0</v>
      </c>
      <c r="BA55" s="111">
        <v>0</v>
      </c>
      <c r="BB55" s="26">
        <f t="shared" si="22"/>
        <v>0</v>
      </c>
      <c r="BC55" s="111">
        <v>0</v>
      </c>
      <c r="BD55" s="26">
        <v>0</v>
      </c>
      <c r="BE55" s="111">
        <v>0</v>
      </c>
      <c r="BF55" s="26">
        <v>0</v>
      </c>
      <c r="BG55" s="111"/>
      <c r="BH55" s="26"/>
      <c r="BI55" s="111">
        <f t="shared" si="33"/>
        <v>0</v>
      </c>
      <c r="BJ55" s="52">
        <f t="shared" si="31"/>
        <v>0</v>
      </c>
      <c r="BK55" s="135">
        <f t="shared" si="32"/>
        <v>0</v>
      </c>
      <c r="BL55" s="140">
        <f t="shared" si="28"/>
        <v>0</v>
      </c>
      <c r="BM55" s="281">
        <f t="shared" si="2"/>
        <v>0</v>
      </c>
      <c r="BN55" s="282"/>
      <c r="BO55" s="282"/>
      <c r="BP55" s="282"/>
      <c r="BQ55" s="282"/>
      <c r="BR55" s="283"/>
      <c r="BS55" s="147">
        <f t="shared" si="3"/>
        <v>0</v>
      </c>
      <c r="BT55" s="147">
        <f t="shared" si="4"/>
        <v>0</v>
      </c>
      <c r="BU55" s="288">
        <f t="shared" si="18"/>
        <v>0</v>
      </c>
      <c r="BV55" s="288"/>
      <c r="BW55" s="288"/>
      <c r="BX55" s="288"/>
      <c r="BY55" s="288">
        <f t="shared" si="5"/>
        <v>0</v>
      </c>
      <c r="BZ55" s="288"/>
      <c r="CA55" s="288"/>
      <c r="CB55" s="290">
        <f t="shared" si="19"/>
        <v>0</v>
      </c>
      <c r="CC55" s="290"/>
      <c r="CD55" s="290"/>
    </row>
    <row r="56" spans="1:135" ht="43.2" thickTop="1" thickBot="1" x14ac:dyDescent="0.35">
      <c r="A56" s="100">
        <v>4</v>
      </c>
      <c r="B56" s="101" t="s">
        <v>181</v>
      </c>
      <c r="C56" s="100" t="s">
        <v>26</v>
      </c>
      <c r="D56" s="102">
        <v>7579</v>
      </c>
      <c r="E56" s="106">
        <v>0</v>
      </c>
      <c r="F56" s="90">
        <v>0</v>
      </c>
      <c r="G56" s="106">
        <v>0</v>
      </c>
      <c r="H56" s="90">
        <v>0</v>
      </c>
      <c r="I56" s="106">
        <v>0</v>
      </c>
      <c r="J56" s="90">
        <v>0</v>
      </c>
      <c r="K56" s="106">
        <v>0</v>
      </c>
      <c r="L56" s="90">
        <v>0</v>
      </c>
      <c r="M56" s="106">
        <v>0</v>
      </c>
      <c r="N56" s="90">
        <v>0</v>
      </c>
      <c r="O56" s="111">
        <v>75</v>
      </c>
      <c r="P56" s="26">
        <f>D56*O56</f>
        <v>568425</v>
      </c>
      <c r="Q56" s="111">
        <v>0</v>
      </c>
      <c r="R56" s="26">
        <v>0</v>
      </c>
      <c r="S56" s="111">
        <v>0</v>
      </c>
      <c r="T56" s="26">
        <v>0</v>
      </c>
      <c r="U56" s="111">
        <f t="shared" si="13"/>
        <v>75</v>
      </c>
      <c r="V56" s="52">
        <f t="shared" si="14"/>
        <v>568425</v>
      </c>
      <c r="W56" s="172">
        <v>0</v>
      </c>
      <c r="X56" s="121">
        <v>0</v>
      </c>
      <c r="Y56" s="115">
        <v>0</v>
      </c>
      <c r="Z56" s="122">
        <v>0</v>
      </c>
      <c r="AA56" s="115">
        <v>0</v>
      </c>
      <c r="AB56" s="122">
        <v>0</v>
      </c>
      <c r="AC56" s="115">
        <v>0</v>
      </c>
      <c r="AD56" s="122">
        <v>0</v>
      </c>
      <c r="AE56" s="110">
        <v>0</v>
      </c>
      <c r="AF56" s="171">
        <v>0</v>
      </c>
      <c r="AG56" s="115">
        <v>0</v>
      </c>
      <c r="AH56" s="122">
        <v>0</v>
      </c>
      <c r="AI56" s="115">
        <v>0</v>
      </c>
      <c r="AJ56" s="122">
        <v>0</v>
      </c>
      <c r="AK56" s="111">
        <v>0</v>
      </c>
      <c r="AL56" s="171">
        <v>0</v>
      </c>
      <c r="AM56" s="111">
        <v>0</v>
      </c>
      <c r="AN56" s="122">
        <v>0</v>
      </c>
      <c r="AO56" s="110">
        <f t="shared" si="0"/>
        <v>0</v>
      </c>
      <c r="AP56" s="127">
        <f t="shared" si="1"/>
        <v>0</v>
      </c>
      <c r="AQ56" s="106">
        <v>0</v>
      </c>
      <c r="AR56" s="26">
        <v>0</v>
      </c>
      <c r="AS56" s="111">
        <v>0</v>
      </c>
      <c r="AT56" s="26">
        <v>0</v>
      </c>
      <c r="AU56" s="110">
        <v>0</v>
      </c>
      <c r="AV56" s="26">
        <v>0</v>
      </c>
      <c r="AW56" s="111">
        <v>0</v>
      </c>
      <c r="AX56" s="26">
        <v>0</v>
      </c>
      <c r="AY56" s="111">
        <v>0</v>
      </c>
      <c r="AZ56" s="26">
        <f t="shared" si="23"/>
        <v>0</v>
      </c>
      <c r="BA56" s="111">
        <v>0</v>
      </c>
      <c r="BB56" s="26">
        <f t="shared" si="22"/>
        <v>0</v>
      </c>
      <c r="BC56" s="111">
        <v>0</v>
      </c>
      <c r="BD56" s="26">
        <v>0</v>
      </c>
      <c r="BE56" s="111">
        <v>0</v>
      </c>
      <c r="BF56" s="26">
        <v>0</v>
      </c>
      <c r="BG56" s="111">
        <v>170</v>
      </c>
      <c r="BH56" s="26">
        <f>D56*BG56</f>
        <v>1288430</v>
      </c>
      <c r="BI56" s="111">
        <f t="shared" si="33"/>
        <v>170</v>
      </c>
      <c r="BJ56" s="52">
        <f t="shared" si="31"/>
        <v>1288430</v>
      </c>
      <c r="BK56" s="135">
        <f t="shared" si="32"/>
        <v>245</v>
      </c>
      <c r="BL56" s="140">
        <f t="shared" si="28"/>
        <v>1856855</v>
      </c>
      <c r="BM56" s="281">
        <f t="shared" si="2"/>
        <v>61.25</v>
      </c>
      <c r="BN56" s="282"/>
      <c r="BO56" s="282"/>
      <c r="BP56" s="282"/>
      <c r="BQ56" s="282"/>
      <c r="BR56" s="283"/>
      <c r="BS56" s="147">
        <f t="shared" si="3"/>
        <v>24.5</v>
      </c>
      <c r="BT56" s="147">
        <f t="shared" si="4"/>
        <v>45492947.5</v>
      </c>
      <c r="BU56" s="288">
        <f t="shared" ref="BU56:BU87" si="34">(BM56+BS56)*D56</f>
        <v>649899.25</v>
      </c>
      <c r="BV56" s="288"/>
      <c r="BW56" s="288"/>
      <c r="BX56" s="288"/>
      <c r="BY56" s="288">
        <f t="shared" si="5"/>
        <v>330.75</v>
      </c>
      <c r="BZ56" s="288"/>
      <c r="CA56" s="288"/>
      <c r="CB56" s="290">
        <f t="shared" ref="CB56:CB87" si="35">BY56*D56</f>
        <v>2506754.25</v>
      </c>
      <c r="CC56" s="290"/>
      <c r="CD56" s="290"/>
    </row>
    <row r="57" spans="1:135" ht="43.2" thickTop="1" thickBot="1" x14ac:dyDescent="0.35">
      <c r="A57" s="100">
        <v>5</v>
      </c>
      <c r="B57" s="101" t="s">
        <v>182</v>
      </c>
      <c r="C57" s="100" t="s">
        <v>26</v>
      </c>
      <c r="D57" s="102">
        <v>874</v>
      </c>
      <c r="E57" s="106">
        <v>0</v>
      </c>
      <c r="F57" s="90">
        <v>0</v>
      </c>
      <c r="G57" s="106">
        <v>0</v>
      </c>
      <c r="H57" s="90">
        <v>0</v>
      </c>
      <c r="I57" s="106">
        <v>0</v>
      </c>
      <c r="J57" s="90">
        <v>0</v>
      </c>
      <c r="K57" s="106">
        <v>0</v>
      </c>
      <c r="L57" s="90">
        <v>0</v>
      </c>
      <c r="M57" s="106">
        <v>0</v>
      </c>
      <c r="N57" s="90">
        <v>0</v>
      </c>
      <c r="O57" s="111">
        <v>75</v>
      </c>
      <c r="P57" s="26">
        <f>D57*O57</f>
        <v>65550</v>
      </c>
      <c r="Q57" s="111">
        <v>0</v>
      </c>
      <c r="R57" s="26">
        <v>0</v>
      </c>
      <c r="S57" s="111">
        <v>0</v>
      </c>
      <c r="T57" s="26">
        <v>0</v>
      </c>
      <c r="U57" s="111">
        <f t="shared" si="13"/>
        <v>75</v>
      </c>
      <c r="V57" s="52">
        <f t="shared" si="14"/>
        <v>65550</v>
      </c>
      <c r="W57" s="172">
        <v>0</v>
      </c>
      <c r="X57" s="121">
        <v>0</v>
      </c>
      <c r="Y57" s="115">
        <v>0</v>
      </c>
      <c r="Z57" s="122">
        <v>0</v>
      </c>
      <c r="AA57" s="115">
        <v>0</v>
      </c>
      <c r="AB57" s="122">
        <v>0</v>
      </c>
      <c r="AC57" s="115">
        <v>0</v>
      </c>
      <c r="AD57" s="122">
        <v>0</v>
      </c>
      <c r="AE57" s="110">
        <v>0</v>
      </c>
      <c r="AF57" s="171">
        <v>0</v>
      </c>
      <c r="AG57" s="115">
        <v>0</v>
      </c>
      <c r="AH57" s="122">
        <v>0</v>
      </c>
      <c r="AI57" s="115">
        <v>0</v>
      </c>
      <c r="AJ57" s="122">
        <v>0</v>
      </c>
      <c r="AK57" s="111">
        <v>0</v>
      </c>
      <c r="AL57" s="171">
        <v>0</v>
      </c>
      <c r="AM57" s="111">
        <v>0</v>
      </c>
      <c r="AN57" s="122">
        <v>0</v>
      </c>
      <c r="AO57" s="110">
        <f t="shared" si="0"/>
        <v>0</v>
      </c>
      <c r="AP57" s="127">
        <f t="shared" si="1"/>
        <v>0</v>
      </c>
      <c r="AQ57" s="106">
        <v>0</v>
      </c>
      <c r="AR57" s="26">
        <v>0</v>
      </c>
      <c r="AS57" s="111">
        <v>0</v>
      </c>
      <c r="AT57" s="26">
        <v>0</v>
      </c>
      <c r="AU57" s="110">
        <v>0</v>
      </c>
      <c r="AV57" s="26">
        <v>0</v>
      </c>
      <c r="AW57" s="111">
        <v>0</v>
      </c>
      <c r="AX57" s="26">
        <v>0</v>
      </c>
      <c r="AY57" s="111">
        <v>0</v>
      </c>
      <c r="AZ57" s="26">
        <f t="shared" si="23"/>
        <v>0</v>
      </c>
      <c r="BA57" s="111">
        <v>0</v>
      </c>
      <c r="BB57" s="26">
        <f t="shared" si="22"/>
        <v>0</v>
      </c>
      <c r="BC57" s="111">
        <v>0</v>
      </c>
      <c r="BD57" s="26">
        <v>0</v>
      </c>
      <c r="BE57" s="111">
        <v>0</v>
      </c>
      <c r="BF57" s="26">
        <v>0</v>
      </c>
      <c r="BG57" s="111">
        <v>170</v>
      </c>
      <c r="BH57" s="26">
        <f>BG57*D57</f>
        <v>148580</v>
      </c>
      <c r="BI57" s="111">
        <f t="shared" si="33"/>
        <v>170</v>
      </c>
      <c r="BJ57" s="52">
        <f t="shared" si="31"/>
        <v>148580</v>
      </c>
      <c r="BK57" s="135">
        <f t="shared" si="32"/>
        <v>245</v>
      </c>
      <c r="BL57" s="140">
        <f t="shared" si="28"/>
        <v>214130</v>
      </c>
      <c r="BM57" s="281">
        <f t="shared" si="2"/>
        <v>61.25</v>
      </c>
      <c r="BN57" s="282"/>
      <c r="BO57" s="282"/>
      <c r="BP57" s="282"/>
      <c r="BQ57" s="282"/>
      <c r="BR57" s="283"/>
      <c r="BS57" s="147">
        <f t="shared" si="3"/>
        <v>24.5</v>
      </c>
      <c r="BT57" s="147">
        <f t="shared" si="4"/>
        <v>5246185</v>
      </c>
      <c r="BU57" s="288">
        <f t="shared" si="34"/>
        <v>74945.5</v>
      </c>
      <c r="BV57" s="288"/>
      <c r="BW57" s="288"/>
      <c r="BX57" s="288"/>
      <c r="BY57" s="288">
        <f t="shared" si="5"/>
        <v>330.75</v>
      </c>
      <c r="BZ57" s="288"/>
      <c r="CA57" s="288"/>
      <c r="CB57" s="290">
        <f t="shared" si="35"/>
        <v>289075.5</v>
      </c>
      <c r="CC57" s="290"/>
      <c r="CD57" s="290"/>
    </row>
    <row r="58" spans="1:135" ht="43.2" thickTop="1" thickBot="1" x14ac:dyDescent="0.35">
      <c r="A58" s="100">
        <v>6</v>
      </c>
      <c r="B58" s="101" t="s">
        <v>183</v>
      </c>
      <c r="C58" s="100" t="s">
        <v>26</v>
      </c>
      <c r="D58" s="102">
        <v>12293</v>
      </c>
      <c r="E58" s="106">
        <v>0</v>
      </c>
      <c r="F58" s="90">
        <v>0</v>
      </c>
      <c r="G58" s="106">
        <v>0</v>
      </c>
      <c r="H58" s="90">
        <v>0</v>
      </c>
      <c r="I58" s="106">
        <v>0</v>
      </c>
      <c r="J58" s="90">
        <v>0</v>
      </c>
      <c r="K58" s="106">
        <v>0</v>
      </c>
      <c r="L58" s="90">
        <v>0</v>
      </c>
      <c r="M58" s="106">
        <v>0</v>
      </c>
      <c r="N58" s="90">
        <v>0</v>
      </c>
      <c r="O58" s="111">
        <v>75</v>
      </c>
      <c r="P58" s="26">
        <f>O58*D58</f>
        <v>921975</v>
      </c>
      <c r="Q58" s="111">
        <v>0</v>
      </c>
      <c r="R58" s="26">
        <v>0</v>
      </c>
      <c r="S58" s="111">
        <v>0</v>
      </c>
      <c r="T58" s="26">
        <v>0</v>
      </c>
      <c r="U58" s="111">
        <f t="shared" si="13"/>
        <v>75</v>
      </c>
      <c r="V58" s="52">
        <f t="shared" si="14"/>
        <v>921975</v>
      </c>
      <c r="W58" s="172">
        <v>0</v>
      </c>
      <c r="X58" s="121">
        <v>0</v>
      </c>
      <c r="Y58" s="115">
        <v>0</v>
      </c>
      <c r="Z58" s="122">
        <v>0</v>
      </c>
      <c r="AA58" s="115">
        <v>0</v>
      </c>
      <c r="AB58" s="122">
        <v>0</v>
      </c>
      <c r="AC58" s="115">
        <v>0</v>
      </c>
      <c r="AD58" s="122">
        <v>0</v>
      </c>
      <c r="AE58" s="110">
        <v>0</v>
      </c>
      <c r="AF58" s="171">
        <v>0</v>
      </c>
      <c r="AG58" s="115">
        <v>0</v>
      </c>
      <c r="AH58" s="122">
        <v>0</v>
      </c>
      <c r="AI58" s="115">
        <v>0</v>
      </c>
      <c r="AJ58" s="122">
        <v>0</v>
      </c>
      <c r="AK58" s="111">
        <v>0</v>
      </c>
      <c r="AL58" s="171">
        <v>0</v>
      </c>
      <c r="AM58" s="111">
        <v>0</v>
      </c>
      <c r="AN58" s="122">
        <v>0</v>
      </c>
      <c r="AO58" s="110">
        <f t="shared" si="0"/>
        <v>0</v>
      </c>
      <c r="AP58" s="127">
        <f t="shared" si="1"/>
        <v>0</v>
      </c>
      <c r="AQ58" s="106">
        <v>0</v>
      </c>
      <c r="AR58" s="26">
        <v>0</v>
      </c>
      <c r="AS58" s="111">
        <v>0</v>
      </c>
      <c r="AT58" s="26">
        <v>0</v>
      </c>
      <c r="AU58" s="110">
        <v>0</v>
      </c>
      <c r="AV58" s="26">
        <v>0</v>
      </c>
      <c r="AW58" s="111">
        <v>0</v>
      </c>
      <c r="AX58" s="26">
        <v>0</v>
      </c>
      <c r="AY58" s="111">
        <v>0</v>
      </c>
      <c r="AZ58" s="26">
        <f t="shared" si="23"/>
        <v>0</v>
      </c>
      <c r="BA58" s="111">
        <v>0</v>
      </c>
      <c r="BB58" s="26">
        <f t="shared" si="22"/>
        <v>0</v>
      </c>
      <c r="BC58" s="111">
        <v>0</v>
      </c>
      <c r="BD58" s="26">
        <v>0</v>
      </c>
      <c r="BE58" s="111">
        <v>0</v>
      </c>
      <c r="BF58" s="26">
        <v>0</v>
      </c>
      <c r="BG58" s="111">
        <v>170</v>
      </c>
      <c r="BH58" s="26">
        <f>BG58*D58</f>
        <v>2089810</v>
      </c>
      <c r="BI58" s="111">
        <f t="shared" si="33"/>
        <v>170</v>
      </c>
      <c r="BJ58" s="52">
        <f t="shared" si="31"/>
        <v>2089810</v>
      </c>
      <c r="BK58" s="135">
        <f t="shared" si="32"/>
        <v>245</v>
      </c>
      <c r="BL58" s="140">
        <f t="shared" si="28"/>
        <v>3011785</v>
      </c>
      <c r="BM58" s="281">
        <f t="shared" si="2"/>
        <v>61.25</v>
      </c>
      <c r="BN58" s="282"/>
      <c r="BO58" s="282"/>
      <c r="BP58" s="282"/>
      <c r="BQ58" s="282"/>
      <c r="BR58" s="283"/>
      <c r="BS58" s="147">
        <f t="shared" si="3"/>
        <v>24.5</v>
      </c>
      <c r="BT58" s="147">
        <f t="shared" si="4"/>
        <v>73788732.5</v>
      </c>
      <c r="BU58" s="288">
        <f t="shared" si="34"/>
        <v>1054124.75</v>
      </c>
      <c r="BV58" s="288"/>
      <c r="BW58" s="288"/>
      <c r="BX58" s="288"/>
      <c r="BY58" s="288">
        <f t="shared" si="5"/>
        <v>330.75</v>
      </c>
      <c r="BZ58" s="288"/>
      <c r="CA58" s="288"/>
      <c r="CB58" s="290">
        <f t="shared" si="35"/>
        <v>4065909.75</v>
      </c>
      <c r="CC58" s="290"/>
      <c r="CD58" s="290"/>
    </row>
    <row r="59" spans="1:135" ht="43.2" thickTop="1" thickBot="1" x14ac:dyDescent="0.35">
      <c r="A59" s="100">
        <v>7</v>
      </c>
      <c r="B59" s="101" t="s">
        <v>184</v>
      </c>
      <c r="C59" s="100" t="s">
        <v>26</v>
      </c>
      <c r="D59" s="102">
        <v>1652</v>
      </c>
      <c r="E59" s="106">
        <v>0</v>
      </c>
      <c r="F59" s="90">
        <v>0</v>
      </c>
      <c r="G59" s="106">
        <v>0</v>
      </c>
      <c r="H59" s="90">
        <v>0</v>
      </c>
      <c r="I59" s="106">
        <v>0</v>
      </c>
      <c r="J59" s="90">
        <v>0</v>
      </c>
      <c r="K59" s="106">
        <v>0</v>
      </c>
      <c r="L59" s="90">
        <v>0</v>
      </c>
      <c r="M59" s="106">
        <v>0</v>
      </c>
      <c r="N59" s="90">
        <v>0</v>
      </c>
      <c r="O59" s="111">
        <v>75</v>
      </c>
      <c r="P59" s="26">
        <f>O59*D59</f>
        <v>123900</v>
      </c>
      <c r="Q59" s="111">
        <v>0</v>
      </c>
      <c r="R59" s="26">
        <v>0</v>
      </c>
      <c r="S59" s="111">
        <v>0</v>
      </c>
      <c r="T59" s="26">
        <v>0</v>
      </c>
      <c r="U59" s="111">
        <f t="shared" si="13"/>
        <v>75</v>
      </c>
      <c r="V59" s="52">
        <f t="shared" si="14"/>
        <v>123900</v>
      </c>
      <c r="W59" s="172">
        <v>0</v>
      </c>
      <c r="X59" s="121">
        <v>0</v>
      </c>
      <c r="Y59" s="115">
        <v>0</v>
      </c>
      <c r="Z59" s="122">
        <v>0</v>
      </c>
      <c r="AA59" s="115">
        <v>0</v>
      </c>
      <c r="AB59" s="122">
        <v>0</v>
      </c>
      <c r="AC59" s="115">
        <v>0</v>
      </c>
      <c r="AD59" s="122">
        <v>0</v>
      </c>
      <c r="AE59" s="110">
        <v>0</v>
      </c>
      <c r="AF59" s="171">
        <v>0</v>
      </c>
      <c r="AG59" s="115">
        <v>0</v>
      </c>
      <c r="AH59" s="122">
        <v>0</v>
      </c>
      <c r="AI59" s="115">
        <v>0</v>
      </c>
      <c r="AJ59" s="122">
        <v>0</v>
      </c>
      <c r="AK59" s="111">
        <v>0</v>
      </c>
      <c r="AL59" s="171">
        <v>0</v>
      </c>
      <c r="AM59" s="111">
        <v>0</v>
      </c>
      <c r="AN59" s="122">
        <v>0</v>
      </c>
      <c r="AO59" s="110">
        <f t="shared" si="0"/>
        <v>0</v>
      </c>
      <c r="AP59" s="127">
        <f t="shared" si="1"/>
        <v>0</v>
      </c>
      <c r="AQ59" s="106">
        <v>0</v>
      </c>
      <c r="AR59" s="26">
        <v>0</v>
      </c>
      <c r="AS59" s="111">
        <v>0</v>
      </c>
      <c r="AT59" s="26">
        <v>0</v>
      </c>
      <c r="AU59" s="110">
        <v>0</v>
      </c>
      <c r="AV59" s="26">
        <v>0</v>
      </c>
      <c r="AW59" s="111">
        <v>0</v>
      </c>
      <c r="AX59" s="26">
        <v>0</v>
      </c>
      <c r="AY59" s="111">
        <v>0</v>
      </c>
      <c r="AZ59" s="26">
        <f t="shared" si="23"/>
        <v>0</v>
      </c>
      <c r="BA59" s="111">
        <v>0</v>
      </c>
      <c r="BB59" s="26">
        <f t="shared" si="22"/>
        <v>0</v>
      </c>
      <c r="BC59" s="111">
        <v>0</v>
      </c>
      <c r="BD59" s="26">
        <v>0</v>
      </c>
      <c r="BE59" s="111">
        <v>0</v>
      </c>
      <c r="BF59" s="26">
        <v>0</v>
      </c>
      <c r="BG59" s="111">
        <v>170</v>
      </c>
      <c r="BH59" s="26">
        <f>BG59*D59</f>
        <v>280840</v>
      </c>
      <c r="BI59" s="111">
        <f t="shared" si="33"/>
        <v>170</v>
      </c>
      <c r="BJ59" s="52">
        <f t="shared" si="31"/>
        <v>280840</v>
      </c>
      <c r="BK59" s="135">
        <f t="shared" si="32"/>
        <v>245</v>
      </c>
      <c r="BL59" s="140">
        <f t="shared" si="28"/>
        <v>404740</v>
      </c>
      <c r="BM59" s="281">
        <f t="shared" si="2"/>
        <v>61.25</v>
      </c>
      <c r="BN59" s="282"/>
      <c r="BO59" s="282"/>
      <c r="BP59" s="282"/>
      <c r="BQ59" s="282"/>
      <c r="BR59" s="283"/>
      <c r="BS59" s="147">
        <f t="shared" si="3"/>
        <v>24.5</v>
      </c>
      <c r="BT59" s="147">
        <f t="shared" si="4"/>
        <v>9916130</v>
      </c>
      <c r="BU59" s="288">
        <f t="shared" si="34"/>
        <v>141659</v>
      </c>
      <c r="BV59" s="288"/>
      <c r="BW59" s="288"/>
      <c r="BX59" s="288"/>
      <c r="BY59" s="288">
        <f t="shared" si="5"/>
        <v>330.75</v>
      </c>
      <c r="BZ59" s="288"/>
      <c r="CA59" s="288"/>
      <c r="CB59" s="290">
        <f t="shared" si="35"/>
        <v>546399</v>
      </c>
      <c r="CC59" s="290"/>
      <c r="CD59" s="290"/>
    </row>
    <row r="60" spans="1:135" s="82" customFormat="1" ht="34.799999999999997" thickTop="1" thickBot="1" x14ac:dyDescent="0.35">
      <c r="A60" s="237" t="s">
        <v>185</v>
      </c>
      <c r="B60" s="237"/>
      <c r="C60" s="237"/>
      <c r="D60" s="238"/>
      <c r="E60" s="150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151"/>
      <c r="W60" s="180"/>
      <c r="X60" s="152"/>
      <c r="Y60" s="181"/>
      <c r="Z60" s="83"/>
      <c r="AA60" s="181"/>
      <c r="AB60" s="83"/>
      <c r="AC60" s="181"/>
      <c r="AD60" s="83"/>
      <c r="AE60" s="83"/>
      <c r="AF60" s="181"/>
      <c r="AG60" s="181"/>
      <c r="AH60" s="83"/>
      <c r="AI60" s="181"/>
      <c r="AJ60" s="83"/>
      <c r="AK60" s="86"/>
      <c r="AL60" s="181"/>
      <c r="AM60" s="86"/>
      <c r="AN60" s="83"/>
      <c r="AO60" s="83"/>
      <c r="AP60" s="84"/>
      <c r="AQ60" s="150"/>
      <c r="AR60" s="86"/>
      <c r="AS60" s="86"/>
      <c r="AT60" s="86"/>
      <c r="AU60" s="83"/>
      <c r="AV60" s="86"/>
      <c r="AW60" s="86"/>
      <c r="AX60" s="86"/>
      <c r="AY60" s="86"/>
      <c r="AZ60" s="86"/>
      <c r="BA60" s="86"/>
      <c r="BB60" s="86"/>
      <c r="BC60" s="86"/>
      <c r="BD60" s="86"/>
      <c r="BE60" s="86"/>
      <c r="BF60" s="86"/>
      <c r="BG60" s="86"/>
      <c r="BH60" s="86"/>
      <c r="BI60" s="86"/>
      <c r="BJ60" s="151"/>
      <c r="BK60" s="87"/>
      <c r="BL60" s="88"/>
      <c r="BZ60" s="182"/>
      <c r="CA60" s="182"/>
      <c r="CB60" s="85"/>
      <c r="CC60" s="85"/>
      <c r="CD60" s="85"/>
      <c r="CE60" s="80"/>
      <c r="CF60" s="80"/>
      <c r="CG60" s="80"/>
      <c r="CH60" s="80"/>
      <c r="CI60" s="80"/>
      <c r="CJ60" s="80"/>
      <c r="CK60" s="80"/>
      <c r="CL60" s="80"/>
      <c r="CM60" s="80"/>
      <c r="CN60" s="80"/>
      <c r="CO60" s="80"/>
      <c r="CP60" s="80"/>
      <c r="CQ60" s="80"/>
      <c r="CR60" s="80"/>
      <c r="CS60" s="80"/>
      <c r="CT60" s="80"/>
      <c r="CU60" s="80"/>
      <c r="CV60" s="80"/>
      <c r="CW60" s="80"/>
      <c r="CX60" s="80"/>
      <c r="CY60" s="80"/>
      <c r="CZ60" s="80"/>
      <c r="DA60" s="80"/>
      <c r="DB60" s="80"/>
      <c r="DC60" s="80"/>
      <c r="DD60" s="80"/>
      <c r="DE60" s="80"/>
      <c r="DF60" s="80"/>
      <c r="DG60" s="80"/>
      <c r="DH60" s="80"/>
      <c r="DI60" s="80"/>
      <c r="DJ60" s="80"/>
      <c r="DK60" s="80"/>
      <c r="DL60" s="80"/>
      <c r="DM60" s="80"/>
      <c r="DN60" s="80"/>
      <c r="DO60" s="80"/>
      <c r="DP60" s="80"/>
      <c r="DQ60" s="80"/>
      <c r="DR60" s="80"/>
      <c r="DS60" s="80"/>
      <c r="DT60" s="80"/>
      <c r="DU60" s="80"/>
      <c r="DV60" s="80"/>
      <c r="DW60" s="80"/>
      <c r="DX60" s="80"/>
      <c r="DY60" s="80"/>
      <c r="DZ60" s="80"/>
      <c r="EA60" s="80"/>
      <c r="EB60" s="80"/>
      <c r="EC60" s="80"/>
      <c r="ED60" s="80"/>
      <c r="EE60" s="80"/>
    </row>
    <row r="61" spans="1:135" ht="27" thickTop="1" thickBot="1" x14ac:dyDescent="0.35">
      <c r="A61" s="100">
        <v>1</v>
      </c>
      <c r="B61" s="233" t="s">
        <v>186</v>
      </c>
      <c r="C61" s="233"/>
      <c r="D61" s="234"/>
      <c r="E61" s="106"/>
      <c r="F61" s="26"/>
      <c r="G61" s="111"/>
      <c r="H61" s="26"/>
      <c r="I61" s="111"/>
      <c r="J61" s="26"/>
      <c r="K61" s="111"/>
      <c r="L61" s="26"/>
      <c r="M61" s="111"/>
      <c r="N61" s="26"/>
      <c r="O61" s="111"/>
      <c r="P61" s="26"/>
      <c r="Q61" s="111">
        <v>0</v>
      </c>
      <c r="R61" s="26">
        <v>0</v>
      </c>
      <c r="S61" s="111">
        <v>0</v>
      </c>
      <c r="T61" s="26">
        <v>0</v>
      </c>
      <c r="U61" s="111">
        <f t="shared" si="13"/>
        <v>0</v>
      </c>
      <c r="V61" s="52">
        <f t="shared" si="14"/>
        <v>0</v>
      </c>
      <c r="W61" s="172">
        <v>0</v>
      </c>
      <c r="X61" s="121">
        <v>0</v>
      </c>
      <c r="Y61" s="115">
        <v>0</v>
      </c>
      <c r="Z61" s="122">
        <v>0</v>
      </c>
      <c r="AA61" s="115">
        <v>0</v>
      </c>
      <c r="AB61" s="122">
        <v>0</v>
      </c>
      <c r="AC61" s="115">
        <v>0</v>
      </c>
      <c r="AD61" s="122">
        <v>0</v>
      </c>
      <c r="AE61" s="110">
        <v>0</v>
      </c>
      <c r="AF61" s="171">
        <v>0</v>
      </c>
      <c r="AG61" s="115">
        <v>0</v>
      </c>
      <c r="AH61" s="122">
        <v>0</v>
      </c>
      <c r="AI61" s="115">
        <v>0</v>
      </c>
      <c r="AJ61" s="122">
        <v>0</v>
      </c>
      <c r="AK61" s="111">
        <v>0</v>
      </c>
      <c r="AL61" s="171">
        <v>0</v>
      </c>
      <c r="AM61" s="111">
        <v>0</v>
      </c>
      <c r="AN61" s="122">
        <v>0</v>
      </c>
      <c r="AO61" s="110">
        <f t="shared" si="0"/>
        <v>0</v>
      </c>
      <c r="AP61" s="127">
        <f t="shared" si="1"/>
        <v>0</v>
      </c>
      <c r="AQ61" s="106">
        <v>0</v>
      </c>
      <c r="AR61" s="26">
        <v>0</v>
      </c>
      <c r="AS61" s="111">
        <v>0</v>
      </c>
      <c r="AT61" s="26">
        <v>0</v>
      </c>
      <c r="AU61" s="110">
        <v>0</v>
      </c>
      <c r="AV61" s="26">
        <v>0</v>
      </c>
      <c r="AW61" s="111">
        <v>0</v>
      </c>
      <c r="AX61" s="26">
        <v>0</v>
      </c>
      <c r="AY61" s="111">
        <v>0</v>
      </c>
      <c r="AZ61" s="26">
        <f t="shared" si="23"/>
        <v>0</v>
      </c>
      <c r="BA61" s="111">
        <v>0</v>
      </c>
      <c r="BB61" s="26">
        <f t="shared" si="22"/>
        <v>0</v>
      </c>
      <c r="BC61" s="111">
        <v>0</v>
      </c>
      <c r="BD61" s="26">
        <f t="shared" ref="BD61:BD77" si="36">H61*BC61</f>
        <v>0</v>
      </c>
      <c r="BE61" s="111">
        <v>0</v>
      </c>
      <c r="BF61" s="26">
        <f t="shared" ref="BF61:BF77" si="37">J61*BE61</f>
        <v>0</v>
      </c>
      <c r="BG61" s="111">
        <v>0</v>
      </c>
      <c r="BH61" s="26">
        <v>0</v>
      </c>
      <c r="BI61" s="111">
        <f t="shared" si="33"/>
        <v>0</v>
      </c>
      <c r="BJ61" s="52">
        <f t="shared" si="31"/>
        <v>0</v>
      </c>
      <c r="BK61" s="135">
        <f t="shared" si="32"/>
        <v>0</v>
      </c>
      <c r="BL61" s="140">
        <f t="shared" si="28"/>
        <v>0</v>
      </c>
      <c r="BM61" s="281">
        <f t="shared" si="2"/>
        <v>0</v>
      </c>
      <c r="BN61" s="282"/>
      <c r="BO61" s="282"/>
      <c r="BP61" s="282"/>
      <c r="BQ61" s="282"/>
      <c r="BR61" s="283"/>
      <c r="BS61" s="147">
        <f t="shared" si="3"/>
        <v>0</v>
      </c>
      <c r="BT61" s="147">
        <f t="shared" si="4"/>
        <v>0</v>
      </c>
      <c r="BU61" s="288">
        <f t="shared" si="34"/>
        <v>0</v>
      </c>
      <c r="BV61" s="288"/>
      <c r="BW61" s="288"/>
      <c r="BX61" s="288"/>
      <c r="BY61" s="288">
        <f t="shared" si="5"/>
        <v>0</v>
      </c>
      <c r="BZ61" s="288"/>
      <c r="CA61" s="288"/>
      <c r="CB61" s="290">
        <f t="shared" si="35"/>
        <v>0</v>
      </c>
      <c r="CC61" s="290"/>
      <c r="CD61" s="290"/>
    </row>
    <row r="62" spans="1:135" ht="43.2" thickTop="1" thickBot="1" x14ac:dyDescent="0.35">
      <c r="A62" s="103" t="s">
        <v>187</v>
      </c>
      <c r="B62" s="101" t="s">
        <v>195</v>
      </c>
      <c r="C62" s="100" t="s">
        <v>203</v>
      </c>
      <c r="D62" s="102">
        <v>90</v>
      </c>
      <c r="E62" s="106">
        <v>0</v>
      </c>
      <c r="F62" s="90">
        <v>0</v>
      </c>
      <c r="G62" s="106">
        <v>0</v>
      </c>
      <c r="H62" s="90">
        <v>0</v>
      </c>
      <c r="I62" s="106">
        <v>0</v>
      </c>
      <c r="J62" s="90">
        <v>0</v>
      </c>
      <c r="K62" s="106">
        <v>0</v>
      </c>
      <c r="L62" s="90">
        <v>0</v>
      </c>
      <c r="M62" s="106">
        <v>0</v>
      </c>
      <c r="N62" s="90">
        <v>0</v>
      </c>
      <c r="O62" s="111">
        <v>560</v>
      </c>
      <c r="P62" s="26">
        <f>D62*O62</f>
        <v>50400</v>
      </c>
      <c r="Q62" s="111">
        <v>0</v>
      </c>
      <c r="R62" s="26">
        <v>0</v>
      </c>
      <c r="S62" s="111">
        <v>0</v>
      </c>
      <c r="T62" s="26">
        <v>0</v>
      </c>
      <c r="U62" s="111">
        <f t="shared" si="13"/>
        <v>560</v>
      </c>
      <c r="V62" s="52">
        <f t="shared" si="14"/>
        <v>50400</v>
      </c>
      <c r="W62" s="172">
        <v>0</v>
      </c>
      <c r="X62" s="121">
        <v>0</v>
      </c>
      <c r="Y62" s="115">
        <v>0</v>
      </c>
      <c r="Z62" s="122">
        <v>0</v>
      </c>
      <c r="AA62" s="115">
        <v>0</v>
      </c>
      <c r="AB62" s="122">
        <v>0</v>
      </c>
      <c r="AC62" s="115">
        <v>0</v>
      </c>
      <c r="AD62" s="122">
        <v>0</v>
      </c>
      <c r="AE62" s="110">
        <v>0</v>
      </c>
      <c r="AF62" s="171">
        <v>0</v>
      </c>
      <c r="AG62" s="115">
        <v>0</v>
      </c>
      <c r="AH62" s="122">
        <v>0</v>
      </c>
      <c r="AI62" s="115">
        <v>0</v>
      </c>
      <c r="AJ62" s="122">
        <v>0</v>
      </c>
      <c r="AK62" s="111">
        <v>0</v>
      </c>
      <c r="AL62" s="171">
        <v>0</v>
      </c>
      <c r="AM62" s="111">
        <v>0</v>
      </c>
      <c r="AN62" s="122">
        <v>0</v>
      </c>
      <c r="AO62" s="110">
        <f t="shared" si="0"/>
        <v>0</v>
      </c>
      <c r="AP62" s="127">
        <f t="shared" si="1"/>
        <v>0</v>
      </c>
      <c r="AQ62" s="106">
        <v>0</v>
      </c>
      <c r="AR62" s="26">
        <v>0</v>
      </c>
      <c r="AS62" s="111">
        <v>0</v>
      </c>
      <c r="AT62" s="26">
        <v>0</v>
      </c>
      <c r="AU62" s="110">
        <v>0</v>
      </c>
      <c r="AV62" s="26">
        <v>0</v>
      </c>
      <c r="AW62" s="111">
        <v>0</v>
      </c>
      <c r="AX62" s="26">
        <v>0</v>
      </c>
      <c r="AY62" s="111">
        <v>0</v>
      </c>
      <c r="AZ62" s="26">
        <f t="shared" si="23"/>
        <v>0</v>
      </c>
      <c r="BA62" s="111">
        <v>0</v>
      </c>
      <c r="BB62" s="26">
        <f t="shared" si="22"/>
        <v>0</v>
      </c>
      <c r="BC62" s="111">
        <v>0</v>
      </c>
      <c r="BD62" s="26">
        <f t="shared" si="36"/>
        <v>0</v>
      </c>
      <c r="BE62" s="111">
        <v>0</v>
      </c>
      <c r="BF62" s="26">
        <f t="shared" si="37"/>
        <v>0</v>
      </c>
      <c r="BG62" s="111">
        <v>10164</v>
      </c>
      <c r="BH62" s="26">
        <f t="shared" ref="BH62:BH69" si="38">BG62*D62</f>
        <v>914760</v>
      </c>
      <c r="BI62" s="111">
        <f t="shared" si="33"/>
        <v>10164</v>
      </c>
      <c r="BJ62" s="52">
        <f t="shared" si="31"/>
        <v>914760</v>
      </c>
      <c r="BK62" s="135">
        <f t="shared" si="32"/>
        <v>10724</v>
      </c>
      <c r="BL62" s="140">
        <f t="shared" si="28"/>
        <v>965160</v>
      </c>
      <c r="BM62" s="281">
        <f t="shared" si="2"/>
        <v>2681</v>
      </c>
      <c r="BN62" s="282"/>
      <c r="BO62" s="282"/>
      <c r="BP62" s="282"/>
      <c r="BQ62" s="282"/>
      <c r="BR62" s="283"/>
      <c r="BS62" s="147">
        <f t="shared" si="3"/>
        <v>1072.4000000000001</v>
      </c>
      <c r="BT62" s="147">
        <f t="shared" si="4"/>
        <v>1035037584.0000001</v>
      </c>
      <c r="BU62" s="288">
        <f t="shared" si="34"/>
        <v>337806</v>
      </c>
      <c r="BV62" s="288"/>
      <c r="BW62" s="288"/>
      <c r="BX62" s="288"/>
      <c r="BY62" s="288">
        <f t="shared" si="5"/>
        <v>14477.4</v>
      </c>
      <c r="BZ62" s="288"/>
      <c r="CA62" s="288"/>
      <c r="CB62" s="290">
        <f t="shared" si="35"/>
        <v>1302966</v>
      </c>
      <c r="CC62" s="290"/>
      <c r="CD62" s="290"/>
    </row>
    <row r="63" spans="1:135" ht="22.2" thickTop="1" thickBot="1" x14ac:dyDescent="0.35">
      <c r="A63" s="103" t="s">
        <v>188</v>
      </c>
      <c r="B63" s="100" t="s">
        <v>196</v>
      </c>
      <c r="C63" s="100" t="s">
        <v>203</v>
      </c>
      <c r="D63" s="102">
        <v>32</v>
      </c>
      <c r="E63" s="106">
        <v>0</v>
      </c>
      <c r="F63" s="90">
        <v>0</v>
      </c>
      <c r="G63" s="106">
        <v>0</v>
      </c>
      <c r="H63" s="90">
        <v>0</v>
      </c>
      <c r="I63" s="106">
        <v>0</v>
      </c>
      <c r="J63" s="90">
        <v>0</v>
      </c>
      <c r="K63" s="106">
        <v>0</v>
      </c>
      <c r="L63" s="90">
        <v>0</v>
      </c>
      <c r="M63" s="106">
        <v>0</v>
      </c>
      <c r="N63" s="90">
        <v>0</v>
      </c>
      <c r="O63" s="111">
        <v>560</v>
      </c>
      <c r="P63" s="26">
        <f>D63*O63</f>
        <v>17920</v>
      </c>
      <c r="Q63" s="111">
        <v>0</v>
      </c>
      <c r="R63" s="26">
        <v>0</v>
      </c>
      <c r="S63" s="111">
        <v>0</v>
      </c>
      <c r="T63" s="26">
        <v>0</v>
      </c>
      <c r="U63" s="111">
        <f t="shared" si="13"/>
        <v>560</v>
      </c>
      <c r="V63" s="52">
        <f t="shared" si="14"/>
        <v>17920</v>
      </c>
      <c r="W63" s="172">
        <v>0</v>
      </c>
      <c r="X63" s="121">
        <v>0</v>
      </c>
      <c r="Y63" s="115">
        <v>0</v>
      </c>
      <c r="Z63" s="122">
        <v>0</v>
      </c>
      <c r="AA63" s="115">
        <v>0</v>
      </c>
      <c r="AB63" s="122">
        <v>0</v>
      </c>
      <c r="AC63" s="115">
        <v>0</v>
      </c>
      <c r="AD63" s="122">
        <v>0</v>
      </c>
      <c r="AE63" s="110">
        <v>0</v>
      </c>
      <c r="AF63" s="171">
        <v>0</v>
      </c>
      <c r="AG63" s="115">
        <v>0</v>
      </c>
      <c r="AH63" s="122">
        <v>0</v>
      </c>
      <c r="AI63" s="115">
        <v>0</v>
      </c>
      <c r="AJ63" s="122">
        <v>0</v>
      </c>
      <c r="AK63" s="111">
        <v>0</v>
      </c>
      <c r="AL63" s="171">
        <v>0</v>
      </c>
      <c r="AM63" s="111">
        <v>0</v>
      </c>
      <c r="AN63" s="122">
        <v>0</v>
      </c>
      <c r="AO63" s="110">
        <f t="shared" si="0"/>
        <v>0</v>
      </c>
      <c r="AP63" s="127">
        <f t="shared" si="1"/>
        <v>0</v>
      </c>
      <c r="AQ63" s="106">
        <v>0</v>
      </c>
      <c r="AR63" s="26">
        <v>0</v>
      </c>
      <c r="AS63" s="111">
        <v>0</v>
      </c>
      <c r="AT63" s="26">
        <v>0</v>
      </c>
      <c r="AU63" s="110">
        <v>0</v>
      </c>
      <c r="AV63" s="26">
        <v>0</v>
      </c>
      <c r="AW63" s="111">
        <v>0</v>
      </c>
      <c r="AX63" s="26">
        <v>0</v>
      </c>
      <c r="AY63" s="111">
        <v>0</v>
      </c>
      <c r="AZ63" s="26">
        <f t="shared" si="23"/>
        <v>0</v>
      </c>
      <c r="BA63" s="111">
        <v>0</v>
      </c>
      <c r="BB63" s="26">
        <f t="shared" si="22"/>
        <v>0</v>
      </c>
      <c r="BC63" s="111">
        <v>0</v>
      </c>
      <c r="BD63" s="26">
        <f t="shared" si="36"/>
        <v>0</v>
      </c>
      <c r="BE63" s="111">
        <v>0</v>
      </c>
      <c r="BF63" s="26">
        <f t="shared" si="37"/>
        <v>0</v>
      </c>
      <c r="BG63" s="111">
        <v>5930</v>
      </c>
      <c r="BH63" s="26">
        <f t="shared" si="38"/>
        <v>189760</v>
      </c>
      <c r="BI63" s="111">
        <f t="shared" si="33"/>
        <v>5930</v>
      </c>
      <c r="BJ63" s="52">
        <f t="shared" si="31"/>
        <v>189760</v>
      </c>
      <c r="BK63" s="135">
        <f t="shared" si="32"/>
        <v>6490</v>
      </c>
      <c r="BL63" s="140">
        <f t="shared" si="28"/>
        <v>207680</v>
      </c>
      <c r="BM63" s="281">
        <f t="shared" si="2"/>
        <v>1622.5</v>
      </c>
      <c r="BN63" s="282"/>
      <c r="BO63" s="282"/>
      <c r="BP63" s="282"/>
      <c r="BQ63" s="282"/>
      <c r="BR63" s="283"/>
      <c r="BS63" s="147">
        <f t="shared" si="3"/>
        <v>649</v>
      </c>
      <c r="BT63" s="147">
        <f t="shared" si="4"/>
        <v>134784320</v>
      </c>
      <c r="BU63" s="288">
        <f t="shared" si="34"/>
        <v>72688</v>
      </c>
      <c r="BV63" s="288"/>
      <c r="BW63" s="288"/>
      <c r="BX63" s="288"/>
      <c r="BY63" s="288">
        <f t="shared" si="5"/>
        <v>8761.5</v>
      </c>
      <c r="BZ63" s="288"/>
      <c r="CA63" s="288"/>
      <c r="CB63" s="290">
        <f t="shared" si="35"/>
        <v>280368</v>
      </c>
      <c r="CC63" s="290"/>
      <c r="CD63" s="290"/>
    </row>
    <row r="64" spans="1:135" ht="43.2" thickTop="1" thickBot="1" x14ac:dyDescent="0.35">
      <c r="A64" s="103" t="s">
        <v>189</v>
      </c>
      <c r="B64" s="101" t="s">
        <v>197</v>
      </c>
      <c r="C64" s="100" t="s">
        <v>203</v>
      </c>
      <c r="D64" s="102">
        <v>147</v>
      </c>
      <c r="E64" s="106">
        <v>0</v>
      </c>
      <c r="F64" s="90">
        <v>0</v>
      </c>
      <c r="G64" s="106">
        <v>0</v>
      </c>
      <c r="H64" s="90">
        <v>0</v>
      </c>
      <c r="I64" s="106">
        <v>0</v>
      </c>
      <c r="J64" s="90">
        <v>0</v>
      </c>
      <c r="K64" s="106">
        <v>0</v>
      </c>
      <c r="L64" s="90">
        <v>0</v>
      </c>
      <c r="M64" s="106">
        <v>0</v>
      </c>
      <c r="N64" s="90">
        <v>0</v>
      </c>
      <c r="O64" s="111">
        <v>560</v>
      </c>
      <c r="P64" s="26">
        <f t="shared" ref="P64:P69" si="39">O64*D64</f>
        <v>82320</v>
      </c>
      <c r="Q64" s="111">
        <v>0</v>
      </c>
      <c r="R64" s="26">
        <v>0</v>
      </c>
      <c r="S64" s="111">
        <v>0</v>
      </c>
      <c r="T64" s="26">
        <v>0</v>
      </c>
      <c r="U64" s="111">
        <f t="shared" si="13"/>
        <v>560</v>
      </c>
      <c r="V64" s="52">
        <f t="shared" si="14"/>
        <v>82320</v>
      </c>
      <c r="W64" s="172">
        <v>0</v>
      </c>
      <c r="X64" s="121">
        <v>0</v>
      </c>
      <c r="Y64" s="115">
        <v>0</v>
      </c>
      <c r="Z64" s="122">
        <v>0</v>
      </c>
      <c r="AA64" s="115">
        <v>0</v>
      </c>
      <c r="AB64" s="122">
        <v>0</v>
      </c>
      <c r="AC64" s="115">
        <v>0</v>
      </c>
      <c r="AD64" s="122">
        <v>0</v>
      </c>
      <c r="AE64" s="110">
        <v>0</v>
      </c>
      <c r="AF64" s="171">
        <v>0</v>
      </c>
      <c r="AG64" s="115">
        <v>0</v>
      </c>
      <c r="AH64" s="122">
        <v>0</v>
      </c>
      <c r="AI64" s="115">
        <v>0</v>
      </c>
      <c r="AJ64" s="122">
        <v>0</v>
      </c>
      <c r="AK64" s="111">
        <v>0</v>
      </c>
      <c r="AL64" s="171">
        <v>0</v>
      </c>
      <c r="AM64" s="111">
        <v>0</v>
      </c>
      <c r="AN64" s="122">
        <v>0</v>
      </c>
      <c r="AO64" s="110">
        <f t="shared" si="0"/>
        <v>0</v>
      </c>
      <c r="AP64" s="127">
        <f t="shared" si="1"/>
        <v>0</v>
      </c>
      <c r="AQ64" s="106">
        <v>0</v>
      </c>
      <c r="AR64" s="26">
        <v>0</v>
      </c>
      <c r="AS64" s="111">
        <v>0</v>
      </c>
      <c r="AT64" s="26">
        <v>0</v>
      </c>
      <c r="AU64" s="110">
        <v>0</v>
      </c>
      <c r="AV64" s="26">
        <v>0</v>
      </c>
      <c r="AW64" s="111">
        <v>0</v>
      </c>
      <c r="AX64" s="26">
        <v>0</v>
      </c>
      <c r="AY64" s="111">
        <v>0</v>
      </c>
      <c r="AZ64" s="26">
        <f t="shared" si="23"/>
        <v>0</v>
      </c>
      <c r="BA64" s="111">
        <v>0</v>
      </c>
      <c r="BB64" s="26">
        <f t="shared" si="22"/>
        <v>0</v>
      </c>
      <c r="BC64" s="111">
        <v>0</v>
      </c>
      <c r="BD64" s="26">
        <f t="shared" si="36"/>
        <v>0</v>
      </c>
      <c r="BE64" s="111">
        <v>0</v>
      </c>
      <c r="BF64" s="26">
        <f t="shared" si="37"/>
        <v>0</v>
      </c>
      <c r="BG64" s="111">
        <v>5930</v>
      </c>
      <c r="BH64" s="26">
        <f t="shared" si="38"/>
        <v>871710</v>
      </c>
      <c r="BI64" s="111">
        <f t="shared" si="33"/>
        <v>5930</v>
      </c>
      <c r="BJ64" s="52">
        <f t="shared" si="31"/>
        <v>871710</v>
      </c>
      <c r="BK64" s="135">
        <f t="shared" si="32"/>
        <v>6490</v>
      </c>
      <c r="BL64" s="140">
        <f t="shared" si="28"/>
        <v>954030</v>
      </c>
      <c r="BM64" s="281">
        <f t="shared" si="2"/>
        <v>1622.5</v>
      </c>
      <c r="BN64" s="282"/>
      <c r="BO64" s="282"/>
      <c r="BP64" s="282"/>
      <c r="BQ64" s="282"/>
      <c r="BR64" s="283"/>
      <c r="BS64" s="147">
        <f t="shared" si="3"/>
        <v>649</v>
      </c>
      <c r="BT64" s="147">
        <f t="shared" si="4"/>
        <v>619165470</v>
      </c>
      <c r="BU64" s="288">
        <f t="shared" si="34"/>
        <v>333910.5</v>
      </c>
      <c r="BV64" s="288"/>
      <c r="BW64" s="288"/>
      <c r="BX64" s="288"/>
      <c r="BY64" s="288">
        <f t="shared" si="5"/>
        <v>8761.5</v>
      </c>
      <c r="BZ64" s="288"/>
      <c r="CA64" s="288"/>
      <c r="CB64" s="290">
        <f t="shared" si="35"/>
        <v>1287940.5</v>
      </c>
      <c r="CC64" s="290"/>
      <c r="CD64" s="290"/>
    </row>
    <row r="65" spans="1:135" ht="43.2" thickTop="1" thickBot="1" x14ac:dyDescent="0.35">
      <c r="A65" s="103" t="s">
        <v>190</v>
      </c>
      <c r="B65" s="101" t="s">
        <v>198</v>
      </c>
      <c r="C65" s="100" t="s">
        <v>203</v>
      </c>
      <c r="D65" s="102">
        <v>5</v>
      </c>
      <c r="E65" s="106">
        <v>0</v>
      </c>
      <c r="F65" s="90">
        <v>0</v>
      </c>
      <c r="G65" s="106">
        <v>0</v>
      </c>
      <c r="H65" s="90">
        <v>0</v>
      </c>
      <c r="I65" s="106">
        <v>0</v>
      </c>
      <c r="J65" s="90">
        <v>0</v>
      </c>
      <c r="K65" s="106">
        <v>0</v>
      </c>
      <c r="L65" s="90">
        <v>0</v>
      </c>
      <c r="M65" s="106">
        <v>0</v>
      </c>
      <c r="N65" s="90">
        <v>0</v>
      </c>
      <c r="O65" s="111">
        <v>560</v>
      </c>
      <c r="P65" s="26">
        <f t="shared" si="39"/>
        <v>2800</v>
      </c>
      <c r="Q65" s="111">
        <v>0</v>
      </c>
      <c r="R65" s="26">
        <v>0</v>
      </c>
      <c r="S65" s="111">
        <v>0</v>
      </c>
      <c r="T65" s="26">
        <v>0</v>
      </c>
      <c r="U65" s="111">
        <f t="shared" si="13"/>
        <v>560</v>
      </c>
      <c r="V65" s="52">
        <f t="shared" si="14"/>
        <v>2800</v>
      </c>
      <c r="W65" s="172">
        <v>0</v>
      </c>
      <c r="X65" s="121">
        <v>0</v>
      </c>
      <c r="Y65" s="115">
        <v>0</v>
      </c>
      <c r="Z65" s="122">
        <v>0</v>
      </c>
      <c r="AA65" s="115">
        <v>0</v>
      </c>
      <c r="AB65" s="122">
        <v>0</v>
      </c>
      <c r="AC65" s="115">
        <v>0</v>
      </c>
      <c r="AD65" s="122">
        <v>0</v>
      </c>
      <c r="AE65" s="110">
        <v>0</v>
      </c>
      <c r="AF65" s="171">
        <v>0</v>
      </c>
      <c r="AG65" s="115">
        <v>0</v>
      </c>
      <c r="AH65" s="122">
        <v>0</v>
      </c>
      <c r="AI65" s="115">
        <v>0</v>
      </c>
      <c r="AJ65" s="122">
        <v>0</v>
      </c>
      <c r="AK65" s="111">
        <v>0</v>
      </c>
      <c r="AL65" s="171">
        <v>0</v>
      </c>
      <c r="AM65" s="111">
        <v>0</v>
      </c>
      <c r="AN65" s="122">
        <v>0</v>
      </c>
      <c r="AO65" s="110">
        <f t="shared" si="0"/>
        <v>0</v>
      </c>
      <c r="AP65" s="127">
        <f t="shared" si="1"/>
        <v>0</v>
      </c>
      <c r="AQ65" s="106">
        <v>0</v>
      </c>
      <c r="AR65" s="26">
        <v>0</v>
      </c>
      <c r="AS65" s="111">
        <v>0</v>
      </c>
      <c r="AT65" s="26">
        <v>0</v>
      </c>
      <c r="AU65" s="110">
        <v>0</v>
      </c>
      <c r="AV65" s="26">
        <v>0</v>
      </c>
      <c r="AW65" s="111">
        <v>0</v>
      </c>
      <c r="AX65" s="26">
        <v>0</v>
      </c>
      <c r="AY65" s="111">
        <v>0</v>
      </c>
      <c r="AZ65" s="26">
        <f t="shared" si="23"/>
        <v>0</v>
      </c>
      <c r="BA65" s="111">
        <v>0</v>
      </c>
      <c r="BB65" s="26">
        <f t="shared" si="22"/>
        <v>0</v>
      </c>
      <c r="BC65" s="111">
        <v>0</v>
      </c>
      <c r="BD65" s="26">
        <f t="shared" si="36"/>
        <v>0</v>
      </c>
      <c r="BE65" s="111">
        <v>0</v>
      </c>
      <c r="BF65" s="26">
        <f t="shared" si="37"/>
        <v>0</v>
      </c>
      <c r="BG65" s="111">
        <v>10164</v>
      </c>
      <c r="BH65" s="26">
        <f t="shared" si="38"/>
        <v>50820</v>
      </c>
      <c r="BI65" s="111">
        <f t="shared" si="33"/>
        <v>10164</v>
      </c>
      <c r="BJ65" s="52">
        <f t="shared" si="31"/>
        <v>50820</v>
      </c>
      <c r="BK65" s="135">
        <f t="shared" si="32"/>
        <v>10724</v>
      </c>
      <c r="BL65" s="140">
        <f t="shared" si="28"/>
        <v>53620</v>
      </c>
      <c r="BM65" s="281">
        <f t="shared" si="2"/>
        <v>2681</v>
      </c>
      <c r="BN65" s="282"/>
      <c r="BO65" s="282"/>
      <c r="BP65" s="282"/>
      <c r="BQ65" s="282"/>
      <c r="BR65" s="283"/>
      <c r="BS65" s="147">
        <f t="shared" si="3"/>
        <v>1072.4000000000001</v>
      </c>
      <c r="BT65" s="147">
        <f t="shared" si="4"/>
        <v>57502088.000000007</v>
      </c>
      <c r="BU65" s="288">
        <f t="shared" si="34"/>
        <v>18767</v>
      </c>
      <c r="BV65" s="288"/>
      <c r="BW65" s="288"/>
      <c r="BX65" s="288"/>
      <c r="BY65" s="288">
        <f t="shared" si="5"/>
        <v>14477.4</v>
      </c>
      <c r="BZ65" s="288"/>
      <c r="CA65" s="288"/>
      <c r="CB65" s="290">
        <f t="shared" si="35"/>
        <v>72387</v>
      </c>
      <c r="CC65" s="290"/>
      <c r="CD65" s="290"/>
    </row>
    <row r="66" spans="1:135" ht="22.2" thickTop="1" thickBot="1" x14ac:dyDescent="0.35">
      <c r="A66" s="103" t="s">
        <v>191</v>
      </c>
      <c r="B66" s="100" t="s">
        <v>199</v>
      </c>
      <c r="C66" s="100" t="s">
        <v>203</v>
      </c>
      <c r="D66" s="102">
        <v>83</v>
      </c>
      <c r="E66" s="106">
        <v>0</v>
      </c>
      <c r="F66" s="90">
        <v>0</v>
      </c>
      <c r="G66" s="106">
        <v>0</v>
      </c>
      <c r="H66" s="90">
        <v>0</v>
      </c>
      <c r="I66" s="106">
        <v>0</v>
      </c>
      <c r="J66" s="90">
        <v>0</v>
      </c>
      <c r="K66" s="106">
        <v>0</v>
      </c>
      <c r="L66" s="90">
        <v>0</v>
      </c>
      <c r="M66" s="106">
        <v>0</v>
      </c>
      <c r="N66" s="90">
        <v>0</v>
      </c>
      <c r="O66" s="111">
        <v>560</v>
      </c>
      <c r="P66" s="26">
        <f t="shared" si="39"/>
        <v>46480</v>
      </c>
      <c r="Q66" s="111">
        <v>0</v>
      </c>
      <c r="R66" s="26">
        <v>0</v>
      </c>
      <c r="S66" s="111">
        <v>0</v>
      </c>
      <c r="T66" s="26">
        <v>0</v>
      </c>
      <c r="U66" s="111">
        <f t="shared" si="13"/>
        <v>560</v>
      </c>
      <c r="V66" s="52">
        <f t="shared" si="14"/>
        <v>46480</v>
      </c>
      <c r="W66" s="172">
        <v>0</v>
      </c>
      <c r="X66" s="121">
        <v>0</v>
      </c>
      <c r="Y66" s="115">
        <v>0</v>
      </c>
      <c r="Z66" s="122">
        <v>0</v>
      </c>
      <c r="AA66" s="115">
        <v>0</v>
      </c>
      <c r="AB66" s="122">
        <v>0</v>
      </c>
      <c r="AC66" s="115">
        <v>0</v>
      </c>
      <c r="AD66" s="122">
        <v>0</v>
      </c>
      <c r="AE66" s="110">
        <v>0</v>
      </c>
      <c r="AF66" s="171">
        <v>0</v>
      </c>
      <c r="AG66" s="115">
        <v>0</v>
      </c>
      <c r="AH66" s="122">
        <v>0</v>
      </c>
      <c r="AI66" s="115">
        <v>0</v>
      </c>
      <c r="AJ66" s="122">
        <v>0</v>
      </c>
      <c r="AK66" s="111">
        <v>0</v>
      </c>
      <c r="AL66" s="171">
        <v>0</v>
      </c>
      <c r="AM66" s="111">
        <v>0</v>
      </c>
      <c r="AN66" s="122">
        <v>0</v>
      </c>
      <c r="AO66" s="110">
        <f t="shared" si="0"/>
        <v>0</v>
      </c>
      <c r="AP66" s="127">
        <f t="shared" si="1"/>
        <v>0</v>
      </c>
      <c r="AQ66" s="106">
        <v>0</v>
      </c>
      <c r="AR66" s="26">
        <v>0</v>
      </c>
      <c r="AS66" s="111">
        <v>0</v>
      </c>
      <c r="AT66" s="26">
        <v>0</v>
      </c>
      <c r="AU66" s="110">
        <v>0</v>
      </c>
      <c r="AV66" s="26">
        <v>0</v>
      </c>
      <c r="AW66" s="111">
        <v>0</v>
      </c>
      <c r="AX66" s="26">
        <v>0</v>
      </c>
      <c r="AY66" s="111">
        <v>0</v>
      </c>
      <c r="AZ66" s="26">
        <f t="shared" si="23"/>
        <v>0</v>
      </c>
      <c r="BA66" s="111">
        <v>0</v>
      </c>
      <c r="BB66" s="26">
        <f t="shared" si="22"/>
        <v>0</v>
      </c>
      <c r="BC66" s="111">
        <v>0</v>
      </c>
      <c r="BD66" s="26">
        <f t="shared" si="36"/>
        <v>0</v>
      </c>
      <c r="BE66" s="111">
        <v>0</v>
      </c>
      <c r="BF66" s="26">
        <f t="shared" si="37"/>
        <v>0</v>
      </c>
      <c r="BG66" s="111">
        <v>16940</v>
      </c>
      <c r="BH66" s="26">
        <f t="shared" si="38"/>
        <v>1406020</v>
      </c>
      <c r="BI66" s="111">
        <f t="shared" si="33"/>
        <v>16940</v>
      </c>
      <c r="BJ66" s="52">
        <f t="shared" si="31"/>
        <v>1406020</v>
      </c>
      <c r="BK66" s="135">
        <f t="shared" si="32"/>
        <v>17500</v>
      </c>
      <c r="BL66" s="140">
        <f t="shared" si="28"/>
        <v>1452500</v>
      </c>
      <c r="BM66" s="281">
        <f t="shared" si="2"/>
        <v>4375</v>
      </c>
      <c r="BN66" s="282"/>
      <c r="BO66" s="282"/>
      <c r="BP66" s="282"/>
      <c r="BQ66" s="282"/>
      <c r="BR66" s="283"/>
      <c r="BS66" s="147">
        <f t="shared" si="3"/>
        <v>1750</v>
      </c>
      <c r="BT66" s="147">
        <f t="shared" si="4"/>
        <v>2541875000</v>
      </c>
      <c r="BU66" s="288">
        <f t="shared" si="34"/>
        <v>508375</v>
      </c>
      <c r="BV66" s="288"/>
      <c r="BW66" s="288"/>
      <c r="BX66" s="288"/>
      <c r="BY66" s="288">
        <f t="shared" si="5"/>
        <v>23625</v>
      </c>
      <c r="BZ66" s="288"/>
      <c r="CA66" s="288"/>
      <c r="CB66" s="290">
        <f t="shared" si="35"/>
        <v>1960875</v>
      </c>
      <c r="CC66" s="290"/>
      <c r="CD66" s="290"/>
    </row>
    <row r="67" spans="1:135" ht="22.2" thickTop="1" thickBot="1" x14ac:dyDescent="0.35">
      <c r="A67" s="103" t="s">
        <v>192</v>
      </c>
      <c r="B67" s="100" t="s">
        <v>200</v>
      </c>
      <c r="C67" s="100" t="s">
        <v>203</v>
      </c>
      <c r="D67" s="102">
        <v>24</v>
      </c>
      <c r="E67" s="106">
        <v>0</v>
      </c>
      <c r="F67" s="90">
        <v>0</v>
      </c>
      <c r="G67" s="106">
        <v>0</v>
      </c>
      <c r="H67" s="90">
        <v>0</v>
      </c>
      <c r="I67" s="106">
        <v>0</v>
      </c>
      <c r="J67" s="90">
        <v>0</v>
      </c>
      <c r="K67" s="106">
        <v>0</v>
      </c>
      <c r="L67" s="90">
        <v>0</v>
      </c>
      <c r="M67" s="106">
        <v>0</v>
      </c>
      <c r="N67" s="90">
        <v>0</v>
      </c>
      <c r="O67" s="111">
        <v>560</v>
      </c>
      <c r="P67" s="26">
        <f t="shared" si="39"/>
        <v>13440</v>
      </c>
      <c r="Q67" s="111">
        <v>0</v>
      </c>
      <c r="R67" s="26">
        <v>0</v>
      </c>
      <c r="S67" s="111">
        <v>0</v>
      </c>
      <c r="T67" s="26">
        <v>0</v>
      </c>
      <c r="U67" s="111">
        <f t="shared" si="13"/>
        <v>560</v>
      </c>
      <c r="V67" s="52">
        <f t="shared" si="14"/>
        <v>13440</v>
      </c>
      <c r="W67" s="172">
        <v>0</v>
      </c>
      <c r="X67" s="121">
        <v>0</v>
      </c>
      <c r="Y67" s="115">
        <v>0</v>
      </c>
      <c r="Z67" s="122">
        <v>0</v>
      </c>
      <c r="AA67" s="115">
        <v>0</v>
      </c>
      <c r="AB67" s="122">
        <v>0</v>
      </c>
      <c r="AC67" s="115">
        <v>0</v>
      </c>
      <c r="AD67" s="122">
        <v>0</v>
      </c>
      <c r="AE67" s="110">
        <v>0</v>
      </c>
      <c r="AF67" s="171">
        <v>0</v>
      </c>
      <c r="AG67" s="115">
        <v>0</v>
      </c>
      <c r="AH67" s="122">
        <v>0</v>
      </c>
      <c r="AI67" s="115">
        <v>0</v>
      </c>
      <c r="AJ67" s="122">
        <v>0</v>
      </c>
      <c r="AK67" s="111">
        <v>0</v>
      </c>
      <c r="AL67" s="171">
        <v>0</v>
      </c>
      <c r="AM67" s="111">
        <v>0</v>
      </c>
      <c r="AN67" s="122">
        <v>0</v>
      </c>
      <c r="AO67" s="110">
        <f t="shared" si="0"/>
        <v>0</v>
      </c>
      <c r="AP67" s="127">
        <f t="shared" si="1"/>
        <v>0</v>
      </c>
      <c r="AQ67" s="106">
        <v>0</v>
      </c>
      <c r="AR67" s="26">
        <v>0</v>
      </c>
      <c r="AS67" s="111">
        <v>0</v>
      </c>
      <c r="AT67" s="26">
        <v>0</v>
      </c>
      <c r="AU67" s="110">
        <v>0</v>
      </c>
      <c r="AV67" s="26">
        <v>0</v>
      </c>
      <c r="AW67" s="111">
        <v>0</v>
      </c>
      <c r="AX67" s="26">
        <v>0</v>
      </c>
      <c r="AY67" s="111">
        <v>0</v>
      </c>
      <c r="AZ67" s="26">
        <f t="shared" si="23"/>
        <v>0</v>
      </c>
      <c r="BA67" s="111">
        <v>0</v>
      </c>
      <c r="BB67" s="26">
        <f t="shared" si="22"/>
        <v>0</v>
      </c>
      <c r="BC67" s="111">
        <v>0</v>
      </c>
      <c r="BD67" s="26">
        <f t="shared" si="36"/>
        <v>0</v>
      </c>
      <c r="BE67" s="111">
        <v>0</v>
      </c>
      <c r="BF67" s="26">
        <f t="shared" si="37"/>
        <v>0</v>
      </c>
      <c r="BG67" s="111">
        <v>2700</v>
      </c>
      <c r="BH67" s="26">
        <f t="shared" si="38"/>
        <v>64800</v>
      </c>
      <c r="BI67" s="111">
        <f t="shared" si="33"/>
        <v>2700</v>
      </c>
      <c r="BJ67" s="52">
        <f t="shared" si="31"/>
        <v>64800</v>
      </c>
      <c r="BK67" s="135">
        <f t="shared" si="32"/>
        <v>3260</v>
      </c>
      <c r="BL67" s="140">
        <f t="shared" si="28"/>
        <v>78240</v>
      </c>
      <c r="BM67" s="281">
        <f t="shared" si="2"/>
        <v>815</v>
      </c>
      <c r="BN67" s="282"/>
      <c r="BO67" s="282"/>
      <c r="BP67" s="282"/>
      <c r="BQ67" s="282"/>
      <c r="BR67" s="283"/>
      <c r="BS67" s="147">
        <f t="shared" si="3"/>
        <v>326</v>
      </c>
      <c r="BT67" s="147">
        <f t="shared" si="4"/>
        <v>25506240</v>
      </c>
      <c r="BU67" s="288">
        <f t="shared" si="34"/>
        <v>27384</v>
      </c>
      <c r="BV67" s="288"/>
      <c r="BW67" s="288"/>
      <c r="BX67" s="288"/>
      <c r="BY67" s="288">
        <f t="shared" si="5"/>
        <v>4401</v>
      </c>
      <c r="BZ67" s="288"/>
      <c r="CA67" s="288"/>
      <c r="CB67" s="290">
        <f t="shared" si="35"/>
        <v>105624</v>
      </c>
      <c r="CC67" s="290"/>
      <c r="CD67" s="290"/>
    </row>
    <row r="68" spans="1:135" ht="22.2" thickTop="1" thickBot="1" x14ac:dyDescent="0.35">
      <c r="A68" s="103" t="s">
        <v>193</v>
      </c>
      <c r="B68" s="100" t="s">
        <v>201</v>
      </c>
      <c r="C68" s="100" t="s">
        <v>203</v>
      </c>
      <c r="D68" s="102">
        <v>42</v>
      </c>
      <c r="E68" s="106">
        <v>0</v>
      </c>
      <c r="F68" s="90">
        <v>0</v>
      </c>
      <c r="G68" s="106">
        <v>0</v>
      </c>
      <c r="H68" s="90">
        <v>0</v>
      </c>
      <c r="I68" s="106">
        <v>0</v>
      </c>
      <c r="J68" s="90">
        <v>0</v>
      </c>
      <c r="K68" s="106">
        <v>0</v>
      </c>
      <c r="L68" s="90">
        <v>0</v>
      </c>
      <c r="M68" s="106">
        <v>0</v>
      </c>
      <c r="N68" s="90">
        <v>0</v>
      </c>
      <c r="O68" s="111">
        <v>560</v>
      </c>
      <c r="P68" s="26">
        <f t="shared" si="39"/>
        <v>23520</v>
      </c>
      <c r="Q68" s="111">
        <v>0</v>
      </c>
      <c r="R68" s="26">
        <v>0</v>
      </c>
      <c r="S68" s="111">
        <v>0</v>
      </c>
      <c r="T68" s="26">
        <v>0</v>
      </c>
      <c r="U68" s="111">
        <f t="shared" si="13"/>
        <v>560</v>
      </c>
      <c r="V68" s="52">
        <f t="shared" si="14"/>
        <v>23520</v>
      </c>
      <c r="W68" s="172">
        <v>0</v>
      </c>
      <c r="X68" s="121">
        <v>0</v>
      </c>
      <c r="Y68" s="115">
        <v>0</v>
      </c>
      <c r="Z68" s="122">
        <v>0</v>
      </c>
      <c r="AA68" s="115">
        <v>0</v>
      </c>
      <c r="AB68" s="122">
        <v>0</v>
      </c>
      <c r="AC68" s="115">
        <v>0</v>
      </c>
      <c r="AD68" s="122">
        <v>0</v>
      </c>
      <c r="AE68" s="110">
        <v>0</v>
      </c>
      <c r="AF68" s="171">
        <v>0</v>
      </c>
      <c r="AG68" s="115">
        <v>0</v>
      </c>
      <c r="AH68" s="122">
        <v>0</v>
      </c>
      <c r="AI68" s="115">
        <v>0</v>
      </c>
      <c r="AJ68" s="122">
        <v>0</v>
      </c>
      <c r="AK68" s="111">
        <v>0</v>
      </c>
      <c r="AL68" s="171">
        <v>0</v>
      </c>
      <c r="AM68" s="111">
        <v>0</v>
      </c>
      <c r="AN68" s="122">
        <v>0</v>
      </c>
      <c r="AO68" s="110">
        <f t="shared" si="0"/>
        <v>0</v>
      </c>
      <c r="AP68" s="127">
        <f t="shared" si="1"/>
        <v>0</v>
      </c>
      <c r="AQ68" s="106">
        <v>0</v>
      </c>
      <c r="AR68" s="26">
        <v>0</v>
      </c>
      <c r="AS68" s="111">
        <v>0</v>
      </c>
      <c r="AT68" s="26">
        <v>0</v>
      </c>
      <c r="AU68" s="110">
        <v>0</v>
      </c>
      <c r="AV68" s="26">
        <v>0</v>
      </c>
      <c r="AW68" s="111">
        <v>0</v>
      </c>
      <c r="AX68" s="26">
        <v>0</v>
      </c>
      <c r="AY68" s="111">
        <v>0</v>
      </c>
      <c r="AZ68" s="26">
        <f t="shared" si="23"/>
        <v>0</v>
      </c>
      <c r="BA68" s="111">
        <v>0</v>
      </c>
      <c r="BB68" s="26">
        <f t="shared" si="22"/>
        <v>0</v>
      </c>
      <c r="BC68" s="111">
        <v>0</v>
      </c>
      <c r="BD68" s="26">
        <f t="shared" si="36"/>
        <v>0</v>
      </c>
      <c r="BE68" s="111">
        <v>0</v>
      </c>
      <c r="BF68" s="26">
        <f t="shared" si="37"/>
        <v>0</v>
      </c>
      <c r="BG68" s="111">
        <v>13552</v>
      </c>
      <c r="BH68" s="26">
        <f t="shared" si="38"/>
        <v>569184</v>
      </c>
      <c r="BI68" s="111">
        <f t="shared" si="33"/>
        <v>13552</v>
      </c>
      <c r="BJ68" s="52">
        <f t="shared" si="31"/>
        <v>569184</v>
      </c>
      <c r="BK68" s="135">
        <f t="shared" si="32"/>
        <v>14112</v>
      </c>
      <c r="BL68" s="140">
        <f t="shared" si="28"/>
        <v>592704</v>
      </c>
      <c r="BM68" s="281">
        <f t="shared" si="2"/>
        <v>3528</v>
      </c>
      <c r="BN68" s="282"/>
      <c r="BO68" s="282"/>
      <c r="BP68" s="282"/>
      <c r="BQ68" s="282"/>
      <c r="BR68" s="283"/>
      <c r="BS68" s="147">
        <f t="shared" si="3"/>
        <v>1411.2</v>
      </c>
      <c r="BT68" s="147">
        <f t="shared" si="4"/>
        <v>836423884.80000007</v>
      </c>
      <c r="BU68" s="288">
        <f t="shared" si="34"/>
        <v>207446.39999999999</v>
      </c>
      <c r="BV68" s="288"/>
      <c r="BW68" s="288"/>
      <c r="BX68" s="288"/>
      <c r="BY68" s="288">
        <f t="shared" si="5"/>
        <v>19051.2</v>
      </c>
      <c r="BZ68" s="288"/>
      <c r="CA68" s="288"/>
      <c r="CB68" s="290">
        <f t="shared" si="35"/>
        <v>800150.4</v>
      </c>
      <c r="CC68" s="290"/>
      <c r="CD68" s="290"/>
    </row>
    <row r="69" spans="1:135" ht="43.2" thickTop="1" thickBot="1" x14ac:dyDescent="0.35">
      <c r="A69" s="103" t="s">
        <v>194</v>
      </c>
      <c r="B69" s="101" t="s">
        <v>202</v>
      </c>
      <c r="C69" s="100" t="s">
        <v>203</v>
      </c>
      <c r="D69" s="102">
        <v>81</v>
      </c>
      <c r="E69" s="106">
        <v>0</v>
      </c>
      <c r="F69" s="90">
        <v>0</v>
      </c>
      <c r="G69" s="106">
        <v>0</v>
      </c>
      <c r="H69" s="90">
        <v>0</v>
      </c>
      <c r="I69" s="106">
        <v>0</v>
      </c>
      <c r="J69" s="90">
        <v>0</v>
      </c>
      <c r="K69" s="106">
        <v>0</v>
      </c>
      <c r="L69" s="90">
        <v>0</v>
      </c>
      <c r="M69" s="106">
        <v>0</v>
      </c>
      <c r="N69" s="90">
        <v>0</v>
      </c>
      <c r="O69" s="111">
        <v>560</v>
      </c>
      <c r="P69" s="26">
        <f t="shared" si="39"/>
        <v>45360</v>
      </c>
      <c r="Q69" s="111">
        <v>0</v>
      </c>
      <c r="R69" s="26">
        <v>0</v>
      </c>
      <c r="S69" s="111">
        <v>0</v>
      </c>
      <c r="T69" s="26">
        <v>0</v>
      </c>
      <c r="U69" s="111">
        <f t="shared" si="13"/>
        <v>560</v>
      </c>
      <c r="V69" s="52">
        <f t="shared" si="14"/>
        <v>45360</v>
      </c>
      <c r="W69" s="172">
        <v>0</v>
      </c>
      <c r="X69" s="121">
        <v>0</v>
      </c>
      <c r="Y69" s="115">
        <v>0</v>
      </c>
      <c r="Z69" s="122">
        <v>0</v>
      </c>
      <c r="AA69" s="115">
        <v>0</v>
      </c>
      <c r="AB69" s="122">
        <v>0</v>
      </c>
      <c r="AC69" s="115">
        <v>0</v>
      </c>
      <c r="AD69" s="122">
        <v>0</v>
      </c>
      <c r="AE69" s="110">
        <v>0</v>
      </c>
      <c r="AF69" s="171">
        <v>0</v>
      </c>
      <c r="AG69" s="115">
        <v>0</v>
      </c>
      <c r="AH69" s="122">
        <v>0</v>
      </c>
      <c r="AI69" s="115">
        <v>0</v>
      </c>
      <c r="AJ69" s="122">
        <v>0</v>
      </c>
      <c r="AK69" s="111">
        <v>0</v>
      </c>
      <c r="AL69" s="171">
        <v>0</v>
      </c>
      <c r="AM69" s="111">
        <v>0</v>
      </c>
      <c r="AN69" s="122">
        <v>0</v>
      </c>
      <c r="AO69" s="110">
        <f t="shared" si="0"/>
        <v>0</v>
      </c>
      <c r="AP69" s="127">
        <f t="shared" si="1"/>
        <v>0</v>
      </c>
      <c r="AQ69" s="106">
        <v>0</v>
      </c>
      <c r="AR69" s="26">
        <v>0</v>
      </c>
      <c r="AS69" s="111">
        <v>0</v>
      </c>
      <c r="AT69" s="26">
        <v>0</v>
      </c>
      <c r="AU69" s="110">
        <v>0</v>
      </c>
      <c r="AV69" s="26">
        <v>0</v>
      </c>
      <c r="AW69" s="111">
        <v>0</v>
      </c>
      <c r="AX69" s="26">
        <v>0</v>
      </c>
      <c r="AY69" s="111">
        <v>0</v>
      </c>
      <c r="AZ69" s="26">
        <f t="shared" si="23"/>
        <v>0</v>
      </c>
      <c r="BA69" s="111">
        <v>0</v>
      </c>
      <c r="BB69" s="26">
        <f t="shared" si="22"/>
        <v>0</v>
      </c>
      <c r="BC69" s="111">
        <v>0</v>
      </c>
      <c r="BD69" s="26">
        <f t="shared" si="36"/>
        <v>0</v>
      </c>
      <c r="BE69" s="111"/>
      <c r="BF69" s="26">
        <f t="shared" si="37"/>
        <v>0</v>
      </c>
      <c r="BG69" s="111">
        <v>7623</v>
      </c>
      <c r="BH69" s="26">
        <f t="shared" si="38"/>
        <v>617463</v>
      </c>
      <c r="BI69" s="111">
        <f t="shared" si="33"/>
        <v>7623</v>
      </c>
      <c r="BJ69" s="52">
        <f t="shared" si="31"/>
        <v>617463</v>
      </c>
      <c r="BK69" s="135">
        <f t="shared" si="32"/>
        <v>8183</v>
      </c>
      <c r="BL69" s="140">
        <f t="shared" ref="BL69:BL95" si="40">BK69*D69</f>
        <v>662823</v>
      </c>
      <c r="BM69" s="281">
        <f t="shared" si="2"/>
        <v>2045.75</v>
      </c>
      <c r="BN69" s="282"/>
      <c r="BO69" s="282"/>
      <c r="BP69" s="282"/>
      <c r="BQ69" s="282"/>
      <c r="BR69" s="283"/>
      <c r="BS69" s="147">
        <f t="shared" si="3"/>
        <v>818.30000000000007</v>
      </c>
      <c r="BT69" s="147">
        <f t="shared" si="4"/>
        <v>542388060.9000001</v>
      </c>
      <c r="BU69" s="288">
        <f t="shared" si="34"/>
        <v>231988.05000000002</v>
      </c>
      <c r="BV69" s="288"/>
      <c r="BW69" s="288"/>
      <c r="BX69" s="288"/>
      <c r="BY69" s="288">
        <f t="shared" si="5"/>
        <v>11047.05</v>
      </c>
      <c r="BZ69" s="288"/>
      <c r="CA69" s="288"/>
      <c r="CB69" s="290">
        <f t="shared" si="35"/>
        <v>894811.04999999993</v>
      </c>
      <c r="CC69" s="290"/>
      <c r="CD69" s="290"/>
    </row>
    <row r="70" spans="1:135" s="123" customFormat="1" ht="27" thickTop="1" thickBot="1" x14ac:dyDescent="0.35">
      <c r="A70" s="155" t="s">
        <v>205</v>
      </c>
      <c r="B70" s="233" t="s">
        <v>204</v>
      </c>
      <c r="C70" s="233"/>
      <c r="D70" s="234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26"/>
      <c r="P70" s="26"/>
      <c r="Q70" s="26"/>
      <c r="R70" s="26"/>
      <c r="S70" s="26"/>
      <c r="T70" s="26"/>
      <c r="U70" s="26"/>
      <c r="V70" s="52"/>
      <c r="W70" s="184"/>
      <c r="X70" s="121"/>
      <c r="Y70" s="171"/>
      <c r="Z70" s="122"/>
      <c r="AA70" s="171"/>
      <c r="AB70" s="122"/>
      <c r="AC70" s="171"/>
      <c r="AD70" s="122"/>
      <c r="AE70" s="122"/>
      <c r="AF70" s="171"/>
      <c r="AG70" s="171"/>
      <c r="AH70" s="122"/>
      <c r="AI70" s="171"/>
      <c r="AJ70" s="122"/>
      <c r="AK70" s="26"/>
      <c r="AL70" s="171"/>
      <c r="AM70" s="26"/>
      <c r="AN70" s="122"/>
      <c r="AO70" s="122"/>
      <c r="AP70" s="127"/>
      <c r="AQ70" s="90"/>
      <c r="AR70" s="26"/>
      <c r="AS70" s="26"/>
      <c r="AT70" s="26"/>
      <c r="AU70" s="122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52"/>
      <c r="BK70" s="48"/>
      <c r="BL70" s="71"/>
      <c r="BM70" s="285"/>
      <c r="BN70" s="286"/>
      <c r="BO70" s="286"/>
      <c r="BP70" s="286"/>
      <c r="BQ70" s="286"/>
      <c r="BR70" s="287"/>
      <c r="BS70" s="154"/>
      <c r="BT70" s="154"/>
      <c r="BU70" s="289"/>
      <c r="BV70" s="289"/>
      <c r="BW70" s="289"/>
      <c r="BX70" s="289"/>
      <c r="BY70" s="289"/>
      <c r="BZ70" s="289"/>
      <c r="CA70" s="289"/>
      <c r="CB70" s="291"/>
      <c r="CC70" s="291"/>
      <c r="CD70" s="291"/>
      <c r="CE70" s="80"/>
      <c r="CF70" s="80"/>
      <c r="CG70" s="80"/>
      <c r="CH70" s="80"/>
      <c r="CI70" s="80"/>
      <c r="CJ70" s="80"/>
      <c r="CK70" s="80"/>
      <c r="CL70" s="80"/>
      <c r="CM70" s="80"/>
      <c r="CN70" s="80"/>
      <c r="CO70" s="80"/>
      <c r="CP70" s="80"/>
      <c r="CQ70" s="80"/>
      <c r="CR70" s="80"/>
      <c r="CS70" s="80"/>
      <c r="CT70" s="80"/>
      <c r="CU70" s="80"/>
      <c r="CV70" s="80"/>
      <c r="CW70" s="80"/>
      <c r="CX70" s="80"/>
      <c r="CY70" s="80"/>
      <c r="CZ70" s="80"/>
      <c r="DA70" s="80"/>
      <c r="DB70" s="80"/>
      <c r="DC70" s="80"/>
      <c r="DD70" s="80"/>
      <c r="DE70" s="80"/>
      <c r="DF70" s="80"/>
      <c r="DG70" s="80"/>
      <c r="DH70" s="80"/>
      <c r="DI70" s="80"/>
      <c r="DJ70" s="80"/>
      <c r="DK70" s="80"/>
      <c r="DL70" s="80"/>
      <c r="DM70" s="80"/>
      <c r="DN70" s="80"/>
      <c r="DO70" s="80"/>
      <c r="DP70" s="80"/>
      <c r="DQ70" s="80"/>
      <c r="DR70" s="80"/>
      <c r="DS70" s="80"/>
      <c r="DT70" s="80"/>
      <c r="DU70" s="80"/>
      <c r="DV70" s="80"/>
      <c r="DW70" s="80"/>
      <c r="DX70" s="80"/>
      <c r="DY70" s="80"/>
      <c r="DZ70" s="80"/>
      <c r="EA70" s="80"/>
      <c r="EB70" s="80"/>
      <c r="EC70" s="80"/>
      <c r="ED70" s="80"/>
      <c r="EE70" s="80"/>
    </row>
    <row r="71" spans="1:135" ht="43.2" thickTop="1" thickBot="1" x14ac:dyDescent="0.35">
      <c r="A71" s="103" t="s">
        <v>206</v>
      </c>
      <c r="B71" s="101" t="s">
        <v>208</v>
      </c>
      <c r="C71" s="100" t="s">
        <v>203</v>
      </c>
      <c r="D71" s="102">
        <v>8</v>
      </c>
      <c r="E71" s="106">
        <v>0</v>
      </c>
      <c r="F71" s="90">
        <v>0</v>
      </c>
      <c r="G71" s="106">
        <v>0</v>
      </c>
      <c r="H71" s="90">
        <v>0</v>
      </c>
      <c r="I71" s="106">
        <v>0</v>
      </c>
      <c r="J71" s="90">
        <v>0</v>
      </c>
      <c r="K71" s="106">
        <v>0</v>
      </c>
      <c r="L71" s="90">
        <v>0</v>
      </c>
      <c r="M71" s="106">
        <v>0</v>
      </c>
      <c r="N71" s="90">
        <v>0</v>
      </c>
      <c r="O71" s="111"/>
      <c r="P71" s="26">
        <v>0</v>
      </c>
      <c r="Q71" s="111">
        <v>0</v>
      </c>
      <c r="R71" s="26">
        <v>0</v>
      </c>
      <c r="S71" s="111">
        <v>0</v>
      </c>
      <c r="T71" s="26">
        <v>0</v>
      </c>
      <c r="U71" s="111">
        <f t="shared" si="13"/>
        <v>0</v>
      </c>
      <c r="V71" s="52">
        <f t="shared" si="14"/>
        <v>0</v>
      </c>
      <c r="W71" s="172">
        <v>0</v>
      </c>
      <c r="X71" s="121">
        <v>0</v>
      </c>
      <c r="Y71" s="115">
        <v>0</v>
      </c>
      <c r="Z71" s="122">
        <v>0</v>
      </c>
      <c r="AA71" s="115">
        <v>0</v>
      </c>
      <c r="AB71" s="122">
        <v>0</v>
      </c>
      <c r="AC71" s="115">
        <v>0</v>
      </c>
      <c r="AD71" s="122">
        <v>0</v>
      </c>
      <c r="AE71" s="110">
        <v>0</v>
      </c>
      <c r="AF71" s="171">
        <v>0</v>
      </c>
      <c r="AG71" s="115">
        <v>0</v>
      </c>
      <c r="AH71" s="122">
        <v>0</v>
      </c>
      <c r="AI71" s="115">
        <v>0</v>
      </c>
      <c r="AJ71" s="122">
        <v>0</v>
      </c>
      <c r="AK71" s="111">
        <v>0</v>
      </c>
      <c r="AL71" s="171">
        <v>0</v>
      </c>
      <c r="AM71" s="111">
        <v>0</v>
      </c>
      <c r="AN71" s="122">
        <v>0</v>
      </c>
      <c r="AO71" s="110">
        <f t="shared" ref="AO71:AO95" si="41">W71+Y71+AA71+AC71+AE71+AG71+AI71+AK71</f>
        <v>0</v>
      </c>
      <c r="AP71" s="127">
        <f t="shared" ref="AP71:AP95" si="42">AO71*D71</f>
        <v>0</v>
      </c>
      <c r="AQ71" s="106">
        <v>0</v>
      </c>
      <c r="AR71" s="26">
        <v>0</v>
      </c>
      <c r="AS71" s="111">
        <v>0</v>
      </c>
      <c r="AT71" s="26">
        <v>0</v>
      </c>
      <c r="AU71" s="110">
        <v>0</v>
      </c>
      <c r="AV71" s="26">
        <v>0</v>
      </c>
      <c r="AW71" s="111">
        <v>0</v>
      </c>
      <c r="AX71" s="26">
        <v>0</v>
      </c>
      <c r="AY71" s="111">
        <v>0</v>
      </c>
      <c r="AZ71" s="26">
        <f t="shared" si="23"/>
        <v>0</v>
      </c>
      <c r="BA71" s="111">
        <v>0</v>
      </c>
      <c r="BB71" s="26">
        <f t="shared" si="22"/>
        <v>0</v>
      </c>
      <c r="BC71" s="111">
        <v>0</v>
      </c>
      <c r="BD71" s="26">
        <f t="shared" si="36"/>
        <v>0</v>
      </c>
      <c r="BE71" s="111">
        <v>0</v>
      </c>
      <c r="BF71" s="26">
        <f t="shared" si="37"/>
        <v>0</v>
      </c>
      <c r="BG71" s="111">
        <v>0</v>
      </c>
      <c r="BH71" s="26">
        <v>0</v>
      </c>
      <c r="BI71" s="111">
        <f t="shared" si="33"/>
        <v>0</v>
      </c>
      <c r="BJ71" s="52">
        <f t="shared" si="31"/>
        <v>0</v>
      </c>
      <c r="BK71" s="135">
        <f t="shared" si="32"/>
        <v>0</v>
      </c>
      <c r="BL71" s="140">
        <f t="shared" si="40"/>
        <v>0</v>
      </c>
      <c r="BM71" s="281">
        <f t="shared" ref="BM71:BM95" si="43">0.25*BK71</f>
        <v>0</v>
      </c>
      <c r="BN71" s="282"/>
      <c r="BO71" s="282"/>
      <c r="BP71" s="282"/>
      <c r="BQ71" s="282"/>
      <c r="BR71" s="283"/>
      <c r="BS71" s="147">
        <f t="shared" ref="BS71:BS98" si="44">0.1*BK71</f>
        <v>0</v>
      </c>
      <c r="BT71" s="147">
        <f t="shared" ref="BT71:BT95" si="45">BS71*BL71</f>
        <v>0</v>
      </c>
      <c r="BU71" s="288">
        <f t="shared" si="34"/>
        <v>0</v>
      </c>
      <c r="BV71" s="288"/>
      <c r="BW71" s="288"/>
      <c r="BX71" s="288"/>
      <c r="BY71" s="288">
        <f t="shared" ref="BY71:BY95" si="46">BK71+BM71+BS71</f>
        <v>0</v>
      </c>
      <c r="BZ71" s="288"/>
      <c r="CA71" s="288"/>
      <c r="CB71" s="290">
        <f t="shared" si="35"/>
        <v>0</v>
      </c>
      <c r="CC71" s="290"/>
      <c r="CD71" s="290"/>
    </row>
    <row r="72" spans="1:135" ht="43.2" thickTop="1" thickBot="1" x14ac:dyDescent="0.35">
      <c r="A72" s="103" t="s">
        <v>207</v>
      </c>
      <c r="B72" s="101" t="s">
        <v>209</v>
      </c>
      <c r="C72" s="100" t="s">
        <v>203</v>
      </c>
      <c r="D72" s="102">
        <v>9</v>
      </c>
      <c r="E72" s="106">
        <v>0</v>
      </c>
      <c r="F72" s="90">
        <v>0</v>
      </c>
      <c r="G72" s="106">
        <v>0</v>
      </c>
      <c r="H72" s="90">
        <v>0</v>
      </c>
      <c r="I72" s="106">
        <v>0</v>
      </c>
      <c r="J72" s="90">
        <v>0</v>
      </c>
      <c r="K72" s="106">
        <v>0</v>
      </c>
      <c r="L72" s="90">
        <v>0</v>
      </c>
      <c r="M72" s="106">
        <v>0</v>
      </c>
      <c r="N72" s="90">
        <v>0</v>
      </c>
      <c r="O72" s="111"/>
      <c r="P72" s="26">
        <v>0</v>
      </c>
      <c r="Q72" s="111">
        <v>0</v>
      </c>
      <c r="R72" s="26">
        <v>0</v>
      </c>
      <c r="S72" s="111">
        <v>0</v>
      </c>
      <c r="T72" s="26">
        <v>0</v>
      </c>
      <c r="U72" s="111">
        <f t="shared" si="13"/>
        <v>0</v>
      </c>
      <c r="V72" s="52">
        <f t="shared" si="14"/>
        <v>0</v>
      </c>
      <c r="W72" s="172">
        <v>0</v>
      </c>
      <c r="X72" s="121">
        <v>0</v>
      </c>
      <c r="Y72" s="115">
        <v>0</v>
      </c>
      <c r="Z72" s="122">
        <v>0</v>
      </c>
      <c r="AA72" s="115">
        <v>0</v>
      </c>
      <c r="AB72" s="122">
        <v>0</v>
      </c>
      <c r="AC72" s="115">
        <v>0</v>
      </c>
      <c r="AD72" s="122">
        <v>0</v>
      </c>
      <c r="AE72" s="110">
        <v>0</v>
      </c>
      <c r="AF72" s="171">
        <v>0</v>
      </c>
      <c r="AG72" s="115">
        <v>0</v>
      </c>
      <c r="AH72" s="122">
        <v>0</v>
      </c>
      <c r="AI72" s="115">
        <v>0</v>
      </c>
      <c r="AJ72" s="122">
        <v>0</v>
      </c>
      <c r="AK72" s="111">
        <v>0</v>
      </c>
      <c r="AL72" s="171">
        <v>0</v>
      </c>
      <c r="AM72" s="111">
        <v>0</v>
      </c>
      <c r="AN72" s="122">
        <v>0</v>
      </c>
      <c r="AO72" s="110">
        <f t="shared" si="41"/>
        <v>0</v>
      </c>
      <c r="AP72" s="127">
        <f t="shared" si="42"/>
        <v>0</v>
      </c>
      <c r="AQ72" s="106">
        <v>0</v>
      </c>
      <c r="AR72" s="26">
        <v>0</v>
      </c>
      <c r="AS72" s="111">
        <v>0</v>
      </c>
      <c r="AT72" s="26">
        <v>0</v>
      </c>
      <c r="AU72" s="110">
        <v>0</v>
      </c>
      <c r="AV72" s="26">
        <v>0</v>
      </c>
      <c r="AW72" s="111">
        <v>0</v>
      </c>
      <c r="AX72" s="26">
        <v>0</v>
      </c>
      <c r="AY72" s="111">
        <v>0</v>
      </c>
      <c r="AZ72" s="26">
        <f t="shared" si="23"/>
        <v>0</v>
      </c>
      <c r="BA72" s="111">
        <v>0</v>
      </c>
      <c r="BB72" s="26">
        <f t="shared" si="22"/>
        <v>0</v>
      </c>
      <c r="BC72" s="111">
        <v>0</v>
      </c>
      <c r="BD72" s="26">
        <f t="shared" si="36"/>
        <v>0</v>
      </c>
      <c r="BE72" s="111">
        <v>0</v>
      </c>
      <c r="BF72" s="26">
        <f t="shared" si="37"/>
        <v>0</v>
      </c>
      <c r="BG72" s="111">
        <v>0</v>
      </c>
      <c r="BH72" s="26">
        <v>0</v>
      </c>
      <c r="BI72" s="111">
        <f t="shared" si="33"/>
        <v>0</v>
      </c>
      <c r="BJ72" s="52">
        <f t="shared" si="31"/>
        <v>0</v>
      </c>
      <c r="BK72" s="135">
        <f t="shared" si="32"/>
        <v>0</v>
      </c>
      <c r="BL72" s="140">
        <f t="shared" si="40"/>
        <v>0</v>
      </c>
      <c r="BM72" s="281">
        <f t="shared" si="43"/>
        <v>0</v>
      </c>
      <c r="BN72" s="282"/>
      <c r="BO72" s="282"/>
      <c r="BP72" s="282"/>
      <c r="BQ72" s="282"/>
      <c r="BR72" s="283"/>
      <c r="BS72" s="147">
        <f t="shared" si="44"/>
        <v>0</v>
      </c>
      <c r="BT72" s="147">
        <f t="shared" si="45"/>
        <v>0</v>
      </c>
      <c r="BU72" s="288">
        <f t="shared" si="34"/>
        <v>0</v>
      </c>
      <c r="BV72" s="288"/>
      <c r="BW72" s="288"/>
      <c r="BX72" s="288"/>
      <c r="BY72" s="288">
        <f t="shared" si="46"/>
        <v>0</v>
      </c>
      <c r="BZ72" s="288"/>
      <c r="CA72" s="288"/>
      <c r="CB72" s="290">
        <f t="shared" si="35"/>
        <v>0</v>
      </c>
      <c r="CC72" s="290"/>
      <c r="CD72" s="290"/>
    </row>
    <row r="73" spans="1:135" s="123" customFormat="1" ht="27" thickTop="1" thickBot="1" x14ac:dyDescent="0.35">
      <c r="A73" s="156">
        <v>3</v>
      </c>
      <c r="B73" s="233" t="s">
        <v>210</v>
      </c>
      <c r="C73" s="233"/>
      <c r="D73" s="234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26"/>
      <c r="P73" s="26"/>
      <c r="Q73" s="26"/>
      <c r="R73" s="26"/>
      <c r="S73" s="26"/>
      <c r="T73" s="26"/>
      <c r="U73" s="26"/>
      <c r="V73" s="52"/>
      <c r="W73" s="184"/>
      <c r="X73" s="121"/>
      <c r="Y73" s="171"/>
      <c r="Z73" s="122"/>
      <c r="AA73" s="171"/>
      <c r="AB73" s="122"/>
      <c r="AC73" s="171"/>
      <c r="AD73" s="122"/>
      <c r="AE73" s="122"/>
      <c r="AF73" s="171"/>
      <c r="AG73" s="171"/>
      <c r="AH73" s="122"/>
      <c r="AI73" s="171"/>
      <c r="AJ73" s="122"/>
      <c r="AK73" s="26"/>
      <c r="AL73" s="171"/>
      <c r="AM73" s="26"/>
      <c r="AN73" s="122"/>
      <c r="AO73" s="122"/>
      <c r="AP73" s="127"/>
      <c r="AQ73" s="90"/>
      <c r="AR73" s="26"/>
      <c r="AS73" s="26"/>
      <c r="AT73" s="26"/>
      <c r="AU73" s="122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52"/>
      <c r="BK73" s="48"/>
      <c r="BL73" s="71"/>
      <c r="BM73" s="285"/>
      <c r="BN73" s="286"/>
      <c r="BO73" s="286"/>
      <c r="BP73" s="286"/>
      <c r="BQ73" s="286"/>
      <c r="BR73" s="287"/>
      <c r="BS73" s="154"/>
      <c r="BT73" s="154"/>
      <c r="BU73" s="289"/>
      <c r="BV73" s="289"/>
      <c r="BW73" s="289"/>
      <c r="BX73" s="289"/>
      <c r="BY73" s="289"/>
      <c r="BZ73" s="289"/>
      <c r="CA73" s="289"/>
      <c r="CB73" s="291"/>
      <c r="CC73" s="291"/>
      <c r="CD73" s="291"/>
      <c r="CE73" s="80"/>
      <c r="CF73" s="80"/>
      <c r="CG73" s="80"/>
      <c r="CH73" s="80"/>
      <c r="CI73" s="80"/>
      <c r="CJ73" s="80"/>
      <c r="CK73" s="80"/>
      <c r="CL73" s="80"/>
      <c r="CM73" s="80"/>
      <c r="CN73" s="80"/>
      <c r="CO73" s="80"/>
      <c r="CP73" s="80"/>
      <c r="CQ73" s="80"/>
      <c r="CR73" s="80"/>
      <c r="CS73" s="80"/>
      <c r="CT73" s="80"/>
      <c r="CU73" s="80"/>
      <c r="CV73" s="80"/>
      <c r="CW73" s="80"/>
      <c r="CX73" s="80"/>
      <c r="CY73" s="80"/>
      <c r="CZ73" s="80"/>
      <c r="DA73" s="80"/>
      <c r="DB73" s="80"/>
      <c r="DC73" s="80"/>
      <c r="DD73" s="80"/>
      <c r="DE73" s="80"/>
      <c r="DF73" s="80"/>
      <c r="DG73" s="80"/>
      <c r="DH73" s="80"/>
      <c r="DI73" s="80"/>
      <c r="DJ73" s="80"/>
      <c r="DK73" s="80"/>
      <c r="DL73" s="80"/>
      <c r="DM73" s="80"/>
      <c r="DN73" s="80"/>
      <c r="DO73" s="80"/>
      <c r="DP73" s="80"/>
      <c r="DQ73" s="80"/>
      <c r="DR73" s="80"/>
      <c r="DS73" s="80"/>
      <c r="DT73" s="80"/>
      <c r="DU73" s="80"/>
      <c r="DV73" s="80"/>
      <c r="DW73" s="80"/>
      <c r="DX73" s="80"/>
      <c r="DY73" s="80"/>
      <c r="DZ73" s="80"/>
      <c r="EA73" s="80"/>
      <c r="EB73" s="80"/>
      <c r="EC73" s="80"/>
      <c r="ED73" s="80"/>
      <c r="EE73" s="80"/>
    </row>
    <row r="74" spans="1:135" ht="43.2" thickTop="1" thickBot="1" x14ac:dyDescent="0.35">
      <c r="A74" s="103" t="s">
        <v>211</v>
      </c>
      <c r="B74" s="101" t="s">
        <v>215</v>
      </c>
      <c r="C74" s="100" t="s">
        <v>203</v>
      </c>
      <c r="D74" s="102">
        <v>126</v>
      </c>
      <c r="E74" s="106">
        <v>0</v>
      </c>
      <c r="F74" s="90">
        <v>0</v>
      </c>
      <c r="G74" s="106">
        <v>0</v>
      </c>
      <c r="H74" s="90">
        <v>0</v>
      </c>
      <c r="I74" s="106">
        <v>0</v>
      </c>
      <c r="J74" s="90">
        <v>0</v>
      </c>
      <c r="K74" s="106">
        <v>0</v>
      </c>
      <c r="L74" s="90">
        <v>0</v>
      </c>
      <c r="M74" s="106">
        <v>0</v>
      </c>
      <c r="N74" s="90">
        <v>0</v>
      </c>
      <c r="O74" s="111"/>
      <c r="P74" s="26">
        <v>0</v>
      </c>
      <c r="Q74" s="111">
        <v>0</v>
      </c>
      <c r="R74" s="26">
        <v>0</v>
      </c>
      <c r="S74" s="111">
        <v>7714</v>
      </c>
      <c r="T74" s="26">
        <f>S74*D74</f>
        <v>971964</v>
      </c>
      <c r="U74" s="111">
        <f t="shared" ref="U74:U97" si="47">E74+G74+I74+K74+M74+O74+Q74+S74</f>
        <v>7714</v>
      </c>
      <c r="V74" s="52">
        <f t="shared" ref="V74:V95" si="48">U74*D74</f>
        <v>971964</v>
      </c>
      <c r="W74" s="172">
        <v>0</v>
      </c>
      <c r="X74" s="121">
        <v>0</v>
      </c>
      <c r="Y74" s="115">
        <v>0</v>
      </c>
      <c r="Z74" s="122">
        <v>0</v>
      </c>
      <c r="AA74" s="115">
        <v>0</v>
      </c>
      <c r="AB74" s="122">
        <v>0</v>
      </c>
      <c r="AC74" s="115">
        <v>0</v>
      </c>
      <c r="AD74" s="122">
        <v>0</v>
      </c>
      <c r="AE74" s="110">
        <v>0</v>
      </c>
      <c r="AF74" s="171">
        <v>0</v>
      </c>
      <c r="AG74" s="115">
        <v>0</v>
      </c>
      <c r="AH74" s="122">
        <v>0</v>
      </c>
      <c r="AI74" s="115">
        <v>0</v>
      </c>
      <c r="AJ74" s="122">
        <v>0</v>
      </c>
      <c r="AK74" s="111">
        <v>0</v>
      </c>
      <c r="AL74" s="171">
        <v>0</v>
      </c>
      <c r="AM74" s="111">
        <v>0</v>
      </c>
      <c r="AN74" s="122">
        <v>0</v>
      </c>
      <c r="AO74" s="110">
        <f t="shared" si="41"/>
        <v>0</v>
      </c>
      <c r="AP74" s="127">
        <f t="shared" si="42"/>
        <v>0</v>
      </c>
      <c r="AQ74" s="106">
        <v>0</v>
      </c>
      <c r="AR74" s="26">
        <v>0</v>
      </c>
      <c r="AS74" s="111">
        <v>0</v>
      </c>
      <c r="AT74" s="26">
        <v>0</v>
      </c>
      <c r="AU74" s="110">
        <v>0</v>
      </c>
      <c r="AV74" s="26">
        <v>0</v>
      </c>
      <c r="AW74" s="111">
        <v>0</v>
      </c>
      <c r="AX74" s="26">
        <v>0</v>
      </c>
      <c r="AY74" s="111">
        <v>0</v>
      </c>
      <c r="AZ74" s="26">
        <f t="shared" si="23"/>
        <v>0</v>
      </c>
      <c r="BA74" s="111">
        <v>0</v>
      </c>
      <c r="BB74" s="26">
        <f t="shared" si="22"/>
        <v>0</v>
      </c>
      <c r="BC74" s="111">
        <v>0</v>
      </c>
      <c r="BD74" s="26">
        <f t="shared" si="36"/>
        <v>0</v>
      </c>
      <c r="BE74" s="111">
        <v>0</v>
      </c>
      <c r="BF74" s="26">
        <f t="shared" si="37"/>
        <v>0</v>
      </c>
      <c r="BG74" s="111">
        <v>5600</v>
      </c>
      <c r="BH74" s="26">
        <f>BG74*D74</f>
        <v>705600</v>
      </c>
      <c r="BI74" s="111">
        <f t="shared" si="33"/>
        <v>5600</v>
      </c>
      <c r="BJ74" s="52">
        <f t="shared" si="31"/>
        <v>705600</v>
      </c>
      <c r="BK74" s="135">
        <f t="shared" si="32"/>
        <v>13314</v>
      </c>
      <c r="BL74" s="140">
        <f t="shared" si="40"/>
        <v>1677564</v>
      </c>
      <c r="BM74" s="281">
        <f t="shared" si="43"/>
        <v>3328.5</v>
      </c>
      <c r="BN74" s="282"/>
      <c r="BO74" s="282"/>
      <c r="BP74" s="282"/>
      <c r="BQ74" s="282"/>
      <c r="BR74" s="283"/>
      <c r="BS74" s="147">
        <f t="shared" si="44"/>
        <v>1331.4</v>
      </c>
      <c r="BT74" s="147">
        <f t="shared" si="45"/>
        <v>2233508709.6000004</v>
      </c>
      <c r="BU74" s="288">
        <f t="shared" si="34"/>
        <v>587147.39999999991</v>
      </c>
      <c r="BV74" s="288"/>
      <c r="BW74" s="288"/>
      <c r="BX74" s="288"/>
      <c r="BY74" s="288">
        <f t="shared" si="46"/>
        <v>17973.900000000001</v>
      </c>
      <c r="BZ74" s="288"/>
      <c r="CA74" s="288"/>
      <c r="CB74" s="290">
        <f t="shared" si="35"/>
        <v>2264711.4000000004</v>
      </c>
      <c r="CC74" s="290"/>
      <c r="CD74" s="290"/>
    </row>
    <row r="75" spans="1:135" ht="43.2" thickTop="1" thickBot="1" x14ac:dyDescent="0.35">
      <c r="A75" s="103" t="s">
        <v>212</v>
      </c>
      <c r="B75" s="101" t="s">
        <v>216</v>
      </c>
      <c r="C75" s="100" t="s">
        <v>203</v>
      </c>
      <c r="D75" s="102">
        <v>32</v>
      </c>
      <c r="E75" s="106">
        <v>0</v>
      </c>
      <c r="F75" s="90">
        <v>0</v>
      </c>
      <c r="G75" s="106">
        <v>0</v>
      </c>
      <c r="H75" s="90">
        <v>0</v>
      </c>
      <c r="I75" s="106">
        <v>0</v>
      </c>
      <c r="J75" s="90">
        <v>0</v>
      </c>
      <c r="K75" s="106">
        <v>0</v>
      </c>
      <c r="L75" s="90">
        <v>0</v>
      </c>
      <c r="M75" s="106">
        <v>0</v>
      </c>
      <c r="N75" s="90">
        <v>0</v>
      </c>
      <c r="O75" s="111"/>
      <c r="P75" s="26">
        <v>0</v>
      </c>
      <c r="Q75" s="111">
        <v>0</v>
      </c>
      <c r="R75" s="26">
        <v>0</v>
      </c>
      <c r="S75" s="111">
        <v>56422</v>
      </c>
      <c r="T75" s="26">
        <f t="shared" ref="T75:T77" si="49">S75*D75</f>
        <v>1805504</v>
      </c>
      <c r="U75" s="111">
        <f>E75+G75+I75+K75+M75+O75+Q75+S75</f>
        <v>56422</v>
      </c>
      <c r="V75" s="52">
        <f t="shared" si="48"/>
        <v>1805504</v>
      </c>
      <c r="W75" s="172">
        <v>0</v>
      </c>
      <c r="X75" s="121">
        <v>0</v>
      </c>
      <c r="Y75" s="115">
        <v>0</v>
      </c>
      <c r="Z75" s="122">
        <v>0</v>
      </c>
      <c r="AA75" s="115">
        <v>0</v>
      </c>
      <c r="AB75" s="122">
        <v>0</v>
      </c>
      <c r="AC75" s="115">
        <v>0</v>
      </c>
      <c r="AD75" s="122">
        <v>0</v>
      </c>
      <c r="AE75" s="110">
        <v>0</v>
      </c>
      <c r="AF75" s="171">
        <v>0</v>
      </c>
      <c r="AG75" s="115">
        <v>0</v>
      </c>
      <c r="AH75" s="122">
        <v>0</v>
      </c>
      <c r="AI75" s="115">
        <v>0</v>
      </c>
      <c r="AJ75" s="122">
        <v>0</v>
      </c>
      <c r="AK75" s="111">
        <v>0</v>
      </c>
      <c r="AL75" s="171">
        <v>0</v>
      </c>
      <c r="AM75" s="111">
        <v>0</v>
      </c>
      <c r="AN75" s="122">
        <v>0</v>
      </c>
      <c r="AO75" s="110">
        <f t="shared" si="41"/>
        <v>0</v>
      </c>
      <c r="AP75" s="127">
        <f t="shared" si="42"/>
        <v>0</v>
      </c>
      <c r="AQ75" s="106">
        <v>0</v>
      </c>
      <c r="AR75" s="26">
        <v>0</v>
      </c>
      <c r="AS75" s="111">
        <v>0</v>
      </c>
      <c r="AT75" s="26">
        <v>0</v>
      </c>
      <c r="AU75" s="110">
        <v>0</v>
      </c>
      <c r="AV75" s="26">
        <v>0</v>
      </c>
      <c r="AW75" s="111">
        <v>0</v>
      </c>
      <c r="AX75" s="26">
        <v>0</v>
      </c>
      <c r="AY75" s="111">
        <v>0</v>
      </c>
      <c r="AZ75" s="26">
        <f t="shared" si="23"/>
        <v>0</v>
      </c>
      <c r="BA75" s="111">
        <v>0</v>
      </c>
      <c r="BB75" s="26">
        <f t="shared" si="22"/>
        <v>0</v>
      </c>
      <c r="BC75" s="111">
        <v>0</v>
      </c>
      <c r="BD75" s="26">
        <f t="shared" si="36"/>
        <v>0</v>
      </c>
      <c r="BE75" s="111">
        <v>0</v>
      </c>
      <c r="BF75" s="26">
        <f t="shared" si="37"/>
        <v>0</v>
      </c>
      <c r="BG75" s="111">
        <v>40960</v>
      </c>
      <c r="BH75" s="26">
        <f t="shared" ref="BH75:BH77" si="50">BG75*D75</f>
        <v>1310720</v>
      </c>
      <c r="BI75" s="111">
        <f t="shared" si="33"/>
        <v>40960</v>
      </c>
      <c r="BJ75" s="52">
        <f t="shared" si="31"/>
        <v>1310720</v>
      </c>
      <c r="BK75" s="135">
        <f t="shared" si="32"/>
        <v>97382</v>
      </c>
      <c r="BL75" s="140">
        <f t="shared" si="40"/>
        <v>3116224</v>
      </c>
      <c r="BM75" s="281">
        <f t="shared" si="43"/>
        <v>24345.5</v>
      </c>
      <c r="BN75" s="282"/>
      <c r="BO75" s="282"/>
      <c r="BP75" s="282"/>
      <c r="BQ75" s="282"/>
      <c r="BR75" s="283"/>
      <c r="BS75" s="147">
        <f t="shared" si="44"/>
        <v>9738.2000000000007</v>
      </c>
      <c r="BT75" s="147">
        <f t="shared" si="45"/>
        <v>30346412556.800003</v>
      </c>
      <c r="BU75" s="288">
        <f t="shared" si="34"/>
        <v>1090678.3999999999</v>
      </c>
      <c r="BV75" s="288"/>
      <c r="BW75" s="288"/>
      <c r="BX75" s="288"/>
      <c r="BY75" s="288">
        <f t="shared" si="46"/>
        <v>131465.70000000001</v>
      </c>
      <c r="BZ75" s="288"/>
      <c r="CA75" s="288"/>
      <c r="CB75" s="290">
        <f t="shared" si="35"/>
        <v>4206902.4000000004</v>
      </c>
      <c r="CC75" s="290"/>
      <c r="CD75" s="290"/>
    </row>
    <row r="76" spans="1:135" ht="43.2" thickTop="1" thickBot="1" x14ac:dyDescent="0.35">
      <c r="A76" s="103" t="s">
        <v>213</v>
      </c>
      <c r="B76" s="101" t="s">
        <v>217</v>
      </c>
      <c r="C76" s="100" t="s">
        <v>203</v>
      </c>
      <c r="D76" s="102">
        <v>168</v>
      </c>
      <c r="E76" s="106">
        <v>0</v>
      </c>
      <c r="F76" s="90">
        <v>0</v>
      </c>
      <c r="G76" s="106">
        <v>0</v>
      </c>
      <c r="H76" s="90">
        <v>0</v>
      </c>
      <c r="I76" s="106">
        <v>0</v>
      </c>
      <c r="J76" s="90">
        <v>0</v>
      </c>
      <c r="K76" s="106">
        <v>0</v>
      </c>
      <c r="L76" s="90">
        <v>0</v>
      </c>
      <c r="M76" s="106">
        <v>0</v>
      </c>
      <c r="N76" s="90">
        <v>0</v>
      </c>
      <c r="O76" s="111"/>
      <c r="P76" s="26">
        <v>0</v>
      </c>
      <c r="Q76" s="111">
        <v>0</v>
      </c>
      <c r="R76" s="26">
        <v>0</v>
      </c>
      <c r="S76" s="111">
        <v>1377</v>
      </c>
      <c r="T76" s="26">
        <f t="shared" si="49"/>
        <v>231336</v>
      </c>
      <c r="U76" s="111">
        <f t="shared" si="47"/>
        <v>1377</v>
      </c>
      <c r="V76" s="52">
        <f t="shared" si="48"/>
        <v>231336</v>
      </c>
      <c r="W76" s="172">
        <v>0</v>
      </c>
      <c r="X76" s="121">
        <v>0</v>
      </c>
      <c r="Y76" s="115">
        <v>0</v>
      </c>
      <c r="Z76" s="122">
        <v>0</v>
      </c>
      <c r="AA76" s="115">
        <v>0</v>
      </c>
      <c r="AB76" s="122">
        <v>0</v>
      </c>
      <c r="AC76" s="115">
        <v>0</v>
      </c>
      <c r="AD76" s="122">
        <v>0</v>
      </c>
      <c r="AE76" s="110">
        <v>0</v>
      </c>
      <c r="AF76" s="171">
        <v>0</v>
      </c>
      <c r="AG76" s="115">
        <v>0</v>
      </c>
      <c r="AH76" s="122">
        <v>0</v>
      </c>
      <c r="AI76" s="115">
        <v>0</v>
      </c>
      <c r="AJ76" s="122">
        <v>0</v>
      </c>
      <c r="AK76" s="111">
        <v>0</v>
      </c>
      <c r="AL76" s="171">
        <v>0</v>
      </c>
      <c r="AM76" s="111">
        <v>0</v>
      </c>
      <c r="AN76" s="122">
        <v>0</v>
      </c>
      <c r="AO76" s="110">
        <f t="shared" si="41"/>
        <v>0</v>
      </c>
      <c r="AP76" s="127">
        <f t="shared" si="42"/>
        <v>0</v>
      </c>
      <c r="AQ76" s="106">
        <v>0</v>
      </c>
      <c r="AR76" s="26">
        <v>0</v>
      </c>
      <c r="AS76" s="111">
        <v>0</v>
      </c>
      <c r="AT76" s="26">
        <v>0</v>
      </c>
      <c r="AU76" s="110">
        <v>0</v>
      </c>
      <c r="AV76" s="26">
        <v>0</v>
      </c>
      <c r="AW76" s="111">
        <v>0</v>
      </c>
      <c r="AX76" s="26">
        <v>0</v>
      </c>
      <c r="AY76" s="111">
        <v>0</v>
      </c>
      <c r="AZ76" s="26">
        <f t="shared" si="23"/>
        <v>0</v>
      </c>
      <c r="BA76" s="111">
        <v>0</v>
      </c>
      <c r="BB76" s="26">
        <f t="shared" si="22"/>
        <v>0</v>
      </c>
      <c r="BC76" s="111">
        <v>0</v>
      </c>
      <c r="BD76" s="26">
        <f t="shared" si="36"/>
        <v>0</v>
      </c>
      <c r="BE76" s="111">
        <v>0</v>
      </c>
      <c r="BF76" s="26">
        <f t="shared" si="37"/>
        <v>0</v>
      </c>
      <c r="BG76" s="111">
        <v>1000</v>
      </c>
      <c r="BH76" s="26">
        <f t="shared" si="50"/>
        <v>168000</v>
      </c>
      <c r="BI76" s="111">
        <f t="shared" si="33"/>
        <v>1000</v>
      </c>
      <c r="BJ76" s="52">
        <f t="shared" ref="BJ76:BJ95" si="51">BI76*D76</f>
        <v>168000</v>
      </c>
      <c r="BK76" s="135">
        <f t="shared" ref="BK76:BK95" si="52">BI76+AO76+U76</f>
        <v>2377</v>
      </c>
      <c r="BL76" s="140">
        <f t="shared" si="40"/>
        <v>399336</v>
      </c>
      <c r="BM76" s="281">
        <f t="shared" si="43"/>
        <v>594.25</v>
      </c>
      <c r="BN76" s="282"/>
      <c r="BO76" s="282"/>
      <c r="BP76" s="282"/>
      <c r="BQ76" s="282"/>
      <c r="BR76" s="283"/>
      <c r="BS76" s="147">
        <f t="shared" si="44"/>
        <v>237.70000000000002</v>
      </c>
      <c r="BT76" s="147">
        <f t="shared" si="45"/>
        <v>94922167.200000003</v>
      </c>
      <c r="BU76" s="288">
        <f t="shared" si="34"/>
        <v>139767.6</v>
      </c>
      <c r="BV76" s="288"/>
      <c r="BW76" s="288"/>
      <c r="BX76" s="288"/>
      <c r="BY76" s="288">
        <f t="shared" si="46"/>
        <v>3208.95</v>
      </c>
      <c r="BZ76" s="288"/>
      <c r="CA76" s="288"/>
      <c r="CB76" s="290">
        <f t="shared" si="35"/>
        <v>539103.6</v>
      </c>
      <c r="CC76" s="290"/>
      <c r="CD76" s="290"/>
    </row>
    <row r="77" spans="1:135" ht="43.2" thickTop="1" thickBot="1" x14ac:dyDescent="0.35">
      <c r="A77" s="103" t="s">
        <v>214</v>
      </c>
      <c r="B77" s="101" t="s">
        <v>218</v>
      </c>
      <c r="C77" s="100" t="s">
        <v>203</v>
      </c>
      <c r="D77" s="102">
        <v>9</v>
      </c>
      <c r="E77" s="106">
        <v>0</v>
      </c>
      <c r="F77" s="90">
        <v>0</v>
      </c>
      <c r="G77" s="106">
        <v>0</v>
      </c>
      <c r="H77" s="90">
        <v>0</v>
      </c>
      <c r="I77" s="106">
        <v>0</v>
      </c>
      <c r="J77" s="90">
        <v>0</v>
      </c>
      <c r="K77" s="106">
        <v>0</v>
      </c>
      <c r="L77" s="90">
        <v>0</v>
      </c>
      <c r="M77" s="106">
        <v>0</v>
      </c>
      <c r="N77" s="90">
        <v>0</v>
      </c>
      <c r="O77" s="111"/>
      <c r="P77" s="26">
        <v>0</v>
      </c>
      <c r="Q77" s="111">
        <v>0</v>
      </c>
      <c r="R77" s="26">
        <v>0</v>
      </c>
      <c r="S77" s="111">
        <v>12342</v>
      </c>
      <c r="T77" s="26">
        <f t="shared" si="49"/>
        <v>111078</v>
      </c>
      <c r="U77" s="111">
        <f t="shared" si="47"/>
        <v>12342</v>
      </c>
      <c r="V77" s="52">
        <f t="shared" si="48"/>
        <v>111078</v>
      </c>
      <c r="W77" s="172">
        <v>0</v>
      </c>
      <c r="X77" s="121">
        <v>0</v>
      </c>
      <c r="Y77" s="115">
        <v>0</v>
      </c>
      <c r="Z77" s="122">
        <v>0</v>
      </c>
      <c r="AA77" s="115">
        <v>0</v>
      </c>
      <c r="AB77" s="122">
        <v>0</v>
      </c>
      <c r="AC77" s="115">
        <v>0</v>
      </c>
      <c r="AD77" s="122">
        <v>0</v>
      </c>
      <c r="AE77" s="110">
        <v>0</v>
      </c>
      <c r="AF77" s="171">
        <v>0</v>
      </c>
      <c r="AG77" s="115">
        <v>0</v>
      </c>
      <c r="AH77" s="122">
        <v>0</v>
      </c>
      <c r="AI77" s="115">
        <v>0</v>
      </c>
      <c r="AJ77" s="122">
        <v>0</v>
      </c>
      <c r="AK77" s="111">
        <v>0</v>
      </c>
      <c r="AL77" s="171">
        <v>0</v>
      </c>
      <c r="AM77" s="111">
        <v>0</v>
      </c>
      <c r="AN77" s="122">
        <v>0</v>
      </c>
      <c r="AO77" s="110">
        <f t="shared" si="41"/>
        <v>0</v>
      </c>
      <c r="AP77" s="127">
        <f t="shared" si="42"/>
        <v>0</v>
      </c>
      <c r="AQ77" s="106">
        <v>0</v>
      </c>
      <c r="AR77" s="26">
        <v>0</v>
      </c>
      <c r="AS77" s="111">
        <v>0</v>
      </c>
      <c r="AT77" s="26">
        <v>0</v>
      </c>
      <c r="AU77" s="110">
        <v>0</v>
      </c>
      <c r="AV77" s="26">
        <v>0</v>
      </c>
      <c r="AW77" s="111">
        <v>0</v>
      </c>
      <c r="AX77" s="26">
        <v>0</v>
      </c>
      <c r="AY77" s="111">
        <v>0</v>
      </c>
      <c r="AZ77" s="26">
        <f t="shared" si="23"/>
        <v>0</v>
      </c>
      <c r="BA77" s="111">
        <v>0</v>
      </c>
      <c r="BB77" s="26">
        <f t="shared" si="22"/>
        <v>0</v>
      </c>
      <c r="BC77" s="111">
        <v>0</v>
      </c>
      <c r="BD77" s="26">
        <f t="shared" si="36"/>
        <v>0</v>
      </c>
      <c r="BE77" s="111">
        <v>0</v>
      </c>
      <c r="BF77" s="26">
        <f t="shared" si="37"/>
        <v>0</v>
      </c>
      <c r="BG77" s="111">
        <v>8960</v>
      </c>
      <c r="BH77" s="26">
        <f t="shared" si="50"/>
        <v>80640</v>
      </c>
      <c r="BI77" s="111">
        <f t="shared" si="33"/>
        <v>8960</v>
      </c>
      <c r="BJ77" s="52">
        <f t="shared" si="51"/>
        <v>80640</v>
      </c>
      <c r="BK77" s="135">
        <f t="shared" si="52"/>
        <v>21302</v>
      </c>
      <c r="BL77" s="140">
        <f t="shared" si="40"/>
        <v>191718</v>
      </c>
      <c r="BM77" s="281">
        <f t="shared" si="43"/>
        <v>5325.5</v>
      </c>
      <c r="BN77" s="282"/>
      <c r="BO77" s="282"/>
      <c r="BP77" s="282"/>
      <c r="BQ77" s="282"/>
      <c r="BR77" s="283"/>
      <c r="BS77" s="147">
        <f t="shared" si="44"/>
        <v>2130.2000000000003</v>
      </c>
      <c r="BT77" s="147">
        <f t="shared" si="45"/>
        <v>408397683.60000002</v>
      </c>
      <c r="BU77" s="288">
        <f t="shared" si="34"/>
        <v>67101.3</v>
      </c>
      <c r="BV77" s="288"/>
      <c r="BW77" s="288"/>
      <c r="BX77" s="288"/>
      <c r="BY77" s="288">
        <f t="shared" si="46"/>
        <v>28757.7</v>
      </c>
      <c r="BZ77" s="288"/>
      <c r="CA77" s="288"/>
      <c r="CB77" s="290">
        <f t="shared" si="35"/>
        <v>258819.30000000002</v>
      </c>
      <c r="CC77" s="290"/>
      <c r="CD77" s="290"/>
    </row>
    <row r="78" spans="1:135" s="82" customFormat="1" ht="34.799999999999997" thickTop="1" thickBot="1" x14ac:dyDescent="0.35">
      <c r="A78" s="235" t="s">
        <v>219</v>
      </c>
      <c r="B78" s="235"/>
      <c r="C78" s="235"/>
      <c r="D78" s="236"/>
      <c r="E78" s="150"/>
      <c r="F78" s="150"/>
      <c r="G78" s="150"/>
      <c r="H78" s="150"/>
      <c r="I78" s="150"/>
      <c r="J78" s="150"/>
      <c r="K78" s="150"/>
      <c r="L78" s="150"/>
      <c r="M78" s="150"/>
      <c r="N78" s="150"/>
      <c r="O78" s="86"/>
      <c r="P78" s="86"/>
      <c r="Q78" s="86"/>
      <c r="R78" s="86"/>
      <c r="S78" s="86"/>
      <c r="T78" s="86"/>
      <c r="U78" s="86"/>
      <c r="V78" s="151"/>
      <c r="W78" s="180"/>
      <c r="X78" s="152"/>
      <c r="Y78" s="181"/>
      <c r="Z78" s="83"/>
      <c r="AA78" s="181"/>
      <c r="AB78" s="83"/>
      <c r="AC78" s="181"/>
      <c r="AD78" s="83"/>
      <c r="AE78" s="83"/>
      <c r="AF78" s="181"/>
      <c r="AG78" s="181"/>
      <c r="AH78" s="83"/>
      <c r="AI78" s="181"/>
      <c r="AJ78" s="83"/>
      <c r="AK78" s="86"/>
      <c r="AL78" s="181"/>
      <c r="AM78" s="86"/>
      <c r="AN78" s="83"/>
      <c r="AO78" s="83"/>
      <c r="AP78" s="84"/>
      <c r="AQ78" s="150"/>
      <c r="AR78" s="86"/>
      <c r="AS78" s="86"/>
      <c r="AT78" s="86"/>
      <c r="AU78" s="83"/>
      <c r="AV78" s="86"/>
      <c r="AW78" s="86"/>
      <c r="AX78" s="86"/>
      <c r="AY78" s="86"/>
      <c r="AZ78" s="86"/>
      <c r="BA78" s="86"/>
      <c r="BB78" s="86"/>
      <c r="BC78" s="86"/>
      <c r="BD78" s="86"/>
      <c r="BE78" s="86"/>
      <c r="BF78" s="86"/>
      <c r="BG78" s="86"/>
      <c r="BH78" s="86"/>
      <c r="BI78" s="86"/>
      <c r="BJ78" s="151"/>
      <c r="BK78" s="87"/>
      <c r="BL78" s="88"/>
      <c r="BZ78" s="182"/>
      <c r="CA78" s="182"/>
      <c r="CB78" s="85"/>
      <c r="CC78" s="85"/>
      <c r="CD78" s="85"/>
      <c r="CE78" s="80"/>
      <c r="CF78" s="80"/>
      <c r="CG78" s="80"/>
      <c r="CH78" s="80"/>
      <c r="CI78" s="80"/>
      <c r="CJ78" s="80"/>
      <c r="CK78" s="80"/>
      <c r="CL78" s="80"/>
      <c r="CM78" s="80"/>
      <c r="CN78" s="80"/>
      <c r="CO78" s="80"/>
      <c r="CP78" s="80"/>
      <c r="CQ78" s="80"/>
      <c r="CR78" s="80"/>
      <c r="CS78" s="80"/>
      <c r="CT78" s="80"/>
      <c r="CU78" s="80"/>
      <c r="CV78" s="80"/>
      <c r="CW78" s="80"/>
      <c r="CX78" s="80"/>
      <c r="CY78" s="80"/>
      <c r="CZ78" s="80"/>
      <c r="DA78" s="80"/>
      <c r="DB78" s="80"/>
      <c r="DC78" s="80"/>
      <c r="DD78" s="80"/>
      <c r="DE78" s="80"/>
      <c r="DF78" s="80"/>
      <c r="DG78" s="80"/>
      <c r="DH78" s="80"/>
      <c r="DI78" s="80"/>
      <c r="DJ78" s="80"/>
      <c r="DK78" s="80"/>
      <c r="DL78" s="80"/>
      <c r="DM78" s="80"/>
      <c r="DN78" s="80"/>
      <c r="DO78" s="80"/>
      <c r="DP78" s="80"/>
      <c r="DQ78" s="80"/>
      <c r="DR78" s="80"/>
      <c r="DS78" s="80"/>
      <c r="DT78" s="80"/>
      <c r="DU78" s="80"/>
      <c r="DV78" s="80"/>
      <c r="DW78" s="80"/>
      <c r="DX78" s="80"/>
      <c r="DY78" s="80"/>
      <c r="DZ78" s="80"/>
      <c r="EA78" s="80"/>
      <c r="EB78" s="80"/>
      <c r="EC78" s="80"/>
      <c r="ED78" s="80"/>
      <c r="EE78" s="80"/>
    </row>
    <row r="79" spans="1:135" ht="43.2" thickTop="1" thickBot="1" x14ac:dyDescent="0.35">
      <c r="A79" s="100">
        <v>1</v>
      </c>
      <c r="B79" s="101" t="s">
        <v>220</v>
      </c>
      <c r="C79" s="100" t="s">
        <v>26</v>
      </c>
      <c r="D79" s="102">
        <v>3927</v>
      </c>
      <c r="E79" s="106">
        <v>0</v>
      </c>
      <c r="F79" s="90">
        <v>0</v>
      </c>
      <c r="G79" s="106">
        <v>0</v>
      </c>
      <c r="H79" s="90">
        <v>0</v>
      </c>
      <c r="I79" s="106">
        <v>0</v>
      </c>
      <c r="J79" s="90">
        <v>0</v>
      </c>
      <c r="K79" s="106">
        <v>0</v>
      </c>
      <c r="L79" s="90">
        <v>0</v>
      </c>
      <c r="M79" s="106">
        <v>0</v>
      </c>
      <c r="N79" s="90">
        <v>0</v>
      </c>
      <c r="O79" s="111"/>
      <c r="P79" s="26">
        <v>0</v>
      </c>
      <c r="Q79" s="111">
        <v>0</v>
      </c>
      <c r="R79" s="26">
        <v>0</v>
      </c>
      <c r="S79" s="111">
        <v>0</v>
      </c>
      <c r="T79" s="26">
        <v>0</v>
      </c>
      <c r="U79" s="111">
        <f t="shared" si="47"/>
        <v>0</v>
      </c>
      <c r="V79" s="52">
        <f t="shared" si="48"/>
        <v>0</v>
      </c>
      <c r="W79" s="172">
        <v>0</v>
      </c>
      <c r="X79" s="121">
        <v>0</v>
      </c>
      <c r="Y79" s="115">
        <v>0</v>
      </c>
      <c r="Z79" s="122">
        <v>0</v>
      </c>
      <c r="AA79" s="115">
        <v>0</v>
      </c>
      <c r="AB79" s="122">
        <v>0</v>
      </c>
      <c r="AC79" s="115">
        <v>0</v>
      </c>
      <c r="AD79" s="122">
        <v>0</v>
      </c>
      <c r="AE79" s="110">
        <v>0</v>
      </c>
      <c r="AF79" s="171">
        <v>0</v>
      </c>
      <c r="AG79" s="115">
        <v>0</v>
      </c>
      <c r="AH79" s="122">
        <v>0</v>
      </c>
      <c r="AI79" s="115">
        <v>0</v>
      </c>
      <c r="AJ79" s="122">
        <v>0</v>
      </c>
      <c r="AK79" s="111">
        <v>0</v>
      </c>
      <c r="AL79" s="171">
        <v>0</v>
      </c>
      <c r="AM79" s="111">
        <v>0</v>
      </c>
      <c r="AN79" s="122">
        <v>0</v>
      </c>
      <c r="AO79" s="110">
        <f t="shared" si="41"/>
        <v>0</v>
      </c>
      <c r="AP79" s="127">
        <f t="shared" si="42"/>
        <v>0</v>
      </c>
      <c r="AQ79" s="106">
        <v>0</v>
      </c>
      <c r="AR79" s="26">
        <v>0</v>
      </c>
      <c r="AS79" s="111">
        <v>0</v>
      </c>
      <c r="AT79" s="26">
        <v>0</v>
      </c>
      <c r="AU79" s="110">
        <v>0</v>
      </c>
      <c r="AV79" s="26">
        <v>0</v>
      </c>
      <c r="AW79" s="111">
        <v>0</v>
      </c>
      <c r="AX79" s="26">
        <v>0</v>
      </c>
      <c r="AY79" s="111">
        <v>0</v>
      </c>
      <c r="AZ79" s="26">
        <f t="shared" si="23"/>
        <v>0</v>
      </c>
      <c r="BA79" s="111">
        <v>0</v>
      </c>
      <c r="BB79" s="26">
        <f t="shared" si="22"/>
        <v>0</v>
      </c>
      <c r="BC79" s="111">
        <v>0</v>
      </c>
      <c r="BD79" s="26">
        <v>0</v>
      </c>
      <c r="BE79" s="111">
        <v>590</v>
      </c>
      <c r="BF79" s="26">
        <f>BE79*D79</f>
        <v>2316930</v>
      </c>
      <c r="BG79" s="111">
        <v>0</v>
      </c>
      <c r="BH79" s="26">
        <v>0</v>
      </c>
      <c r="BI79" s="111">
        <f t="shared" si="33"/>
        <v>590</v>
      </c>
      <c r="BJ79" s="52">
        <f t="shared" si="51"/>
        <v>2316930</v>
      </c>
      <c r="BK79" s="135">
        <f t="shared" si="52"/>
        <v>590</v>
      </c>
      <c r="BL79" s="140">
        <f t="shared" si="40"/>
        <v>2316930</v>
      </c>
      <c r="BM79" s="281">
        <f t="shared" si="43"/>
        <v>147.5</v>
      </c>
      <c r="BN79" s="282"/>
      <c r="BO79" s="282"/>
      <c r="BP79" s="282"/>
      <c r="BQ79" s="282"/>
      <c r="BR79" s="283"/>
      <c r="BS79" s="147">
        <f t="shared" si="44"/>
        <v>59</v>
      </c>
      <c r="BT79" s="147">
        <f t="shared" si="45"/>
        <v>136698870</v>
      </c>
      <c r="BU79" s="288">
        <f t="shared" si="34"/>
        <v>810925.5</v>
      </c>
      <c r="BV79" s="288"/>
      <c r="BW79" s="288"/>
      <c r="BX79" s="288"/>
      <c r="BY79" s="288">
        <f t="shared" si="46"/>
        <v>796.5</v>
      </c>
      <c r="BZ79" s="288"/>
      <c r="CA79" s="288"/>
      <c r="CB79" s="290">
        <f t="shared" si="35"/>
        <v>3127855.5</v>
      </c>
      <c r="CC79" s="290"/>
      <c r="CD79" s="290"/>
    </row>
    <row r="80" spans="1:135" ht="22.2" thickTop="1" thickBot="1" x14ac:dyDescent="0.35">
      <c r="A80" s="100">
        <v>2</v>
      </c>
      <c r="B80" s="100" t="s">
        <v>221</v>
      </c>
      <c r="C80" s="100" t="s">
        <v>26</v>
      </c>
      <c r="D80" s="102">
        <v>2549</v>
      </c>
      <c r="E80" s="106">
        <v>0</v>
      </c>
      <c r="F80" s="90">
        <v>0</v>
      </c>
      <c r="G80" s="106">
        <v>0</v>
      </c>
      <c r="H80" s="90">
        <v>0</v>
      </c>
      <c r="I80" s="106">
        <v>0</v>
      </c>
      <c r="J80" s="90">
        <v>0</v>
      </c>
      <c r="K80" s="106">
        <v>0</v>
      </c>
      <c r="L80" s="90">
        <v>0</v>
      </c>
      <c r="M80" s="106">
        <v>0</v>
      </c>
      <c r="N80" s="90">
        <v>0</v>
      </c>
      <c r="O80" s="111"/>
      <c r="P80" s="26">
        <v>0</v>
      </c>
      <c r="Q80" s="111">
        <v>0</v>
      </c>
      <c r="R80" s="26">
        <v>0</v>
      </c>
      <c r="S80" s="111">
        <v>0</v>
      </c>
      <c r="T80" s="26">
        <v>0</v>
      </c>
      <c r="U80" s="111">
        <f t="shared" si="47"/>
        <v>0</v>
      </c>
      <c r="V80" s="52">
        <f t="shared" si="48"/>
        <v>0</v>
      </c>
      <c r="W80" s="172">
        <v>0</v>
      </c>
      <c r="X80" s="121">
        <v>0</v>
      </c>
      <c r="Y80" s="115">
        <v>0</v>
      </c>
      <c r="Z80" s="122">
        <v>0</v>
      </c>
      <c r="AA80" s="115">
        <v>0</v>
      </c>
      <c r="AB80" s="122">
        <v>0</v>
      </c>
      <c r="AC80" s="115">
        <v>0</v>
      </c>
      <c r="AD80" s="122">
        <v>0</v>
      </c>
      <c r="AE80" s="110">
        <v>0</v>
      </c>
      <c r="AF80" s="171">
        <v>0</v>
      </c>
      <c r="AG80" s="115">
        <v>0</v>
      </c>
      <c r="AH80" s="122">
        <v>0</v>
      </c>
      <c r="AI80" s="115">
        <v>0</v>
      </c>
      <c r="AJ80" s="122">
        <v>0</v>
      </c>
      <c r="AK80" s="111">
        <v>0</v>
      </c>
      <c r="AL80" s="171">
        <v>0</v>
      </c>
      <c r="AM80" s="111">
        <v>0</v>
      </c>
      <c r="AN80" s="122">
        <v>0</v>
      </c>
      <c r="AO80" s="110">
        <f t="shared" si="41"/>
        <v>0</v>
      </c>
      <c r="AP80" s="127">
        <f t="shared" si="42"/>
        <v>0</v>
      </c>
      <c r="AQ80" s="106">
        <v>0</v>
      </c>
      <c r="AR80" s="26">
        <v>0</v>
      </c>
      <c r="AS80" s="111">
        <v>0</v>
      </c>
      <c r="AT80" s="26">
        <v>0</v>
      </c>
      <c r="AU80" s="110">
        <v>0</v>
      </c>
      <c r="AV80" s="26">
        <v>0</v>
      </c>
      <c r="AW80" s="111">
        <v>0</v>
      </c>
      <c r="AX80" s="26">
        <v>0</v>
      </c>
      <c r="AY80" s="111">
        <v>0</v>
      </c>
      <c r="AZ80" s="26">
        <f t="shared" si="23"/>
        <v>0</v>
      </c>
      <c r="BA80" s="111">
        <v>0</v>
      </c>
      <c r="BB80" s="26">
        <f t="shared" si="22"/>
        <v>0</v>
      </c>
      <c r="BC80" s="111">
        <v>0</v>
      </c>
      <c r="BD80" s="26">
        <v>0</v>
      </c>
      <c r="BE80" s="111">
        <f>BE79*2</f>
        <v>1180</v>
      </c>
      <c r="BF80" s="26">
        <f>BE80*D80</f>
        <v>3007820</v>
      </c>
      <c r="BG80" s="111">
        <v>0</v>
      </c>
      <c r="BH80" s="26">
        <v>0</v>
      </c>
      <c r="BI80" s="111">
        <f t="shared" si="33"/>
        <v>1180</v>
      </c>
      <c r="BJ80" s="52">
        <f t="shared" si="51"/>
        <v>3007820</v>
      </c>
      <c r="BK80" s="135">
        <f t="shared" si="52"/>
        <v>1180</v>
      </c>
      <c r="BL80" s="140">
        <f t="shared" si="40"/>
        <v>3007820</v>
      </c>
      <c r="BM80" s="281">
        <f t="shared" si="43"/>
        <v>295</v>
      </c>
      <c r="BN80" s="282"/>
      <c r="BO80" s="282"/>
      <c r="BP80" s="282"/>
      <c r="BQ80" s="282"/>
      <c r="BR80" s="283"/>
      <c r="BS80" s="147">
        <f t="shared" si="44"/>
        <v>118</v>
      </c>
      <c r="BT80" s="147">
        <f t="shared" si="45"/>
        <v>354922760</v>
      </c>
      <c r="BU80" s="288">
        <f t="shared" si="34"/>
        <v>1052737</v>
      </c>
      <c r="BV80" s="288"/>
      <c r="BW80" s="288"/>
      <c r="BX80" s="288"/>
      <c r="BY80" s="288">
        <f t="shared" si="46"/>
        <v>1593</v>
      </c>
      <c r="BZ80" s="288"/>
      <c r="CA80" s="288"/>
      <c r="CB80" s="290">
        <f t="shared" si="35"/>
        <v>4060557</v>
      </c>
      <c r="CC80" s="290"/>
      <c r="CD80" s="290"/>
    </row>
    <row r="81" spans="1:135" s="82" customFormat="1" ht="34.799999999999997" thickTop="1" thickBot="1" x14ac:dyDescent="0.35">
      <c r="A81" s="235" t="s">
        <v>222</v>
      </c>
      <c r="B81" s="235"/>
      <c r="C81" s="235"/>
      <c r="D81" s="236"/>
      <c r="E81" s="150"/>
      <c r="F81" s="150"/>
      <c r="G81" s="150"/>
      <c r="H81" s="150"/>
      <c r="I81" s="150"/>
      <c r="J81" s="150"/>
      <c r="K81" s="150"/>
      <c r="L81" s="150"/>
      <c r="M81" s="150"/>
      <c r="N81" s="150"/>
      <c r="O81" s="86"/>
      <c r="P81" s="86"/>
      <c r="Q81" s="86"/>
      <c r="R81" s="86"/>
      <c r="S81" s="86"/>
      <c r="T81" s="86"/>
      <c r="U81" s="86"/>
      <c r="V81" s="151"/>
      <c r="W81" s="180"/>
      <c r="X81" s="152"/>
      <c r="Y81" s="181"/>
      <c r="Z81" s="83"/>
      <c r="AA81" s="181"/>
      <c r="AB81" s="83"/>
      <c r="AC81" s="181"/>
      <c r="AD81" s="83"/>
      <c r="AE81" s="83"/>
      <c r="AF81" s="181"/>
      <c r="AG81" s="181"/>
      <c r="AH81" s="83"/>
      <c r="AI81" s="181"/>
      <c r="AJ81" s="83"/>
      <c r="AK81" s="86"/>
      <c r="AL81" s="181"/>
      <c r="AM81" s="86"/>
      <c r="AN81" s="83"/>
      <c r="AO81" s="83"/>
      <c r="AP81" s="84"/>
      <c r="AQ81" s="150"/>
      <c r="AR81" s="86"/>
      <c r="AS81" s="86"/>
      <c r="AT81" s="86"/>
      <c r="AU81" s="83"/>
      <c r="AV81" s="86"/>
      <c r="AW81" s="86"/>
      <c r="AX81" s="86"/>
      <c r="AY81" s="86"/>
      <c r="AZ81" s="86"/>
      <c r="BA81" s="86"/>
      <c r="BB81" s="86"/>
      <c r="BC81" s="86"/>
      <c r="BD81" s="86"/>
      <c r="BE81" s="86"/>
      <c r="BF81" s="86"/>
      <c r="BG81" s="86"/>
      <c r="BH81" s="86"/>
      <c r="BI81" s="86"/>
      <c r="BJ81" s="151"/>
      <c r="BK81" s="87"/>
      <c r="BL81" s="88"/>
      <c r="BZ81" s="182"/>
      <c r="CA81" s="182"/>
      <c r="CB81" s="85"/>
      <c r="CC81" s="85"/>
      <c r="CD81" s="85"/>
      <c r="CE81" s="80"/>
      <c r="CF81" s="80"/>
      <c r="CG81" s="80"/>
      <c r="CH81" s="80"/>
      <c r="CI81" s="80"/>
      <c r="CJ81" s="80"/>
      <c r="CK81" s="80"/>
      <c r="CL81" s="80"/>
      <c r="CM81" s="80"/>
      <c r="CN81" s="80"/>
      <c r="CO81" s="80"/>
      <c r="CP81" s="80"/>
      <c r="CQ81" s="80"/>
      <c r="CR81" s="80"/>
      <c r="CS81" s="80"/>
      <c r="CT81" s="80"/>
      <c r="CU81" s="80"/>
      <c r="CV81" s="80"/>
      <c r="CW81" s="80"/>
      <c r="CX81" s="80"/>
      <c r="CY81" s="80"/>
      <c r="CZ81" s="80"/>
      <c r="DA81" s="80"/>
      <c r="DB81" s="80"/>
      <c r="DC81" s="80"/>
      <c r="DD81" s="80"/>
      <c r="DE81" s="80"/>
      <c r="DF81" s="80"/>
      <c r="DG81" s="80"/>
      <c r="DH81" s="80"/>
      <c r="DI81" s="80"/>
      <c r="DJ81" s="80"/>
      <c r="DK81" s="80"/>
      <c r="DL81" s="80"/>
      <c r="DM81" s="80"/>
      <c r="DN81" s="80"/>
      <c r="DO81" s="80"/>
      <c r="DP81" s="80"/>
      <c r="DQ81" s="80"/>
      <c r="DR81" s="80"/>
      <c r="DS81" s="80"/>
      <c r="DT81" s="80"/>
      <c r="DU81" s="80"/>
      <c r="DV81" s="80"/>
      <c r="DW81" s="80"/>
      <c r="DX81" s="80"/>
      <c r="DY81" s="80"/>
      <c r="DZ81" s="80"/>
      <c r="EA81" s="80"/>
      <c r="EB81" s="80"/>
      <c r="EC81" s="80"/>
      <c r="ED81" s="80"/>
      <c r="EE81" s="80"/>
    </row>
    <row r="82" spans="1:135" ht="43.2" thickTop="1" thickBot="1" x14ac:dyDescent="0.35">
      <c r="A82" s="100">
        <v>1</v>
      </c>
      <c r="B82" s="101" t="s">
        <v>223</v>
      </c>
      <c r="C82" s="100" t="s">
        <v>163</v>
      </c>
      <c r="D82" s="102">
        <v>225</v>
      </c>
      <c r="E82" s="106">
        <v>0</v>
      </c>
      <c r="F82" s="90">
        <v>0</v>
      </c>
      <c r="G82" s="106">
        <v>0</v>
      </c>
      <c r="H82" s="90">
        <v>0</v>
      </c>
      <c r="I82" s="106">
        <v>0</v>
      </c>
      <c r="J82" s="90">
        <v>0</v>
      </c>
      <c r="K82" s="106">
        <v>0</v>
      </c>
      <c r="L82" s="90">
        <v>0</v>
      </c>
      <c r="M82" s="106">
        <v>0</v>
      </c>
      <c r="N82" s="90">
        <v>0</v>
      </c>
      <c r="O82" s="111">
        <v>14</v>
      </c>
      <c r="P82" s="26">
        <f>O82*D82</f>
        <v>3150</v>
      </c>
      <c r="Q82" s="111">
        <v>0</v>
      </c>
      <c r="R82" s="26">
        <v>0</v>
      </c>
      <c r="S82" s="111">
        <v>0</v>
      </c>
      <c r="T82" s="148">
        <v>0</v>
      </c>
      <c r="U82" s="111">
        <f t="shared" si="47"/>
        <v>14</v>
      </c>
      <c r="V82" s="52">
        <f t="shared" si="48"/>
        <v>3150</v>
      </c>
      <c r="W82" s="172">
        <v>0</v>
      </c>
      <c r="X82" s="121">
        <v>0</v>
      </c>
      <c r="Y82" s="115">
        <v>0</v>
      </c>
      <c r="Z82" s="122">
        <v>0</v>
      </c>
      <c r="AA82" s="115">
        <v>0</v>
      </c>
      <c r="AB82" s="122">
        <v>0</v>
      </c>
      <c r="AC82" s="115">
        <v>0</v>
      </c>
      <c r="AD82" s="122">
        <v>0</v>
      </c>
      <c r="AE82" s="110">
        <v>0</v>
      </c>
      <c r="AF82" s="171">
        <v>0</v>
      </c>
      <c r="AG82" s="115">
        <v>0</v>
      </c>
      <c r="AH82" s="122">
        <v>0</v>
      </c>
      <c r="AI82" s="115">
        <v>0</v>
      </c>
      <c r="AJ82" s="122">
        <v>0</v>
      </c>
      <c r="AK82" s="111">
        <v>0</v>
      </c>
      <c r="AL82" s="171">
        <v>0</v>
      </c>
      <c r="AM82" s="111">
        <v>0</v>
      </c>
      <c r="AN82" s="122">
        <v>0</v>
      </c>
      <c r="AO82" s="110">
        <f t="shared" si="41"/>
        <v>0</v>
      </c>
      <c r="AP82" s="127">
        <f t="shared" si="42"/>
        <v>0</v>
      </c>
      <c r="AQ82" s="106">
        <v>0</v>
      </c>
      <c r="AR82" s="26">
        <v>0</v>
      </c>
      <c r="AS82" s="111">
        <v>0</v>
      </c>
      <c r="AT82" s="26">
        <v>0</v>
      </c>
      <c r="AU82" s="110">
        <v>0</v>
      </c>
      <c r="AV82" s="26">
        <v>0</v>
      </c>
      <c r="AW82" s="111">
        <v>0</v>
      </c>
      <c r="AX82" s="26">
        <v>0</v>
      </c>
      <c r="AY82" s="111">
        <v>0</v>
      </c>
      <c r="AZ82" s="26">
        <f t="shared" si="23"/>
        <v>0</v>
      </c>
      <c r="BA82" s="111">
        <v>0</v>
      </c>
      <c r="BB82" s="26">
        <f t="shared" si="22"/>
        <v>0</v>
      </c>
      <c r="BC82" s="111">
        <v>0</v>
      </c>
      <c r="BD82" s="26">
        <f t="shared" ref="BD82:BD95" si="53">H82*BC82</f>
        <v>0</v>
      </c>
      <c r="BE82" s="111"/>
      <c r="BF82" s="26"/>
      <c r="BG82" s="111">
        <v>17000</v>
      </c>
      <c r="BH82" s="26">
        <f t="shared" ref="BH82:BH89" si="54">BG82*D82</f>
        <v>3825000</v>
      </c>
      <c r="BI82" s="111">
        <f t="shared" si="33"/>
        <v>17000</v>
      </c>
      <c r="BJ82" s="52">
        <f t="shared" si="51"/>
        <v>3825000</v>
      </c>
      <c r="BK82" s="135">
        <f t="shared" si="52"/>
        <v>17014</v>
      </c>
      <c r="BL82" s="140">
        <f t="shared" si="40"/>
        <v>3828150</v>
      </c>
      <c r="BM82" s="281">
        <f t="shared" si="43"/>
        <v>4253.5</v>
      </c>
      <c r="BN82" s="282"/>
      <c r="BO82" s="282"/>
      <c r="BP82" s="282"/>
      <c r="BQ82" s="282"/>
      <c r="BR82" s="283"/>
      <c r="BS82" s="147">
        <f t="shared" si="44"/>
        <v>1701.4</v>
      </c>
      <c r="BT82" s="147">
        <f t="shared" si="45"/>
        <v>6513214410</v>
      </c>
      <c r="BU82" s="288">
        <f t="shared" si="34"/>
        <v>1339852.5</v>
      </c>
      <c r="BV82" s="288"/>
      <c r="BW82" s="288"/>
      <c r="BX82" s="288"/>
      <c r="BY82" s="288">
        <f t="shared" si="46"/>
        <v>22968.9</v>
      </c>
      <c r="BZ82" s="288"/>
      <c r="CA82" s="288"/>
      <c r="CB82" s="290">
        <f t="shared" si="35"/>
        <v>5168002.5</v>
      </c>
      <c r="CC82" s="290"/>
      <c r="CD82" s="290"/>
    </row>
    <row r="83" spans="1:135" ht="43.2" thickTop="1" thickBot="1" x14ac:dyDescent="0.35">
      <c r="A83" s="100">
        <v>2</v>
      </c>
      <c r="B83" s="101" t="s">
        <v>224</v>
      </c>
      <c r="C83" s="100" t="s">
        <v>163</v>
      </c>
      <c r="D83" s="102">
        <v>250</v>
      </c>
      <c r="E83" s="106">
        <v>0</v>
      </c>
      <c r="F83" s="90">
        <v>0</v>
      </c>
      <c r="G83" s="106">
        <v>0</v>
      </c>
      <c r="H83" s="90">
        <v>0</v>
      </c>
      <c r="I83" s="106">
        <v>0</v>
      </c>
      <c r="J83" s="90">
        <v>0</v>
      </c>
      <c r="K83" s="106">
        <v>0</v>
      </c>
      <c r="L83" s="90">
        <v>0</v>
      </c>
      <c r="M83" s="106">
        <v>0</v>
      </c>
      <c r="N83" s="90">
        <v>0</v>
      </c>
      <c r="O83" s="111">
        <v>14</v>
      </c>
      <c r="P83" s="26">
        <f t="shared" ref="P83:P89" si="55">O83*D83</f>
        <v>3500</v>
      </c>
      <c r="Q83" s="111">
        <v>0</v>
      </c>
      <c r="R83" s="123">
        <v>0</v>
      </c>
      <c r="S83" s="111">
        <v>0</v>
      </c>
      <c r="T83" s="148">
        <v>0</v>
      </c>
      <c r="U83" s="111">
        <f t="shared" si="47"/>
        <v>14</v>
      </c>
      <c r="V83" s="52">
        <f t="shared" si="48"/>
        <v>3500</v>
      </c>
      <c r="W83" s="172">
        <v>0</v>
      </c>
      <c r="X83" s="121">
        <v>0</v>
      </c>
      <c r="Y83" s="115">
        <v>0</v>
      </c>
      <c r="Z83" s="122">
        <v>0</v>
      </c>
      <c r="AA83" s="115">
        <v>0</v>
      </c>
      <c r="AB83" s="122">
        <v>0</v>
      </c>
      <c r="AC83" s="115">
        <v>0</v>
      </c>
      <c r="AD83" s="122">
        <v>0</v>
      </c>
      <c r="AE83" s="110">
        <v>0</v>
      </c>
      <c r="AF83" s="171">
        <v>0</v>
      </c>
      <c r="AG83" s="115">
        <v>0</v>
      </c>
      <c r="AH83" s="122">
        <v>0</v>
      </c>
      <c r="AI83" s="115">
        <v>0</v>
      </c>
      <c r="AJ83" s="122">
        <v>0</v>
      </c>
      <c r="AK83" s="111">
        <v>0</v>
      </c>
      <c r="AL83" s="171">
        <v>0</v>
      </c>
      <c r="AM83" s="111">
        <v>0</v>
      </c>
      <c r="AN83" s="122">
        <v>0</v>
      </c>
      <c r="AO83" s="110">
        <f t="shared" si="41"/>
        <v>0</v>
      </c>
      <c r="AP83" s="127">
        <f t="shared" si="42"/>
        <v>0</v>
      </c>
      <c r="AQ83" s="106">
        <v>0</v>
      </c>
      <c r="AR83" s="26">
        <v>0</v>
      </c>
      <c r="AS83" s="111">
        <v>0</v>
      </c>
      <c r="AT83" s="26">
        <v>0</v>
      </c>
      <c r="AU83" s="110">
        <v>0</v>
      </c>
      <c r="AV83" s="26">
        <v>0</v>
      </c>
      <c r="AW83" s="111">
        <v>0</v>
      </c>
      <c r="AX83" s="26">
        <v>0</v>
      </c>
      <c r="AY83" s="111">
        <v>0</v>
      </c>
      <c r="AZ83" s="26">
        <f t="shared" si="23"/>
        <v>0</v>
      </c>
      <c r="BA83" s="111">
        <v>0</v>
      </c>
      <c r="BB83" s="26">
        <f t="shared" si="22"/>
        <v>0</v>
      </c>
      <c r="BC83" s="111">
        <v>0</v>
      </c>
      <c r="BD83" s="26">
        <f t="shared" si="53"/>
        <v>0</v>
      </c>
      <c r="BE83" s="111">
        <v>590</v>
      </c>
      <c r="BF83" s="26">
        <f>BE83*D83</f>
        <v>147500</v>
      </c>
      <c r="BG83" s="111">
        <v>17000</v>
      </c>
      <c r="BH83" s="26">
        <f t="shared" si="54"/>
        <v>4250000</v>
      </c>
      <c r="BI83" s="111">
        <f t="shared" si="33"/>
        <v>17590</v>
      </c>
      <c r="BJ83" s="52">
        <f t="shared" si="51"/>
        <v>4397500</v>
      </c>
      <c r="BK83" s="135">
        <f t="shared" si="52"/>
        <v>17604</v>
      </c>
      <c r="BL83" s="140">
        <f t="shared" si="40"/>
        <v>4401000</v>
      </c>
      <c r="BM83" s="281">
        <f t="shared" si="43"/>
        <v>4401</v>
      </c>
      <c r="BN83" s="282"/>
      <c r="BO83" s="282"/>
      <c r="BP83" s="282"/>
      <c r="BQ83" s="282"/>
      <c r="BR83" s="283"/>
      <c r="BS83" s="147">
        <f t="shared" si="44"/>
        <v>1760.4</v>
      </c>
      <c r="BT83" s="147">
        <f t="shared" si="45"/>
        <v>7747520400</v>
      </c>
      <c r="BU83" s="288">
        <f t="shared" si="34"/>
        <v>1540350</v>
      </c>
      <c r="BV83" s="288"/>
      <c r="BW83" s="288"/>
      <c r="BX83" s="288"/>
      <c r="BY83" s="288">
        <f t="shared" si="46"/>
        <v>23765.4</v>
      </c>
      <c r="BZ83" s="288"/>
      <c r="CA83" s="288"/>
      <c r="CB83" s="290">
        <f t="shared" si="35"/>
        <v>5941350</v>
      </c>
      <c r="CC83" s="290"/>
      <c r="CD83" s="290"/>
    </row>
    <row r="84" spans="1:135" ht="43.2" thickTop="1" thickBot="1" x14ac:dyDescent="0.35">
      <c r="A84" s="100">
        <v>3</v>
      </c>
      <c r="B84" s="101" t="s">
        <v>225</v>
      </c>
      <c r="C84" s="100" t="s">
        <v>163</v>
      </c>
      <c r="D84" s="102">
        <v>338</v>
      </c>
      <c r="E84" s="106">
        <v>0</v>
      </c>
      <c r="F84" s="90">
        <v>0</v>
      </c>
      <c r="G84" s="106">
        <v>0</v>
      </c>
      <c r="H84" s="90">
        <v>0</v>
      </c>
      <c r="I84" s="106">
        <v>0</v>
      </c>
      <c r="J84" s="90">
        <v>0</v>
      </c>
      <c r="K84" s="106">
        <v>0</v>
      </c>
      <c r="L84" s="90">
        <v>0</v>
      </c>
      <c r="M84" s="106">
        <v>0</v>
      </c>
      <c r="N84" s="90">
        <v>0</v>
      </c>
      <c r="O84" s="111">
        <v>14</v>
      </c>
      <c r="P84" s="26">
        <f t="shared" si="55"/>
        <v>4732</v>
      </c>
      <c r="Q84" s="111">
        <v>0</v>
      </c>
      <c r="R84" s="123">
        <v>0</v>
      </c>
      <c r="S84" s="111">
        <v>0</v>
      </c>
      <c r="T84" s="148">
        <v>0</v>
      </c>
      <c r="U84" s="111">
        <f t="shared" si="47"/>
        <v>14</v>
      </c>
      <c r="V84" s="52">
        <f t="shared" si="48"/>
        <v>4732</v>
      </c>
      <c r="W84" s="172">
        <v>0</v>
      </c>
      <c r="X84" s="121">
        <v>0</v>
      </c>
      <c r="Y84" s="115">
        <v>0</v>
      </c>
      <c r="Z84" s="122">
        <v>0</v>
      </c>
      <c r="AA84" s="115">
        <v>0</v>
      </c>
      <c r="AB84" s="122">
        <v>0</v>
      </c>
      <c r="AC84" s="115">
        <v>0</v>
      </c>
      <c r="AD84" s="122">
        <v>0</v>
      </c>
      <c r="AE84" s="110">
        <v>0</v>
      </c>
      <c r="AF84" s="171">
        <v>0</v>
      </c>
      <c r="AG84" s="115">
        <v>0</v>
      </c>
      <c r="AH84" s="122">
        <v>0</v>
      </c>
      <c r="AI84" s="115">
        <v>0</v>
      </c>
      <c r="AJ84" s="122">
        <v>0</v>
      </c>
      <c r="AK84" s="111">
        <v>0</v>
      </c>
      <c r="AL84" s="171">
        <v>0</v>
      </c>
      <c r="AM84" s="111">
        <v>0</v>
      </c>
      <c r="AN84" s="122">
        <v>0</v>
      </c>
      <c r="AO84" s="110">
        <f t="shared" si="41"/>
        <v>0</v>
      </c>
      <c r="AP84" s="127">
        <f t="shared" si="42"/>
        <v>0</v>
      </c>
      <c r="AQ84" s="106">
        <v>0</v>
      </c>
      <c r="AR84" s="26">
        <v>0</v>
      </c>
      <c r="AS84" s="111">
        <v>0</v>
      </c>
      <c r="AT84" s="26">
        <v>0</v>
      </c>
      <c r="AU84" s="110">
        <v>0</v>
      </c>
      <c r="AV84" s="26">
        <v>0</v>
      </c>
      <c r="AW84" s="111">
        <v>0</v>
      </c>
      <c r="AX84" s="26">
        <v>0</v>
      </c>
      <c r="AY84" s="111">
        <v>0</v>
      </c>
      <c r="AZ84" s="26">
        <f t="shared" si="23"/>
        <v>0</v>
      </c>
      <c r="BA84" s="111">
        <v>0</v>
      </c>
      <c r="BB84" s="26">
        <f t="shared" si="22"/>
        <v>0</v>
      </c>
      <c r="BC84" s="111">
        <v>0</v>
      </c>
      <c r="BD84" s="26">
        <f t="shared" si="53"/>
        <v>0</v>
      </c>
      <c r="BE84" s="111">
        <v>590</v>
      </c>
      <c r="BF84" s="26">
        <f t="shared" ref="BF84:BF89" si="56">BE84*D84</f>
        <v>199420</v>
      </c>
      <c r="BG84" s="111">
        <v>17000</v>
      </c>
      <c r="BH84" s="26">
        <f t="shared" si="54"/>
        <v>5746000</v>
      </c>
      <c r="BI84" s="111">
        <f t="shared" si="33"/>
        <v>17590</v>
      </c>
      <c r="BJ84" s="52">
        <f t="shared" si="51"/>
        <v>5945420</v>
      </c>
      <c r="BK84" s="135">
        <f t="shared" si="52"/>
        <v>17604</v>
      </c>
      <c r="BL84" s="140">
        <f t="shared" si="40"/>
        <v>5950152</v>
      </c>
      <c r="BM84" s="281">
        <f t="shared" si="43"/>
        <v>4401</v>
      </c>
      <c r="BN84" s="282"/>
      <c r="BO84" s="282"/>
      <c r="BP84" s="282"/>
      <c r="BQ84" s="282"/>
      <c r="BR84" s="283"/>
      <c r="BS84" s="147">
        <f t="shared" si="44"/>
        <v>1760.4</v>
      </c>
      <c r="BT84" s="147">
        <f t="shared" si="45"/>
        <v>10474647580.800001</v>
      </c>
      <c r="BU84" s="288">
        <f t="shared" si="34"/>
        <v>2082553.2</v>
      </c>
      <c r="BV84" s="288"/>
      <c r="BW84" s="288"/>
      <c r="BX84" s="288"/>
      <c r="BY84" s="288">
        <f t="shared" si="46"/>
        <v>23765.4</v>
      </c>
      <c r="BZ84" s="288"/>
      <c r="CA84" s="288"/>
      <c r="CB84" s="290">
        <f t="shared" si="35"/>
        <v>8032705.2000000002</v>
      </c>
      <c r="CC84" s="290"/>
      <c r="CD84" s="290"/>
    </row>
    <row r="85" spans="1:135" ht="43.2" thickTop="1" thickBot="1" x14ac:dyDescent="0.35">
      <c r="A85" s="100">
        <v>4</v>
      </c>
      <c r="B85" s="101" t="s">
        <v>226</v>
      </c>
      <c r="C85" s="100" t="s">
        <v>163</v>
      </c>
      <c r="D85" s="102">
        <v>937</v>
      </c>
      <c r="E85" s="106">
        <v>0</v>
      </c>
      <c r="F85" s="90">
        <v>0</v>
      </c>
      <c r="G85" s="106">
        <v>0</v>
      </c>
      <c r="H85" s="90">
        <v>0</v>
      </c>
      <c r="I85" s="106">
        <v>0</v>
      </c>
      <c r="J85" s="90">
        <v>0</v>
      </c>
      <c r="K85" s="106">
        <v>0</v>
      </c>
      <c r="L85" s="90">
        <v>0</v>
      </c>
      <c r="M85" s="106">
        <v>0</v>
      </c>
      <c r="N85" s="90">
        <v>0</v>
      </c>
      <c r="O85" s="111">
        <v>14</v>
      </c>
      <c r="P85" s="26">
        <f t="shared" si="55"/>
        <v>13118</v>
      </c>
      <c r="Q85" s="111">
        <v>0</v>
      </c>
      <c r="R85" s="123">
        <v>0</v>
      </c>
      <c r="S85" s="111">
        <v>0</v>
      </c>
      <c r="T85" s="148">
        <v>0</v>
      </c>
      <c r="U85" s="111">
        <f t="shared" si="47"/>
        <v>14</v>
      </c>
      <c r="V85" s="52">
        <f t="shared" si="48"/>
        <v>13118</v>
      </c>
      <c r="W85" s="172">
        <v>0</v>
      </c>
      <c r="X85" s="121">
        <v>0</v>
      </c>
      <c r="Y85" s="115">
        <v>0</v>
      </c>
      <c r="Z85" s="122">
        <v>0</v>
      </c>
      <c r="AA85" s="115">
        <v>0</v>
      </c>
      <c r="AB85" s="122">
        <v>0</v>
      </c>
      <c r="AC85" s="115">
        <v>0</v>
      </c>
      <c r="AD85" s="122">
        <v>0</v>
      </c>
      <c r="AE85" s="110">
        <v>0</v>
      </c>
      <c r="AF85" s="171">
        <v>0</v>
      </c>
      <c r="AG85" s="115">
        <v>0</v>
      </c>
      <c r="AH85" s="122">
        <v>0</v>
      </c>
      <c r="AI85" s="115">
        <v>0</v>
      </c>
      <c r="AJ85" s="122">
        <v>0</v>
      </c>
      <c r="AK85" s="111">
        <v>0</v>
      </c>
      <c r="AL85" s="171">
        <v>0</v>
      </c>
      <c r="AM85" s="111">
        <v>0</v>
      </c>
      <c r="AN85" s="122">
        <v>0</v>
      </c>
      <c r="AO85" s="110">
        <f t="shared" si="41"/>
        <v>0</v>
      </c>
      <c r="AP85" s="127">
        <f t="shared" si="42"/>
        <v>0</v>
      </c>
      <c r="AQ85" s="106">
        <v>0</v>
      </c>
      <c r="AR85" s="26">
        <v>0</v>
      </c>
      <c r="AS85" s="111">
        <v>0</v>
      </c>
      <c r="AT85" s="26">
        <v>0</v>
      </c>
      <c r="AU85" s="110">
        <v>0</v>
      </c>
      <c r="AV85" s="26">
        <v>0</v>
      </c>
      <c r="AW85" s="111">
        <v>0</v>
      </c>
      <c r="AX85" s="26">
        <v>0</v>
      </c>
      <c r="AY85" s="111">
        <v>0</v>
      </c>
      <c r="AZ85" s="26">
        <f t="shared" si="23"/>
        <v>0</v>
      </c>
      <c r="BA85" s="111">
        <v>0</v>
      </c>
      <c r="BB85" s="26">
        <f t="shared" si="22"/>
        <v>0</v>
      </c>
      <c r="BC85" s="111">
        <v>0</v>
      </c>
      <c r="BD85" s="26">
        <f t="shared" si="53"/>
        <v>0</v>
      </c>
      <c r="BE85" s="111">
        <v>590</v>
      </c>
      <c r="BF85" s="26">
        <f t="shared" si="56"/>
        <v>552830</v>
      </c>
      <c r="BG85" s="111">
        <v>17000</v>
      </c>
      <c r="BH85" s="26">
        <f t="shared" si="54"/>
        <v>15929000</v>
      </c>
      <c r="BI85" s="111">
        <f t="shared" si="33"/>
        <v>17590</v>
      </c>
      <c r="BJ85" s="52">
        <f t="shared" si="51"/>
        <v>16481830</v>
      </c>
      <c r="BK85" s="135">
        <f t="shared" si="52"/>
        <v>17604</v>
      </c>
      <c r="BL85" s="140">
        <f t="shared" si="40"/>
        <v>16494948</v>
      </c>
      <c r="BM85" s="281">
        <f t="shared" si="43"/>
        <v>4401</v>
      </c>
      <c r="BN85" s="282"/>
      <c r="BO85" s="282"/>
      <c r="BP85" s="282"/>
      <c r="BQ85" s="282"/>
      <c r="BR85" s="283"/>
      <c r="BS85" s="147">
        <f t="shared" si="44"/>
        <v>1760.4</v>
      </c>
      <c r="BT85" s="147">
        <f t="shared" si="45"/>
        <v>29037706459.200001</v>
      </c>
      <c r="BU85" s="288">
        <f t="shared" si="34"/>
        <v>5773231.7999999998</v>
      </c>
      <c r="BV85" s="288"/>
      <c r="BW85" s="288"/>
      <c r="BX85" s="288"/>
      <c r="BY85" s="288">
        <f t="shared" si="46"/>
        <v>23765.4</v>
      </c>
      <c r="BZ85" s="288"/>
      <c r="CA85" s="288"/>
      <c r="CB85" s="290">
        <f t="shared" si="35"/>
        <v>22268179.800000001</v>
      </c>
      <c r="CC85" s="290"/>
      <c r="CD85" s="290"/>
    </row>
    <row r="86" spans="1:135" ht="43.2" thickTop="1" thickBot="1" x14ac:dyDescent="0.35">
      <c r="A86" s="100">
        <v>5</v>
      </c>
      <c r="B86" s="101" t="s">
        <v>227</v>
      </c>
      <c r="C86" s="100" t="s">
        <v>163</v>
      </c>
      <c r="D86" s="102">
        <v>126</v>
      </c>
      <c r="E86" s="106">
        <v>0</v>
      </c>
      <c r="F86" s="90">
        <v>0</v>
      </c>
      <c r="G86" s="106">
        <v>0</v>
      </c>
      <c r="H86" s="90">
        <v>0</v>
      </c>
      <c r="I86" s="106">
        <v>0</v>
      </c>
      <c r="J86" s="90">
        <v>0</v>
      </c>
      <c r="K86" s="106">
        <v>0</v>
      </c>
      <c r="L86" s="90">
        <v>0</v>
      </c>
      <c r="M86" s="106">
        <v>0</v>
      </c>
      <c r="N86" s="90">
        <v>0</v>
      </c>
      <c r="O86" s="111">
        <v>14</v>
      </c>
      <c r="P86" s="26">
        <f t="shared" si="55"/>
        <v>1764</v>
      </c>
      <c r="Q86" s="111">
        <v>0</v>
      </c>
      <c r="R86" s="123">
        <v>0</v>
      </c>
      <c r="S86" s="111">
        <v>0</v>
      </c>
      <c r="T86" s="148">
        <v>0</v>
      </c>
      <c r="U86" s="111">
        <f t="shared" si="47"/>
        <v>14</v>
      </c>
      <c r="V86" s="52">
        <f t="shared" si="48"/>
        <v>1764</v>
      </c>
      <c r="W86" s="172">
        <v>0</v>
      </c>
      <c r="X86" s="121">
        <v>0</v>
      </c>
      <c r="Y86" s="115">
        <v>0</v>
      </c>
      <c r="Z86" s="122">
        <v>0</v>
      </c>
      <c r="AA86" s="115">
        <v>0</v>
      </c>
      <c r="AB86" s="122">
        <v>0</v>
      </c>
      <c r="AC86" s="115">
        <v>0</v>
      </c>
      <c r="AD86" s="122">
        <v>0</v>
      </c>
      <c r="AE86" s="110">
        <v>0</v>
      </c>
      <c r="AF86" s="171">
        <v>0</v>
      </c>
      <c r="AG86" s="115">
        <v>0</v>
      </c>
      <c r="AH86" s="122">
        <v>0</v>
      </c>
      <c r="AI86" s="115">
        <v>0</v>
      </c>
      <c r="AJ86" s="122">
        <v>0</v>
      </c>
      <c r="AK86" s="111">
        <v>0</v>
      </c>
      <c r="AL86" s="171">
        <v>0</v>
      </c>
      <c r="AM86" s="111">
        <v>0</v>
      </c>
      <c r="AN86" s="122">
        <v>0</v>
      </c>
      <c r="AO86" s="110">
        <f t="shared" si="41"/>
        <v>0</v>
      </c>
      <c r="AP86" s="127">
        <f t="shared" si="42"/>
        <v>0</v>
      </c>
      <c r="AQ86" s="106">
        <v>0</v>
      </c>
      <c r="AR86" s="26">
        <v>0</v>
      </c>
      <c r="AS86" s="111">
        <v>0</v>
      </c>
      <c r="AT86" s="26">
        <v>0</v>
      </c>
      <c r="AU86" s="110">
        <v>0</v>
      </c>
      <c r="AV86" s="26">
        <v>0</v>
      </c>
      <c r="AW86" s="111">
        <v>0</v>
      </c>
      <c r="AX86" s="26">
        <v>0</v>
      </c>
      <c r="AY86" s="111">
        <v>0</v>
      </c>
      <c r="AZ86" s="26">
        <f t="shared" si="23"/>
        <v>0</v>
      </c>
      <c r="BA86" s="111">
        <v>0</v>
      </c>
      <c r="BB86" s="26">
        <f t="shared" si="22"/>
        <v>0</v>
      </c>
      <c r="BC86" s="111">
        <v>0</v>
      </c>
      <c r="BD86" s="26">
        <f t="shared" si="53"/>
        <v>0</v>
      </c>
      <c r="BE86" s="111">
        <v>590</v>
      </c>
      <c r="BF86" s="26">
        <f t="shared" si="56"/>
        <v>74340</v>
      </c>
      <c r="BG86" s="111">
        <v>17000</v>
      </c>
      <c r="BH86" s="26">
        <f t="shared" si="54"/>
        <v>2142000</v>
      </c>
      <c r="BI86" s="111">
        <f t="shared" si="33"/>
        <v>17590</v>
      </c>
      <c r="BJ86" s="52">
        <f t="shared" si="51"/>
        <v>2216340</v>
      </c>
      <c r="BK86" s="135">
        <f t="shared" si="52"/>
        <v>17604</v>
      </c>
      <c r="BL86" s="140">
        <f t="shared" si="40"/>
        <v>2218104</v>
      </c>
      <c r="BM86" s="281">
        <f t="shared" si="43"/>
        <v>4401</v>
      </c>
      <c r="BN86" s="282"/>
      <c r="BO86" s="282"/>
      <c r="BP86" s="282"/>
      <c r="BQ86" s="282"/>
      <c r="BR86" s="283"/>
      <c r="BS86" s="147">
        <f t="shared" si="44"/>
        <v>1760.4</v>
      </c>
      <c r="BT86" s="147">
        <f t="shared" si="45"/>
        <v>3904750281.6000004</v>
      </c>
      <c r="BU86" s="288">
        <f t="shared" si="34"/>
        <v>776336.39999999991</v>
      </c>
      <c r="BV86" s="288"/>
      <c r="BW86" s="288"/>
      <c r="BX86" s="288"/>
      <c r="BY86" s="288">
        <f t="shared" si="46"/>
        <v>23765.4</v>
      </c>
      <c r="BZ86" s="288"/>
      <c r="CA86" s="288"/>
      <c r="CB86" s="290">
        <f t="shared" si="35"/>
        <v>2994440.4000000004</v>
      </c>
      <c r="CC86" s="290"/>
      <c r="CD86" s="290"/>
    </row>
    <row r="87" spans="1:135" ht="43.2" thickTop="1" thickBot="1" x14ac:dyDescent="0.35">
      <c r="A87" s="100">
        <v>6</v>
      </c>
      <c r="B87" s="101" t="s">
        <v>228</v>
      </c>
      <c r="C87" s="100" t="s">
        <v>163</v>
      </c>
      <c r="D87" s="102">
        <v>112</v>
      </c>
      <c r="E87" s="106">
        <v>0</v>
      </c>
      <c r="F87" s="90">
        <v>0</v>
      </c>
      <c r="G87" s="106">
        <v>0</v>
      </c>
      <c r="H87" s="90">
        <v>0</v>
      </c>
      <c r="I87" s="106">
        <v>0</v>
      </c>
      <c r="J87" s="90">
        <v>0</v>
      </c>
      <c r="K87" s="106">
        <v>0</v>
      </c>
      <c r="L87" s="90">
        <v>0</v>
      </c>
      <c r="M87" s="106">
        <v>0</v>
      </c>
      <c r="N87" s="90">
        <v>0</v>
      </c>
      <c r="O87" s="111">
        <v>14</v>
      </c>
      <c r="P87" s="26">
        <f t="shared" si="55"/>
        <v>1568</v>
      </c>
      <c r="Q87" s="111">
        <v>0</v>
      </c>
      <c r="R87" s="123">
        <v>0</v>
      </c>
      <c r="S87" s="111">
        <v>0</v>
      </c>
      <c r="T87" s="148">
        <v>0</v>
      </c>
      <c r="U87" s="111">
        <f t="shared" si="47"/>
        <v>14</v>
      </c>
      <c r="V87" s="52">
        <f t="shared" si="48"/>
        <v>1568</v>
      </c>
      <c r="W87" s="172">
        <v>0</v>
      </c>
      <c r="X87" s="121">
        <v>0</v>
      </c>
      <c r="Y87" s="115">
        <v>0</v>
      </c>
      <c r="Z87" s="122">
        <v>0</v>
      </c>
      <c r="AA87" s="115">
        <v>0</v>
      </c>
      <c r="AB87" s="122">
        <v>0</v>
      </c>
      <c r="AC87" s="115">
        <v>0</v>
      </c>
      <c r="AD87" s="122">
        <v>0</v>
      </c>
      <c r="AE87" s="110">
        <v>0</v>
      </c>
      <c r="AF87" s="171">
        <v>0</v>
      </c>
      <c r="AG87" s="115">
        <v>0</v>
      </c>
      <c r="AH87" s="122">
        <v>0</v>
      </c>
      <c r="AI87" s="115">
        <v>0</v>
      </c>
      <c r="AJ87" s="122">
        <v>0</v>
      </c>
      <c r="AK87" s="111">
        <v>0</v>
      </c>
      <c r="AL87" s="171">
        <v>0</v>
      </c>
      <c r="AM87" s="111">
        <v>0</v>
      </c>
      <c r="AN87" s="122">
        <v>0</v>
      </c>
      <c r="AO87" s="110">
        <f t="shared" si="41"/>
        <v>0</v>
      </c>
      <c r="AP87" s="127">
        <f t="shared" si="42"/>
        <v>0</v>
      </c>
      <c r="AQ87" s="106">
        <v>0</v>
      </c>
      <c r="AR87" s="26">
        <v>0</v>
      </c>
      <c r="AS87" s="111">
        <v>0</v>
      </c>
      <c r="AT87" s="26">
        <v>0</v>
      </c>
      <c r="AU87" s="110">
        <v>0</v>
      </c>
      <c r="AV87" s="26">
        <v>0</v>
      </c>
      <c r="AW87" s="111">
        <v>0</v>
      </c>
      <c r="AX87" s="26">
        <v>0</v>
      </c>
      <c r="AY87" s="111">
        <v>0</v>
      </c>
      <c r="AZ87" s="26">
        <f t="shared" si="23"/>
        <v>0</v>
      </c>
      <c r="BA87" s="111">
        <v>0</v>
      </c>
      <c r="BB87" s="26">
        <f t="shared" si="22"/>
        <v>0</v>
      </c>
      <c r="BC87" s="111">
        <v>0</v>
      </c>
      <c r="BD87" s="26">
        <f t="shared" si="53"/>
        <v>0</v>
      </c>
      <c r="BE87" s="111">
        <v>590</v>
      </c>
      <c r="BF87" s="26">
        <f t="shared" si="56"/>
        <v>66080</v>
      </c>
      <c r="BG87" s="111">
        <v>17000</v>
      </c>
      <c r="BH87" s="26">
        <f t="shared" si="54"/>
        <v>1904000</v>
      </c>
      <c r="BI87" s="111">
        <f t="shared" si="33"/>
        <v>17590</v>
      </c>
      <c r="BJ87" s="52">
        <f t="shared" si="51"/>
        <v>1970080</v>
      </c>
      <c r="BK87" s="135">
        <f t="shared" si="52"/>
        <v>17604</v>
      </c>
      <c r="BL87" s="140">
        <f t="shared" si="40"/>
        <v>1971648</v>
      </c>
      <c r="BM87" s="281">
        <f t="shared" si="43"/>
        <v>4401</v>
      </c>
      <c r="BN87" s="282"/>
      <c r="BO87" s="282"/>
      <c r="BP87" s="282"/>
      <c r="BQ87" s="282"/>
      <c r="BR87" s="283"/>
      <c r="BS87" s="147">
        <f t="shared" si="44"/>
        <v>1760.4</v>
      </c>
      <c r="BT87" s="147">
        <f t="shared" si="45"/>
        <v>3470889139.2000003</v>
      </c>
      <c r="BU87" s="288">
        <f t="shared" si="34"/>
        <v>690076.79999999993</v>
      </c>
      <c r="BV87" s="288"/>
      <c r="BW87" s="288"/>
      <c r="BX87" s="288"/>
      <c r="BY87" s="288">
        <f t="shared" si="46"/>
        <v>23765.4</v>
      </c>
      <c r="BZ87" s="288"/>
      <c r="CA87" s="288"/>
      <c r="CB87" s="290">
        <f t="shared" si="35"/>
        <v>2661724.8000000003</v>
      </c>
      <c r="CC87" s="290"/>
      <c r="CD87" s="290"/>
    </row>
    <row r="88" spans="1:135" ht="43.2" thickTop="1" thickBot="1" x14ac:dyDescent="0.35">
      <c r="A88" s="100">
        <v>7</v>
      </c>
      <c r="B88" s="101" t="s">
        <v>229</v>
      </c>
      <c r="C88" s="100" t="s">
        <v>163</v>
      </c>
      <c r="D88" s="102">
        <v>109</v>
      </c>
      <c r="E88" s="106">
        <v>0</v>
      </c>
      <c r="F88" s="90">
        <v>0</v>
      </c>
      <c r="G88" s="106">
        <v>0</v>
      </c>
      <c r="H88" s="90">
        <v>0</v>
      </c>
      <c r="I88" s="106">
        <v>0</v>
      </c>
      <c r="J88" s="90">
        <v>0</v>
      </c>
      <c r="K88" s="106">
        <v>0</v>
      </c>
      <c r="L88" s="90">
        <v>0</v>
      </c>
      <c r="M88" s="106">
        <v>0</v>
      </c>
      <c r="N88" s="90">
        <v>0</v>
      </c>
      <c r="O88" s="111">
        <v>14</v>
      </c>
      <c r="P88" s="26">
        <f t="shared" si="55"/>
        <v>1526</v>
      </c>
      <c r="Q88" s="111">
        <v>0</v>
      </c>
      <c r="R88" s="123">
        <v>0</v>
      </c>
      <c r="S88" s="111">
        <v>0</v>
      </c>
      <c r="T88" s="148">
        <v>0</v>
      </c>
      <c r="U88" s="111">
        <f t="shared" si="47"/>
        <v>14</v>
      </c>
      <c r="V88" s="52">
        <f t="shared" si="48"/>
        <v>1526</v>
      </c>
      <c r="W88" s="172">
        <v>0</v>
      </c>
      <c r="X88" s="121">
        <v>0</v>
      </c>
      <c r="Y88" s="115">
        <v>0</v>
      </c>
      <c r="Z88" s="122">
        <v>0</v>
      </c>
      <c r="AA88" s="115">
        <v>0</v>
      </c>
      <c r="AB88" s="122">
        <v>0</v>
      </c>
      <c r="AC88" s="115">
        <v>0</v>
      </c>
      <c r="AD88" s="122">
        <v>0</v>
      </c>
      <c r="AE88" s="110">
        <v>0</v>
      </c>
      <c r="AF88" s="171">
        <v>0</v>
      </c>
      <c r="AG88" s="115">
        <v>0</v>
      </c>
      <c r="AH88" s="122">
        <v>0</v>
      </c>
      <c r="AI88" s="115">
        <v>0</v>
      </c>
      <c r="AJ88" s="122">
        <v>0</v>
      </c>
      <c r="AK88" s="111">
        <v>0</v>
      </c>
      <c r="AL88" s="171">
        <v>0</v>
      </c>
      <c r="AM88" s="111">
        <v>0</v>
      </c>
      <c r="AN88" s="122">
        <v>0</v>
      </c>
      <c r="AO88" s="110">
        <f t="shared" si="41"/>
        <v>0</v>
      </c>
      <c r="AP88" s="127">
        <f t="shared" si="42"/>
        <v>0</v>
      </c>
      <c r="AQ88" s="106">
        <v>0</v>
      </c>
      <c r="AR88" s="26">
        <v>0</v>
      </c>
      <c r="AS88" s="111">
        <v>0</v>
      </c>
      <c r="AT88" s="26">
        <v>0</v>
      </c>
      <c r="AU88" s="110">
        <v>0</v>
      </c>
      <c r="AV88" s="26">
        <v>0</v>
      </c>
      <c r="AW88" s="111">
        <v>0</v>
      </c>
      <c r="AX88" s="26">
        <v>0</v>
      </c>
      <c r="AY88" s="111">
        <v>0</v>
      </c>
      <c r="AZ88" s="26">
        <f t="shared" si="23"/>
        <v>0</v>
      </c>
      <c r="BA88" s="111">
        <v>0</v>
      </c>
      <c r="BB88" s="26">
        <f t="shared" si="22"/>
        <v>0</v>
      </c>
      <c r="BC88" s="111">
        <v>0</v>
      </c>
      <c r="BD88" s="26">
        <f t="shared" si="53"/>
        <v>0</v>
      </c>
      <c r="BE88" s="111">
        <v>590</v>
      </c>
      <c r="BF88" s="26">
        <f t="shared" si="56"/>
        <v>64310</v>
      </c>
      <c r="BG88" s="111">
        <v>17000</v>
      </c>
      <c r="BH88" s="26">
        <f t="shared" si="54"/>
        <v>1853000</v>
      </c>
      <c r="BI88" s="111">
        <f t="shared" si="33"/>
        <v>17590</v>
      </c>
      <c r="BJ88" s="52">
        <f t="shared" si="51"/>
        <v>1917310</v>
      </c>
      <c r="BK88" s="135">
        <f t="shared" si="52"/>
        <v>17604</v>
      </c>
      <c r="BL88" s="140">
        <f t="shared" si="40"/>
        <v>1918836</v>
      </c>
      <c r="BM88" s="281">
        <f t="shared" si="43"/>
        <v>4401</v>
      </c>
      <c r="BN88" s="282"/>
      <c r="BO88" s="282"/>
      <c r="BP88" s="282"/>
      <c r="BQ88" s="282"/>
      <c r="BR88" s="283"/>
      <c r="BS88" s="147">
        <f t="shared" si="44"/>
        <v>1760.4</v>
      </c>
      <c r="BT88" s="147">
        <f t="shared" si="45"/>
        <v>3377918894.4000001</v>
      </c>
      <c r="BU88" s="288">
        <f t="shared" ref="BU88:BU95" si="57">(BM88+BS88)*D88</f>
        <v>671592.6</v>
      </c>
      <c r="BV88" s="288"/>
      <c r="BW88" s="288"/>
      <c r="BX88" s="288"/>
      <c r="BY88" s="288">
        <f t="shared" si="46"/>
        <v>23765.4</v>
      </c>
      <c r="BZ88" s="288"/>
      <c r="CA88" s="288"/>
      <c r="CB88" s="290">
        <f t="shared" ref="CB88:CB95" si="58">BY88*D88</f>
        <v>2590428.6</v>
      </c>
      <c r="CC88" s="290"/>
      <c r="CD88" s="290"/>
    </row>
    <row r="89" spans="1:135" ht="43.2" thickTop="1" thickBot="1" x14ac:dyDescent="0.35">
      <c r="A89" s="100">
        <v>8</v>
      </c>
      <c r="B89" s="101" t="s">
        <v>230</v>
      </c>
      <c r="C89" s="100" t="s">
        <v>26</v>
      </c>
      <c r="D89" s="102">
        <v>496</v>
      </c>
      <c r="E89" s="106">
        <v>0</v>
      </c>
      <c r="F89" s="90">
        <v>0</v>
      </c>
      <c r="G89" s="106">
        <v>0</v>
      </c>
      <c r="H89" s="90">
        <v>0</v>
      </c>
      <c r="I89" s="106">
        <v>0</v>
      </c>
      <c r="J89" s="90">
        <v>0</v>
      </c>
      <c r="K89" s="106">
        <v>0</v>
      </c>
      <c r="L89" s="90">
        <v>0</v>
      </c>
      <c r="M89" s="106">
        <v>0</v>
      </c>
      <c r="N89" s="90">
        <v>0</v>
      </c>
      <c r="O89" s="111">
        <v>15</v>
      </c>
      <c r="P89" s="26">
        <f t="shared" si="55"/>
        <v>7440</v>
      </c>
      <c r="Q89" s="111">
        <v>0</v>
      </c>
      <c r="R89" s="123">
        <v>0</v>
      </c>
      <c r="S89" s="111">
        <v>0</v>
      </c>
      <c r="T89" s="148">
        <v>0</v>
      </c>
      <c r="U89" s="111">
        <f t="shared" si="47"/>
        <v>15</v>
      </c>
      <c r="V89" s="52">
        <f t="shared" si="48"/>
        <v>7440</v>
      </c>
      <c r="W89" s="172">
        <v>0</v>
      </c>
      <c r="X89" s="121">
        <v>0</v>
      </c>
      <c r="Y89" s="115">
        <v>0</v>
      </c>
      <c r="Z89" s="122">
        <v>0</v>
      </c>
      <c r="AA89" s="115">
        <v>0</v>
      </c>
      <c r="AB89" s="122">
        <v>0</v>
      </c>
      <c r="AC89" s="115">
        <v>0</v>
      </c>
      <c r="AD89" s="122">
        <v>0</v>
      </c>
      <c r="AE89" s="110">
        <v>0</v>
      </c>
      <c r="AF89" s="171">
        <v>0</v>
      </c>
      <c r="AG89" s="115">
        <v>0</v>
      </c>
      <c r="AH89" s="122">
        <v>0</v>
      </c>
      <c r="AI89" s="115">
        <v>0</v>
      </c>
      <c r="AJ89" s="122">
        <v>0</v>
      </c>
      <c r="AK89" s="111">
        <v>0</v>
      </c>
      <c r="AL89" s="171">
        <v>0</v>
      </c>
      <c r="AM89" s="111">
        <v>0</v>
      </c>
      <c r="AN89" s="122">
        <v>0</v>
      </c>
      <c r="AO89" s="110">
        <f t="shared" si="41"/>
        <v>0</v>
      </c>
      <c r="AP89" s="127">
        <f t="shared" si="42"/>
        <v>0</v>
      </c>
      <c r="AQ89" s="106">
        <v>400</v>
      </c>
      <c r="AR89" s="26">
        <f>D89*AQ89</f>
        <v>198400</v>
      </c>
      <c r="AS89" s="111">
        <v>0</v>
      </c>
      <c r="AT89" s="26">
        <v>0</v>
      </c>
      <c r="AU89" s="110">
        <v>0</v>
      </c>
      <c r="AV89" s="26">
        <v>0</v>
      </c>
      <c r="AW89" s="111">
        <v>0</v>
      </c>
      <c r="AX89" s="26">
        <v>0</v>
      </c>
      <c r="AY89" s="111">
        <v>0</v>
      </c>
      <c r="AZ89" s="26">
        <f t="shared" si="23"/>
        <v>0</v>
      </c>
      <c r="BA89" s="111">
        <v>0</v>
      </c>
      <c r="BB89" s="26">
        <f t="shared" si="22"/>
        <v>0</v>
      </c>
      <c r="BC89" s="111">
        <v>0</v>
      </c>
      <c r="BD89" s="26">
        <f t="shared" si="53"/>
        <v>0</v>
      </c>
      <c r="BE89" s="111">
        <v>0</v>
      </c>
      <c r="BF89" s="26">
        <f t="shared" si="56"/>
        <v>0</v>
      </c>
      <c r="BG89" s="111">
        <v>0</v>
      </c>
      <c r="BH89" s="26">
        <f t="shared" si="54"/>
        <v>0</v>
      </c>
      <c r="BI89" s="111">
        <f t="shared" si="33"/>
        <v>400</v>
      </c>
      <c r="BJ89" s="52">
        <f t="shared" si="51"/>
        <v>198400</v>
      </c>
      <c r="BK89" s="135">
        <f t="shared" si="52"/>
        <v>415</v>
      </c>
      <c r="BL89" s="140">
        <f t="shared" si="40"/>
        <v>205840</v>
      </c>
      <c r="BM89" s="281">
        <f t="shared" si="43"/>
        <v>103.75</v>
      </c>
      <c r="BN89" s="282"/>
      <c r="BO89" s="282"/>
      <c r="BP89" s="282"/>
      <c r="BQ89" s="282"/>
      <c r="BR89" s="283"/>
      <c r="BS89" s="147">
        <f t="shared" si="44"/>
        <v>41.5</v>
      </c>
      <c r="BT89" s="147">
        <f t="shared" si="45"/>
        <v>8542360</v>
      </c>
      <c r="BU89" s="288">
        <f t="shared" si="57"/>
        <v>72044</v>
      </c>
      <c r="BV89" s="288"/>
      <c r="BW89" s="288"/>
      <c r="BX89" s="288"/>
      <c r="BY89" s="288">
        <f t="shared" si="46"/>
        <v>560.25</v>
      </c>
      <c r="BZ89" s="288"/>
      <c r="CA89" s="288"/>
      <c r="CB89" s="290">
        <f t="shared" si="58"/>
        <v>277884</v>
      </c>
      <c r="CC89" s="290"/>
      <c r="CD89" s="290"/>
    </row>
    <row r="90" spans="1:135" ht="27" thickTop="1" thickBot="1" x14ac:dyDescent="0.35">
      <c r="A90" s="231" t="s">
        <v>231</v>
      </c>
      <c r="B90" s="231"/>
      <c r="C90" s="231"/>
      <c r="D90" s="232"/>
      <c r="E90" s="106">
        <v>0</v>
      </c>
      <c r="F90" s="90">
        <v>0</v>
      </c>
      <c r="G90" s="106">
        <v>0</v>
      </c>
      <c r="H90" s="90">
        <v>0</v>
      </c>
      <c r="I90" s="106">
        <v>0</v>
      </c>
      <c r="J90" s="90">
        <v>0</v>
      </c>
      <c r="K90" s="106">
        <v>0</v>
      </c>
      <c r="L90" s="90">
        <v>0</v>
      </c>
      <c r="M90" s="106">
        <v>0</v>
      </c>
      <c r="N90" s="90">
        <v>0</v>
      </c>
      <c r="O90" s="111">
        <v>0</v>
      </c>
      <c r="P90" s="26">
        <v>0</v>
      </c>
      <c r="Q90" s="111">
        <v>0</v>
      </c>
      <c r="R90" s="123">
        <v>0</v>
      </c>
      <c r="S90" s="111">
        <v>0</v>
      </c>
      <c r="T90" s="148">
        <v>0</v>
      </c>
      <c r="U90" s="111">
        <f t="shared" si="47"/>
        <v>0</v>
      </c>
      <c r="V90" s="52">
        <f t="shared" si="48"/>
        <v>0</v>
      </c>
      <c r="W90" s="172">
        <v>0</v>
      </c>
      <c r="X90" s="121">
        <v>0</v>
      </c>
      <c r="Y90" s="115">
        <v>0</v>
      </c>
      <c r="Z90" s="122">
        <v>0</v>
      </c>
      <c r="AA90" s="115">
        <v>0</v>
      </c>
      <c r="AB90" s="122">
        <v>0</v>
      </c>
      <c r="AC90" s="115">
        <v>0</v>
      </c>
      <c r="AD90" s="122">
        <v>0</v>
      </c>
      <c r="AE90" s="110">
        <v>0</v>
      </c>
      <c r="AF90" s="171">
        <v>0</v>
      </c>
      <c r="AG90" s="115">
        <v>0</v>
      </c>
      <c r="AH90" s="122">
        <v>0</v>
      </c>
      <c r="AI90" s="115">
        <v>0</v>
      </c>
      <c r="AJ90" s="122">
        <v>0</v>
      </c>
      <c r="AK90" s="111">
        <v>0</v>
      </c>
      <c r="AL90" s="171">
        <v>0</v>
      </c>
      <c r="AM90" s="111">
        <v>0</v>
      </c>
      <c r="AN90" s="122">
        <v>0</v>
      </c>
      <c r="AO90" s="110">
        <f t="shared" si="41"/>
        <v>0</v>
      </c>
      <c r="AP90" s="127">
        <f t="shared" si="42"/>
        <v>0</v>
      </c>
      <c r="AQ90" s="106">
        <v>0</v>
      </c>
      <c r="AR90" s="26">
        <v>0</v>
      </c>
      <c r="AS90" s="111">
        <v>0</v>
      </c>
      <c r="AT90" s="26">
        <v>0</v>
      </c>
      <c r="AU90" s="110">
        <v>0</v>
      </c>
      <c r="AV90" s="26">
        <v>0</v>
      </c>
      <c r="AW90" s="111">
        <v>0</v>
      </c>
      <c r="AX90" s="26">
        <v>0</v>
      </c>
      <c r="AY90" s="111">
        <v>0</v>
      </c>
      <c r="AZ90" s="26">
        <f t="shared" si="23"/>
        <v>0</v>
      </c>
      <c r="BA90" s="111">
        <v>0</v>
      </c>
      <c r="BB90" s="26">
        <f t="shared" si="22"/>
        <v>0</v>
      </c>
      <c r="BC90" s="111">
        <v>0</v>
      </c>
      <c r="BD90" s="26">
        <f t="shared" si="53"/>
        <v>0</v>
      </c>
      <c r="BE90" s="111"/>
      <c r="BF90" s="26">
        <v>0</v>
      </c>
      <c r="BG90" s="111">
        <v>0</v>
      </c>
      <c r="BH90" s="26">
        <v>0</v>
      </c>
      <c r="BI90" s="111">
        <f t="shared" si="33"/>
        <v>0</v>
      </c>
      <c r="BJ90" s="52">
        <f t="shared" si="51"/>
        <v>0</v>
      </c>
      <c r="BK90" s="135">
        <f t="shared" si="52"/>
        <v>0</v>
      </c>
      <c r="BL90" s="140">
        <f t="shared" si="40"/>
        <v>0</v>
      </c>
      <c r="BM90" s="175">
        <f t="shared" si="43"/>
        <v>0</v>
      </c>
      <c r="BN90" s="175"/>
      <c r="BO90" s="175"/>
      <c r="BP90" s="175"/>
      <c r="BQ90" s="175"/>
      <c r="BR90" s="175"/>
      <c r="BS90" s="176">
        <f t="shared" si="44"/>
        <v>0</v>
      </c>
      <c r="BT90" s="176">
        <f t="shared" si="45"/>
        <v>0</v>
      </c>
      <c r="BU90" s="175">
        <f t="shared" si="57"/>
        <v>0</v>
      </c>
      <c r="BV90" s="175"/>
      <c r="BW90" s="175"/>
      <c r="BX90" s="175"/>
      <c r="BY90" s="175">
        <f t="shared" si="46"/>
        <v>0</v>
      </c>
      <c r="BZ90" s="177"/>
      <c r="CA90" s="177"/>
      <c r="CB90" s="178">
        <f t="shared" si="58"/>
        <v>0</v>
      </c>
      <c r="CC90" s="178"/>
      <c r="CD90" s="178"/>
    </row>
    <row r="91" spans="1:135" ht="22.2" thickTop="1" thickBot="1" x14ac:dyDescent="0.35">
      <c r="A91" s="100">
        <v>1</v>
      </c>
      <c r="B91" s="100" t="s">
        <v>232</v>
      </c>
      <c r="C91" s="100" t="s">
        <v>26</v>
      </c>
      <c r="D91" s="102">
        <v>560</v>
      </c>
      <c r="E91" s="106">
        <v>0</v>
      </c>
      <c r="F91" s="90">
        <v>0</v>
      </c>
      <c r="G91" s="106">
        <v>0</v>
      </c>
      <c r="H91" s="90">
        <v>0</v>
      </c>
      <c r="I91" s="106">
        <v>0</v>
      </c>
      <c r="J91" s="90">
        <v>0</v>
      </c>
      <c r="K91" s="106">
        <v>0</v>
      </c>
      <c r="L91" s="90">
        <v>0</v>
      </c>
      <c r="M91" s="106">
        <v>0</v>
      </c>
      <c r="N91" s="90">
        <v>0</v>
      </c>
      <c r="O91" s="111">
        <v>0</v>
      </c>
      <c r="P91" s="26">
        <v>0</v>
      </c>
      <c r="Q91" s="111">
        <v>0</v>
      </c>
      <c r="R91" s="123">
        <v>0</v>
      </c>
      <c r="S91" s="111">
        <v>0</v>
      </c>
      <c r="T91" s="148">
        <v>0</v>
      </c>
      <c r="U91" s="111">
        <f t="shared" si="47"/>
        <v>0</v>
      </c>
      <c r="V91" s="52">
        <f t="shared" si="48"/>
        <v>0</v>
      </c>
      <c r="W91" s="172">
        <v>0</v>
      </c>
      <c r="X91" s="121">
        <v>0</v>
      </c>
      <c r="Y91" s="115">
        <v>0</v>
      </c>
      <c r="Z91" s="122">
        <v>0</v>
      </c>
      <c r="AA91" s="115">
        <v>0</v>
      </c>
      <c r="AB91" s="122">
        <v>0</v>
      </c>
      <c r="AC91" s="115">
        <v>0</v>
      </c>
      <c r="AD91" s="122">
        <v>0</v>
      </c>
      <c r="AE91" s="110">
        <v>0</v>
      </c>
      <c r="AF91" s="171">
        <v>0</v>
      </c>
      <c r="AG91" s="115">
        <v>0</v>
      </c>
      <c r="AH91" s="122">
        <v>0</v>
      </c>
      <c r="AI91" s="115">
        <v>0</v>
      </c>
      <c r="AJ91" s="122">
        <v>0</v>
      </c>
      <c r="AK91" s="111">
        <v>0</v>
      </c>
      <c r="AL91" s="171">
        <v>0</v>
      </c>
      <c r="AM91" s="111">
        <v>0</v>
      </c>
      <c r="AN91" s="122">
        <v>0</v>
      </c>
      <c r="AO91" s="110">
        <f t="shared" si="41"/>
        <v>0</v>
      </c>
      <c r="AP91" s="127">
        <f t="shared" si="42"/>
        <v>0</v>
      </c>
      <c r="AQ91" s="106">
        <v>0</v>
      </c>
      <c r="AR91" s="26">
        <v>0</v>
      </c>
      <c r="AS91" s="111">
        <v>0</v>
      </c>
      <c r="AT91" s="26">
        <v>0</v>
      </c>
      <c r="AU91" s="110">
        <v>0</v>
      </c>
      <c r="AV91" s="26">
        <v>0</v>
      </c>
      <c r="AW91" s="111">
        <v>0</v>
      </c>
      <c r="AX91" s="26">
        <v>0</v>
      </c>
      <c r="AY91" s="111">
        <v>0</v>
      </c>
      <c r="AZ91" s="26">
        <f t="shared" ref="AZ91:AZ95" si="59">D91*AY91</f>
        <v>0</v>
      </c>
      <c r="BA91" s="111">
        <v>0</v>
      </c>
      <c r="BB91" s="26">
        <f t="shared" ref="BB91:BB95" si="60">BA91*D91</f>
        <v>0</v>
      </c>
      <c r="BC91" s="111">
        <v>0</v>
      </c>
      <c r="BD91" s="26">
        <f t="shared" si="53"/>
        <v>0</v>
      </c>
      <c r="BE91" s="111">
        <v>0</v>
      </c>
      <c r="BF91" s="26">
        <v>0</v>
      </c>
      <c r="BG91" s="111">
        <v>8250</v>
      </c>
      <c r="BH91" s="26">
        <f>BG91*D91</f>
        <v>4620000</v>
      </c>
      <c r="BI91" s="111">
        <f t="shared" si="33"/>
        <v>8250</v>
      </c>
      <c r="BJ91" s="52">
        <f t="shared" si="51"/>
        <v>4620000</v>
      </c>
      <c r="BK91" s="135">
        <f t="shared" si="52"/>
        <v>8250</v>
      </c>
      <c r="BL91" s="140">
        <f t="shared" si="40"/>
        <v>4620000</v>
      </c>
      <c r="BM91" s="281">
        <f t="shared" si="43"/>
        <v>2062.5</v>
      </c>
      <c r="BN91" s="282"/>
      <c r="BO91" s="282"/>
      <c r="BP91" s="282"/>
      <c r="BQ91" s="282"/>
      <c r="BR91" s="283"/>
      <c r="BS91" s="147">
        <f t="shared" si="44"/>
        <v>825</v>
      </c>
      <c r="BT91" s="147">
        <f t="shared" si="45"/>
        <v>3811500000</v>
      </c>
      <c r="BU91" s="288">
        <f t="shared" si="57"/>
        <v>1617000</v>
      </c>
      <c r="BV91" s="288"/>
      <c r="BW91" s="288"/>
      <c r="BX91" s="288"/>
      <c r="BY91" s="288">
        <f t="shared" si="46"/>
        <v>11137.5</v>
      </c>
      <c r="BZ91" s="288"/>
      <c r="CA91" s="288"/>
      <c r="CB91" s="290">
        <f t="shared" si="58"/>
        <v>6237000</v>
      </c>
      <c r="CC91" s="290"/>
      <c r="CD91" s="290"/>
    </row>
    <row r="92" spans="1:135" ht="43.2" thickTop="1" thickBot="1" x14ac:dyDescent="0.35">
      <c r="A92" s="100">
        <v>2</v>
      </c>
      <c r="B92" s="101" t="s">
        <v>233</v>
      </c>
      <c r="C92" s="100" t="s">
        <v>203</v>
      </c>
      <c r="D92" s="102">
        <v>151</v>
      </c>
      <c r="E92" s="106">
        <v>0</v>
      </c>
      <c r="F92" s="90">
        <v>0</v>
      </c>
      <c r="G92" s="106">
        <v>0</v>
      </c>
      <c r="H92" s="90">
        <v>0</v>
      </c>
      <c r="I92" s="106">
        <v>0</v>
      </c>
      <c r="J92" s="90">
        <v>0</v>
      </c>
      <c r="K92" s="106">
        <v>0</v>
      </c>
      <c r="L92" s="90">
        <v>0</v>
      </c>
      <c r="M92" s="106">
        <v>0</v>
      </c>
      <c r="N92" s="90">
        <v>0</v>
      </c>
      <c r="O92" s="111">
        <v>0</v>
      </c>
      <c r="P92" s="26">
        <v>0</v>
      </c>
      <c r="Q92" s="111">
        <v>0</v>
      </c>
      <c r="R92" s="123">
        <v>0</v>
      </c>
      <c r="S92" s="111">
        <v>0</v>
      </c>
      <c r="T92" s="148">
        <v>0</v>
      </c>
      <c r="U92" s="111">
        <f t="shared" si="47"/>
        <v>0</v>
      </c>
      <c r="V92" s="52">
        <f t="shared" si="48"/>
        <v>0</v>
      </c>
      <c r="W92" s="172">
        <v>0</v>
      </c>
      <c r="X92" s="121">
        <v>0</v>
      </c>
      <c r="Y92" s="115">
        <v>0</v>
      </c>
      <c r="Z92" s="122">
        <v>0</v>
      </c>
      <c r="AA92" s="115">
        <v>0</v>
      </c>
      <c r="AB92" s="122">
        <v>0</v>
      </c>
      <c r="AC92" s="115">
        <v>0</v>
      </c>
      <c r="AD92" s="122">
        <v>0</v>
      </c>
      <c r="AE92" s="110">
        <v>0</v>
      </c>
      <c r="AF92" s="171">
        <v>0</v>
      </c>
      <c r="AG92" s="115">
        <v>0</v>
      </c>
      <c r="AH92" s="122">
        <v>0</v>
      </c>
      <c r="AI92" s="115">
        <v>0</v>
      </c>
      <c r="AJ92" s="122">
        <v>0</v>
      </c>
      <c r="AK92" s="111">
        <v>0</v>
      </c>
      <c r="AL92" s="171">
        <v>0</v>
      </c>
      <c r="AM92" s="111">
        <v>0</v>
      </c>
      <c r="AN92" s="122">
        <v>0</v>
      </c>
      <c r="AO92" s="110">
        <f t="shared" si="41"/>
        <v>0</v>
      </c>
      <c r="AP92" s="127">
        <f t="shared" si="42"/>
        <v>0</v>
      </c>
      <c r="AQ92" s="106">
        <v>0</v>
      </c>
      <c r="AR92" s="26">
        <v>0</v>
      </c>
      <c r="AS92" s="111">
        <v>0</v>
      </c>
      <c r="AT92" s="26">
        <v>0</v>
      </c>
      <c r="AU92" s="110">
        <v>0</v>
      </c>
      <c r="AV92" s="26">
        <v>0</v>
      </c>
      <c r="AW92" s="111">
        <v>0</v>
      </c>
      <c r="AX92" s="26">
        <v>0</v>
      </c>
      <c r="AY92" s="111">
        <v>0</v>
      </c>
      <c r="AZ92" s="26">
        <f t="shared" si="59"/>
        <v>0</v>
      </c>
      <c r="BA92" s="111">
        <v>0</v>
      </c>
      <c r="BB92" s="26">
        <f t="shared" si="60"/>
        <v>0</v>
      </c>
      <c r="BC92" s="111">
        <v>0</v>
      </c>
      <c r="BD92" s="26">
        <f t="shared" si="53"/>
        <v>0</v>
      </c>
      <c r="BE92" s="111">
        <v>0</v>
      </c>
      <c r="BF92" s="26">
        <v>0</v>
      </c>
      <c r="BG92" s="111">
        <v>0</v>
      </c>
      <c r="BH92" s="26">
        <v>0</v>
      </c>
      <c r="BI92" s="111">
        <f t="shared" si="33"/>
        <v>0</v>
      </c>
      <c r="BJ92" s="52">
        <f t="shared" si="51"/>
        <v>0</v>
      </c>
      <c r="BK92" s="135">
        <f t="shared" si="52"/>
        <v>0</v>
      </c>
      <c r="BL92" s="140">
        <f t="shared" si="40"/>
        <v>0</v>
      </c>
      <c r="BM92" s="281">
        <f t="shared" si="43"/>
        <v>0</v>
      </c>
      <c r="BN92" s="282"/>
      <c r="BO92" s="282"/>
      <c r="BP92" s="282"/>
      <c r="BQ92" s="282"/>
      <c r="BR92" s="283"/>
      <c r="BS92" s="147">
        <f t="shared" si="44"/>
        <v>0</v>
      </c>
      <c r="BT92" s="147">
        <f t="shared" si="45"/>
        <v>0</v>
      </c>
      <c r="BU92" s="288">
        <f t="shared" si="57"/>
        <v>0</v>
      </c>
      <c r="BV92" s="288"/>
      <c r="BW92" s="288"/>
      <c r="BX92" s="288"/>
      <c r="BY92" s="288">
        <f t="shared" si="46"/>
        <v>0</v>
      </c>
      <c r="BZ92" s="288"/>
      <c r="CA92" s="288"/>
      <c r="CB92" s="290">
        <f t="shared" si="58"/>
        <v>0</v>
      </c>
      <c r="CC92" s="290"/>
      <c r="CD92" s="290"/>
    </row>
    <row r="93" spans="1:135" ht="22.2" thickTop="1" thickBot="1" x14ac:dyDescent="0.35">
      <c r="A93" s="100">
        <v>3</v>
      </c>
      <c r="B93" s="100" t="s">
        <v>234</v>
      </c>
      <c r="C93" s="100" t="s">
        <v>203</v>
      </c>
      <c r="D93" s="102">
        <v>274</v>
      </c>
      <c r="E93" s="106">
        <v>0</v>
      </c>
      <c r="F93" s="90">
        <v>0</v>
      </c>
      <c r="G93" s="106">
        <v>0</v>
      </c>
      <c r="H93" s="90">
        <v>0</v>
      </c>
      <c r="I93" s="106">
        <v>0</v>
      </c>
      <c r="J93" s="90">
        <v>0</v>
      </c>
      <c r="K93" s="106">
        <v>0</v>
      </c>
      <c r="L93" s="90">
        <v>0</v>
      </c>
      <c r="M93" s="106">
        <v>0</v>
      </c>
      <c r="N93" s="90">
        <v>0</v>
      </c>
      <c r="O93" s="111">
        <v>0</v>
      </c>
      <c r="P93" s="26">
        <v>0</v>
      </c>
      <c r="Q93" s="111">
        <v>0</v>
      </c>
      <c r="R93" s="123">
        <v>0</v>
      </c>
      <c r="S93" s="111">
        <v>0</v>
      </c>
      <c r="T93" s="148">
        <v>0</v>
      </c>
      <c r="U93" s="111">
        <f t="shared" si="47"/>
        <v>0</v>
      </c>
      <c r="V93" s="52">
        <f t="shared" si="48"/>
        <v>0</v>
      </c>
      <c r="W93" s="172">
        <v>0</v>
      </c>
      <c r="X93" s="121">
        <v>0</v>
      </c>
      <c r="Y93" s="115">
        <v>0</v>
      </c>
      <c r="Z93" s="122">
        <v>0</v>
      </c>
      <c r="AA93" s="115">
        <v>0</v>
      </c>
      <c r="AB93" s="122">
        <v>0</v>
      </c>
      <c r="AC93" s="115">
        <v>0</v>
      </c>
      <c r="AD93" s="122">
        <v>0</v>
      </c>
      <c r="AE93" s="110">
        <v>0</v>
      </c>
      <c r="AF93" s="171">
        <v>0</v>
      </c>
      <c r="AG93" s="115">
        <v>0</v>
      </c>
      <c r="AH93" s="122">
        <v>0</v>
      </c>
      <c r="AI93" s="115">
        <v>0</v>
      </c>
      <c r="AJ93" s="122">
        <v>0</v>
      </c>
      <c r="AK93" s="111">
        <v>0</v>
      </c>
      <c r="AL93" s="171">
        <v>0</v>
      </c>
      <c r="AM93" s="111">
        <v>0</v>
      </c>
      <c r="AN93" s="122">
        <v>0</v>
      </c>
      <c r="AO93" s="110">
        <f t="shared" si="41"/>
        <v>0</v>
      </c>
      <c r="AP93" s="127">
        <f t="shared" si="42"/>
        <v>0</v>
      </c>
      <c r="AQ93" s="106">
        <v>0</v>
      </c>
      <c r="AR93" s="26">
        <v>0</v>
      </c>
      <c r="AS93" s="111">
        <v>0</v>
      </c>
      <c r="AT93" s="26">
        <v>0</v>
      </c>
      <c r="AU93" s="110">
        <v>0</v>
      </c>
      <c r="AV93" s="26">
        <v>0</v>
      </c>
      <c r="AW93" s="111">
        <v>0</v>
      </c>
      <c r="AX93" s="26">
        <v>0</v>
      </c>
      <c r="AY93" s="111">
        <v>0</v>
      </c>
      <c r="AZ93" s="26">
        <f t="shared" si="59"/>
        <v>0</v>
      </c>
      <c r="BA93" s="111">
        <v>0</v>
      </c>
      <c r="BB93" s="26">
        <f t="shared" si="60"/>
        <v>0</v>
      </c>
      <c r="BC93" s="111">
        <v>0</v>
      </c>
      <c r="BD93" s="26">
        <f t="shared" si="53"/>
        <v>0</v>
      </c>
      <c r="BE93" s="111">
        <v>0</v>
      </c>
      <c r="BF93" s="26">
        <v>0</v>
      </c>
      <c r="BG93" s="111">
        <v>2500</v>
      </c>
      <c r="BH93" s="26">
        <f>BG93*D93</f>
        <v>685000</v>
      </c>
      <c r="BI93" s="111">
        <f t="shared" si="33"/>
        <v>2500</v>
      </c>
      <c r="BJ93" s="52">
        <f t="shared" si="51"/>
        <v>685000</v>
      </c>
      <c r="BK93" s="135">
        <f t="shared" si="52"/>
        <v>2500</v>
      </c>
      <c r="BL93" s="140">
        <f t="shared" si="40"/>
        <v>685000</v>
      </c>
      <c r="BM93" s="281">
        <f t="shared" si="43"/>
        <v>625</v>
      </c>
      <c r="BN93" s="282"/>
      <c r="BO93" s="282"/>
      <c r="BP93" s="282"/>
      <c r="BQ93" s="282"/>
      <c r="BR93" s="283"/>
      <c r="BS93" s="147">
        <f t="shared" si="44"/>
        <v>250</v>
      </c>
      <c r="BT93" s="147">
        <f t="shared" si="45"/>
        <v>171250000</v>
      </c>
      <c r="BU93" s="288">
        <f t="shared" si="57"/>
        <v>239750</v>
      </c>
      <c r="BV93" s="288"/>
      <c r="BW93" s="288"/>
      <c r="BX93" s="288"/>
      <c r="BY93" s="288">
        <f t="shared" si="46"/>
        <v>3375</v>
      </c>
      <c r="BZ93" s="288"/>
      <c r="CA93" s="288"/>
      <c r="CB93" s="290">
        <f t="shared" si="58"/>
        <v>924750</v>
      </c>
      <c r="CC93" s="290"/>
      <c r="CD93" s="290"/>
    </row>
    <row r="94" spans="1:135" ht="43.2" thickTop="1" thickBot="1" x14ac:dyDescent="0.35">
      <c r="A94" s="100">
        <v>4</v>
      </c>
      <c r="B94" s="101" t="s">
        <v>235</v>
      </c>
      <c r="C94" s="100" t="s">
        <v>163</v>
      </c>
      <c r="D94" s="102">
        <v>1103</v>
      </c>
      <c r="E94" s="106">
        <v>0</v>
      </c>
      <c r="F94" s="90">
        <v>0</v>
      </c>
      <c r="G94" s="106">
        <v>0</v>
      </c>
      <c r="H94" s="90">
        <v>0</v>
      </c>
      <c r="I94" s="106">
        <v>0</v>
      </c>
      <c r="J94" s="90">
        <v>0</v>
      </c>
      <c r="K94" s="106">
        <v>0</v>
      </c>
      <c r="L94" s="90">
        <v>0</v>
      </c>
      <c r="M94" s="106">
        <v>0</v>
      </c>
      <c r="N94" s="90">
        <v>0</v>
      </c>
      <c r="O94" s="111">
        <v>0</v>
      </c>
      <c r="P94" s="26">
        <v>0</v>
      </c>
      <c r="Q94" s="111">
        <v>0</v>
      </c>
      <c r="R94" s="123">
        <v>0</v>
      </c>
      <c r="S94" s="111">
        <v>0</v>
      </c>
      <c r="T94" s="148">
        <v>0</v>
      </c>
      <c r="U94" s="111">
        <f t="shared" si="47"/>
        <v>0</v>
      </c>
      <c r="V94" s="52">
        <f t="shared" si="48"/>
        <v>0</v>
      </c>
      <c r="W94" s="172">
        <v>0</v>
      </c>
      <c r="X94" s="121">
        <v>0</v>
      </c>
      <c r="Y94" s="115">
        <v>0</v>
      </c>
      <c r="Z94" s="122">
        <v>0</v>
      </c>
      <c r="AA94" s="115">
        <v>0</v>
      </c>
      <c r="AB94" s="122">
        <v>0</v>
      </c>
      <c r="AC94" s="115">
        <v>0</v>
      </c>
      <c r="AD94" s="122">
        <v>0</v>
      </c>
      <c r="AE94" s="110">
        <v>0</v>
      </c>
      <c r="AF94" s="171">
        <v>0</v>
      </c>
      <c r="AG94" s="115">
        <v>0</v>
      </c>
      <c r="AH94" s="122">
        <v>0</v>
      </c>
      <c r="AI94" s="115">
        <v>0</v>
      </c>
      <c r="AJ94" s="122">
        <v>0</v>
      </c>
      <c r="AK94" s="111">
        <v>0</v>
      </c>
      <c r="AL94" s="171">
        <v>0</v>
      </c>
      <c r="AM94" s="111">
        <v>0</v>
      </c>
      <c r="AN94" s="122">
        <v>0</v>
      </c>
      <c r="AO94" s="110">
        <f t="shared" si="41"/>
        <v>0</v>
      </c>
      <c r="AP94" s="127">
        <f t="shared" si="42"/>
        <v>0</v>
      </c>
      <c r="AQ94" s="106">
        <v>0</v>
      </c>
      <c r="AR94" s="26">
        <v>0</v>
      </c>
      <c r="AS94" s="111">
        <v>0</v>
      </c>
      <c r="AT94" s="26">
        <v>0</v>
      </c>
      <c r="AU94" s="110">
        <v>0</v>
      </c>
      <c r="AV94" s="26">
        <v>0</v>
      </c>
      <c r="AW94" s="111">
        <v>0</v>
      </c>
      <c r="AX94" s="26">
        <v>0</v>
      </c>
      <c r="AY94" s="111">
        <v>0</v>
      </c>
      <c r="AZ94" s="26">
        <f t="shared" si="59"/>
        <v>0</v>
      </c>
      <c r="BA94" s="111">
        <v>0</v>
      </c>
      <c r="BB94" s="26">
        <f t="shared" si="60"/>
        <v>0</v>
      </c>
      <c r="BC94" s="111">
        <v>0</v>
      </c>
      <c r="BD94" s="26">
        <f t="shared" si="53"/>
        <v>0</v>
      </c>
      <c r="BE94" s="111">
        <v>0</v>
      </c>
      <c r="BF94" s="26">
        <v>0</v>
      </c>
      <c r="BG94" s="111">
        <v>0</v>
      </c>
      <c r="BH94" s="26">
        <v>0</v>
      </c>
      <c r="BI94" s="111">
        <f t="shared" si="33"/>
        <v>0</v>
      </c>
      <c r="BJ94" s="52">
        <f t="shared" si="51"/>
        <v>0</v>
      </c>
      <c r="BK94" s="135">
        <f t="shared" si="52"/>
        <v>0</v>
      </c>
      <c r="BL94" s="140">
        <f t="shared" si="40"/>
        <v>0</v>
      </c>
      <c r="BM94" s="281">
        <f t="shared" si="43"/>
        <v>0</v>
      </c>
      <c r="BN94" s="282"/>
      <c r="BO94" s="282"/>
      <c r="BP94" s="282"/>
      <c r="BQ94" s="282"/>
      <c r="BR94" s="283"/>
      <c r="BS94" s="147">
        <f t="shared" si="44"/>
        <v>0</v>
      </c>
      <c r="BT94" s="147">
        <f t="shared" si="45"/>
        <v>0</v>
      </c>
      <c r="BU94" s="288">
        <f t="shared" si="57"/>
        <v>0</v>
      </c>
      <c r="BV94" s="288"/>
      <c r="BW94" s="288"/>
      <c r="BX94" s="288"/>
      <c r="BY94" s="288">
        <f t="shared" si="46"/>
        <v>0</v>
      </c>
      <c r="BZ94" s="288"/>
      <c r="CA94" s="288"/>
      <c r="CB94" s="290">
        <f t="shared" si="58"/>
        <v>0</v>
      </c>
      <c r="CC94" s="290"/>
      <c r="CD94" s="290"/>
    </row>
    <row r="95" spans="1:135" ht="43.2" thickTop="1" thickBot="1" x14ac:dyDescent="0.35">
      <c r="A95" s="100">
        <v>5</v>
      </c>
      <c r="B95" s="185" t="s">
        <v>236</v>
      </c>
      <c r="C95" s="186" t="s">
        <v>163</v>
      </c>
      <c r="D95" s="187">
        <v>4353</v>
      </c>
      <c r="E95" s="106">
        <v>0</v>
      </c>
      <c r="F95" s="90">
        <v>0</v>
      </c>
      <c r="G95" s="106">
        <v>0</v>
      </c>
      <c r="H95" s="90">
        <v>0</v>
      </c>
      <c r="I95" s="106">
        <v>0</v>
      </c>
      <c r="J95" s="90">
        <v>0</v>
      </c>
      <c r="K95" s="106">
        <v>0</v>
      </c>
      <c r="L95" s="90">
        <v>0</v>
      </c>
      <c r="M95" s="106">
        <v>0</v>
      </c>
      <c r="N95" s="90">
        <v>0</v>
      </c>
      <c r="O95" s="111">
        <v>0</v>
      </c>
      <c r="P95" s="26">
        <v>0</v>
      </c>
      <c r="Q95" s="111">
        <v>0</v>
      </c>
      <c r="R95" s="123">
        <v>0</v>
      </c>
      <c r="S95" s="111">
        <v>0</v>
      </c>
      <c r="T95" s="148">
        <v>0</v>
      </c>
      <c r="U95" s="114">
        <f t="shared" si="47"/>
        <v>0</v>
      </c>
      <c r="V95" s="130">
        <f t="shared" si="48"/>
        <v>0</v>
      </c>
      <c r="W95" s="172">
        <v>0</v>
      </c>
      <c r="X95" s="121">
        <v>0</v>
      </c>
      <c r="Y95" s="115">
        <v>0</v>
      </c>
      <c r="Z95" s="122">
        <v>0</v>
      </c>
      <c r="AA95" s="115">
        <v>0</v>
      </c>
      <c r="AB95" s="122">
        <v>0</v>
      </c>
      <c r="AC95" s="115">
        <v>0</v>
      </c>
      <c r="AD95" s="122">
        <v>0</v>
      </c>
      <c r="AE95" s="110">
        <v>0</v>
      </c>
      <c r="AF95" s="171">
        <v>0</v>
      </c>
      <c r="AG95" s="115">
        <v>0</v>
      </c>
      <c r="AH95" s="122">
        <v>0</v>
      </c>
      <c r="AI95" s="115">
        <v>0</v>
      </c>
      <c r="AJ95" s="122">
        <v>0</v>
      </c>
      <c r="AK95" s="111">
        <v>0</v>
      </c>
      <c r="AL95" s="171">
        <v>0</v>
      </c>
      <c r="AM95" s="111">
        <v>0</v>
      </c>
      <c r="AN95" s="122">
        <v>0</v>
      </c>
      <c r="AO95" s="110">
        <f t="shared" si="41"/>
        <v>0</v>
      </c>
      <c r="AP95" s="127">
        <f t="shared" si="42"/>
        <v>0</v>
      </c>
      <c r="AQ95" s="106">
        <v>0</v>
      </c>
      <c r="AR95" s="26">
        <v>0</v>
      </c>
      <c r="AS95" s="111">
        <v>0</v>
      </c>
      <c r="AT95" s="26">
        <v>0</v>
      </c>
      <c r="AU95" s="110">
        <v>0</v>
      </c>
      <c r="AV95" s="26">
        <v>0</v>
      </c>
      <c r="AW95" s="111">
        <v>0</v>
      </c>
      <c r="AX95" s="26">
        <v>0</v>
      </c>
      <c r="AY95" s="111">
        <v>0</v>
      </c>
      <c r="AZ95" s="26">
        <f t="shared" si="59"/>
        <v>0</v>
      </c>
      <c r="BA95" s="111">
        <v>0</v>
      </c>
      <c r="BB95" s="26">
        <f t="shared" si="60"/>
        <v>0</v>
      </c>
      <c r="BC95" s="111">
        <v>0</v>
      </c>
      <c r="BD95" s="26">
        <f t="shared" si="53"/>
        <v>0</v>
      </c>
      <c r="BE95" s="111">
        <v>0</v>
      </c>
      <c r="BF95" s="26">
        <v>0</v>
      </c>
      <c r="BG95" s="111">
        <v>0</v>
      </c>
      <c r="BH95" s="26">
        <v>0</v>
      </c>
      <c r="BI95" s="111">
        <f t="shared" si="33"/>
        <v>0</v>
      </c>
      <c r="BJ95" s="52">
        <f t="shared" si="51"/>
        <v>0</v>
      </c>
      <c r="BK95" s="135">
        <f t="shared" si="52"/>
        <v>0</v>
      </c>
      <c r="BL95" s="140">
        <f t="shared" si="40"/>
        <v>0</v>
      </c>
      <c r="BM95" s="281">
        <f t="shared" si="43"/>
        <v>0</v>
      </c>
      <c r="BN95" s="282"/>
      <c r="BO95" s="282"/>
      <c r="BP95" s="282"/>
      <c r="BQ95" s="282"/>
      <c r="BR95" s="283"/>
      <c r="BS95" s="147">
        <f t="shared" si="44"/>
        <v>0</v>
      </c>
      <c r="BT95" s="147">
        <f t="shared" si="45"/>
        <v>0</v>
      </c>
      <c r="BU95" s="288">
        <f t="shared" si="57"/>
        <v>0</v>
      </c>
      <c r="BV95" s="288"/>
      <c r="BW95" s="288"/>
      <c r="BX95" s="288"/>
      <c r="BY95" s="288">
        <f t="shared" si="46"/>
        <v>0</v>
      </c>
      <c r="BZ95" s="288"/>
      <c r="CA95" s="288"/>
      <c r="CB95" s="290">
        <f t="shared" si="58"/>
        <v>0</v>
      </c>
      <c r="CC95" s="290"/>
      <c r="CD95" s="290"/>
    </row>
    <row r="96" spans="1:135" ht="22.2" thickTop="1" thickBot="1" x14ac:dyDescent="0.35">
      <c r="A96" s="188"/>
      <c r="B96" s="189" t="s">
        <v>373</v>
      </c>
      <c r="C96" s="210" t="s">
        <v>384</v>
      </c>
      <c r="D96" s="211"/>
      <c r="E96" s="106">
        <v>0</v>
      </c>
      <c r="F96" s="90">
        <v>0</v>
      </c>
      <c r="G96" s="106">
        <v>0</v>
      </c>
      <c r="H96" s="90">
        <v>0</v>
      </c>
      <c r="I96" s="106">
        <v>0</v>
      </c>
      <c r="J96" s="90">
        <v>0</v>
      </c>
      <c r="K96" s="106">
        <v>0</v>
      </c>
      <c r="L96" s="90">
        <v>0</v>
      </c>
      <c r="M96" s="106">
        <v>0</v>
      </c>
      <c r="N96" s="90">
        <v>0</v>
      </c>
      <c r="O96" s="111">
        <v>0</v>
      </c>
      <c r="P96" s="26">
        <v>0</v>
      </c>
      <c r="Q96" s="111">
        <v>0</v>
      </c>
      <c r="R96" s="123">
        <v>0</v>
      </c>
      <c r="S96" s="107">
        <v>0</v>
      </c>
      <c r="T96" s="123">
        <v>0</v>
      </c>
      <c r="U96" s="107">
        <f t="shared" si="47"/>
        <v>0</v>
      </c>
      <c r="V96" s="131">
        <v>0</v>
      </c>
      <c r="W96" s="172">
        <v>0</v>
      </c>
      <c r="X96" s="121">
        <v>0</v>
      </c>
      <c r="Y96" s="115">
        <v>0</v>
      </c>
      <c r="Z96" s="122">
        <v>0</v>
      </c>
      <c r="AA96" s="115">
        <v>0</v>
      </c>
      <c r="AB96" s="122">
        <v>0</v>
      </c>
      <c r="AC96" s="115">
        <v>0</v>
      </c>
      <c r="AD96" s="122">
        <v>0</v>
      </c>
      <c r="AE96" s="110">
        <v>0</v>
      </c>
      <c r="AF96" s="171">
        <v>0</v>
      </c>
      <c r="AG96" s="115">
        <v>0</v>
      </c>
      <c r="AH96" s="122">
        <v>0</v>
      </c>
      <c r="AI96" s="115">
        <v>0</v>
      </c>
      <c r="AJ96" s="122">
        <v>0</v>
      </c>
      <c r="AK96" s="111">
        <v>0</v>
      </c>
      <c r="AL96" s="171">
        <v>0</v>
      </c>
      <c r="AM96" s="111">
        <v>0</v>
      </c>
      <c r="AN96" s="122">
        <v>0</v>
      </c>
      <c r="AO96" s="107">
        <v>0</v>
      </c>
      <c r="AP96" s="131">
        <v>0</v>
      </c>
      <c r="AQ96" s="190">
        <v>0</v>
      </c>
      <c r="AR96" s="123">
        <v>0</v>
      </c>
      <c r="AS96" s="107">
        <v>0</v>
      </c>
      <c r="AT96" s="123">
        <v>0</v>
      </c>
      <c r="AU96" s="107">
        <v>0</v>
      </c>
      <c r="AV96" s="123">
        <v>0</v>
      </c>
      <c r="AW96" s="107">
        <v>0</v>
      </c>
      <c r="AX96" s="123">
        <v>0</v>
      </c>
      <c r="AY96" s="107">
        <v>0</v>
      </c>
      <c r="AZ96" s="123">
        <v>0</v>
      </c>
      <c r="BA96" s="107">
        <v>0</v>
      </c>
      <c r="BB96" s="123">
        <v>0</v>
      </c>
      <c r="BC96" s="107">
        <v>0</v>
      </c>
      <c r="BD96" s="123">
        <v>0</v>
      </c>
      <c r="BE96" s="107">
        <v>0</v>
      </c>
      <c r="BF96" s="123">
        <v>0</v>
      </c>
      <c r="BG96" s="107">
        <v>0</v>
      </c>
      <c r="BH96" s="123">
        <v>0</v>
      </c>
      <c r="BI96" s="107">
        <f t="shared" si="33"/>
        <v>0</v>
      </c>
      <c r="BJ96" s="131"/>
      <c r="BK96" s="119">
        <v>0</v>
      </c>
      <c r="BL96" s="141">
        <f>75000000*1.5</f>
        <v>112500000</v>
      </c>
      <c r="BM96" s="65"/>
      <c r="BN96" s="65"/>
      <c r="BO96" s="65"/>
      <c r="BP96" s="65"/>
      <c r="BQ96" s="65"/>
      <c r="BR96" s="65"/>
      <c r="BS96" s="65"/>
      <c r="BT96" s="65"/>
      <c r="BU96" s="64"/>
      <c r="BV96" s="64"/>
      <c r="BW96" s="64"/>
      <c r="BX96" s="64"/>
      <c r="BY96" s="64"/>
      <c r="BZ96" s="64"/>
      <c r="CA96" s="64"/>
      <c r="CB96" s="64"/>
      <c r="CC96" s="64"/>
      <c r="CD96" s="64"/>
    </row>
    <row r="97" spans="1:135" ht="22.2" thickTop="1" thickBot="1" x14ac:dyDescent="0.35">
      <c r="A97" s="188"/>
      <c r="B97" s="191" t="s">
        <v>398</v>
      </c>
      <c r="C97" s="212" t="s">
        <v>384</v>
      </c>
      <c r="D97" s="213"/>
      <c r="E97" s="106">
        <v>0</v>
      </c>
      <c r="F97" s="90">
        <v>0</v>
      </c>
      <c r="G97" s="106">
        <v>0</v>
      </c>
      <c r="H97" s="90">
        <v>0</v>
      </c>
      <c r="I97" s="106">
        <v>0</v>
      </c>
      <c r="J97" s="90">
        <v>0</v>
      </c>
      <c r="K97" s="106">
        <v>0</v>
      </c>
      <c r="L97" s="90">
        <v>0</v>
      </c>
      <c r="M97" s="106">
        <v>0</v>
      </c>
      <c r="N97" s="90">
        <v>0</v>
      </c>
      <c r="O97" s="111">
        <v>0</v>
      </c>
      <c r="P97" s="26">
        <v>0</v>
      </c>
      <c r="Q97" s="111">
        <v>0</v>
      </c>
      <c r="R97" s="123">
        <v>0</v>
      </c>
      <c r="S97" s="107">
        <v>0</v>
      </c>
      <c r="T97" s="123">
        <v>0</v>
      </c>
      <c r="U97" s="107">
        <f t="shared" si="47"/>
        <v>0</v>
      </c>
      <c r="V97" s="131">
        <v>0</v>
      </c>
      <c r="W97" s="172">
        <v>0</v>
      </c>
      <c r="X97" s="121">
        <v>0</v>
      </c>
      <c r="Y97" s="115">
        <v>0</v>
      </c>
      <c r="Z97" s="122">
        <v>0</v>
      </c>
      <c r="AA97" s="115">
        <v>0</v>
      </c>
      <c r="AB97" s="122">
        <v>0</v>
      </c>
      <c r="AC97" s="115">
        <v>0</v>
      </c>
      <c r="AD97" s="122">
        <v>0</v>
      </c>
      <c r="AE97" s="110">
        <v>0</v>
      </c>
      <c r="AF97" s="171">
        <v>0</v>
      </c>
      <c r="AG97" s="115">
        <v>0</v>
      </c>
      <c r="AH97" s="122">
        <v>0</v>
      </c>
      <c r="AI97" s="115">
        <v>0</v>
      </c>
      <c r="AJ97" s="122">
        <v>0</v>
      </c>
      <c r="AK97" s="111">
        <v>0</v>
      </c>
      <c r="AL97" s="171">
        <v>0</v>
      </c>
      <c r="AM97" s="111">
        <v>0</v>
      </c>
      <c r="AN97" s="122">
        <v>0</v>
      </c>
      <c r="AO97" s="115">
        <v>0</v>
      </c>
      <c r="AP97" s="132">
        <v>0</v>
      </c>
      <c r="AQ97" s="190">
        <v>0</v>
      </c>
      <c r="AR97" s="123">
        <v>0</v>
      </c>
      <c r="AS97" s="107">
        <v>0</v>
      </c>
      <c r="AT97" s="123">
        <v>0</v>
      </c>
      <c r="AU97" s="107">
        <v>0</v>
      </c>
      <c r="AV97" s="123">
        <v>0</v>
      </c>
      <c r="AW97" s="107">
        <v>0</v>
      </c>
      <c r="AX97" s="123">
        <v>0</v>
      </c>
      <c r="AY97" s="107">
        <v>0</v>
      </c>
      <c r="AZ97" s="123">
        <v>0</v>
      </c>
      <c r="BA97" s="107">
        <v>0</v>
      </c>
      <c r="BB97" s="123">
        <v>0</v>
      </c>
      <c r="BC97" s="107">
        <v>0</v>
      </c>
      <c r="BD97" s="123">
        <v>0</v>
      </c>
      <c r="BE97" s="107">
        <v>0</v>
      </c>
      <c r="BF97" s="123">
        <v>0</v>
      </c>
      <c r="BG97" s="107">
        <v>0</v>
      </c>
      <c r="BH97" s="123">
        <v>0</v>
      </c>
      <c r="BI97" s="107">
        <v>0</v>
      </c>
      <c r="BJ97" s="131">
        <v>0</v>
      </c>
      <c r="BK97" s="119">
        <v>0</v>
      </c>
      <c r="BL97" s="141">
        <f>55000000*1.5</f>
        <v>82500000</v>
      </c>
      <c r="BM97" s="68"/>
      <c r="BN97" s="68"/>
      <c r="BO97" s="68"/>
      <c r="BP97" s="68"/>
      <c r="BQ97" s="68"/>
      <c r="BR97" s="68"/>
      <c r="BS97" s="68"/>
      <c r="BT97" s="68"/>
      <c r="BU97" s="66"/>
      <c r="BV97" s="66"/>
      <c r="BW97" s="66"/>
      <c r="BX97" s="66"/>
      <c r="BY97" s="66"/>
      <c r="BZ97" s="66"/>
      <c r="CA97" s="66"/>
      <c r="CB97" s="66"/>
      <c r="CC97" s="66"/>
      <c r="CD97" s="66"/>
    </row>
    <row r="98" spans="1:135" s="195" customFormat="1" ht="37.200000000000003" thickBot="1" x14ac:dyDescent="0.35">
      <c r="A98" s="214" t="s">
        <v>403</v>
      </c>
      <c r="B98" s="215"/>
      <c r="C98" s="215"/>
      <c r="D98" s="216"/>
      <c r="E98" s="192"/>
      <c r="F98" s="192">
        <f t="shared" ref="F98:BI98" si="61">SUM(F6:F97)</f>
        <v>2970102</v>
      </c>
      <c r="G98" s="192"/>
      <c r="H98" s="192">
        <f t="shared" si="61"/>
        <v>3865714</v>
      </c>
      <c r="I98" s="192"/>
      <c r="J98" s="192">
        <f t="shared" si="61"/>
        <v>2081996</v>
      </c>
      <c r="K98" s="192">
        <f t="shared" si="61"/>
        <v>980</v>
      </c>
      <c r="L98" s="192">
        <f t="shared" si="61"/>
        <v>2166940</v>
      </c>
      <c r="M98" s="192">
        <v>0</v>
      </c>
      <c r="N98" s="192">
        <f t="shared" si="61"/>
        <v>435000</v>
      </c>
      <c r="O98" s="192">
        <v>0</v>
      </c>
      <c r="P98" s="192">
        <f t="shared" si="61"/>
        <v>16457041.550000001</v>
      </c>
      <c r="Q98" s="192">
        <v>0</v>
      </c>
      <c r="R98" s="192">
        <f t="shared" si="61"/>
        <v>53422.545454545456</v>
      </c>
      <c r="S98" s="192">
        <v>0</v>
      </c>
      <c r="T98" s="192">
        <f t="shared" si="61"/>
        <v>9165992</v>
      </c>
      <c r="U98" s="192">
        <v>0</v>
      </c>
      <c r="V98" s="192">
        <f t="shared" si="61"/>
        <v>34572778.545454547</v>
      </c>
      <c r="W98" s="192">
        <f t="shared" si="61"/>
        <v>250</v>
      </c>
      <c r="X98" s="192">
        <f t="shared" si="61"/>
        <v>2168000</v>
      </c>
      <c r="Y98" s="192">
        <f t="shared" si="61"/>
        <v>22</v>
      </c>
      <c r="Z98" s="192">
        <f t="shared" si="61"/>
        <v>2808520</v>
      </c>
      <c r="AA98" s="192">
        <f t="shared" si="61"/>
        <v>23.98</v>
      </c>
      <c r="AB98" s="192">
        <f t="shared" si="61"/>
        <v>781628.1</v>
      </c>
      <c r="AC98" s="192">
        <f t="shared" si="61"/>
        <v>18.5</v>
      </c>
      <c r="AD98" s="192">
        <f t="shared" si="61"/>
        <v>2361710</v>
      </c>
      <c r="AE98" s="192">
        <f t="shared" si="61"/>
        <v>16.239999999999998</v>
      </c>
      <c r="AF98" s="192">
        <f t="shared" si="61"/>
        <v>529342.79999999993</v>
      </c>
      <c r="AG98" s="192">
        <f t="shared" si="61"/>
        <v>0</v>
      </c>
      <c r="AH98" s="192">
        <f t="shared" si="61"/>
        <v>0</v>
      </c>
      <c r="AI98" s="192">
        <f t="shared" si="61"/>
        <v>0</v>
      </c>
      <c r="AJ98" s="192">
        <f t="shared" si="61"/>
        <v>0</v>
      </c>
      <c r="AK98" s="192">
        <f t="shared" si="61"/>
        <v>581.72</v>
      </c>
      <c r="AL98" s="192">
        <f t="shared" si="61"/>
        <v>4733171.24</v>
      </c>
      <c r="AM98" s="192">
        <f t="shared" si="61"/>
        <v>5</v>
      </c>
      <c r="AN98" s="192">
        <f t="shared" si="61"/>
        <v>0</v>
      </c>
      <c r="AO98" s="192">
        <f t="shared" si="61"/>
        <v>912.44</v>
      </c>
      <c r="AP98" s="192">
        <f t="shared" si="61"/>
        <v>13382372.140000001</v>
      </c>
      <c r="AQ98" s="192">
        <f t="shared" si="61"/>
        <v>2427.73</v>
      </c>
      <c r="AR98" s="192">
        <f t="shared" si="61"/>
        <v>19223926.75</v>
      </c>
      <c r="AS98" s="192">
        <f t="shared" si="61"/>
        <v>8800</v>
      </c>
      <c r="AT98" s="192">
        <f t="shared" si="61"/>
        <v>70780500</v>
      </c>
      <c r="AU98" s="192">
        <f t="shared" si="61"/>
        <v>80089</v>
      </c>
      <c r="AV98" s="192">
        <f t="shared" si="61"/>
        <v>227168594</v>
      </c>
      <c r="AW98" s="192">
        <f t="shared" si="61"/>
        <v>33.822945613338625</v>
      </c>
      <c r="AX98" s="192">
        <f t="shared" si="61"/>
        <v>455576.8558951965</v>
      </c>
      <c r="AY98" s="192">
        <f t="shared" si="61"/>
        <v>142.15</v>
      </c>
      <c r="AZ98" s="192">
        <f t="shared" si="61"/>
        <v>792165.15</v>
      </c>
      <c r="BA98" s="192">
        <f t="shared" si="61"/>
        <v>502.98</v>
      </c>
      <c r="BB98" s="192">
        <f t="shared" si="61"/>
        <v>2772213</v>
      </c>
      <c r="BC98" s="192">
        <f t="shared" si="61"/>
        <v>341.4</v>
      </c>
      <c r="BD98" s="192">
        <f t="shared" si="61"/>
        <v>5830150</v>
      </c>
      <c r="BE98" s="192">
        <f t="shared" si="61"/>
        <v>5310</v>
      </c>
      <c r="BF98" s="192">
        <f t="shared" si="61"/>
        <v>6429230</v>
      </c>
      <c r="BG98" s="192">
        <f t="shared" si="61"/>
        <v>265921.67300000001</v>
      </c>
      <c r="BH98" s="192">
        <f t="shared" si="61"/>
        <v>84851412.541999996</v>
      </c>
      <c r="BI98" s="193">
        <f t="shared" si="61"/>
        <v>278664.39594561333</v>
      </c>
      <c r="BJ98" s="193">
        <f>SUM(BJ6:BJ95)</f>
        <v>173336194.09789518</v>
      </c>
      <c r="BK98" s="194">
        <f>SUM(BK6:BK95)</f>
        <v>370232.44321834063</v>
      </c>
      <c r="BL98" s="310">
        <f>SUM(BL6:BL97)</f>
        <v>421819758.33334976</v>
      </c>
      <c r="BS98" s="195">
        <f t="shared" si="44"/>
        <v>37023.244321834063</v>
      </c>
      <c r="BZ98" s="196"/>
      <c r="CA98" s="196"/>
      <c r="CB98" s="292">
        <f>SUM(CB6:CD95)</f>
        <v>296944942.05002213</v>
      </c>
      <c r="CC98" s="293"/>
      <c r="CD98" s="293"/>
      <c r="CE98" s="157"/>
      <c r="CF98" s="157"/>
      <c r="CG98" s="157"/>
      <c r="CH98" s="157"/>
      <c r="CI98" s="157"/>
      <c r="CJ98" s="157"/>
      <c r="CK98" s="157"/>
      <c r="CL98" s="157"/>
      <c r="CM98" s="157"/>
      <c r="CN98" s="157"/>
      <c r="CO98" s="157"/>
      <c r="CP98" s="157"/>
      <c r="CQ98" s="157"/>
      <c r="CR98" s="157"/>
      <c r="CS98" s="157"/>
      <c r="CT98" s="157"/>
      <c r="CU98" s="157"/>
      <c r="CV98" s="157"/>
      <c r="CW98" s="157"/>
      <c r="CX98" s="157"/>
      <c r="CY98" s="157"/>
      <c r="CZ98" s="157"/>
      <c r="DA98" s="157"/>
      <c r="DB98" s="157"/>
      <c r="DC98" s="157"/>
      <c r="DD98" s="157"/>
      <c r="DE98" s="157"/>
      <c r="DF98" s="157"/>
      <c r="DG98" s="157"/>
      <c r="DH98" s="157"/>
      <c r="DI98" s="157"/>
      <c r="DJ98" s="157"/>
      <c r="DK98" s="157"/>
      <c r="DL98" s="157"/>
      <c r="DM98" s="157"/>
      <c r="DN98" s="157"/>
      <c r="DO98" s="157"/>
      <c r="DP98" s="157"/>
      <c r="DQ98" s="157"/>
      <c r="DR98" s="157"/>
      <c r="DS98" s="157"/>
      <c r="DT98" s="157"/>
      <c r="DU98" s="157"/>
      <c r="DV98" s="157"/>
      <c r="DW98" s="157"/>
      <c r="DX98" s="157"/>
      <c r="DY98" s="157"/>
      <c r="DZ98" s="157"/>
      <c r="EA98" s="157"/>
      <c r="EB98" s="157"/>
      <c r="EC98" s="157"/>
      <c r="ED98" s="157"/>
      <c r="EE98" s="157"/>
    </row>
    <row r="99" spans="1:135" ht="21.6" thickTop="1" x14ac:dyDescent="0.3">
      <c r="E99" s="197"/>
      <c r="F99" s="197"/>
      <c r="G99" s="197"/>
      <c r="H99" s="197"/>
      <c r="I99" s="197"/>
      <c r="J99" s="197"/>
      <c r="K99" s="197"/>
      <c r="L99" s="197"/>
      <c r="M99" s="197"/>
      <c r="N99" s="197"/>
      <c r="O99" s="197"/>
      <c r="P99" s="197"/>
      <c r="Q99" s="197"/>
      <c r="R99" s="197"/>
      <c r="S99" s="197"/>
      <c r="T99" s="197"/>
      <c r="U99" s="197"/>
      <c r="V99" s="197"/>
      <c r="W99" s="197"/>
      <c r="X99" s="197"/>
      <c r="Y99" s="197"/>
      <c r="Z99" s="197"/>
      <c r="AA99" s="197"/>
      <c r="AB99" s="197"/>
      <c r="AC99" s="197"/>
      <c r="AD99" s="197"/>
      <c r="AE99" s="197"/>
      <c r="AF99" s="197"/>
      <c r="AG99" s="197"/>
      <c r="AH99" s="197"/>
      <c r="AI99" s="197"/>
      <c r="AJ99" s="197"/>
      <c r="AK99" s="197"/>
      <c r="AL99" s="197"/>
      <c r="AM99" s="197"/>
      <c r="AN99" s="197"/>
      <c r="AO99" s="197"/>
      <c r="AP99" s="197"/>
      <c r="AQ99" s="197"/>
      <c r="AR99" s="197"/>
      <c r="AS99" s="197"/>
      <c r="AT99" s="197"/>
      <c r="AU99" s="197"/>
      <c r="AV99" s="197"/>
      <c r="AW99" s="197"/>
      <c r="AX99" s="197"/>
      <c r="AY99" s="197"/>
      <c r="AZ99" s="197"/>
      <c r="BA99" s="197"/>
      <c r="BB99" s="197"/>
      <c r="BC99" s="197"/>
      <c r="BD99" s="197"/>
      <c r="BE99" s="197"/>
      <c r="BF99" s="197"/>
      <c r="BG99" s="197"/>
      <c r="BH99" s="197"/>
      <c r="BI99" s="197"/>
      <c r="BJ99" s="197"/>
      <c r="BK99" s="197"/>
      <c r="BL99" s="198"/>
      <c r="BM99" s="197"/>
      <c r="BN99" s="197"/>
      <c r="BO99" s="197"/>
      <c r="BP99" s="197"/>
      <c r="BQ99" s="197"/>
      <c r="BR99" s="197"/>
      <c r="BS99" s="197"/>
      <c r="BT99" s="197"/>
      <c r="BU99" s="197"/>
      <c r="BV99" s="197"/>
      <c r="BW99" s="197"/>
      <c r="BX99" s="197"/>
      <c r="BY99" s="197"/>
      <c r="BZ99" s="199"/>
      <c r="CA99" s="199"/>
      <c r="CB99" s="197"/>
    </row>
    <row r="100" spans="1:135" x14ac:dyDescent="0.3">
      <c r="E100" s="197"/>
      <c r="F100" s="197"/>
      <c r="G100" s="197"/>
      <c r="H100" s="197"/>
      <c r="I100" s="197"/>
      <c r="J100" s="197"/>
      <c r="K100" s="197"/>
      <c r="L100" s="197"/>
      <c r="M100" s="197"/>
      <c r="N100" s="197"/>
      <c r="O100" s="197"/>
      <c r="P100" s="197"/>
      <c r="Q100" s="197"/>
      <c r="R100" s="197"/>
      <c r="S100" s="197"/>
      <c r="T100" s="197"/>
      <c r="U100" s="197"/>
      <c r="V100" s="197"/>
      <c r="W100" s="197"/>
      <c r="X100" s="197"/>
      <c r="Y100" s="197"/>
      <c r="Z100" s="197"/>
      <c r="AA100" s="197"/>
      <c r="AB100" s="197"/>
      <c r="AC100" s="197"/>
      <c r="AD100" s="197"/>
      <c r="AE100" s="197"/>
      <c r="AF100" s="197"/>
      <c r="AG100" s="197"/>
      <c r="AH100" s="197"/>
      <c r="AI100" s="197"/>
      <c r="AJ100" s="197"/>
      <c r="AK100" s="197"/>
      <c r="AL100" s="197"/>
      <c r="AM100" s="197"/>
      <c r="AN100" s="197"/>
      <c r="AO100" s="197"/>
      <c r="AP100" s="197"/>
      <c r="AQ100" s="197"/>
      <c r="AR100" s="197"/>
      <c r="AS100" s="197"/>
      <c r="AT100" s="197"/>
      <c r="AU100" s="197"/>
      <c r="AV100" s="197"/>
      <c r="AW100" s="197"/>
      <c r="AX100" s="197"/>
      <c r="AY100" s="197"/>
      <c r="AZ100" s="197"/>
      <c r="BA100" s="197"/>
      <c r="BB100" s="197"/>
      <c r="BC100" s="197"/>
      <c r="BD100" s="197"/>
      <c r="BE100" s="197"/>
      <c r="BF100" s="197"/>
      <c r="BG100" s="197"/>
      <c r="BH100" s="197"/>
      <c r="BI100" s="197"/>
      <c r="BJ100" s="197"/>
      <c r="BK100" s="197"/>
      <c r="BL100" s="198"/>
      <c r="BM100" s="197"/>
      <c r="BN100" s="197"/>
      <c r="BO100" s="197"/>
      <c r="BP100" s="197"/>
      <c r="BQ100" s="197"/>
      <c r="BR100" s="197"/>
      <c r="BS100" s="197"/>
      <c r="BT100" s="197"/>
      <c r="BU100" s="197"/>
      <c r="BV100" s="197"/>
      <c r="BW100" s="197"/>
      <c r="BX100" s="197"/>
      <c r="BY100" s="197"/>
      <c r="BZ100" s="199"/>
      <c r="CA100" s="199"/>
      <c r="CB100" s="197"/>
    </row>
    <row r="101" spans="1:135" x14ac:dyDescent="0.3">
      <c r="E101" s="197"/>
      <c r="F101" s="197"/>
      <c r="G101" s="197"/>
      <c r="H101" s="197"/>
      <c r="I101" s="197"/>
      <c r="J101" s="197"/>
      <c r="K101" s="197"/>
      <c r="L101" s="197"/>
      <c r="M101" s="197"/>
      <c r="N101" s="197"/>
      <c r="O101" s="197"/>
      <c r="P101" s="197"/>
      <c r="Q101" s="197"/>
      <c r="R101" s="197"/>
      <c r="S101" s="197"/>
      <c r="T101" s="197"/>
      <c r="U101" s="197"/>
      <c r="V101" s="197"/>
      <c r="W101" s="197"/>
      <c r="X101" s="197"/>
      <c r="Y101" s="197"/>
      <c r="Z101" s="197"/>
      <c r="AA101" s="197"/>
      <c r="AB101" s="197"/>
      <c r="AC101" s="197"/>
      <c r="AD101" s="197"/>
      <c r="AE101" s="197"/>
      <c r="AF101" s="197"/>
      <c r="AG101" s="197"/>
      <c r="AH101" s="197"/>
      <c r="AI101" s="197"/>
      <c r="AJ101" s="197"/>
      <c r="AK101" s="197"/>
      <c r="AL101" s="197"/>
      <c r="AM101" s="197"/>
      <c r="AN101" s="197"/>
      <c r="AO101" s="197"/>
      <c r="AP101" s="197"/>
      <c r="AQ101" s="197"/>
      <c r="AR101" s="197"/>
      <c r="AS101" s="197"/>
      <c r="AT101" s="197"/>
      <c r="AU101" s="197"/>
      <c r="AV101" s="197"/>
      <c r="AW101" s="197"/>
      <c r="AX101" s="197"/>
      <c r="AY101" s="197"/>
      <c r="AZ101" s="197"/>
      <c r="BA101" s="197"/>
      <c r="BB101" s="197"/>
      <c r="BC101" s="197"/>
      <c r="BD101" s="197"/>
      <c r="BE101" s="197"/>
      <c r="BF101" s="197"/>
      <c r="BG101" s="197"/>
      <c r="BH101" s="197"/>
      <c r="BI101" s="197"/>
      <c r="BJ101" s="197"/>
      <c r="BK101" s="197"/>
      <c r="BL101" s="198"/>
      <c r="BM101" s="197"/>
      <c r="BN101" s="197"/>
      <c r="BO101" s="197"/>
      <c r="BP101" s="197"/>
      <c r="BQ101" s="197"/>
      <c r="BR101" s="197"/>
      <c r="BS101" s="197"/>
      <c r="BT101" s="197"/>
      <c r="BU101" s="197"/>
      <c r="BV101" s="197"/>
      <c r="BW101" s="197"/>
      <c r="BX101" s="197"/>
      <c r="BY101" s="197"/>
      <c r="BZ101" s="199"/>
      <c r="CA101" s="199"/>
      <c r="CB101" s="197"/>
    </row>
    <row r="102" spans="1:135" x14ac:dyDescent="0.3">
      <c r="E102" s="197"/>
      <c r="F102" s="197"/>
      <c r="G102" s="197"/>
      <c r="H102" s="197"/>
      <c r="I102" s="197"/>
      <c r="J102" s="197"/>
      <c r="K102" s="197"/>
      <c r="L102" s="197"/>
      <c r="M102" s="197"/>
      <c r="N102" s="197"/>
      <c r="O102" s="197"/>
      <c r="P102" s="197"/>
      <c r="Q102" s="197"/>
      <c r="R102" s="197"/>
      <c r="S102" s="197"/>
      <c r="T102" s="197"/>
      <c r="U102" s="197"/>
      <c r="V102" s="197"/>
      <c r="W102" s="197"/>
      <c r="X102" s="197"/>
      <c r="Y102" s="197"/>
      <c r="Z102" s="197"/>
      <c r="AA102" s="197"/>
      <c r="AB102" s="197"/>
      <c r="AC102" s="197"/>
      <c r="AD102" s="197"/>
      <c r="AE102" s="197"/>
      <c r="AF102" s="197"/>
      <c r="AG102" s="197"/>
      <c r="AH102" s="197"/>
      <c r="AI102" s="197"/>
      <c r="AJ102" s="197"/>
      <c r="AK102" s="197"/>
      <c r="AL102" s="197"/>
      <c r="AM102" s="197"/>
      <c r="AN102" s="197"/>
      <c r="AO102" s="197"/>
      <c r="AP102" s="197"/>
      <c r="AQ102" s="197"/>
      <c r="AR102" s="197"/>
      <c r="AS102" s="197"/>
      <c r="AT102" s="197"/>
      <c r="AU102" s="197"/>
      <c r="AV102" s="197"/>
      <c r="AW102" s="197"/>
      <c r="AX102" s="197"/>
      <c r="AY102" s="197"/>
      <c r="AZ102" s="197"/>
      <c r="BA102" s="197"/>
      <c r="BB102" s="197"/>
      <c r="BC102" s="197"/>
      <c r="BD102" s="197"/>
      <c r="BE102" s="197"/>
      <c r="BF102" s="197"/>
      <c r="BG102" s="197"/>
      <c r="BH102" s="197"/>
      <c r="BI102" s="197"/>
      <c r="BJ102" s="197"/>
      <c r="BK102" s="197"/>
      <c r="BL102" s="198"/>
      <c r="BM102" s="197"/>
      <c r="BN102" s="197"/>
      <c r="BO102" s="197"/>
      <c r="BP102" s="197"/>
      <c r="BQ102" s="197"/>
      <c r="BR102" s="197"/>
      <c r="BS102" s="197"/>
      <c r="BT102" s="197"/>
      <c r="BU102" s="197"/>
      <c r="BV102" s="197"/>
      <c r="BW102" s="197"/>
      <c r="BX102" s="197"/>
      <c r="BY102" s="197"/>
      <c r="BZ102" s="199"/>
      <c r="CA102" s="199"/>
      <c r="CB102" s="197"/>
    </row>
    <row r="103" spans="1:135" x14ac:dyDescent="0.3">
      <c r="E103" s="197"/>
      <c r="F103" s="197"/>
      <c r="G103" s="197"/>
      <c r="H103" s="197"/>
      <c r="I103" s="197"/>
      <c r="J103" s="197"/>
      <c r="K103" s="197"/>
      <c r="L103" s="197"/>
      <c r="M103" s="197"/>
      <c r="N103" s="197"/>
      <c r="O103" s="197"/>
      <c r="P103" s="197"/>
      <c r="Q103" s="197"/>
      <c r="R103" s="197"/>
      <c r="S103" s="197"/>
      <c r="T103" s="197"/>
      <c r="U103" s="197"/>
      <c r="V103" s="197"/>
      <c r="W103" s="197"/>
      <c r="X103" s="197"/>
      <c r="Y103" s="197"/>
      <c r="Z103" s="197"/>
      <c r="AA103" s="197"/>
      <c r="AB103" s="197"/>
      <c r="AC103" s="197"/>
      <c r="AD103" s="197"/>
      <c r="AE103" s="197"/>
      <c r="AF103" s="197"/>
      <c r="AG103" s="197"/>
      <c r="AH103" s="197"/>
      <c r="AI103" s="197"/>
      <c r="AJ103" s="197"/>
      <c r="AK103" s="197"/>
      <c r="AL103" s="197"/>
      <c r="AM103" s="197"/>
      <c r="AN103" s="197"/>
      <c r="AO103" s="197"/>
      <c r="AP103" s="197"/>
      <c r="AQ103" s="197"/>
      <c r="AR103" s="197"/>
      <c r="AS103" s="197"/>
      <c r="AT103" s="197"/>
      <c r="AU103" s="197"/>
      <c r="AV103" s="197"/>
      <c r="AW103" s="197"/>
      <c r="AX103" s="197"/>
      <c r="AY103" s="197"/>
      <c r="AZ103" s="197"/>
      <c r="BA103" s="197"/>
      <c r="BB103" s="197"/>
      <c r="BC103" s="197"/>
      <c r="BD103" s="197"/>
      <c r="BE103" s="197"/>
      <c r="BF103" s="197"/>
      <c r="BG103" s="197"/>
      <c r="BH103" s="197"/>
      <c r="BI103" s="197"/>
      <c r="BJ103" s="197"/>
      <c r="BK103" s="197"/>
      <c r="BL103" s="198"/>
      <c r="BM103" s="197"/>
      <c r="BN103" s="197"/>
      <c r="BO103" s="197"/>
      <c r="BP103" s="197"/>
      <c r="BQ103" s="197"/>
      <c r="BR103" s="197"/>
      <c r="BS103" s="197"/>
      <c r="BT103" s="197"/>
      <c r="BU103" s="197"/>
      <c r="BV103" s="197"/>
      <c r="BW103" s="197"/>
      <c r="BX103" s="197"/>
      <c r="BY103" s="197"/>
      <c r="BZ103" s="199"/>
      <c r="CA103" s="199"/>
      <c r="CB103" s="197"/>
    </row>
    <row r="104" spans="1:135" x14ac:dyDescent="0.3">
      <c r="E104" s="197"/>
      <c r="F104" s="197"/>
      <c r="G104" s="197"/>
      <c r="H104" s="197"/>
      <c r="I104" s="197"/>
      <c r="J104" s="197"/>
      <c r="K104" s="197"/>
      <c r="L104" s="197"/>
      <c r="M104" s="197"/>
      <c r="N104" s="197"/>
      <c r="O104" s="197"/>
      <c r="P104" s="197"/>
      <c r="Q104" s="197"/>
      <c r="R104" s="197"/>
      <c r="S104" s="197"/>
      <c r="T104" s="197"/>
      <c r="U104" s="197"/>
      <c r="V104" s="197"/>
      <c r="W104" s="197"/>
      <c r="X104" s="197"/>
      <c r="Y104" s="197"/>
      <c r="Z104" s="197"/>
      <c r="AA104" s="197"/>
      <c r="AB104" s="197"/>
      <c r="AC104" s="197"/>
      <c r="AD104" s="197"/>
      <c r="AE104" s="197"/>
      <c r="AF104" s="197"/>
      <c r="AG104" s="197"/>
      <c r="AH104" s="197"/>
      <c r="AI104" s="197"/>
      <c r="AJ104" s="197"/>
      <c r="AK104" s="197"/>
      <c r="AL104" s="197"/>
      <c r="AM104" s="197"/>
      <c r="AN104" s="197"/>
      <c r="AO104" s="197"/>
      <c r="AP104" s="197"/>
      <c r="AQ104" s="197"/>
      <c r="AR104" s="197"/>
      <c r="AS104" s="197"/>
      <c r="AT104" s="197"/>
      <c r="AU104" s="197"/>
      <c r="AV104" s="197"/>
      <c r="AW104" s="197"/>
      <c r="AX104" s="197"/>
      <c r="AY104" s="197"/>
      <c r="AZ104" s="197"/>
      <c r="BA104" s="197"/>
      <c r="BB104" s="197"/>
      <c r="BC104" s="197"/>
      <c r="BD104" s="197"/>
      <c r="BE104" s="197"/>
      <c r="BF104" s="197"/>
      <c r="BG104" s="197"/>
      <c r="BH104" s="197"/>
      <c r="BI104" s="197"/>
      <c r="BJ104" s="197"/>
      <c r="BK104" s="197"/>
      <c r="BL104" s="198"/>
      <c r="BM104" s="197"/>
      <c r="BN104" s="197"/>
      <c r="BO104" s="197"/>
      <c r="BP104" s="197"/>
      <c r="BQ104" s="197"/>
      <c r="BR104" s="197"/>
      <c r="BS104" s="197"/>
      <c r="BT104" s="197"/>
      <c r="BU104" s="197"/>
      <c r="BV104" s="197"/>
      <c r="BW104" s="197"/>
      <c r="BX104" s="197"/>
      <c r="BY104" s="197"/>
      <c r="BZ104" s="199"/>
      <c r="CA104" s="199"/>
      <c r="CB104" s="197"/>
    </row>
    <row r="105" spans="1:135" x14ac:dyDescent="0.3">
      <c r="E105" s="197"/>
      <c r="F105" s="197"/>
      <c r="G105" s="197"/>
      <c r="H105" s="197"/>
      <c r="I105" s="197"/>
      <c r="J105" s="197"/>
      <c r="K105" s="197"/>
      <c r="L105" s="197"/>
      <c r="M105" s="197"/>
      <c r="N105" s="197"/>
      <c r="O105" s="197"/>
      <c r="P105" s="197"/>
      <c r="Q105" s="197"/>
      <c r="R105" s="197"/>
      <c r="S105" s="197"/>
      <c r="T105" s="197"/>
      <c r="U105" s="197"/>
      <c r="V105" s="197"/>
      <c r="W105" s="197"/>
      <c r="X105" s="197"/>
      <c r="Y105" s="197"/>
      <c r="Z105" s="197"/>
      <c r="AA105" s="197"/>
      <c r="AB105" s="197"/>
      <c r="AC105" s="197"/>
      <c r="AD105" s="197"/>
      <c r="AE105" s="197"/>
      <c r="AF105" s="197"/>
      <c r="AG105" s="197"/>
      <c r="AH105" s="197"/>
      <c r="AI105" s="197"/>
      <c r="AJ105" s="197"/>
      <c r="AK105" s="197"/>
      <c r="AL105" s="197"/>
      <c r="AM105" s="197"/>
      <c r="AN105" s="197"/>
      <c r="AO105" s="197"/>
      <c r="AP105" s="197"/>
      <c r="AQ105" s="197"/>
      <c r="AR105" s="197"/>
      <c r="AS105" s="197"/>
      <c r="AT105" s="197"/>
      <c r="AU105" s="197"/>
      <c r="AV105" s="197"/>
      <c r="AW105" s="197"/>
      <c r="AX105" s="197"/>
      <c r="AY105" s="197"/>
      <c r="AZ105" s="197"/>
      <c r="BA105" s="197"/>
      <c r="BB105" s="197"/>
      <c r="BC105" s="197"/>
      <c r="BD105" s="197"/>
      <c r="BE105" s="197"/>
      <c r="BF105" s="197"/>
      <c r="BG105" s="197"/>
      <c r="BH105" s="197"/>
      <c r="BI105" s="197"/>
      <c r="BJ105" s="197"/>
      <c r="BK105" s="197"/>
      <c r="BL105" s="198"/>
      <c r="BM105" s="200"/>
      <c r="BN105" s="197"/>
      <c r="BO105" s="197"/>
      <c r="BP105" s="197"/>
      <c r="BQ105" s="197"/>
      <c r="BR105" s="197"/>
      <c r="BS105" s="197"/>
      <c r="BT105" s="197"/>
      <c r="BU105" s="197"/>
      <c r="BV105" s="197"/>
      <c r="BW105" s="197"/>
      <c r="BX105" s="197"/>
      <c r="BY105" s="197"/>
      <c r="BZ105" s="199"/>
      <c r="CA105" s="199"/>
      <c r="CB105" s="197"/>
    </row>
    <row r="106" spans="1:135" x14ac:dyDescent="0.3">
      <c r="E106" s="197"/>
      <c r="F106" s="197"/>
      <c r="G106" s="197"/>
      <c r="H106" s="197"/>
      <c r="I106" s="197"/>
      <c r="J106" s="197"/>
      <c r="K106" s="197"/>
      <c r="L106" s="197"/>
      <c r="M106" s="197"/>
      <c r="N106" s="197"/>
      <c r="O106" s="197"/>
      <c r="P106" s="197"/>
      <c r="Q106" s="197"/>
      <c r="R106" s="197"/>
      <c r="S106" s="197"/>
      <c r="T106" s="197"/>
      <c r="U106" s="197"/>
      <c r="V106" s="197"/>
      <c r="W106" s="197"/>
      <c r="X106" s="197"/>
      <c r="Y106" s="197"/>
      <c r="Z106" s="197"/>
      <c r="AA106" s="197"/>
      <c r="AB106" s="197"/>
      <c r="AC106" s="197"/>
      <c r="AD106" s="197"/>
      <c r="AE106" s="197"/>
      <c r="AF106" s="197"/>
      <c r="AG106" s="197"/>
      <c r="AH106" s="197"/>
      <c r="AI106" s="197"/>
      <c r="AJ106" s="197"/>
      <c r="AK106" s="197"/>
      <c r="AL106" s="197"/>
      <c r="AM106" s="197"/>
      <c r="AN106" s="197"/>
      <c r="AO106" s="197"/>
      <c r="AP106" s="197"/>
      <c r="AQ106" s="197"/>
      <c r="AR106" s="197"/>
      <c r="AS106" s="197"/>
      <c r="AT106" s="197"/>
      <c r="AU106" s="197"/>
      <c r="AV106" s="197"/>
      <c r="AW106" s="197"/>
      <c r="AX106" s="197"/>
      <c r="AY106" s="197"/>
      <c r="AZ106" s="197"/>
      <c r="BA106" s="197"/>
      <c r="BB106" s="197"/>
      <c r="BC106" s="197"/>
      <c r="BD106" s="197"/>
      <c r="BE106" s="197"/>
      <c r="BF106" s="197"/>
      <c r="BG106" s="197"/>
      <c r="BH106" s="197"/>
      <c r="BI106" s="197"/>
      <c r="BJ106" s="197"/>
      <c r="BK106" s="197"/>
      <c r="BL106" s="198"/>
      <c r="BM106" s="197"/>
      <c r="BN106" s="197"/>
      <c r="BO106" s="197"/>
      <c r="BP106" s="197"/>
      <c r="BQ106" s="197"/>
      <c r="BR106" s="197"/>
      <c r="BS106" s="197"/>
      <c r="BT106" s="197"/>
      <c r="BU106" s="197"/>
      <c r="BV106" s="197"/>
      <c r="BW106" s="197"/>
      <c r="BX106" s="197"/>
      <c r="BY106" s="197"/>
      <c r="BZ106" s="199"/>
      <c r="CA106" s="199"/>
      <c r="CB106" s="197"/>
    </row>
    <row r="107" spans="1:135" x14ac:dyDescent="0.3">
      <c r="E107" s="197"/>
      <c r="F107" s="197"/>
      <c r="G107" s="197"/>
      <c r="H107" s="197"/>
      <c r="I107" s="197"/>
      <c r="J107" s="197"/>
      <c r="K107" s="197"/>
      <c r="L107" s="197"/>
      <c r="M107" s="197"/>
      <c r="N107" s="197"/>
      <c r="O107" s="197"/>
      <c r="P107" s="197"/>
      <c r="Q107" s="197"/>
      <c r="R107" s="197"/>
      <c r="S107" s="197"/>
      <c r="T107" s="197"/>
      <c r="U107" s="197"/>
      <c r="V107" s="197"/>
      <c r="W107" s="197"/>
      <c r="X107" s="197"/>
      <c r="Y107" s="197"/>
      <c r="Z107" s="197"/>
      <c r="AA107" s="197"/>
      <c r="AB107" s="197"/>
      <c r="AC107" s="197"/>
      <c r="AD107" s="197"/>
      <c r="AE107" s="197"/>
      <c r="AF107" s="197"/>
      <c r="AG107" s="197"/>
      <c r="AH107" s="197"/>
      <c r="AI107" s="197"/>
      <c r="AJ107" s="197"/>
      <c r="AK107" s="197"/>
      <c r="AL107" s="197"/>
      <c r="AM107" s="197"/>
      <c r="AN107" s="197"/>
      <c r="AO107" s="197"/>
      <c r="AP107" s="197"/>
      <c r="AQ107" s="197"/>
      <c r="AR107" s="197"/>
      <c r="AS107" s="197"/>
      <c r="AT107" s="197"/>
      <c r="AU107" s="197"/>
      <c r="AV107" s="197"/>
      <c r="AW107" s="197"/>
      <c r="AX107" s="197"/>
      <c r="AY107" s="197"/>
      <c r="AZ107" s="197"/>
      <c r="BA107" s="197"/>
      <c r="BB107" s="197"/>
      <c r="BC107" s="197"/>
      <c r="BD107" s="197"/>
      <c r="BE107" s="197"/>
      <c r="BF107" s="197"/>
      <c r="BG107" s="197"/>
      <c r="BH107" s="197"/>
      <c r="BI107" s="197"/>
      <c r="BJ107" s="197"/>
      <c r="BK107" s="197"/>
      <c r="BL107" s="198"/>
      <c r="BM107" s="197"/>
      <c r="BN107" s="197"/>
      <c r="BO107" s="197"/>
      <c r="BP107" s="197"/>
      <c r="BQ107" s="197"/>
      <c r="BR107" s="197"/>
      <c r="BS107" s="197"/>
      <c r="BT107" s="197"/>
      <c r="BU107" s="197"/>
      <c r="BV107" s="197"/>
      <c r="BW107" s="197"/>
      <c r="BX107" s="197"/>
      <c r="BY107" s="197"/>
      <c r="BZ107" s="199"/>
      <c r="CA107" s="199"/>
      <c r="CB107" s="197"/>
    </row>
    <row r="108" spans="1:135" x14ac:dyDescent="0.3">
      <c r="E108" s="197"/>
      <c r="F108" s="197"/>
      <c r="G108" s="197"/>
      <c r="H108" s="197"/>
      <c r="I108" s="197"/>
      <c r="J108" s="197"/>
      <c r="K108" s="197"/>
      <c r="L108" s="197"/>
      <c r="M108" s="197"/>
      <c r="N108" s="197"/>
      <c r="O108" s="197"/>
      <c r="P108" s="197"/>
      <c r="Q108" s="197"/>
      <c r="R108" s="197"/>
      <c r="S108" s="197"/>
      <c r="T108" s="197"/>
      <c r="U108" s="197"/>
      <c r="V108" s="197"/>
      <c r="W108" s="197"/>
      <c r="X108" s="197"/>
      <c r="Y108" s="197"/>
      <c r="Z108" s="197"/>
      <c r="AA108" s="197"/>
      <c r="AB108" s="197"/>
      <c r="AC108" s="197"/>
      <c r="AD108" s="197"/>
      <c r="AE108" s="197"/>
      <c r="AF108" s="197"/>
      <c r="AG108" s="197"/>
      <c r="AH108" s="197"/>
      <c r="AI108" s="197"/>
      <c r="AJ108" s="197"/>
      <c r="AK108" s="197"/>
      <c r="AL108" s="197"/>
      <c r="AM108" s="197"/>
      <c r="AN108" s="197"/>
      <c r="AO108" s="197"/>
      <c r="AP108" s="197"/>
      <c r="AQ108" s="197"/>
      <c r="AR108" s="197"/>
      <c r="AS108" s="197"/>
      <c r="AT108" s="197"/>
      <c r="AU108" s="197"/>
      <c r="AV108" s="197"/>
      <c r="AW108" s="197"/>
      <c r="AX108" s="197"/>
      <c r="AY108" s="197"/>
      <c r="AZ108" s="197"/>
      <c r="BA108" s="197"/>
      <c r="BB108" s="197"/>
      <c r="BC108" s="197"/>
      <c r="BD108" s="197"/>
      <c r="BE108" s="197"/>
      <c r="BF108" s="197"/>
      <c r="BG108" s="197"/>
      <c r="BH108" s="197"/>
      <c r="BI108" s="197"/>
      <c r="BJ108" s="197"/>
      <c r="BK108" s="197"/>
      <c r="BL108" s="198"/>
      <c r="BM108" s="197"/>
      <c r="BN108" s="197"/>
      <c r="BO108" s="197"/>
      <c r="BP108" s="197"/>
      <c r="BQ108" s="197"/>
      <c r="BR108" s="197"/>
      <c r="BS108" s="197"/>
      <c r="BT108" s="197"/>
      <c r="BU108" s="197"/>
      <c r="BV108" s="197"/>
      <c r="BW108" s="197"/>
      <c r="BX108" s="197"/>
      <c r="BY108" s="197"/>
      <c r="BZ108" s="199"/>
      <c r="CA108" s="199"/>
      <c r="CB108" s="197"/>
    </row>
    <row r="109" spans="1:135" x14ac:dyDescent="0.3">
      <c r="E109" s="197"/>
      <c r="F109" s="197"/>
      <c r="G109" s="197"/>
      <c r="H109" s="197"/>
      <c r="I109" s="197"/>
      <c r="J109" s="197"/>
      <c r="K109" s="197"/>
      <c r="L109" s="197"/>
      <c r="M109" s="197"/>
      <c r="N109" s="197"/>
      <c r="O109" s="197"/>
      <c r="P109" s="197"/>
      <c r="Q109" s="197"/>
      <c r="R109" s="197"/>
      <c r="S109" s="197"/>
      <c r="T109" s="197"/>
      <c r="U109" s="197"/>
      <c r="V109" s="197"/>
      <c r="W109" s="197"/>
      <c r="X109" s="197"/>
      <c r="Y109" s="197"/>
      <c r="Z109" s="197"/>
      <c r="AA109" s="197"/>
      <c r="AB109" s="197"/>
      <c r="AC109" s="197"/>
      <c r="AD109" s="197"/>
      <c r="AE109" s="197"/>
      <c r="AF109" s="197"/>
      <c r="AG109" s="197"/>
      <c r="AH109" s="197"/>
      <c r="AI109" s="197"/>
      <c r="AJ109" s="197"/>
      <c r="AK109" s="197"/>
      <c r="AL109" s="197"/>
      <c r="AM109" s="197"/>
      <c r="AN109" s="197"/>
      <c r="AO109" s="197"/>
      <c r="AP109" s="197"/>
      <c r="AQ109" s="197"/>
      <c r="AR109" s="197"/>
      <c r="AS109" s="197"/>
      <c r="AT109" s="197"/>
      <c r="AU109" s="197"/>
      <c r="AV109" s="197"/>
      <c r="AW109" s="197"/>
      <c r="AX109" s="197"/>
      <c r="AY109" s="197"/>
      <c r="AZ109" s="197"/>
      <c r="BA109" s="197"/>
      <c r="BB109" s="197"/>
      <c r="BC109" s="197"/>
      <c r="BD109" s="197"/>
      <c r="BE109" s="197"/>
      <c r="BF109" s="197"/>
      <c r="BG109" s="197"/>
      <c r="BH109" s="197"/>
      <c r="BI109" s="197"/>
      <c r="BJ109" s="197"/>
      <c r="BK109" s="197"/>
      <c r="BL109" s="198"/>
      <c r="BM109" s="197"/>
      <c r="BN109" s="197"/>
      <c r="BO109" s="197"/>
      <c r="BP109" s="197"/>
      <c r="BQ109" s="197"/>
      <c r="BR109" s="197"/>
      <c r="BS109" s="197"/>
      <c r="BT109" s="197"/>
      <c r="BU109" s="197"/>
      <c r="BV109" s="197"/>
      <c r="BW109" s="197"/>
      <c r="BX109" s="197"/>
      <c r="BY109" s="197"/>
      <c r="BZ109" s="199"/>
      <c r="CA109" s="199"/>
      <c r="CB109" s="197"/>
    </row>
    <row r="110" spans="1:135" x14ac:dyDescent="0.3">
      <c r="E110" s="197"/>
      <c r="F110" s="197"/>
      <c r="G110" s="197"/>
      <c r="H110" s="197"/>
      <c r="I110" s="197"/>
      <c r="J110" s="197"/>
      <c r="K110" s="197"/>
      <c r="L110" s="197"/>
      <c r="M110" s="197"/>
      <c r="N110" s="197"/>
      <c r="O110" s="197"/>
      <c r="P110" s="197"/>
      <c r="Q110" s="197"/>
      <c r="R110" s="197"/>
      <c r="S110" s="197"/>
      <c r="T110" s="197"/>
      <c r="U110" s="197"/>
      <c r="V110" s="197"/>
      <c r="W110" s="197"/>
      <c r="X110" s="197"/>
      <c r="Y110" s="197"/>
      <c r="Z110" s="197"/>
      <c r="AA110" s="197"/>
      <c r="AB110" s="197"/>
      <c r="AC110" s="197"/>
      <c r="AD110" s="197"/>
      <c r="AE110" s="197"/>
      <c r="AF110" s="197"/>
      <c r="AG110" s="197"/>
      <c r="AH110" s="197"/>
      <c r="AI110" s="197"/>
      <c r="AJ110" s="197"/>
      <c r="AK110" s="197"/>
      <c r="AL110" s="197"/>
      <c r="AM110" s="197"/>
      <c r="AN110" s="197"/>
      <c r="AO110" s="197"/>
      <c r="AP110" s="197"/>
      <c r="AQ110" s="197"/>
      <c r="AR110" s="197"/>
      <c r="AS110" s="197"/>
      <c r="AT110" s="197"/>
      <c r="AU110" s="197"/>
      <c r="AV110" s="197"/>
      <c r="AW110" s="197"/>
      <c r="AX110" s="197"/>
      <c r="AY110" s="197"/>
      <c r="AZ110" s="197"/>
      <c r="BA110" s="197"/>
      <c r="BB110" s="197"/>
      <c r="BC110" s="197"/>
      <c r="BD110" s="197"/>
      <c r="BE110" s="197"/>
      <c r="BF110" s="197"/>
      <c r="BG110" s="197"/>
      <c r="BH110" s="197"/>
      <c r="BI110" s="197"/>
      <c r="BJ110" s="197"/>
      <c r="BK110" s="197"/>
      <c r="BL110" s="198"/>
      <c r="BM110" s="197"/>
      <c r="BN110" s="197"/>
      <c r="BO110" s="197"/>
      <c r="BP110" s="197"/>
      <c r="BQ110" s="197"/>
      <c r="BR110" s="197"/>
      <c r="BS110" s="197"/>
      <c r="BT110" s="197"/>
      <c r="BU110" s="197"/>
      <c r="BV110" s="197"/>
      <c r="BW110" s="197"/>
      <c r="BX110" s="197"/>
      <c r="BY110" s="197"/>
      <c r="BZ110" s="199"/>
      <c r="CA110" s="199"/>
      <c r="CB110" s="197"/>
    </row>
    <row r="111" spans="1:135" x14ac:dyDescent="0.3">
      <c r="E111" s="197"/>
      <c r="F111" s="197"/>
      <c r="G111" s="197"/>
      <c r="H111" s="197"/>
      <c r="I111" s="197"/>
      <c r="J111" s="197"/>
      <c r="K111" s="197"/>
      <c r="L111" s="197"/>
      <c r="M111" s="197"/>
      <c r="N111" s="197"/>
      <c r="O111" s="197"/>
      <c r="P111" s="197"/>
      <c r="Q111" s="197"/>
      <c r="R111" s="197"/>
      <c r="S111" s="197"/>
      <c r="T111" s="197"/>
      <c r="U111" s="197"/>
      <c r="V111" s="197"/>
      <c r="W111" s="197"/>
      <c r="X111" s="197"/>
      <c r="Y111" s="197"/>
      <c r="Z111" s="197"/>
      <c r="AA111" s="197"/>
      <c r="AB111" s="197"/>
      <c r="AC111" s="197"/>
      <c r="AD111" s="197"/>
      <c r="AE111" s="197"/>
      <c r="AF111" s="197"/>
      <c r="AG111" s="197"/>
      <c r="AH111" s="197"/>
      <c r="AI111" s="197"/>
      <c r="AJ111" s="197"/>
      <c r="AK111" s="197"/>
      <c r="AL111" s="197"/>
      <c r="AM111" s="197"/>
      <c r="AN111" s="197"/>
      <c r="AO111" s="197"/>
      <c r="AP111" s="197"/>
      <c r="AQ111" s="197"/>
      <c r="AR111" s="197"/>
      <c r="AS111" s="197"/>
      <c r="AT111" s="197"/>
      <c r="AU111" s="197"/>
      <c r="AV111" s="197"/>
      <c r="AW111" s="197"/>
      <c r="AX111" s="197"/>
      <c r="AY111" s="197"/>
      <c r="AZ111" s="197"/>
      <c r="BA111" s="197"/>
      <c r="BB111" s="197"/>
      <c r="BC111" s="197"/>
      <c r="BD111" s="197"/>
      <c r="BE111" s="197"/>
      <c r="BF111" s="197"/>
      <c r="BG111" s="197"/>
      <c r="BH111" s="197"/>
      <c r="BI111" s="197"/>
      <c r="BJ111" s="197"/>
      <c r="BK111" s="197"/>
      <c r="BL111" s="198"/>
      <c r="BM111" s="197"/>
      <c r="BN111" s="197"/>
      <c r="BO111" s="197"/>
      <c r="BP111" s="197"/>
      <c r="BQ111" s="197"/>
      <c r="BR111" s="197"/>
      <c r="BS111" s="197"/>
      <c r="BT111" s="197"/>
      <c r="BU111" s="197"/>
      <c r="BV111" s="197"/>
      <c r="BW111" s="197"/>
      <c r="BX111" s="197"/>
      <c r="BY111" s="197"/>
      <c r="BZ111" s="199"/>
      <c r="CA111" s="199"/>
      <c r="CB111" s="197"/>
    </row>
    <row r="112" spans="1:135" x14ac:dyDescent="0.3">
      <c r="E112" s="197"/>
      <c r="F112" s="197"/>
      <c r="G112" s="197"/>
      <c r="H112" s="197"/>
      <c r="I112" s="197"/>
      <c r="J112" s="197"/>
      <c r="K112" s="197"/>
      <c r="L112" s="197"/>
      <c r="M112" s="197"/>
      <c r="N112" s="197"/>
      <c r="O112" s="197"/>
      <c r="P112" s="197"/>
      <c r="Q112" s="197"/>
      <c r="R112" s="197"/>
      <c r="S112" s="197"/>
      <c r="T112" s="197"/>
      <c r="U112" s="197"/>
      <c r="V112" s="197"/>
      <c r="W112" s="197"/>
      <c r="X112" s="197"/>
      <c r="Y112" s="197"/>
      <c r="Z112" s="197"/>
      <c r="AA112" s="197"/>
      <c r="AB112" s="197"/>
      <c r="AC112" s="197"/>
      <c r="AD112" s="197"/>
      <c r="AE112" s="197"/>
      <c r="AF112" s="197"/>
      <c r="AG112" s="197"/>
      <c r="AH112" s="197"/>
      <c r="AI112" s="197"/>
      <c r="AJ112" s="197"/>
      <c r="AK112" s="197"/>
      <c r="AL112" s="197"/>
      <c r="AM112" s="197"/>
      <c r="AN112" s="197"/>
      <c r="AO112" s="197"/>
      <c r="AP112" s="197"/>
      <c r="AQ112" s="197"/>
      <c r="AR112" s="197"/>
      <c r="AS112" s="197"/>
      <c r="AT112" s="197"/>
      <c r="AU112" s="197"/>
      <c r="AV112" s="197"/>
      <c r="AW112" s="197"/>
      <c r="AX112" s="197"/>
      <c r="AY112" s="197"/>
      <c r="AZ112" s="197"/>
      <c r="BA112" s="197"/>
      <c r="BB112" s="197"/>
      <c r="BC112" s="197"/>
      <c r="BD112" s="197"/>
      <c r="BE112" s="197"/>
      <c r="BF112" s="197"/>
      <c r="BG112" s="197"/>
      <c r="BH112" s="197"/>
      <c r="BI112" s="197"/>
      <c r="BJ112" s="197"/>
      <c r="BK112" s="197"/>
      <c r="BL112" s="198"/>
      <c r="BM112" s="197"/>
      <c r="BN112" s="197"/>
      <c r="BO112" s="197"/>
      <c r="BP112" s="197"/>
      <c r="BQ112" s="197"/>
      <c r="BR112" s="197"/>
      <c r="BS112" s="197"/>
      <c r="BT112" s="197"/>
      <c r="BU112" s="197"/>
      <c r="BV112" s="197"/>
      <c r="BW112" s="197"/>
      <c r="BX112" s="197"/>
      <c r="BY112" s="197"/>
      <c r="BZ112" s="199"/>
      <c r="CA112" s="199"/>
      <c r="CB112" s="197"/>
    </row>
    <row r="113" spans="5:80" x14ac:dyDescent="0.3">
      <c r="E113" s="197"/>
      <c r="F113" s="197"/>
      <c r="G113" s="197"/>
      <c r="H113" s="197"/>
      <c r="I113" s="197"/>
      <c r="J113" s="197"/>
      <c r="K113" s="197"/>
      <c r="L113" s="197"/>
      <c r="M113" s="197"/>
      <c r="N113" s="197"/>
      <c r="O113" s="197"/>
      <c r="P113" s="197"/>
      <c r="Q113" s="197"/>
      <c r="R113" s="197"/>
      <c r="S113" s="197"/>
      <c r="T113" s="197"/>
      <c r="U113" s="197"/>
      <c r="V113" s="197"/>
      <c r="W113" s="197"/>
      <c r="X113" s="197"/>
      <c r="Y113" s="197"/>
      <c r="Z113" s="197"/>
      <c r="AA113" s="197"/>
      <c r="AB113" s="197"/>
      <c r="AC113" s="197"/>
      <c r="AD113" s="197"/>
      <c r="AE113" s="197"/>
      <c r="AF113" s="197"/>
      <c r="AG113" s="197"/>
      <c r="AH113" s="197"/>
      <c r="AI113" s="197"/>
      <c r="AJ113" s="197"/>
      <c r="AK113" s="197"/>
      <c r="AL113" s="197"/>
      <c r="AM113" s="197"/>
      <c r="AN113" s="197"/>
      <c r="AO113" s="197"/>
      <c r="AP113" s="197"/>
      <c r="AQ113" s="197"/>
      <c r="AR113" s="197"/>
      <c r="AS113" s="197"/>
      <c r="AT113" s="197"/>
      <c r="AU113" s="197"/>
      <c r="AV113" s="197"/>
      <c r="AW113" s="197"/>
      <c r="AX113" s="197"/>
      <c r="AY113" s="197"/>
      <c r="AZ113" s="197"/>
      <c r="BA113" s="197"/>
      <c r="BB113" s="197"/>
      <c r="BC113" s="197"/>
      <c r="BD113" s="197"/>
      <c r="BE113" s="197"/>
      <c r="BF113" s="197"/>
      <c r="BG113" s="197"/>
      <c r="BH113" s="197"/>
      <c r="BI113" s="197"/>
      <c r="BJ113" s="197"/>
      <c r="BK113" s="197"/>
      <c r="BL113" s="198"/>
      <c r="BM113" s="197"/>
      <c r="BN113" s="197"/>
      <c r="BO113" s="197"/>
      <c r="BP113" s="197"/>
      <c r="BQ113" s="197"/>
      <c r="BR113" s="197"/>
      <c r="BS113" s="197"/>
      <c r="BT113" s="197"/>
      <c r="BU113" s="197"/>
      <c r="BV113" s="197"/>
      <c r="BW113" s="197"/>
      <c r="BX113" s="197"/>
      <c r="BY113" s="197"/>
      <c r="BZ113" s="199"/>
      <c r="CA113" s="199"/>
      <c r="CB113" s="197"/>
    </row>
  </sheetData>
  <mergeCells count="379">
    <mergeCell ref="CB98:CD98"/>
    <mergeCell ref="CB95:CD95"/>
    <mergeCell ref="CB91:CD91"/>
    <mergeCell ref="CB92:CD92"/>
    <mergeCell ref="CB93:CD93"/>
    <mergeCell ref="CB94:CD94"/>
    <mergeCell ref="CB85:CD85"/>
    <mergeCell ref="CB86:CD86"/>
    <mergeCell ref="CB87:CD87"/>
    <mergeCell ref="CB88:CD88"/>
    <mergeCell ref="CB89:CD89"/>
    <mergeCell ref="CB80:CD80"/>
    <mergeCell ref="CB82:CD82"/>
    <mergeCell ref="CB83:CD83"/>
    <mergeCell ref="CB84:CD84"/>
    <mergeCell ref="CB75:CD75"/>
    <mergeCell ref="CB76:CD76"/>
    <mergeCell ref="CB77:CD77"/>
    <mergeCell ref="CB79:CD79"/>
    <mergeCell ref="CB70:CD70"/>
    <mergeCell ref="CB71:CD71"/>
    <mergeCell ref="CB72:CD72"/>
    <mergeCell ref="CB73:CD73"/>
    <mergeCell ref="CB74:CD74"/>
    <mergeCell ref="CB65:CD65"/>
    <mergeCell ref="CB66:CD66"/>
    <mergeCell ref="CB67:CD67"/>
    <mergeCell ref="CB68:CD68"/>
    <mergeCell ref="CB69:CD69"/>
    <mergeCell ref="CB61:CD61"/>
    <mergeCell ref="CB62:CD62"/>
    <mergeCell ref="CB63:CD63"/>
    <mergeCell ref="CB64:CD64"/>
    <mergeCell ref="CB55:CD55"/>
    <mergeCell ref="CB56:CD56"/>
    <mergeCell ref="CB57:CD57"/>
    <mergeCell ref="CB58:CD58"/>
    <mergeCell ref="CB59:CD59"/>
    <mergeCell ref="CB50:CD50"/>
    <mergeCell ref="CB51:CD51"/>
    <mergeCell ref="CB53:CD53"/>
    <mergeCell ref="CB54:CD54"/>
    <mergeCell ref="CB45:CD45"/>
    <mergeCell ref="CB46:CD46"/>
    <mergeCell ref="CB47:CD47"/>
    <mergeCell ref="CB48:CD48"/>
    <mergeCell ref="CB49:CD49"/>
    <mergeCell ref="CB40:CD40"/>
    <mergeCell ref="CB41:CD41"/>
    <mergeCell ref="CB42:CD42"/>
    <mergeCell ref="CB43:CD43"/>
    <mergeCell ref="CB44:CD44"/>
    <mergeCell ref="CB35:CD35"/>
    <mergeCell ref="CB37:CD37"/>
    <mergeCell ref="CB38:CD38"/>
    <mergeCell ref="CB39:CD39"/>
    <mergeCell ref="CB30:CD30"/>
    <mergeCell ref="CB32:CD32"/>
    <mergeCell ref="CB33:CD33"/>
    <mergeCell ref="CB34:CD34"/>
    <mergeCell ref="CB25:CD25"/>
    <mergeCell ref="CB26:CD26"/>
    <mergeCell ref="CB27:CD27"/>
    <mergeCell ref="CB28:CD28"/>
    <mergeCell ref="CB29:CD29"/>
    <mergeCell ref="CB21:CD21"/>
    <mergeCell ref="CB22:CD22"/>
    <mergeCell ref="CB24:CD24"/>
    <mergeCell ref="CB16:CD16"/>
    <mergeCell ref="CB17:CD17"/>
    <mergeCell ref="CB18:CD18"/>
    <mergeCell ref="CB19:CD19"/>
    <mergeCell ref="CB10:CD10"/>
    <mergeCell ref="CB11:CD11"/>
    <mergeCell ref="CB12:CD12"/>
    <mergeCell ref="CB13:CD13"/>
    <mergeCell ref="CB14:CD14"/>
    <mergeCell ref="BY91:CA91"/>
    <mergeCell ref="BY92:CA92"/>
    <mergeCell ref="BY93:CA93"/>
    <mergeCell ref="BY94:CA94"/>
    <mergeCell ref="BY95:CA95"/>
    <mergeCell ref="BY86:CA86"/>
    <mergeCell ref="BY87:CA87"/>
    <mergeCell ref="BY88:CA88"/>
    <mergeCell ref="BY89:CA89"/>
    <mergeCell ref="BY82:CA82"/>
    <mergeCell ref="BY83:CA83"/>
    <mergeCell ref="BY84:CA84"/>
    <mergeCell ref="BY85:CA85"/>
    <mergeCell ref="BY76:CA76"/>
    <mergeCell ref="BY77:CA77"/>
    <mergeCell ref="BY79:CA79"/>
    <mergeCell ref="BY80:CA80"/>
    <mergeCell ref="BY71:CA71"/>
    <mergeCell ref="BY72:CA72"/>
    <mergeCell ref="BY73:CA73"/>
    <mergeCell ref="BY74:CA74"/>
    <mergeCell ref="BY75:CA75"/>
    <mergeCell ref="BY66:CA66"/>
    <mergeCell ref="BY67:CA67"/>
    <mergeCell ref="BY68:CA68"/>
    <mergeCell ref="BY69:CA69"/>
    <mergeCell ref="BY70:CA70"/>
    <mergeCell ref="BY61:CA61"/>
    <mergeCell ref="BY62:CA62"/>
    <mergeCell ref="BY63:CA63"/>
    <mergeCell ref="BY64:CA64"/>
    <mergeCell ref="BY65:CA65"/>
    <mergeCell ref="BY56:CA56"/>
    <mergeCell ref="BY57:CA57"/>
    <mergeCell ref="BY58:CA58"/>
    <mergeCell ref="BY59:CA59"/>
    <mergeCell ref="BY51:CA51"/>
    <mergeCell ref="BY53:CA53"/>
    <mergeCell ref="BY54:CA54"/>
    <mergeCell ref="BY55:CA55"/>
    <mergeCell ref="BY46:CA46"/>
    <mergeCell ref="BY47:CA47"/>
    <mergeCell ref="BY48:CA48"/>
    <mergeCell ref="BY49:CA49"/>
    <mergeCell ref="BY50:CA50"/>
    <mergeCell ref="BY41:CA41"/>
    <mergeCell ref="BY42:CA42"/>
    <mergeCell ref="BY43:CA43"/>
    <mergeCell ref="BY44:CA44"/>
    <mergeCell ref="BY45:CA45"/>
    <mergeCell ref="BY37:CA37"/>
    <mergeCell ref="BY38:CA38"/>
    <mergeCell ref="BY39:CA39"/>
    <mergeCell ref="BY40:CA40"/>
    <mergeCell ref="BY32:CA32"/>
    <mergeCell ref="BY33:CA33"/>
    <mergeCell ref="BY34:CA34"/>
    <mergeCell ref="BY35:CA35"/>
    <mergeCell ref="BY26:CA26"/>
    <mergeCell ref="BY27:CA27"/>
    <mergeCell ref="BY28:CA28"/>
    <mergeCell ref="BY29:CA29"/>
    <mergeCell ref="BY30:CA30"/>
    <mergeCell ref="BY21:CA21"/>
    <mergeCell ref="BY22:CA22"/>
    <mergeCell ref="BY24:CA24"/>
    <mergeCell ref="BY25:CA25"/>
    <mergeCell ref="BU95:BX95"/>
    <mergeCell ref="BY6:CA6"/>
    <mergeCell ref="BY7:CA7"/>
    <mergeCell ref="BY9:CA9"/>
    <mergeCell ref="BY10:CA10"/>
    <mergeCell ref="BY11:CA11"/>
    <mergeCell ref="BY12:CA12"/>
    <mergeCell ref="BY13:CA13"/>
    <mergeCell ref="BY14:CA14"/>
    <mergeCell ref="BY16:CA16"/>
    <mergeCell ref="BY17:CA17"/>
    <mergeCell ref="BY18:CA18"/>
    <mergeCell ref="BY19:CA19"/>
    <mergeCell ref="BU91:BX91"/>
    <mergeCell ref="BU92:BX92"/>
    <mergeCell ref="BU93:BX93"/>
    <mergeCell ref="BU94:BX94"/>
    <mergeCell ref="BU85:BX85"/>
    <mergeCell ref="BU86:BX86"/>
    <mergeCell ref="BU87:BX87"/>
    <mergeCell ref="BU88:BX88"/>
    <mergeCell ref="BU89:BX89"/>
    <mergeCell ref="BU80:BX80"/>
    <mergeCell ref="BU82:BX82"/>
    <mergeCell ref="BU83:BX83"/>
    <mergeCell ref="BU84:BX84"/>
    <mergeCell ref="BU75:BX75"/>
    <mergeCell ref="BU76:BX76"/>
    <mergeCell ref="BU77:BX77"/>
    <mergeCell ref="BU79:BX79"/>
    <mergeCell ref="BU70:BX70"/>
    <mergeCell ref="BU71:BX71"/>
    <mergeCell ref="BU72:BX72"/>
    <mergeCell ref="BU73:BX73"/>
    <mergeCell ref="BU74:BX74"/>
    <mergeCell ref="BU65:BX65"/>
    <mergeCell ref="BU66:BX66"/>
    <mergeCell ref="BU67:BX67"/>
    <mergeCell ref="BU68:BX68"/>
    <mergeCell ref="BU69:BX69"/>
    <mergeCell ref="BU61:BX61"/>
    <mergeCell ref="BU62:BX62"/>
    <mergeCell ref="BU63:BX63"/>
    <mergeCell ref="BU64:BX64"/>
    <mergeCell ref="BU55:BX55"/>
    <mergeCell ref="BU56:BX56"/>
    <mergeCell ref="BU57:BX57"/>
    <mergeCell ref="BU58:BX58"/>
    <mergeCell ref="BU59:BX59"/>
    <mergeCell ref="BU50:BX50"/>
    <mergeCell ref="BU51:BX51"/>
    <mergeCell ref="BU53:BX53"/>
    <mergeCell ref="BU54:BX54"/>
    <mergeCell ref="BU45:BX45"/>
    <mergeCell ref="BU46:BX46"/>
    <mergeCell ref="BU47:BX47"/>
    <mergeCell ref="BU48:BX48"/>
    <mergeCell ref="BU49:BX49"/>
    <mergeCell ref="BU40:BX40"/>
    <mergeCell ref="BU41:BX41"/>
    <mergeCell ref="BU42:BX42"/>
    <mergeCell ref="BU43:BX43"/>
    <mergeCell ref="BU44:BX44"/>
    <mergeCell ref="BU35:BX35"/>
    <mergeCell ref="BU37:BX37"/>
    <mergeCell ref="BU38:BX38"/>
    <mergeCell ref="BU39:BX39"/>
    <mergeCell ref="BU30:BX30"/>
    <mergeCell ref="BU32:BX32"/>
    <mergeCell ref="BU33:BX33"/>
    <mergeCell ref="BU34:BX34"/>
    <mergeCell ref="BU25:BX25"/>
    <mergeCell ref="BU26:BX26"/>
    <mergeCell ref="BU27:BX27"/>
    <mergeCell ref="BU28:BX28"/>
    <mergeCell ref="BU29:BX29"/>
    <mergeCell ref="BU21:BX21"/>
    <mergeCell ref="BU22:BX22"/>
    <mergeCell ref="BU24:BX24"/>
    <mergeCell ref="BU16:BX16"/>
    <mergeCell ref="BU17:BX17"/>
    <mergeCell ref="BU18:BX18"/>
    <mergeCell ref="BU19:BX19"/>
    <mergeCell ref="BU10:BX10"/>
    <mergeCell ref="BU11:BX11"/>
    <mergeCell ref="BU12:BX12"/>
    <mergeCell ref="BU13:BX13"/>
    <mergeCell ref="BU14:BX14"/>
    <mergeCell ref="BM95:BR95"/>
    <mergeCell ref="BS3:BT3"/>
    <mergeCell ref="BM91:BR91"/>
    <mergeCell ref="BM92:BR92"/>
    <mergeCell ref="BM93:BR93"/>
    <mergeCell ref="BM94:BR94"/>
    <mergeCell ref="BM85:BR85"/>
    <mergeCell ref="BM86:BR86"/>
    <mergeCell ref="BM87:BR87"/>
    <mergeCell ref="BM88:BR88"/>
    <mergeCell ref="BM89:BR89"/>
    <mergeCell ref="BM80:BR80"/>
    <mergeCell ref="BM82:BR82"/>
    <mergeCell ref="BM83:BR83"/>
    <mergeCell ref="BM84:BR84"/>
    <mergeCell ref="BM75:BR75"/>
    <mergeCell ref="BM76:BR76"/>
    <mergeCell ref="BM77:BR77"/>
    <mergeCell ref="BM79:BR79"/>
    <mergeCell ref="BM70:BR70"/>
    <mergeCell ref="BM71:BR71"/>
    <mergeCell ref="BM72:BR72"/>
    <mergeCell ref="BM73:BR73"/>
    <mergeCell ref="BM74:BR74"/>
    <mergeCell ref="BM65:BR65"/>
    <mergeCell ref="BM66:BR66"/>
    <mergeCell ref="BM67:BR67"/>
    <mergeCell ref="BM68:BR68"/>
    <mergeCell ref="BM69:BR69"/>
    <mergeCell ref="BM61:BR61"/>
    <mergeCell ref="BM62:BR62"/>
    <mergeCell ref="BM63:BR63"/>
    <mergeCell ref="BM64:BR64"/>
    <mergeCell ref="BM55:BR55"/>
    <mergeCell ref="BM56:BR56"/>
    <mergeCell ref="BM57:BR57"/>
    <mergeCell ref="BM58:BR58"/>
    <mergeCell ref="BM59:BR59"/>
    <mergeCell ref="BM50:BR50"/>
    <mergeCell ref="BM51:BR51"/>
    <mergeCell ref="BM53:BR53"/>
    <mergeCell ref="BM54:BR54"/>
    <mergeCell ref="BM45:BR45"/>
    <mergeCell ref="BM46:BR46"/>
    <mergeCell ref="BM47:BR47"/>
    <mergeCell ref="BM48:BR48"/>
    <mergeCell ref="BM49:BR49"/>
    <mergeCell ref="BM40:BR40"/>
    <mergeCell ref="BM41:BR41"/>
    <mergeCell ref="BM42:BR42"/>
    <mergeCell ref="BM43:BR43"/>
    <mergeCell ref="BM44:BR44"/>
    <mergeCell ref="BM35:BR35"/>
    <mergeCell ref="BM37:BR37"/>
    <mergeCell ref="BM38:BR38"/>
    <mergeCell ref="BM39:BR39"/>
    <mergeCell ref="BM30:BR30"/>
    <mergeCell ref="BM32:BR32"/>
    <mergeCell ref="BM33:BR33"/>
    <mergeCell ref="BM34:BR34"/>
    <mergeCell ref="BM25:BR25"/>
    <mergeCell ref="BM26:BR26"/>
    <mergeCell ref="BM27:BR27"/>
    <mergeCell ref="BM28:BR28"/>
    <mergeCell ref="BM29:BR29"/>
    <mergeCell ref="BM21:BR21"/>
    <mergeCell ref="BM22:BR22"/>
    <mergeCell ref="BM24:BR24"/>
    <mergeCell ref="BM16:BR16"/>
    <mergeCell ref="BM17:BR17"/>
    <mergeCell ref="BM18:BR18"/>
    <mergeCell ref="BM19:BR19"/>
    <mergeCell ref="BM10:BR10"/>
    <mergeCell ref="BM11:BR11"/>
    <mergeCell ref="BM12:BR12"/>
    <mergeCell ref="BM13:BR13"/>
    <mergeCell ref="BM14:BR14"/>
    <mergeCell ref="CB2:CD4"/>
    <mergeCell ref="BM6:BR6"/>
    <mergeCell ref="BM7:BR7"/>
    <mergeCell ref="BM9:BR9"/>
    <mergeCell ref="BU6:BX6"/>
    <mergeCell ref="BU7:BX7"/>
    <mergeCell ref="BU9:BX9"/>
    <mergeCell ref="CB6:CD6"/>
    <mergeCell ref="CB7:CD7"/>
    <mergeCell ref="CB9:CD9"/>
    <mergeCell ref="BM3:BR4"/>
    <mergeCell ref="BU2:BX4"/>
    <mergeCell ref="BY2:CA4"/>
    <mergeCell ref="BL2:BL4"/>
    <mergeCell ref="AW3:AX3"/>
    <mergeCell ref="AY3:AZ3"/>
    <mergeCell ref="BA3:BB3"/>
    <mergeCell ref="AQ2:BJ2"/>
    <mergeCell ref="AQ3:AR3"/>
    <mergeCell ref="AS3:AT3"/>
    <mergeCell ref="AU3:AV3"/>
    <mergeCell ref="BC3:BD3"/>
    <mergeCell ref="BG3:BH3"/>
    <mergeCell ref="BE3:BF3"/>
    <mergeCell ref="E5:T5"/>
    <mergeCell ref="G3:H3"/>
    <mergeCell ref="K3:L3"/>
    <mergeCell ref="M3:N3"/>
    <mergeCell ref="O3:P3"/>
    <mergeCell ref="I3:J3"/>
    <mergeCell ref="E3:F3"/>
    <mergeCell ref="BI3:BJ3"/>
    <mergeCell ref="BK2:BK4"/>
    <mergeCell ref="E2:V2"/>
    <mergeCell ref="W2:AP2"/>
    <mergeCell ref="S3:T3"/>
    <mergeCell ref="U3:V3"/>
    <mergeCell ref="AO3:AP3"/>
    <mergeCell ref="Q3:R3"/>
    <mergeCell ref="AG3:AH3"/>
    <mergeCell ref="AI3:AJ3"/>
    <mergeCell ref="AK3:AL3"/>
    <mergeCell ref="AE3:AF3"/>
    <mergeCell ref="W3:X3"/>
    <mergeCell ref="Y3:Z3"/>
    <mergeCell ref="AA3:AB3"/>
    <mergeCell ref="AC3:AD3"/>
    <mergeCell ref="C96:D96"/>
    <mergeCell ref="C97:D97"/>
    <mergeCell ref="A98:D98"/>
    <mergeCell ref="A15:D15"/>
    <mergeCell ref="D2:D4"/>
    <mergeCell ref="C2:C4"/>
    <mergeCell ref="B2:B4"/>
    <mergeCell ref="A2:A4"/>
    <mergeCell ref="A5:D5"/>
    <mergeCell ref="A8:D8"/>
    <mergeCell ref="A20:D20"/>
    <mergeCell ref="A23:D23"/>
    <mergeCell ref="A90:D90"/>
    <mergeCell ref="B61:D61"/>
    <mergeCell ref="B70:D70"/>
    <mergeCell ref="B73:D73"/>
    <mergeCell ref="A78:D78"/>
    <mergeCell ref="A81:D81"/>
    <mergeCell ref="A27:D27"/>
    <mergeCell ref="A31:D31"/>
    <mergeCell ref="A36:D36"/>
    <mergeCell ref="A52:D52"/>
    <mergeCell ref="A60:D60"/>
  </mergeCells>
  <phoneticPr fontId="3" type="noConversion"/>
  <pageMargins left="0.7" right="0.7" top="0.75" bottom="0.75" header="0.3" footer="0.3"/>
  <pageSetup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58323-6D23-4B53-B56F-DE1099E7F242}">
  <dimension ref="B8:E16"/>
  <sheetViews>
    <sheetView workbookViewId="0">
      <selection activeCell="G12" sqref="G12"/>
    </sheetView>
  </sheetViews>
  <sheetFormatPr defaultRowHeight="14.4" x14ac:dyDescent="0.3"/>
  <cols>
    <col min="3" max="3" width="10.6640625" bestFit="1" customWidth="1"/>
  </cols>
  <sheetData>
    <row r="8" spans="2:5" ht="17.399999999999999" x14ac:dyDescent="0.3">
      <c r="B8">
        <f>D8+C8</f>
        <v>127660</v>
      </c>
      <c r="C8" s="18">
        <v>123100</v>
      </c>
      <c r="D8" s="72">
        <v>4560</v>
      </c>
      <c r="E8" t="s">
        <v>388</v>
      </c>
    </row>
    <row r="9" spans="2:5" ht="18" thickBot="1" x14ac:dyDescent="0.35">
      <c r="B9">
        <f t="shared" ref="B9:B15" si="0">D9+C9</f>
        <v>32595</v>
      </c>
      <c r="C9" s="21">
        <v>28545</v>
      </c>
      <c r="D9" s="73">
        <v>4050</v>
      </c>
      <c r="E9" t="s">
        <v>389</v>
      </c>
    </row>
    <row r="10" spans="2:5" ht="18.600000000000001" thickTop="1" thickBot="1" x14ac:dyDescent="0.35">
      <c r="B10">
        <f t="shared" si="0"/>
        <v>2275</v>
      </c>
      <c r="C10" s="49">
        <v>2135</v>
      </c>
      <c r="D10" s="72">
        <v>140</v>
      </c>
      <c r="E10" t="s">
        <v>390</v>
      </c>
    </row>
    <row r="11" spans="2:5" ht="18.600000000000001" thickTop="1" thickBot="1" x14ac:dyDescent="0.35">
      <c r="B11">
        <f t="shared" si="0"/>
        <v>3775</v>
      </c>
      <c r="C11" s="49">
        <v>3525</v>
      </c>
      <c r="D11" s="72">
        <v>250</v>
      </c>
      <c r="E11" t="s">
        <v>391</v>
      </c>
    </row>
    <row r="12" spans="2:5" ht="18.600000000000001" thickTop="1" thickBot="1" x14ac:dyDescent="0.35">
      <c r="B12">
        <f t="shared" si="0"/>
        <v>1845</v>
      </c>
      <c r="C12" s="49">
        <v>1675</v>
      </c>
      <c r="D12" s="72">
        <v>170</v>
      </c>
      <c r="E12" t="s">
        <v>392</v>
      </c>
    </row>
    <row r="13" spans="2:5" ht="18.600000000000001" thickTop="1" thickBot="1" x14ac:dyDescent="0.35">
      <c r="B13" s="75">
        <f t="shared" si="0"/>
        <v>13380</v>
      </c>
      <c r="C13" s="76">
        <v>12690</v>
      </c>
      <c r="D13" s="77">
        <v>690</v>
      </c>
      <c r="E13" s="75" t="s">
        <v>393</v>
      </c>
    </row>
    <row r="14" spans="2:5" ht="18.600000000000001" thickTop="1" thickBot="1" x14ac:dyDescent="0.35">
      <c r="B14">
        <f t="shared" si="0"/>
        <v>22085</v>
      </c>
      <c r="C14" s="49">
        <v>21525</v>
      </c>
      <c r="D14" s="73">
        <v>560</v>
      </c>
      <c r="E14" t="s">
        <v>119</v>
      </c>
    </row>
    <row r="15" spans="2:5" ht="18.600000000000001" thickTop="1" thickBot="1" x14ac:dyDescent="0.35">
      <c r="B15">
        <f t="shared" si="0"/>
        <v>7785</v>
      </c>
      <c r="C15" s="50">
        <v>7250</v>
      </c>
      <c r="D15" s="74">
        <v>535</v>
      </c>
      <c r="E15" t="s">
        <v>394</v>
      </c>
    </row>
    <row r="16" spans="2:5" ht="15" thickTop="1" x14ac:dyDescent="0.3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B4CA5-1B7A-40A4-9A1B-31014B26F204}">
  <dimension ref="A1:AH55"/>
  <sheetViews>
    <sheetView topLeftCell="A18" zoomScale="85" zoomScaleNormal="85" workbookViewId="0">
      <selection activeCell="D34" sqref="D34:F43"/>
    </sheetView>
  </sheetViews>
  <sheetFormatPr defaultRowHeight="14.4" x14ac:dyDescent="0.3"/>
  <cols>
    <col min="2" max="2" width="18.88671875" bestFit="1" customWidth="1"/>
    <col min="4" max="4" width="18" bestFit="1" customWidth="1"/>
    <col min="5" max="5" width="15.33203125" customWidth="1"/>
    <col min="6" max="6" width="13.21875" customWidth="1"/>
    <col min="33" max="33" width="14.5546875" customWidth="1"/>
    <col min="60" max="60" width="14.88671875" bestFit="1" customWidth="1"/>
    <col min="62" max="62" width="14.88671875" bestFit="1" customWidth="1"/>
  </cols>
  <sheetData>
    <row r="1" spans="1:34" x14ac:dyDescent="0.3">
      <c r="A1" t="s">
        <v>404</v>
      </c>
      <c r="B1" t="s">
        <v>405</v>
      </c>
    </row>
    <row r="2" spans="1:34" x14ac:dyDescent="0.3">
      <c r="A2" t="s">
        <v>6</v>
      </c>
      <c r="B2" s="201">
        <v>2805015</v>
      </c>
    </row>
    <row r="3" spans="1:34" x14ac:dyDescent="0.3">
      <c r="A3" t="s">
        <v>7</v>
      </c>
      <c r="B3" s="201">
        <v>3691706</v>
      </c>
    </row>
    <row r="4" spans="1:34" x14ac:dyDescent="0.3">
      <c r="A4" t="s">
        <v>32</v>
      </c>
      <c r="B4" s="201">
        <v>1986546</v>
      </c>
    </row>
    <row r="5" spans="1:34" x14ac:dyDescent="0.3">
      <c r="A5" t="s">
        <v>33</v>
      </c>
      <c r="B5" s="201">
        <v>2166940</v>
      </c>
    </row>
    <row r="6" spans="1:34" x14ac:dyDescent="0.3">
      <c r="A6" t="s">
        <v>34</v>
      </c>
      <c r="B6" s="201">
        <v>435000</v>
      </c>
    </row>
    <row r="7" spans="1:34" x14ac:dyDescent="0.3">
      <c r="A7" t="s">
        <v>281</v>
      </c>
      <c r="B7" s="201">
        <v>21550461.25</v>
      </c>
    </row>
    <row r="8" spans="1:34" x14ac:dyDescent="0.3">
      <c r="A8" t="s">
        <v>40</v>
      </c>
      <c r="B8" s="201">
        <v>53422.545454545456</v>
      </c>
    </row>
    <row r="9" spans="1:34" x14ac:dyDescent="0.3">
      <c r="A9" t="s">
        <v>35</v>
      </c>
      <c r="B9" s="201">
        <v>6665992</v>
      </c>
      <c r="AF9" s="205" t="s">
        <v>404</v>
      </c>
      <c r="AG9" s="205" t="s">
        <v>405</v>
      </c>
      <c r="AH9" s="205" t="s">
        <v>406</v>
      </c>
    </row>
    <row r="10" spans="1:34" x14ac:dyDescent="0.3">
      <c r="E10" t="s">
        <v>404</v>
      </c>
      <c r="F10" t="s">
        <v>405</v>
      </c>
      <c r="G10" t="s">
        <v>406</v>
      </c>
      <c r="AF10" s="203" t="s">
        <v>36</v>
      </c>
      <c r="AG10" s="208">
        <v>2077500</v>
      </c>
      <c r="AH10" s="204">
        <v>0.17</v>
      </c>
    </row>
    <row r="11" spans="1:34" x14ac:dyDescent="0.3">
      <c r="E11" t="s">
        <v>36</v>
      </c>
      <c r="F11" s="202">
        <v>2077500</v>
      </c>
      <c r="G11" s="4">
        <v>0.17</v>
      </c>
      <c r="AF11" s="203" t="s">
        <v>37</v>
      </c>
      <c r="AG11" s="208">
        <v>2708200</v>
      </c>
      <c r="AH11" s="204">
        <v>0.22</v>
      </c>
    </row>
    <row r="12" spans="1:34" x14ac:dyDescent="0.3">
      <c r="E12" t="s">
        <v>37</v>
      </c>
      <c r="F12" s="202">
        <v>2708200</v>
      </c>
      <c r="G12" s="4">
        <v>0.22</v>
      </c>
      <c r="AF12" s="203" t="s">
        <v>38</v>
      </c>
      <c r="AG12" s="208">
        <v>684509.1</v>
      </c>
      <c r="AH12" s="204">
        <v>0.05</v>
      </c>
    </row>
    <row r="13" spans="1:34" x14ac:dyDescent="0.3">
      <c r="E13" t="s">
        <v>38</v>
      </c>
      <c r="F13" s="202">
        <v>684509.1</v>
      </c>
      <c r="G13" s="4">
        <v>0.05</v>
      </c>
      <c r="AF13" s="203" t="s">
        <v>39</v>
      </c>
      <c r="AG13" s="208">
        <v>2277350</v>
      </c>
      <c r="AH13" s="204">
        <v>0.18</v>
      </c>
    </row>
    <row r="14" spans="1:34" x14ac:dyDescent="0.3">
      <c r="E14" t="s">
        <v>39</v>
      </c>
      <c r="F14" s="202">
        <v>2277350</v>
      </c>
      <c r="G14" s="4">
        <v>0.18</v>
      </c>
      <c r="AF14" s="203" t="s">
        <v>47</v>
      </c>
      <c r="AG14" s="208">
        <v>463570.79999999993</v>
      </c>
      <c r="AH14" s="204">
        <v>0.04</v>
      </c>
    </row>
    <row r="15" spans="1:34" x14ac:dyDescent="0.3">
      <c r="E15" t="s">
        <v>47</v>
      </c>
      <c r="F15" s="202">
        <v>463570.79999999993</v>
      </c>
      <c r="G15" s="4">
        <v>0.04</v>
      </c>
      <c r="AF15" s="203" t="s">
        <v>43</v>
      </c>
      <c r="AG15" s="208">
        <v>4246937.165</v>
      </c>
      <c r="AH15" s="204">
        <v>0.34</v>
      </c>
    </row>
    <row r="16" spans="1:34" x14ac:dyDescent="0.3">
      <c r="E16" t="s">
        <v>43</v>
      </c>
      <c r="F16" s="202">
        <v>4246937.165</v>
      </c>
      <c r="G16" s="4">
        <v>0.34</v>
      </c>
      <c r="AF16" s="205"/>
      <c r="AG16" s="206"/>
      <c r="AH16" s="207"/>
    </row>
    <row r="17" spans="1:34" ht="22.5" customHeight="1" x14ac:dyDescent="0.3">
      <c r="AF17" s="205"/>
      <c r="AG17" s="206"/>
      <c r="AH17" s="207"/>
    </row>
    <row r="22" spans="1:34" x14ac:dyDescent="0.3">
      <c r="A22" t="s">
        <v>404</v>
      </c>
      <c r="B22" t="s">
        <v>405</v>
      </c>
    </row>
    <row r="23" spans="1:34" x14ac:dyDescent="0.3">
      <c r="A23" t="s">
        <v>36</v>
      </c>
      <c r="B23" s="202">
        <v>2077500</v>
      </c>
    </row>
    <row r="24" spans="1:34" x14ac:dyDescent="0.3">
      <c r="A24" t="s">
        <v>37</v>
      </c>
      <c r="B24" s="202">
        <v>2708200</v>
      </c>
    </row>
    <row r="25" spans="1:34" x14ac:dyDescent="0.3">
      <c r="A25" t="s">
        <v>38</v>
      </c>
      <c r="B25" s="202">
        <v>684509.1</v>
      </c>
    </row>
    <row r="26" spans="1:34" x14ac:dyDescent="0.3">
      <c r="A26" t="s">
        <v>39</v>
      </c>
      <c r="B26" s="202">
        <v>2277350</v>
      </c>
    </row>
    <row r="27" spans="1:34" x14ac:dyDescent="0.3">
      <c r="A27" t="s">
        <v>47</v>
      </c>
      <c r="B27" s="202">
        <v>463570.79999999993</v>
      </c>
    </row>
    <row r="28" spans="1:34" x14ac:dyDescent="0.3">
      <c r="A28" t="s">
        <v>43</v>
      </c>
      <c r="B28" s="202">
        <v>4246937.165</v>
      </c>
    </row>
    <row r="34" spans="1:6" x14ac:dyDescent="0.3">
      <c r="D34" s="205" t="s">
        <v>404</v>
      </c>
      <c r="E34" s="205" t="s">
        <v>405</v>
      </c>
      <c r="F34" s="205" t="s">
        <v>406</v>
      </c>
    </row>
    <row r="35" spans="1:6" x14ac:dyDescent="0.3">
      <c r="D35" s="205" t="s">
        <v>10</v>
      </c>
      <c r="E35" s="209">
        <v>18241478.550000001</v>
      </c>
      <c r="F35" s="207">
        <v>0.05</v>
      </c>
    </row>
    <row r="36" spans="1:6" x14ac:dyDescent="0.3">
      <c r="D36" s="205" t="s">
        <v>11</v>
      </c>
      <c r="E36" s="209">
        <v>67767000</v>
      </c>
      <c r="F36" s="207">
        <v>0.18</v>
      </c>
    </row>
    <row r="37" spans="1:6" x14ac:dyDescent="0.3">
      <c r="D37" s="205" t="s">
        <v>12</v>
      </c>
      <c r="E37" s="209">
        <v>217970234</v>
      </c>
      <c r="F37" s="207">
        <v>0.57999999999999996</v>
      </c>
    </row>
    <row r="38" spans="1:6" x14ac:dyDescent="0.3">
      <c r="D38" s="205" t="s">
        <v>44</v>
      </c>
      <c r="E38" s="209">
        <v>453517.903930131</v>
      </c>
      <c r="F38" s="207">
        <v>0.01</v>
      </c>
    </row>
    <row r="39" spans="1:6" x14ac:dyDescent="0.3">
      <c r="A39" t="s">
        <v>404</v>
      </c>
      <c r="B39" t="s">
        <v>405</v>
      </c>
      <c r="D39" s="205" t="s">
        <v>45</v>
      </c>
      <c r="E39" s="209">
        <v>742145.15</v>
      </c>
      <c r="F39" s="207">
        <v>0.01</v>
      </c>
    </row>
    <row r="40" spans="1:6" x14ac:dyDescent="0.3">
      <c r="A40" t="s">
        <v>10</v>
      </c>
      <c r="B40" s="202">
        <v>18241478.550000001</v>
      </c>
      <c r="D40" s="205" t="s">
        <v>46</v>
      </c>
      <c r="E40" s="209">
        <v>2772213</v>
      </c>
      <c r="F40" s="207">
        <v>0.01</v>
      </c>
    </row>
    <row r="41" spans="1:6" x14ac:dyDescent="0.3">
      <c r="A41" t="s">
        <v>11</v>
      </c>
      <c r="B41" s="202">
        <v>67767000</v>
      </c>
      <c r="D41" s="205" t="s">
        <v>34</v>
      </c>
      <c r="E41" s="209">
        <v>5830150</v>
      </c>
      <c r="F41" s="207">
        <v>0.01</v>
      </c>
    </row>
    <row r="42" spans="1:6" x14ac:dyDescent="0.3">
      <c r="A42" t="s">
        <v>12</v>
      </c>
      <c r="B42" s="202">
        <v>217970234</v>
      </c>
      <c r="D42" s="205" t="s">
        <v>374</v>
      </c>
      <c r="E42" s="209">
        <v>6429230</v>
      </c>
      <c r="F42" s="207">
        <v>0.01</v>
      </c>
    </row>
    <row r="43" spans="1:6" x14ac:dyDescent="0.3">
      <c r="A43" t="s">
        <v>44</v>
      </c>
      <c r="B43" s="202">
        <v>453517.903930131</v>
      </c>
      <c r="D43" s="205" t="s">
        <v>35</v>
      </c>
      <c r="E43" s="209">
        <v>57381606.391999997</v>
      </c>
      <c r="F43" s="207">
        <v>0.13</v>
      </c>
    </row>
    <row r="44" spans="1:6" x14ac:dyDescent="0.3">
      <c r="A44" t="s">
        <v>45</v>
      </c>
      <c r="B44" s="202">
        <v>742145.15</v>
      </c>
      <c r="D44" s="69"/>
    </row>
    <row r="45" spans="1:6" x14ac:dyDescent="0.3">
      <c r="A45" t="s">
        <v>46</v>
      </c>
      <c r="B45" s="202">
        <v>2772213</v>
      </c>
    </row>
    <row r="46" spans="1:6" x14ac:dyDescent="0.3">
      <c r="A46" t="s">
        <v>34</v>
      </c>
      <c r="B46" s="202">
        <v>5830150</v>
      </c>
    </row>
    <row r="47" spans="1:6" x14ac:dyDescent="0.3">
      <c r="A47" t="s">
        <v>374</v>
      </c>
      <c r="B47" s="202">
        <v>6429230</v>
      </c>
    </row>
    <row r="48" spans="1:6" x14ac:dyDescent="0.3">
      <c r="A48" t="s">
        <v>35</v>
      </c>
      <c r="B48" s="202">
        <v>57381606.391999997</v>
      </c>
    </row>
    <row r="49" spans="1:2" x14ac:dyDescent="0.3">
      <c r="B49" s="69"/>
    </row>
    <row r="51" spans="1:2" x14ac:dyDescent="0.3">
      <c r="A51" t="s">
        <v>404</v>
      </c>
      <c r="B51" t="s">
        <v>405</v>
      </c>
    </row>
    <row r="52" spans="1:2" x14ac:dyDescent="0.3">
      <c r="A52" t="s">
        <v>385</v>
      </c>
      <c r="B52" s="201">
        <v>6665992</v>
      </c>
    </row>
    <row r="53" spans="1:2" x14ac:dyDescent="0.3">
      <c r="A53" t="s">
        <v>387</v>
      </c>
      <c r="B53" s="201">
        <v>12458067.065000001</v>
      </c>
    </row>
    <row r="54" spans="1:2" x14ac:dyDescent="0.3">
      <c r="A54" t="s">
        <v>386</v>
      </c>
      <c r="B54" s="201">
        <v>154298438.43093011</v>
      </c>
    </row>
    <row r="55" spans="1:2" x14ac:dyDescent="0.3">
      <c r="B55" s="69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F02C9-A50B-4D2E-B8C8-77D15DC61D75}">
  <dimension ref="C3:K11"/>
  <sheetViews>
    <sheetView topLeftCell="A9" zoomScaleNormal="100" workbookViewId="0">
      <selection activeCell="M8" sqref="M8"/>
    </sheetView>
  </sheetViews>
  <sheetFormatPr defaultRowHeight="14.4" x14ac:dyDescent="0.3"/>
  <sheetData>
    <row r="3" spans="3:11" x14ac:dyDescent="0.3">
      <c r="D3" s="294"/>
      <c r="E3" s="294"/>
      <c r="F3" s="295"/>
      <c r="G3" s="295"/>
      <c r="H3" s="296"/>
      <c r="I3" s="296"/>
      <c r="J3" s="62"/>
      <c r="K3" s="63"/>
    </row>
    <row r="4" spans="3:11" x14ac:dyDescent="0.3">
      <c r="C4" s="60"/>
      <c r="D4" s="59"/>
      <c r="E4" s="57"/>
      <c r="F4" s="56"/>
      <c r="G4" s="58"/>
      <c r="H4" s="56"/>
      <c r="I4" s="61"/>
      <c r="J4" s="62"/>
      <c r="K4" s="63"/>
    </row>
    <row r="5" spans="3:11" x14ac:dyDescent="0.3">
      <c r="C5" s="60"/>
      <c r="D5" s="59"/>
      <c r="E5" s="57"/>
      <c r="F5" s="56"/>
      <c r="G5" s="58"/>
      <c r="H5" s="56"/>
      <c r="I5" s="61"/>
      <c r="J5" s="62"/>
      <c r="K5" s="63"/>
    </row>
    <row r="6" spans="3:11" x14ac:dyDescent="0.3">
      <c r="C6" s="60"/>
      <c r="D6" s="59"/>
      <c r="E6" s="57"/>
      <c r="F6" s="56"/>
      <c r="G6" s="58"/>
      <c r="H6" s="56"/>
      <c r="I6" s="61"/>
      <c r="J6" s="62"/>
      <c r="K6" s="63"/>
    </row>
    <row r="7" spans="3:11" x14ac:dyDescent="0.3">
      <c r="C7" s="60"/>
      <c r="D7" s="59"/>
      <c r="E7" s="57"/>
      <c r="F7" s="56"/>
      <c r="G7" s="58"/>
      <c r="H7" s="56"/>
      <c r="I7" s="61"/>
      <c r="J7" s="62"/>
      <c r="K7" s="63"/>
    </row>
    <row r="8" spans="3:11" x14ac:dyDescent="0.3">
      <c r="C8" s="60"/>
      <c r="D8" s="59"/>
      <c r="E8" s="57"/>
      <c r="F8" s="56"/>
      <c r="G8" s="58"/>
      <c r="H8" s="56"/>
      <c r="I8" s="61"/>
      <c r="J8" s="62"/>
      <c r="K8" s="63"/>
    </row>
    <row r="9" spans="3:11" x14ac:dyDescent="0.3">
      <c r="C9" s="60"/>
      <c r="D9" s="59"/>
      <c r="E9" s="57"/>
      <c r="F9" s="56"/>
      <c r="G9" s="58"/>
      <c r="H9" s="56"/>
      <c r="I9" s="61"/>
      <c r="J9" s="62"/>
      <c r="K9" s="63"/>
    </row>
    <row r="10" spans="3:11" x14ac:dyDescent="0.3">
      <c r="C10" s="60"/>
      <c r="D10" s="59"/>
      <c r="E10" s="57"/>
      <c r="F10" s="56"/>
      <c r="G10" s="58"/>
      <c r="H10" s="56"/>
      <c r="I10" s="61"/>
      <c r="J10" s="62"/>
      <c r="K10" s="63"/>
    </row>
    <row r="11" spans="3:11" x14ac:dyDescent="0.3">
      <c r="C11" s="60"/>
      <c r="D11" s="59"/>
      <c r="E11" s="57"/>
      <c r="F11" s="56"/>
      <c r="G11" s="58"/>
      <c r="H11" s="56"/>
      <c r="I11" s="61"/>
      <c r="J11" s="62"/>
      <c r="K11" s="63"/>
    </row>
  </sheetData>
  <mergeCells count="3">
    <mergeCell ref="D3:E3"/>
    <mergeCell ref="F3:G3"/>
    <mergeCell ref="H3:I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H2:U73"/>
  <sheetViews>
    <sheetView topLeftCell="F15" workbookViewId="0">
      <selection activeCell="I23" sqref="I23"/>
    </sheetView>
  </sheetViews>
  <sheetFormatPr defaultRowHeight="14.4" x14ac:dyDescent="0.3"/>
  <cols>
    <col min="11" max="11" width="12" bestFit="1" customWidth="1"/>
    <col min="12" max="12" width="8.88671875" bestFit="1" customWidth="1"/>
    <col min="13" max="13" width="23.33203125" bestFit="1" customWidth="1"/>
    <col min="16" max="16" width="12.6640625" bestFit="1" customWidth="1"/>
    <col min="20" max="20" width="21.5546875" bestFit="1" customWidth="1"/>
  </cols>
  <sheetData>
    <row r="2" spans="11:13" x14ac:dyDescent="0.3">
      <c r="K2" s="303" t="s">
        <v>56</v>
      </c>
      <c r="L2" s="303"/>
      <c r="M2" s="303"/>
    </row>
    <row r="3" spans="11:13" x14ac:dyDescent="0.3">
      <c r="K3" s="2" t="s">
        <v>63</v>
      </c>
      <c r="L3" t="s">
        <v>54</v>
      </c>
      <c r="M3" s="3" t="s">
        <v>50</v>
      </c>
    </row>
    <row r="4" spans="11:13" x14ac:dyDescent="0.3">
      <c r="K4">
        <f>L4/300</f>
        <v>18.399999999999999</v>
      </c>
      <c r="L4">
        <v>5520</v>
      </c>
      <c r="M4" s="1" t="s">
        <v>51</v>
      </c>
    </row>
    <row r="5" spans="11:13" x14ac:dyDescent="0.3">
      <c r="K5">
        <f>L5*2 /300</f>
        <v>21.953333333333333</v>
      </c>
      <c r="L5">
        <v>3293</v>
      </c>
      <c r="M5" t="s">
        <v>52</v>
      </c>
    </row>
    <row r="6" spans="11:13" x14ac:dyDescent="0.3">
      <c r="K6">
        <f>L6*2 /300</f>
        <v>2.3333333333333335</v>
      </c>
      <c r="L6">
        <v>350</v>
      </c>
      <c r="M6" s="1" t="s">
        <v>53</v>
      </c>
    </row>
    <row r="7" spans="11:13" x14ac:dyDescent="0.3">
      <c r="K7" s="3">
        <f>SUM(K4:K6)</f>
        <v>42.686666666666667</v>
      </c>
      <c r="L7" s="303" t="s">
        <v>57</v>
      </c>
      <c r="M7" s="303"/>
    </row>
    <row r="8" spans="11:13" x14ac:dyDescent="0.3">
      <c r="L8" s="2"/>
      <c r="M8" s="2"/>
    </row>
    <row r="9" spans="11:13" x14ac:dyDescent="0.3">
      <c r="K9" s="303" t="s">
        <v>64</v>
      </c>
      <c r="L9" s="303"/>
      <c r="M9" s="303"/>
    </row>
    <row r="10" spans="11:13" x14ac:dyDescent="0.3">
      <c r="K10" s="2" t="s">
        <v>63</v>
      </c>
      <c r="L10" t="s">
        <v>62</v>
      </c>
      <c r="M10" s="3" t="s">
        <v>58</v>
      </c>
    </row>
    <row r="11" spans="11:13" x14ac:dyDescent="0.3">
      <c r="K11">
        <f>L11/200</f>
        <v>23.98</v>
      </c>
      <c r="L11">
        <v>4796</v>
      </c>
      <c r="M11" s="1" t="s">
        <v>59</v>
      </c>
    </row>
    <row r="12" spans="11:13" x14ac:dyDescent="0.3">
      <c r="K12">
        <f>L12/200</f>
        <v>16.239999999999998</v>
      </c>
      <c r="L12">
        <v>3248</v>
      </c>
      <c r="M12" t="s">
        <v>60</v>
      </c>
    </row>
    <row r="13" spans="11:13" x14ac:dyDescent="0.3">
      <c r="K13">
        <f>L13*3 /200</f>
        <v>5.25</v>
      </c>
      <c r="L13">
        <v>350</v>
      </c>
      <c r="M13" s="1" t="s">
        <v>61</v>
      </c>
    </row>
    <row r="14" spans="11:13" x14ac:dyDescent="0.3">
      <c r="K14" s="3">
        <f>SUM(K11:K13)</f>
        <v>45.47</v>
      </c>
      <c r="L14" s="303" t="s">
        <v>57</v>
      </c>
      <c r="M14" s="303"/>
    </row>
    <row r="16" spans="11:13" ht="15" thickBot="1" x14ac:dyDescent="0.35"/>
    <row r="17" spans="8:21" ht="15" thickBot="1" x14ac:dyDescent="0.35">
      <c r="H17" s="298" t="s">
        <v>67</v>
      </c>
      <c r="I17" s="298"/>
      <c r="J17" s="298"/>
      <c r="K17" s="298"/>
      <c r="L17" s="298"/>
      <c r="M17" s="299"/>
      <c r="N17" s="304" t="s">
        <v>104</v>
      </c>
      <c r="O17" s="305"/>
      <c r="P17" s="305"/>
      <c r="Q17" s="305"/>
      <c r="R17" s="305"/>
      <c r="S17" s="305"/>
      <c r="T17" s="306"/>
    </row>
    <row r="18" spans="8:21" x14ac:dyDescent="0.3">
      <c r="H18" t="s">
        <v>72</v>
      </c>
      <c r="I18">
        <f>L18/J18</f>
        <v>32.5</v>
      </c>
      <c r="J18">
        <v>10</v>
      </c>
      <c r="K18" t="s">
        <v>62</v>
      </c>
      <c r="L18">
        <v>325</v>
      </c>
      <c r="M18" t="s">
        <v>71</v>
      </c>
      <c r="N18" s="5"/>
      <c r="R18" t="s">
        <v>76</v>
      </c>
      <c r="S18">
        <v>5</v>
      </c>
      <c r="T18" s="6" t="s">
        <v>94</v>
      </c>
    </row>
    <row r="19" spans="8:21" x14ac:dyDescent="0.3">
      <c r="H19" t="s">
        <v>72</v>
      </c>
      <c r="I19">
        <f>L19/J19</f>
        <v>35</v>
      </c>
      <c r="J19">
        <v>10</v>
      </c>
      <c r="K19" t="s">
        <v>82</v>
      </c>
      <c r="L19">
        <v>350</v>
      </c>
      <c r="M19" t="s">
        <v>6</v>
      </c>
      <c r="N19" s="5" t="s">
        <v>105</v>
      </c>
      <c r="O19" t="s">
        <v>103</v>
      </c>
      <c r="P19" t="s">
        <v>100</v>
      </c>
      <c r="Q19" t="s">
        <v>98</v>
      </c>
      <c r="T19" s="6"/>
    </row>
    <row r="20" spans="8:21" x14ac:dyDescent="0.3">
      <c r="K20" t="s">
        <v>68</v>
      </c>
      <c r="L20">
        <v>50</v>
      </c>
      <c r="M20" t="s">
        <v>69</v>
      </c>
      <c r="N20" s="7">
        <v>0.02</v>
      </c>
      <c r="O20">
        <f>1.2*1.2*0.025</f>
        <v>3.5999999999999997E-2</v>
      </c>
      <c r="P20" t="s">
        <v>101</v>
      </c>
      <c r="Q20">
        <v>1</v>
      </c>
      <c r="R20" t="s">
        <v>91</v>
      </c>
      <c r="S20">
        <v>150</v>
      </c>
      <c r="T20" s="6" t="s">
        <v>95</v>
      </c>
    </row>
    <row r="21" spans="8:21" x14ac:dyDescent="0.3">
      <c r="K21" t="s">
        <v>68</v>
      </c>
      <c r="L21">
        <v>30</v>
      </c>
      <c r="M21" t="s">
        <v>70</v>
      </c>
      <c r="N21" s="7">
        <v>0.04</v>
      </c>
      <c r="O21">
        <f>1.2*2.4*0.025*2</f>
        <v>0.14399999999999999</v>
      </c>
      <c r="P21" t="s">
        <v>102</v>
      </c>
      <c r="Q21">
        <v>2</v>
      </c>
      <c r="R21" t="s">
        <v>91</v>
      </c>
      <c r="S21" s="3">
        <v>300</v>
      </c>
      <c r="T21" s="6" t="s">
        <v>96</v>
      </c>
    </row>
    <row r="22" spans="8:21" ht="28.8" x14ac:dyDescent="0.3">
      <c r="K22" t="s">
        <v>55</v>
      </c>
      <c r="L22">
        <v>1450</v>
      </c>
      <c r="M22" t="s">
        <v>65</v>
      </c>
      <c r="N22" s="7">
        <v>0.04</v>
      </c>
      <c r="O22">
        <f>1.2*2.4*0.025*2</f>
        <v>0.14399999999999999</v>
      </c>
      <c r="P22" t="s">
        <v>102</v>
      </c>
      <c r="Q22">
        <v>2</v>
      </c>
      <c r="R22" s="8" t="s">
        <v>91</v>
      </c>
      <c r="S22" s="8">
        <v>600</v>
      </c>
      <c r="T22" s="9" t="s">
        <v>97</v>
      </c>
    </row>
    <row r="23" spans="8:21" ht="15" thickBot="1" x14ac:dyDescent="0.35">
      <c r="H23" t="s">
        <v>72</v>
      </c>
      <c r="I23">
        <f>L23/J23</f>
        <v>100</v>
      </c>
      <c r="J23">
        <v>20</v>
      </c>
      <c r="K23" t="s">
        <v>62</v>
      </c>
      <c r="L23">
        <v>2000</v>
      </c>
      <c r="M23" t="s">
        <v>66</v>
      </c>
      <c r="N23" s="10">
        <v>0.04</v>
      </c>
      <c r="O23" s="11">
        <f>1.2*2.4*0.025*2</f>
        <v>0.14399999999999999</v>
      </c>
      <c r="P23" s="11" t="s">
        <v>102</v>
      </c>
      <c r="Q23" s="11">
        <v>2</v>
      </c>
      <c r="R23" s="11" t="s">
        <v>91</v>
      </c>
      <c r="S23" s="11">
        <v>200</v>
      </c>
      <c r="T23" s="12" t="s">
        <v>99</v>
      </c>
    </row>
    <row r="24" spans="8:21" x14ac:dyDescent="0.3">
      <c r="K24" t="s">
        <v>68</v>
      </c>
      <c r="L24">
        <v>300</v>
      </c>
      <c r="M24" s="2" t="s">
        <v>80</v>
      </c>
    </row>
    <row r="26" spans="8:21" x14ac:dyDescent="0.3">
      <c r="K26" t="s">
        <v>74</v>
      </c>
      <c r="L26">
        <v>2.4</v>
      </c>
      <c r="M26" t="s">
        <v>73</v>
      </c>
    </row>
    <row r="27" spans="8:21" x14ac:dyDescent="0.3">
      <c r="K27" t="s">
        <v>74</v>
      </c>
      <c r="L27">
        <v>1.2</v>
      </c>
      <c r="R27" s="302" t="s">
        <v>104</v>
      </c>
      <c r="S27" s="302"/>
      <c r="T27" s="302"/>
      <c r="U27" s="302"/>
    </row>
    <row r="28" spans="8:21" x14ac:dyDescent="0.3">
      <c r="K28" t="s">
        <v>74</v>
      </c>
      <c r="L28">
        <v>2.5000000000000001E-2</v>
      </c>
      <c r="R28" s="13" t="s">
        <v>125</v>
      </c>
      <c r="S28" s="13">
        <v>1300</v>
      </c>
      <c r="T28" s="13" t="s">
        <v>124</v>
      </c>
      <c r="U28" s="13"/>
    </row>
    <row r="29" spans="8:21" x14ac:dyDescent="0.3">
      <c r="K29" t="s">
        <v>55</v>
      </c>
      <c r="L29">
        <f>L28*L27*L26</f>
        <v>7.1999999999999995E-2</v>
      </c>
      <c r="M29" t="s">
        <v>77</v>
      </c>
      <c r="R29" s="13" t="s">
        <v>74</v>
      </c>
      <c r="S29" s="13">
        <v>2.4</v>
      </c>
      <c r="T29" s="300" t="s">
        <v>126</v>
      </c>
      <c r="U29" s="13"/>
    </row>
    <row r="30" spans="8:21" x14ac:dyDescent="0.3">
      <c r="K30" t="s">
        <v>76</v>
      </c>
      <c r="L30">
        <v>4</v>
      </c>
      <c r="M30" t="s">
        <v>75</v>
      </c>
      <c r="R30" s="13" t="s">
        <v>74</v>
      </c>
      <c r="S30" s="13">
        <v>1.2</v>
      </c>
      <c r="T30" s="300"/>
      <c r="U30" s="13"/>
    </row>
    <row r="31" spans="8:21" x14ac:dyDescent="0.3">
      <c r="K31" t="s">
        <v>79</v>
      </c>
      <c r="L31">
        <v>1</v>
      </c>
      <c r="M31" t="s">
        <v>78</v>
      </c>
      <c r="R31" s="13" t="s">
        <v>76</v>
      </c>
      <c r="S31" s="13">
        <v>6</v>
      </c>
      <c r="T31" s="13" t="s">
        <v>75</v>
      </c>
      <c r="U31" s="13"/>
    </row>
    <row r="32" spans="8:21" x14ac:dyDescent="0.3">
      <c r="K32" t="s">
        <v>63</v>
      </c>
      <c r="L32">
        <f>L24/L30</f>
        <v>75</v>
      </c>
      <c r="M32" t="s">
        <v>81</v>
      </c>
      <c r="R32" s="13"/>
      <c r="S32" s="13"/>
      <c r="T32" s="13"/>
      <c r="U32" s="13"/>
    </row>
    <row r="33" spans="8:21" x14ac:dyDescent="0.3">
      <c r="L33" s="4">
        <v>0.02</v>
      </c>
      <c r="M33" t="s">
        <v>105</v>
      </c>
      <c r="R33" s="301" t="s">
        <v>133</v>
      </c>
      <c r="S33" s="301"/>
      <c r="T33" s="301"/>
      <c r="U33" s="13"/>
    </row>
    <row r="34" spans="8:21" x14ac:dyDescent="0.3">
      <c r="K34" s="3" t="s">
        <v>63</v>
      </c>
      <c r="L34" s="3">
        <f>L32*L29*1.02</f>
        <v>5.5079999999999991</v>
      </c>
      <c r="M34" s="3" t="s">
        <v>106</v>
      </c>
      <c r="R34" s="13" t="s">
        <v>128</v>
      </c>
      <c r="S34" s="13">
        <v>1</v>
      </c>
      <c r="T34" s="13" t="s">
        <v>127</v>
      </c>
      <c r="U34" s="13"/>
    </row>
    <row r="35" spans="8:21" x14ac:dyDescent="0.3">
      <c r="R35" s="13"/>
      <c r="S35" s="14">
        <v>0.04</v>
      </c>
      <c r="T35" s="13" t="s">
        <v>129</v>
      </c>
      <c r="U35" s="13"/>
    </row>
    <row r="36" spans="8:21" x14ac:dyDescent="0.3">
      <c r="J36" t="s">
        <v>118</v>
      </c>
      <c r="K36" s="298" t="s">
        <v>83</v>
      </c>
      <c r="L36" s="298"/>
      <c r="M36" s="298"/>
      <c r="R36" s="13"/>
      <c r="S36" s="13">
        <f>S28/S31 *1.04</f>
        <v>225.33333333333334</v>
      </c>
      <c r="T36" s="13" t="s">
        <v>130</v>
      </c>
      <c r="U36" s="13"/>
    </row>
    <row r="37" spans="8:21" x14ac:dyDescent="0.3">
      <c r="H37">
        <f>2*I37</f>
        <v>216.66666666666666</v>
      </c>
      <c r="I37">
        <f>L37/J37</f>
        <v>108.33333333333333</v>
      </c>
      <c r="J37">
        <v>3</v>
      </c>
      <c r="K37" t="s">
        <v>86</v>
      </c>
      <c r="L37">
        <v>325</v>
      </c>
      <c r="M37" t="s">
        <v>71</v>
      </c>
      <c r="R37" s="301" t="s">
        <v>132</v>
      </c>
      <c r="S37" s="301"/>
      <c r="T37" s="301"/>
      <c r="U37" s="13"/>
    </row>
    <row r="38" spans="8:21" x14ac:dyDescent="0.3">
      <c r="I38">
        <f t="shared" ref="I38:I40" si="0">L38/J38</f>
        <v>116.66666666666667</v>
      </c>
      <c r="J38">
        <v>3</v>
      </c>
      <c r="K38" t="s">
        <v>86</v>
      </c>
      <c r="L38">
        <v>350</v>
      </c>
      <c r="M38" t="s">
        <v>6</v>
      </c>
      <c r="R38" s="13" t="s">
        <v>128</v>
      </c>
      <c r="S38" s="13">
        <v>2</v>
      </c>
      <c r="T38" s="15" t="s">
        <v>127</v>
      </c>
      <c r="U38" s="13"/>
    </row>
    <row r="39" spans="8:21" x14ac:dyDescent="0.3">
      <c r="I39">
        <f t="shared" si="0"/>
        <v>108.33333333333333</v>
      </c>
      <c r="J39">
        <v>3</v>
      </c>
      <c r="K39" t="s">
        <v>86</v>
      </c>
      <c r="L39">
        <v>325</v>
      </c>
      <c r="M39" t="s">
        <v>84</v>
      </c>
      <c r="R39" s="13"/>
      <c r="S39" s="14">
        <v>0.04</v>
      </c>
      <c r="T39" s="13" t="s">
        <v>129</v>
      </c>
      <c r="U39" s="13"/>
    </row>
    <row r="40" spans="8:21" x14ac:dyDescent="0.3">
      <c r="I40">
        <f t="shared" si="0"/>
        <v>116.66666666666667</v>
      </c>
      <c r="J40">
        <v>3</v>
      </c>
      <c r="K40" t="s">
        <v>86</v>
      </c>
      <c r="L40">
        <v>350</v>
      </c>
      <c r="M40" t="s">
        <v>85</v>
      </c>
      <c r="R40" s="13"/>
      <c r="S40" s="13">
        <f>S28*S38 /S31 *1.04</f>
        <v>450.66666666666669</v>
      </c>
      <c r="T40" s="13" t="s">
        <v>130</v>
      </c>
      <c r="U40" s="13"/>
    </row>
    <row r="41" spans="8:21" x14ac:dyDescent="0.3">
      <c r="K41" t="s">
        <v>87</v>
      </c>
      <c r="L41">
        <v>50</v>
      </c>
      <c r="M41" t="s">
        <v>69</v>
      </c>
      <c r="R41" s="13"/>
      <c r="S41" s="13"/>
      <c r="T41" s="13"/>
      <c r="U41" s="13"/>
    </row>
    <row r="42" spans="8:21" x14ac:dyDescent="0.3">
      <c r="K42" t="s">
        <v>87</v>
      </c>
      <c r="L42">
        <v>35</v>
      </c>
      <c r="M42" t="s">
        <v>88</v>
      </c>
    </row>
    <row r="43" spans="8:21" x14ac:dyDescent="0.3">
      <c r="K43" t="s">
        <v>87</v>
      </c>
      <c r="L43">
        <v>1750</v>
      </c>
      <c r="M43" t="s">
        <v>65</v>
      </c>
      <c r="R43" s="303" t="s">
        <v>134</v>
      </c>
      <c r="S43" s="303"/>
      <c r="T43" s="303"/>
      <c r="U43" s="303"/>
    </row>
    <row r="44" spans="8:21" x14ac:dyDescent="0.3">
      <c r="K44" t="s">
        <v>87</v>
      </c>
      <c r="L44">
        <v>100</v>
      </c>
      <c r="M44" t="s">
        <v>66</v>
      </c>
      <c r="R44" t="s">
        <v>125</v>
      </c>
      <c r="S44">
        <v>54000</v>
      </c>
      <c r="T44" t="s">
        <v>135</v>
      </c>
    </row>
    <row r="45" spans="8:21" x14ac:dyDescent="0.3">
      <c r="K45" t="s">
        <v>55</v>
      </c>
      <c r="L45">
        <v>300</v>
      </c>
      <c r="M45" s="2" t="s">
        <v>80</v>
      </c>
      <c r="S45" s="4">
        <v>0.02</v>
      </c>
      <c r="T45" t="s">
        <v>129</v>
      </c>
    </row>
    <row r="46" spans="8:21" x14ac:dyDescent="0.3">
      <c r="K46" t="s">
        <v>76</v>
      </c>
      <c r="L46">
        <v>5</v>
      </c>
      <c r="M46" t="s">
        <v>89</v>
      </c>
      <c r="R46" s="303" t="s">
        <v>131</v>
      </c>
      <c r="S46" s="303"/>
      <c r="T46" s="303"/>
    </row>
    <row r="47" spans="8:21" x14ac:dyDescent="0.3">
      <c r="M47" t="s">
        <v>73</v>
      </c>
      <c r="R47" t="s">
        <v>137</v>
      </c>
      <c r="S47">
        <v>100</v>
      </c>
      <c r="T47" t="s">
        <v>136</v>
      </c>
    </row>
    <row r="48" spans="8:21" x14ac:dyDescent="0.3">
      <c r="L48">
        <v>1.2</v>
      </c>
      <c r="S48">
        <f>S44/1000 *S47 *1.02</f>
        <v>5508</v>
      </c>
      <c r="T48" t="s">
        <v>130</v>
      </c>
    </row>
    <row r="49" spans="11:20" x14ac:dyDescent="0.3">
      <c r="L49">
        <v>2.4</v>
      </c>
    </row>
    <row r="50" spans="11:20" x14ac:dyDescent="0.3">
      <c r="L50">
        <v>2.5000000000000001E-2</v>
      </c>
      <c r="R50" s="303" t="s">
        <v>140</v>
      </c>
      <c r="S50" s="303"/>
      <c r="T50" s="303"/>
    </row>
    <row r="51" spans="11:20" x14ac:dyDescent="0.3">
      <c r="K51" t="s">
        <v>55</v>
      </c>
      <c r="L51">
        <f>L48*L49*L50*L53</f>
        <v>0.14399999999999999</v>
      </c>
      <c r="Q51">
        <f>R51*S51*T51*7.86</f>
        <v>9.4320000000000004</v>
      </c>
      <c r="R51">
        <v>0.6</v>
      </c>
      <c r="S51">
        <v>2</v>
      </c>
      <c r="T51">
        <v>1</v>
      </c>
    </row>
    <row r="52" spans="11:20" x14ac:dyDescent="0.3">
      <c r="K52" t="s">
        <v>91</v>
      </c>
      <c r="L52">
        <v>75</v>
      </c>
      <c r="M52" t="s">
        <v>90</v>
      </c>
      <c r="R52" t="s">
        <v>146</v>
      </c>
      <c r="S52">
        <v>7.86</v>
      </c>
      <c r="T52" t="s">
        <v>145</v>
      </c>
    </row>
    <row r="53" spans="11:20" x14ac:dyDescent="0.3">
      <c r="K53" t="s">
        <v>79</v>
      </c>
      <c r="L53">
        <v>2</v>
      </c>
      <c r="M53" t="s">
        <v>93</v>
      </c>
      <c r="R53" t="s">
        <v>30</v>
      </c>
      <c r="S53">
        <f>Q51/1000</f>
        <v>9.4320000000000011E-3</v>
      </c>
      <c r="T53" t="s">
        <v>141</v>
      </c>
    </row>
    <row r="54" spans="11:20" x14ac:dyDescent="0.3">
      <c r="K54" s="3" t="s">
        <v>91</v>
      </c>
      <c r="L54" s="3">
        <f>L52*L51</f>
        <v>10.799999999999999</v>
      </c>
      <c r="M54" s="3" t="s">
        <v>92</v>
      </c>
      <c r="R54" t="s">
        <v>143</v>
      </c>
      <c r="S54">
        <v>59000</v>
      </c>
      <c r="T54" t="s">
        <v>142</v>
      </c>
    </row>
    <row r="55" spans="11:20" x14ac:dyDescent="0.3">
      <c r="K55" t="s">
        <v>108</v>
      </c>
      <c r="L55">
        <v>54000</v>
      </c>
      <c r="M55" t="s">
        <v>107</v>
      </c>
      <c r="S55">
        <f>S53*S54</f>
        <v>556.48800000000006</v>
      </c>
      <c r="T55" t="s">
        <v>144</v>
      </c>
    </row>
    <row r="56" spans="11:20" x14ac:dyDescent="0.3">
      <c r="K56" t="s">
        <v>110</v>
      </c>
      <c r="L56">
        <v>100</v>
      </c>
      <c r="M56" t="s">
        <v>109</v>
      </c>
    </row>
    <row r="57" spans="11:20" x14ac:dyDescent="0.3">
      <c r="K57" s="3" t="s">
        <v>91</v>
      </c>
      <c r="L57" s="3">
        <f>L55/1000 *L56</f>
        <v>5400</v>
      </c>
      <c r="M57" s="3" t="s">
        <v>111</v>
      </c>
    </row>
    <row r="59" spans="11:20" x14ac:dyDescent="0.3">
      <c r="K59" s="298" t="s">
        <v>112</v>
      </c>
      <c r="L59" s="298"/>
      <c r="M59" s="298"/>
    </row>
    <row r="60" spans="11:20" x14ac:dyDescent="0.3">
      <c r="M60" t="s">
        <v>6</v>
      </c>
    </row>
    <row r="61" spans="11:20" x14ac:dyDescent="0.3">
      <c r="K61">
        <v>3</v>
      </c>
      <c r="L61">
        <v>116.6</v>
      </c>
      <c r="M61" t="s">
        <v>115</v>
      </c>
    </row>
    <row r="62" spans="11:20" x14ac:dyDescent="0.3">
      <c r="K62">
        <v>3</v>
      </c>
      <c r="L62">
        <v>116.6</v>
      </c>
      <c r="M62" t="s">
        <v>113</v>
      </c>
    </row>
    <row r="63" spans="11:20" x14ac:dyDescent="0.3">
      <c r="K63">
        <v>1.5</v>
      </c>
      <c r="L63">
        <v>233.3</v>
      </c>
      <c r="M63" t="s">
        <v>114</v>
      </c>
    </row>
    <row r="64" spans="11:20" x14ac:dyDescent="0.3">
      <c r="K64" s="3" t="s">
        <v>91</v>
      </c>
      <c r="L64" s="3">
        <f>AVERAGE(L61:L63)</f>
        <v>155.5</v>
      </c>
      <c r="M64" s="3" t="s">
        <v>116</v>
      </c>
    </row>
    <row r="65" spans="11:13" x14ac:dyDescent="0.3">
      <c r="M65" t="s">
        <v>85</v>
      </c>
    </row>
    <row r="66" spans="11:13" x14ac:dyDescent="0.3">
      <c r="K66">
        <v>3</v>
      </c>
      <c r="L66">
        <v>116.6</v>
      </c>
      <c r="M66" t="s">
        <v>115</v>
      </c>
    </row>
    <row r="67" spans="11:13" x14ac:dyDescent="0.3">
      <c r="K67">
        <v>3</v>
      </c>
      <c r="L67">
        <v>116.6</v>
      </c>
      <c r="M67" t="s">
        <v>113</v>
      </c>
    </row>
    <row r="68" spans="11:13" x14ac:dyDescent="0.3">
      <c r="K68">
        <v>2.5</v>
      </c>
      <c r="L68">
        <v>140</v>
      </c>
      <c r="M68" t="s">
        <v>114</v>
      </c>
    </row>
    <row r="69" spans="11:13" x14ac:dyDescent="0.3">
      <c r="K69" s="3" t="s">
        <v>91</v>
      </c>
      <c r="L69" s="3">
        <f>AVERAGE(L66:L68)</f>
        <v>124.39999999999999</v>
      </c>
      <c r="M69" s="3" t="s">
        <v>117</v>
      </c>
    </row>
    <row r="71" spans="11:13" x14ac:dyDescent="0.3">
      <c r="K71" t="s">
        <v>118</v>
      </c>
      <c r="L71" s="297" t="s">
        <v>119</v>
      </c>
      <c r="M71" s="297"/>
    </row>
    <row r="72" spans="11:13" x14ac:dyDescent="0.3">
      <c r="K72">
        <v>50</v>
      </c>
      <c r="L72">
        <f>350/K72</f>
        <v>7</v>
      </c>
      <c r="M72" t="s">
        <v>6</v>
      </c>
    </row>
    <row r="73" spans="11:13" x14ac:dyDescent="0.3">
      <c r="K73">
        <v>5</v>
      </c>
      <c r="L73">
        <f>350/K73</f>
        <v>70</v>
      </c>
      <c r="M73" t="s">
        <v>7</v>
      </c>
    </row>
  </sheetData>
  <mergeCells count="16">
    <mergeCell ref="K2:M2"/>
    <mergeCell ref="L7:M7"/>
    <mergeCell ref="K9:M9"/>
    <mergeCell ref="L14:M14"/>
    <mergeCell ref="N17:T17"/>
    <mergeCell ref="L71:M71"/>
    <mergeCell ref="K36:M36"/>
    <mergeCell ref="H17:M17"/>
    <mergeCell ref="K59:M59"/>
    <mergeCell ref="T29:T30"/>
    <mergeCell ref="R33:T33"/>
    <mergeCell ref="R37:T37"/>
    <mergeCell ref="R27:U27"/>
    <mergeCell ref="R43:U43"/>
    <mergeCell ref="R46:T46"/>
    <mergeCell ref="R50:T50"/>
  </mergeCells>
  <phoneticPr fontId="3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19"/>
  <sheetViews>
    <sheetView topLeftCell="G215" zoomScale="148" zoomScaleNormal="100" workbookViewId="0">
      <selection activeCell="I220" sqref="I220"/>
    </sheetView>
  </sheetViews>
  <sheetFormatPr defaultRowHeight="14.4" x14ac:dyDescent="0.3"/>
  <cols>
    <col min="8" max="8" width="13.44140625" bestFit="1" customWidth="1"/>
    <col min="9" max="9" width="31.5546875" bestFit="1" customWidth="1"/>
    <col min="11" max="11" width="12.6640625" customWidth="1"/>
  </cols>
  <sheetData>
    <row r="1" spans="1:16" ht="23.4" x14ac:dyDescent="0.45">
      <c r="A1" s="307" t="s">
        <v>237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</row>
    <row r="2" spans="1:16" x14ac:dyDescent="0.3">
      <c r="G2" s="295" t="s">
        <v>238</v>
      </c>
      <c r="H2" s="295"/>
      <c r="I2" s="295"/>
    </row>
    <row r="3" spans="1:16" x14ac:dyDescent="0.3">
      <c r="G3" t="s">
        <v>240</v>
      </c>
      <c r="H3" s="3">
        <v>80</v>
      </c>
      <c r="I3" t="s">
        <v>239</v>
      </c>
    </row>
    <row r="4" spans="1:16" x14ac:dyDescent="0.3">
      <c r="G4" t="s">
        <v>91</v>
      </c>
      <c r="H4" s="3">
        <v>450</v>
      </c>
      <c r="I4" t="s">
        <v>253</v>
      </c>
    </row>
    <row r="5" spans="1:16" x14ac:dyDescent="0.3">
      <c r="G5" t="s">
        <v>242</v>
      </c>
      <c r="H5">
        <v>160</v>
      </c>
      <c r="I5" t="s">
        <v>241</v>
      </c>
    </row>
    <row r="6" spans="1:16" x14ac:dyDescent="0.3">
      <c r="G6" t="s">
        <v>240</v>
      </c>
      <c r="H6" s="3">
        <f>160/55</f>
        <v>2.9090909090909092</v>
      </c>
      <c r="I6" t="s">
        <v>243</v>
      </c>
    </row>
    <row r="7" spans="1:16" x14ac:dyDescent="0.3">
      <c r="G7" t="s">
        <v>91</v>
      </c>
      <c r="H7" s="3">
        <f>160/450</f>
        <v>0.35555555555555557</v>
      </c>
      <c r="I7" t="s">
        <v>252</v>
      </c>
    </row>
    <row r="8" spans="1:16" x14ac:dyDescent="0.3">
      <c r="H8">
        <f>0.06*0.25</f>
        <v>1.4999999999999999E-2</v>
      </c>
      <c r="I8" t="s">
        <v>245</v>
      </c>
    </row>
    <row r="9" spans="1:16" x14ac:dyDescent="0.3">
      <c r="G9" t="s">
        <v>244</v>
      </c>
      <c r="H9">
        <f>1/H8</f>
        <v>66.666666666666671</v>
      </c>
      <c r="I9" t="s">
        <v>246</v>
      </c>
    </row>
    <row r="10" spans="1:16" x14ac:dyDescent="0.3">
      <c r="H10" s="4">
        <v>0.2</v>
      </c>
      <c r="I10" t="s">
        <v>247</v>
      </c>
    </row>
    <row r="11" spans="1:16" x14ac:dyDescent="0.3">
      <c r="G11" t="s">
        <v>244</v>
      </c>
      <c r="H11">
        <v>55</v>
      </c>
      <c r="I11" t="s">
        <v>248</v>
      </c>
    </row>
    <row r="12" spans="1:16" x14ac:dyDescent="0.3">
      <c r="G12" t="s">
        <v>125</v>
      </c>
      <c r="H12">
        <v>1000</v>
      </c>
      <c r="I12" t="s">
        <v>249</v>
      </c>
    </row>
    <row r="13" spans="1:16" x14ac:dyDescent="0.3">
      <c r="G13" t="s">
        <v>125</v>
      </c>
      <c r="H13" s="3">
        <f>1000/55</f>
        <v>18.181818181818183</v>
      </c>
      <c r="I13" t="s">
        <v>250</v>
      </c>
    </row>
    <row r="14" spans="1:16" x14ac:dyDescent="0.3">
      <c r="G14" t="s">
        <v>125</v>
      </c>
      <c r="H14" s="3">
        <f>1000/450</f>
        <v>2.2222222222222223</v>
      </c>
      <c r="I14" t="s">
        <v>251</v>
      </c>
    </row>
    <row r="15" spans="1:16" x14ac:dyDescent="0.3">
      <c r="G15" t="s">
        <v>125</v>
      </c>
      <c r="H15">
        <v>100</v>
      </c>
      <c r="I15" t="s">
        <v>254</v>
      </c>
    </row>
    <row r="16" spans="1:16" x14ac:dyDescent="0.3">
      <c r="G16" t="s">
        <v>55</v>
      </c>
      <c r="H16">
        <v>0.03</v>
      </c>
      <c r="I16" t="s">
        <v>255</v>
      </c>
    </row>
    <row r="17" spans="5:15" x14ac:dyDescent="0.3">
      <c r="G17" t="s">
        <v>240</v>
      </c>
      <c r="H17" s="3">
        <f>H15*H16</f>
        <v>3</v>
      </c>
      <c r="I17" t="s">
        <v>257</v>
      </c>
    </row>
    <row r="18" spans="5:15" x14ac:dyDescent="0.3">
      <c r="G18" t="s">
        <v>55</v>
      </c>
      <c r="H18">
        <v>0.2</v>
      </c>
      <c r="I18" t="s">
        <v>256</v>
      </c>
      <c r="O18" s="25"/>
    </row>
    <row r="19" spans="5:15" x14ac:dyDescent="0.3">
      <c r="G19" t="s">
        <v>91</v>
      </c>
      <c r="H19" s="3">
        <f>H18*H15</f>
        <v>20</v>
      </c>
      <c r="I19" t="s">
        <v>258</v>
      </c>
    </row>
    <row r="20" spans="5:15" x14ac:dyDescent="0.3">
      <c r="G20" t="s">
        <v>260</v>
      </c>
      <c r="H20">
        <v>111</v>
      </c>
      <c r="I20" t="s">
        <v>259</v>
      </c>
    </row>
    <row r="21" spans="5:15" x14ac:dyDescent="0.3">
      <c r="H21" t="s">
        <v>262</v>
      </c>
      <c r="I21" t="s">
        <v>261</v>
      </c>
    </row>
    <row r="22" spans="5:15" x14ac:dyDescent="0.3">
      <c r="G22" t="s">
        <v>240</v>
      </c>
      <c r="H22" s="3">
        <f>H20/5</f>
        <v>22.2</v>
      </c>
      <c r="I22" t="s">
        <v>263</v>
      </c>
    </row>
    <row r="23" spans="5:15" x14ac:dyDescent="0.3">
      <c r="H23">
        <v>65</v>
      </c>
      <c r="I23" t="s">
        <v>264</v>
      </c>
    </row>
    <row r="24" spans="5:15" x14ac:dyDescent="0.3">
      <c r="G24" t="s">
        <v>91</v>
      </c>
      <c r="H24" s="3">
        <f>H20*1.1</f>
        <v>122.10000000000001</v>
      </c>
      <c r="I24" t="s">
        <v>265</v>
      </c>
    </row>
    <row r="25" spans="5:15" x14ac:dyDescent="0.3">
      <c r="G25" t="s">
        <v>125</v>
      </c>
      <c r="H25">
        <v>100</v>
      </c>
      <c r="I25" t="s">
        <v>266</v>
      </c>
    </row>
    <row r="26" spans="5:15" x14ac:dyDescent="0.3">
      <c r="G26" t="s">
        <v>55</v>
      </c>
      <c r="H26">
        <v>5.0000000000000001E-3</v>
      </c>
      <c r="I26" t="s">
        <v>267</v>
      </c>
    </row>
    <row r="27" spans="5:15" x14ac:dyDescent="0.3">
      <c r="G27" t="s">
        <v>55</v>
      </c>
      <c r="H27">
        <v>0.03</v>
      </c>
      <c r="I27" t="s">
        <v>268</v>
      </c>
    </row>
    <row r="28" spans="5:15" x14ac:dyDescent="0.3">
      <c r="G28" t="s">
        <v>240</v>
      </c>
      <c r="H28" s="3">
        <f>H25*H26</f>
        <v>0.5</v>
      </c>
      <c r="I28" t="s">
        <v>269</v>
      </c>
    </row>
    <row r="29" spans="5:15" x14ac:dyDescent="0.3">
      <c r="G29" t="s">
        <v>91</v>
      </c>
      <c r="H29" s="3">
        <f>H25*H27</f>
        <v>3</v>
      </c>
      <c r="I29" t="s">
        <v>270</v>
      </c>
    </row>
    <row r="30" spans="5:15" x14ac:dyDescent="0.3">
      <c r="G30" s="295" t="s">
        <v>151</v>
      </c>
      <c r="H30" s="295"/>
      <c r="I30" s="295"/>
    </row>
    <row r="31" spans="5:15" x14ac:dyDescent="0.3">
      <c r="G31" s="297" t="s">
        <v>152</v>
      </c>
      <c r="H31" s="297"/>
      <c r="I31" s="297"/>
    </row>
    <row r="32" spans="5:15" x14ac:dyDescent="0.3">
      <c r="E32" t="s">
        <v>291</v>
      </c>
      <c r="F32" t="s">
        <v>275</v>
      </c>
      <c r="G32" t="s">
        <v>46</v>
      </c>
      <c r="H32" t="s">
        <v>274</v>
      </c>
    </row>
    <row r="33" spans="4:9" x14ac:dyDescent="0.3">
      <c r="F33">
        <v>3</v>
      </c>
      <c r="G33">
        <v>2.5</v>
      </c>
      <c r="H33">
        <v>5.0000000000000001E-3</v>
      </c>
      <c r="I33" t="s">
        <v>271</v>
      </c>
    </row>
    <row r="34" spans="4:9" x14ac:dyDescent="0.3">
      <c r="F34">
        <f>25/40</f>
        <v>0.625</v>
      </c>
      <c r="G34">
        <f>50/40</f>
        <v>1.25</v>
      </c>
      <c r="H34">
        <f>1.5/40</f>
        <v>3.7499999999999999E-2</v>
      </c>
      <c r="I34" t="s">
        <v>272</v>
      </c>
    </row>
    <row r="35" spans="4:9" x14ac:dyDescent="0.3">
      <c r="F35">
        <v>3.5</v>
      </c>
      <c r="G35">
        <v>7.5</v>
      </c>
      <c r="H35">
        <v>2.5000000000000001E-2</v>
      </c>
      <c r="I35" t="s">
        <v>273</v>
      </c>
    </row>
    <row r="36" spans="4:9" x14ac:dyDescent="0.3">
      <c r="D36">
        <f>F36/1000</f>
        <v>7.1250000000000003E-3</v>
      </c>
      <c r="E36" t="s">
        <v>292</v>
      </c>
      <c r="F36">
        <f t="shared" ref="F36:G36" si="0">SUM(F33:F35)</f>
        <v>7.125</v>
      </c>
      <c r="G36">
        <f t="shared" si="0"/>
        <v>11.25</v>
      </c>
      <c r="H36">
        <f>SUM(H33:H35)</f>
        <v>6.7500000000000004E-2</v>
      </c>
      <c r="I36" t="s">
        <v>276</v>
      </c>
    </row>
    <row r="37" spans="4:9" x14ac:dyDescent="0.3">
      <c r="D37">
        <f>111/50</f>
        <v>2.2200000000000002</v>
      </c>
      <c r="F37" t="s">
        <v>278</v>
      </c>
      <c r="G37" t="s">
        <v>277</v>
      </c>
      <c r="H37" t="s">
        <v>55</v>
      </c>
    </row>
    <row r="38" spans="4:9" x14ac:dyDescent="0.3">
      <c r="G38" t="s">
        <v>240</v>
      </c>
      <c r="H38">
        <v>65</v>
      </c>
      <c r="I38" t="s">
        <v>279</v>
      </c>
    </row>
    <row r="39" spans="4:9" x14ac:dyDescent="0.3">
      <c r="G39" t="s">
        <v>163</v>
      </c>
      <c r="H39">
        <v>70</v>
      </c>
      <c r="I39" t="s">
        <v>280</v>
      </c>
    </row>
    <row r="40" spans="4:9" x14ac:dyDescent="0.3">
      <c r="F40" s="297" t="s">
        <v>282</v>
      </c>
      <c r="G40" s="297"/>
      <c r="H40" s="297"/>
      <c r="I40" s="297"/>
    </row>
    <row r="41" spans="4:9" x14ac:dyDescent="0.3">
      <c r="F41" t="s">
        <v>275</v>
      </c>
      <c r="G41" t="s">
        <v>46</v>
      </c>
      <c r="H41" t="s">
        <v>274</v>
      </c>
    </row>
    <row r="42" spans="4:9" x14ac:dyDescent="0.3">
      <c r="F42">
        <v>3</v>
      </c>
      <c r="G42">
        <v>2.5</v>
      </c>
      <c r="H42">
        <v>5.0000000000000001E-3</v>
      </c>
      <c r="I42" t="s">
        <v>271</v>
      </c>
    </row>
    <row r="43" spans="4:9" x14ac:dyDescent="0.3">
      <c r="F43">
        <f>25/40</f>
        <v>0.625</v>
      </c>
      <c r="G43">
        <f>50/40</f>
        <v>1.25</v>
      </c>
      <c r="H43">
        <f>1.5/40</f>
        <v>3.7499999999999999E-2</v>
      </c>
      <c r="I43" t="s">
        <v>272</v>
      </c>
    </row>
    <row r="44" spans="4:9" x14ac:dyDescent="0.3">
      <c r="F44">
        <v>3</v>
      </c>
      <c r="G44">
        <v>6</v>
      </c>
      <c r="H44">
        <v>1.9E-2</v>
      </c>
      <c r="I44" t="s">
        <v>273</v>
      </c>
    </row>
    <row r="45" spans="4:9" x14ac:dyDescent="0.3">
      <c r="F45">
        <f t="shared" ref="F45" si="1">SUM(F42:F44)</f>
        <v>6.625</v>
      </c>
      <c r="G45">
        <f t="shared" ref="G45" si="2">SUM(G42:G44)</f>
        <v>9.75</v>
      </c>
      <c r="H45">
        <f>SUM(H42:H44)</f>
        <v>6.1499999999999999E-2</v>
      </c>
      <c r="I45" t="s">
        <v>276</v>
      </c>
    </row>
    <row r="46" spans="4:9" x14ac:dyDescent="0.3">
      <c r="G46" t="s">
        <v>240</v>
      </c>
      <c r="H46">
        <v>65</v>
      </c>
      <c r="I46" t="s">
        <v>279</v>
      </c>
    </row>
    <row r="47" spans="4:9" x14ac:dyDescent="0.3">
      <c r="G47" t="s">
        <v>163</v>
      </c>
      <c r="H47">
        <v>70</v>
      </c>
      <c r="I47" t="s">
        <v>280</v>
      </c>
    </row>
    <row r="48" spans="4:9" x14ac:dyDescent="0.3">
      <c r="F48" s="297" t="s">
        <v>154</v>
      </c>
      <c r="G48" s="297"/>
      <c r="H48" s="297"/>
      <c r="I48" s="297"/>
    </row>
    <row r="49" spans="5:9" x14ac:dyDescent="0.3">
      <c r="F49" t="s">
        <v>275</v>
      </c>
      <c r="G49" t="s">
        <v>285</v>
      </c>
      <c r="H49" t="s">
        <v>274</v>
      </c>
    </row>
    <row r="50" spans="5:9" x14ac:dyDescent="0.3">
      <c r="F50">
        <v>3</v>
      </c>
      <c r="G50">
        <v>2.5</v>
      </c>
      <c r="H50">
        <v>5.0000000000000001E-3</v>
      </c>
      <c r="I50" t="s">
        <v>283</v>
      </c>
    </row>
    <row r="51" spans="5:9" x14ac:dyDescent="0.3">
      <c r="F51">
        <f>25/40</f>
        <v>0.625</v>
      </c>
      <c r="G51">
        <f>50/40</f>
        <v>1.25</v>
      </c>
      <c r="H51">
        <f>0.15/40</f>
        <v>3.7499999999999999E-3</v>
      </c>
      <c r="I51" t="s">
        <v>284</v>
      </c>
    </row>
    <row r="52" spans="5:9" x14ac:dyDescent="0.3">
      <c r="F52">
        <v>3.5</v>
      </c>
      <c r="G52">
        <v>7.5</v>
      </c>
      <c r="H52">
        <v>2.5000000000000001E-2</v>
      </c>
      <c r="I52" t="s">
        <v>286</v>
      </c>
    </row>
    <row r="53" spans="5:9" x14ac:dyDescent="0.3">
      <c r="F53">
        <f>3.5/2</f>
        <v>1.75</v>
      </c>
      <c r="G53">
        <f>7.5/2</f>
        <v>3.75</v>
      </c>
      <c r="H53">
        <f>0.025/2</f>
        <v>1.2500000000000001E-2</v>
      </c>
      <c r="I53" t="s">
        <v>287</v>
      </c>
    </row>
    <row r="54" spans="5:9" x14ac:dyDescent="0.3">
      <c r="E54">
        <f>F54/1000</f>
        <v>1.7749999999999998E-2</v>
      </c>
      <c r="F54">
        <f t="shared" ref="F54:G54" si="3">SUM(F50:F53)*2</f>
        <v>17.75</v>
      </c>
      <c r="G54">
        <f t="shared" si="3"/>
        <v>30</v>
      </c>
      <c r="H54">
        <f>SUM(H50:H53)*2</f>
        <v>9.2499999999999999E-2</v>
      </c>
      <c r="I54" t="s">
        <v>276</v>
      </c>
    </row>
    <row r="55" spans="5:9" x14ac:dyDescent="0.3">
      <c r="F55" t="s">
        <v>278</v>
      </c>
      <c r="G55" t="s">
        <v>277</v>
      </c>
      <c r="H55" t="s">
        <v>55</v>
      </c>
    </row>
    <row r="56" spans="5:9" x14ac:dyDescent="0.3">
      <c r="G56" t="s">
        <v>91</v>
      </c>
      <c r="H56">
        <v>100</v>
      </c>
      <c r="I56" t="s">
        <v>290</v>
      </c>
    </row>
    <row r="57" spans="5:9" x14ac:dyDescent="0.3">
      <c r="G57" t="s">
        <v>293</v>
      </c>
      <c r="H57">
        <v>111</v>
      </c>
      <c r="I57" t="s">
        <v>288</v>
      </c>
    </row>
    <row r="58" spans="5:9" x14ac:dyDescent="0.3">
      <c r="G58" t="s">
        <v>91</v>
      </c>
      <c r="H58">
        <v>100</v>
      </c>
      <c r="I58" t="s">
        <v>289</v>
      </c>
    </row>
    <row r="59" spans="5:9" x14ac:dyDescent="0.3">
      <c r="G59" t="s">
        <v>240</v>
      </c>
      <c r="H59">
        <v>85</v>
      </c>
      <c r="I59" t="s">
        <v>279</v>
      </c>
    </row>
    <row r="60" spans="5:9" x14ac:dyDescent="0.3">
      <c r="G60" t="s">
        <v>163</v>
      </c>
      <c r="H60">
        <v>70</v>
      </c>
      <c r="I60" t="s">
        <v>280</v>
      </c>
    </row>
    <row r="61" spans="5:9" x14ac:dyDescent="0.3">
      <c r="F61" t="s">
        <v>275</v>
      </c>
      <c r="G61" t="s">
        <v>285</v>
      </c>
      <c r="H61" t="s">
        <v>274</v>
      </c>
      <c r="I61" t="s">
        <v>294</v>
      </c>
    </row>
    <row r="62" spans="5:9" x14ac:dyDescent="0.3">
      <c r="F62">
        <f>100*E54</f>
        <v>1.7749999999999999</v>
      </c>
      <c r="G62">
        <f>G54*2.2</f>
        <v>66</v>
      </c>
      <c r="H62">
        <f>H54*H56</f>
        <v>9.25</v>
      </c>
    </row>
    <row r="63" spans="5:9" x14ac:dyDescent="0.3">
      <c r="F63" s="295" t="s">
        <v>155</v>
      </c>
      <c r="G63" s="295"/>
      <c r="H63" s="295"/>
      <c r="I63" s="295"/>
    </row>
    <row r="64" spans="5:9" x14ac:dyDescent="0.3">
      <c r="F64" s="297" t="s">
        <v>295</v>
      </c>
      <c r="G64" s="297"/>
      <c r="H64" s="297"/>
      <c r="I64" s="297"/>
    </row>
    <row r="65" spans="6:9" x14ac:dyDescent="0.3">
      <c r="G65" t="s">
        <v>297</v>
      </c>
      <c r="H65">
        <v>5.91</v>
      </c>
      <c r="I65" t="s">
        <v>296</v>
      </c>
    </row>
    <row r="66" spans="6:9" x14ac:dyDescent="0.3">
      <c r="G66" t="s">
        <v>297</v>
      </c>
      <c r="H66">
        <v>8.25</v>
      </c>
      <c r="I66" t="s">
        <v>298</v>
      </c>
    </row>
    <row r="67" spans="6:9" x14ac:dyDescent="0.3">
      <c r="G67" t="s">
        <v>240</v>
      </c>
      <c r="H67">
        <v>40</v>
      </c>
      <c r="I67" t="s">
        <v>301</v>
      </c>
    </row>
    <row r="68" spans="6:9" x14ac:dyDescent="0.3">
      <c r="G68" t="s">
        <v>240</v>
      </c>
      <c r="H68">
        <v>44</v>
      </c>
      <c r="I68" t="s">
        <v>302</v>
      </c>
    </row>
    <row r="69" spans="6:9" x14ac:dyDescent="0.3">
      <c r="H69">
        <f>H66*3</f>
        <v>24.75</v>
      </c>
      <c r="I69" t="s">
        <v>299</v>
      </c>
    </row>
    <row r="70" spans="6:9" x14ac:dyDescent="0.3">
      <c r="H70">
        <f>H66*0.22</f>
        <v>1.8149999999999999</v>
      </c>
      <c r="I70" t="s">
        <v>300</v>
      </c>
    </row>
    <row r="71" spans="6:9" x14ac:dyDescent="0.3">
      <c r="H71">
        <f>H69+H70</f>
        <v>26.565000000000001</v>
      </c>
      <c r="I71" t="s">
        <v>303</v>
      </c>
    </row>
    <row r="72" spans="6:9" x14ac:dyDescent="0.3">
      <c r="H72">
        <f>H67+H68</f>
        <v>84</v>
      </c>
      <c r="I72" t="s">
        <v>304</v>
      </c>
    </row>
    <row r="73" spans="6:9" x14ac:dyDescent="0.3">
      <c r="F73" s="295" t="s">
        <v>314</v>
      </c>
      <c r="G73" s="295"/>
      <c r="H73" s="295"/>
      <c r="I73" s="295"/>
    </row>
    <row r="74" spans="6:9" x14ac:dyDescent="0.3">
      <c r="G74" t="s">
        <v>315</v>
      </c>
      <c r="H74">
        <v>375</v>
      </c>
      <c r="I74" t="s">
        <v>4</v>
      </c>
    </row>
    <row r="75" spans="6:9" x14ac:dyDescent="0.3">
      <c r="G75" t="s">
        <v>317</v>
      </c>
      <c r="H75">
        <v>100</v>
      </c>
      <c r="I75" t="s">
        <v>316</v>
      </c>
    </row>
    <row r="76" spans="6:9" x14ac:dyDescent="0.3">
      <c r="G76" t="s">
        <v>318</v>
      </c>
      <c r="H76">
        <v>111</v>
      </c>
      <c r="I76" t="s">
        <v>46</v>
      </c>
    </row>
    <row r="77" spans="6:9" x14ac:dyDescent="0.3">
      <c r="G77" t="s">
        <v>30</v>
      </c>
      <c r="H77">
        <v>3550</v>
      </c>
      <c r="I77" t="s">
        <v>319</v>
      </c>
    </row>
    <row r="78" spans="6:9" x14ac:dyDescent="0.3">
      <c r="G78" t="s">
        <v>55</v>
      </c>
      <c r="H78">
        <v>100</v>
      </c>
      <c r="I78" t="s">
        <v>320</v>
      </c>
    </row>
    <row r="79" spans="6:9" x14ac:dyDescent="0.3">
      <c r="G79" t="s">
        <v>322</v>
      </c>
      <c r="H79">
        <v>800</v>
      </c>
      <c r="I79" t="s">
        <v>321</v>
      </c>
    </row>
    <row r="80" spans="6:9" x14ac:dyDescent="0.3">
      <c r="G80" t="s">
        <v>240</v>
      </c>
      <c r="H80">
        <f>H75*0.08</f>
        <v>8</v>
      </c>
      <c r="I80" t="s">
        <v>323</v>
      </c>
    </row>
    <row r="81" spans="7:9" x14ac:dyDescent="0.3">
      <c r="G81" t="s">
        <v>240</v>
      </c>
      <c r="H81">
        <f>H76/50 *6</f>
        <v>13.32</v>
      </c>
      <c r="I81" t="s">
        <v>324</v>
      </c>
    </row>
    <row r="82" spans="7:9" x14ac:dyDescent="0.3">
      <c r="G82" t="s">
        <v>240</v>
      </c>
      <c r="H82">
        <f>H77/1000 *0.1</f>
        <v>0.35499999999999998</v>
      </c>
      <c r="I82" t="s">
        <v>325</v>
      </c>
    </row>
    <row r="83" spans="7:9" x14ac:dyDescent="0.3">
      <c r="G83" t="s">
        <v>240</v>
      </c>
      <c r="H83">
        <f>H78/1000 *3</f>
        <v>0.30000000000000004</v>
      </c>
      <c r="I83" t="s">
        <v>326</v>
      </c>
    </row>
    <row r="84" spans="7:9" x14ac:dyDescent="0.3">
      <c r="G84" t="s">
        <v>240</v>
      </c>
      <c r="H84">
        <f>H79*1</f>
        <v>800</v>
      </c>
      <c r="I84" t="s">
        <v>327</v>
      </c>
    </row>
    <row r="85" spans="7:9" x14ac:dyDescent="0.3">
      <c r="G85" s="308" t="s">
        <v>328</v>
      </c>
      <c r="H85" s="308"/>
      <c r="I85" s="308"/>
    </row>
    <row r="86" spans="7:9" x14ac:dyDescent="0.3">
      <c r="G86" s="308"/>
      <c r="H86" s="308"/>
      <c r="I86" s="308"/>
    </row>
    <row r="87" spans="7:9" x14ac:dyDescent="0.3">
      <c r="G87" t="s">
        <v>315</v>
      </c>
      <c r="H87">
        <v>100</v>
      </c>
      <c r="I87" t="s">
        <v>329</v>
      </c>
    </row>
    <row r="88" spans="7:9" x14ac:dyDescent="0.3">
      <c r="G88" t="s">
        <v>240</v>
      </c>
      <c r="H88">
        <v>70</v>
      </c>
      <c r="I88" t="s">
        <v>4</v>
      </c>
    </row>
    <row r="89" spans="7:9" x14ac:dyDescent="0.3">
      <c r="G89" t="s">
        <v>240</v>
      </c>
      <c r="H89">
        <v>100</v>
      </c>
      <c r="I89" t="s">
        <v>316</v>
      </c>
    </row>
    <row r="90" spans="7:9" x14ac:dyDescent="0.3">
      <c r="G90" t="s">
        <v>318</v>
      </c>
      <c r="H90">
        <v>111</v>
      </c>
      <c r="I90" t="s">
        <v>46</v>
      </c>
    </row>
    <row r="91" spans="7:9" x14ac:dyDescent="0.3">
      <c r="G91" t="s">
        <v>30</v>
      </c>
      <c r="H91">
        <v>3550</v>
      </c>
      <c r="I91" t="s">
        <v>319</v>
      </c>
    </row>
    <row r="92" spans="7:9" x14ac:dyDescent="0.3">
      <c r="G92" t="s">
        <v>240</v>
      </c>
      <c r="H92">
        <v>10</v>
      </c>
      <c r="I92" t="s">
        <v>323</v>
      </c>
    </row>
    <row r="93" spans="7:9" x14ac:dyDescent="0.3">
      <c r="G93" t="s">
        <v>240</v>
      </c>
      <c r="H93">
        <v>13.32</v>
      </c>
      <c r="I93" t="s">
        <v>324</v>
      </c>
    </row>
    <row r="94" spans="7:9" x14ac:dyDescent="0.3">
      <c r="G94" t="s">
        <v>240</v>
      </c>
      <c r="H94">
        <v>0.35499999999999998</v>
      </c>
      <c r="I94" t="s">
        <v>325</v>
      </c>
    </row>
    <row r="95" spans="7:9" x14ac:dyDescent="0.3">
      <c r="G95" t="s">
        <v>240</v>
      </c>
      <c r="H95">
        <f>H90/1000 *3</f>
        <v>0.33300000000000002</v>
      </c>
      <c r="I95" t="s">
        <v>326</v>
      </c>
    </row>
    <row r="96" spans="7:9" x14ac:dyDescent="0.3">
      <c r="G96" s="303" t="s">
        <v>330</v>
      </c>
      <c r="H96" s="303"/>
      <c r="I96" s="303"/>
    </row>
    <row r="97" spans="7:9" x14ac:dyDescent="0.3">
      <c r="G97" t="s">
        <v>163</v>
      </c>
      <c r="H97">
        <v>560</v>
      </c>
      <c r="I97" t="s">
        <v>334</v>
      </c>
    </row>
    <row r="98" spans="7:9" x14ac:dyDescent="0.3">
      <c r="G98" t="s">
        <v>317</v>
      </c>
      <c r="H98">
        <v>100</v>
      </c>
      <c r="I98" t="s">
        <v>316</v>
      </c>
    </row>
    <row r="99" spans="7:9" x14ac:dyDescent="0.3">
      <c r="G99" t="s">
        <v>318</v>
      </c>
      <c r="H99">
        <v>111</v>
      </c>
      <c r="I99" t="s">
        <v>46</v>
      </c>
    </row>
    <row r="100" spans="7:9" x14ac:dyDescent="0.3">
      <c r="G100" t="s">
        <v>30</v>
      </c>
      <c r="H100">
        <v>3550</v>
      </c>
      <c r="I100" t="s">
        <v>319</v>
      </c>
    </row>
    <row r="101" spans="7:9" x14ac:dyDescent="0.3">
      <c r="G101" t="s">
        <v>55</v>
      </c>
      <c r="H101">
        <v>100</v>
      </c>
      <c r="I101" t="s">
        <v>320</v>
      </c>
    </row>
    <row r="102" spans="7:9" x14ac:dyDescent="0.3">
      <c r="G102" t="s">
        <v>55</v>
      </c>
      <c r="H102">
        <f>0.003*H98</f>
        <v>0.3</v>
      </c>
      <c r="I102" t="s">
        <v>335</v>
      </c>
    </row>
    <row r="103" spans="7:9" x14ac:dyDescent="0.3">
      <c r="G103" t="s">
        <v>336</v>
      </c>
      <c r="H103">
        <v>2</v>
      </c>
      <c r="I103" t="s">
        <v>324</v>
      </c>
    </row>
    <row r="104" spans="7:9" x14ac:dyDescent="0.3">
      <c r="G104" t="s">
        <v>240</v>
      </c>
      <c r="H104">
        <f>H100/1000 *0.05</f>
        <v>0.17749999999999999</v>
      </c>
      <c r="I104" t="s">
        <v>325</v>
      </c>
    </row>
    <row r="105" spans="7:9" x14ac:dyDescent="0.3">
      <c r="G105" t="s">
        <v>240</v>
      </c>
      <c r="H105">
        <f>H101/1000*0.45</f>
        <v>4.5000000000000005E-2</v>
      </c>
      <c r="I105" t="s">
        <v>326</v>
      </c>
    </row>
    <row r="106" spans="7:9" x14ac:dyDescent="0.3">
      <c r="G106" t="s">
        <v>240</v>
      </c>
      <c r="H106">
        <v>800</v>
      </c>
      <c r="I106" t="s">
        <v>327</v>
      </c>
    </row>
    <row r="107" spans="7:9" x14ac:dyDescent="0.3">
      <c r="G107" t="s">
        <v>240</v>
      </c>
      <c r="H107">
        <v>75</v>
      </c>
      <c r="I107" t="s">
        <v>304</v>
      </c>
    </row>
    <row r="109" spans="7:9" x14ac:dyDescent="0.3">
      <c r="I109" t="s">
        <v>337</v>
      </c>
    </row>
    <row r="110" spans="7:9" x14ac:dyDescent="0.3">
      <c r="G110" t="s">
        <v>240</v>
      </c>
      <c r="H110">
        <v>260</v>
      </c>
      <c r="I110" t="s">
        <v>304</v>
      </c>
    </row>
    <row r="111" spans="7:9" x14ac:dyDescent="0.3">
      <c r="G111" t="s">
        <v>317</v>
      </c>
      <c r="H111">
        <v>100</v>
      </c>
      <c r="I111" t="s">
        <v>316</v>
      </c>
    </row>
    <row r="112" spans="7:9" x14ac:dyDescent="0.3">
      <c r="G112" t="s">
        <v>318</v>
      </c>
      <c r="H112">
        <v>111</v>
      </c>
      <c r="I112" t="s">
        <v>46</v>
      </c>
    </row>
    <row r="113" spans="7:9" x14ac:dyDescent="0.3">
      <c r="G113" t="s">
        <v>55</v>
      </c>
      <c r="H113">
        <v>100</v>
      </c>
      <c r="I113" t="s">
        <v>320</v>
      </c>
    </row>
    <row r="114" spans="7:9" x14ac:dyDescent="0.3">
      <c r="G114" t="s">
        <v>240</v>
      </c>
      <c r="H114">
        <v>800</v>
      </c>
      <c r="I114" t="s">
        <v>321</v>
      </c>
    </row>
    <row r="115" spans="7:9" x14ac:dyDescent="0.3">
      <c r="G115" t="s">
        <v>240</v>
      </c>
      <c r="H115">
        <f>H111*0.02</f>
        <v>2</v>
      </c>
      <c r="I115" t="s">
        <v>335</v>
      </c>
    </row>
    <row r="116" spans="7:9" x14ac:dyDescent="0.3">
      <c r="G116" t="s">
        <v>240</v>
      </c>
      <c r="H116">
        <f>H112/50 *9</f>
        <v>19.98</v>
      </c>
      <c r="I116" t="s">
        <v>324</v>
      </c>
    </row>
    <row r="117" spans="7:9" x14ac:dyDescent="0.3">
      <c r="G117" t="s">
        <v>240</v>
      </c>
      <c r="H117">
        <f>H113/1000 *4.5</f>
        <v>0.45</v>
      </c>
      <c r="I117" t="s">
        <v>326</v>
      </c>
    </row>
    <row r="118" spans="7:9" x14ac:dyDescent="0.3">
      <c r="G118" t="s">
        <v>240</v>
      </c>
      <c r="H118">
        <v>800</v>
      </c>
      <c r="I118" t="s">
        <v>327</v>
      </c>
    </row>
    <row r="119" spans="7:9" x14ac:dyDescent="0.3">
      <c r="G119" s="303" t="s">
        <v>338</v>
      </c>
      <c r="H119" s="303"/>
      <c r="I119" s="303"/>
    </row>
    <row r="120" spans="7:9" x14ac:dyDescent="0.3">
      <c r="G120" t="s">
        <v>240</v>
      </c>
      <c r="H120">
        <v>375</v>
      </c>
      <c r="I120" t="s">
        <v>4</v>
      </c>
    </row>
    <row r="121" spans="7:9" x14ac:dyDescent="0.3">
      <c r="G121" t="s">
        <v>317</v>
      </c>
      <c r="H121">
        <v>100</v>
      </c>
      <c r="I121" t="s">
        <v>316</v>
      </c>
    </row>
    <row r="122" spans="7:9" x14ac:dyDescent="0.3">
      <c r="G122" t="s">
        <v>318</v>
      </c>
      <c r="H122">
        <v>111</v>
      </c>
      <c r="I122" t="s">
        <v>46</v>
      </c>
    </row>
    <row r="123" spans="7:9" x14ac:dyDescent="0.3">
      <c r="G123" t="s">
        <v>30</v>
      </c>
      <c r="H123">
        <v>3550</v>
      </c>
      <c r="I123" t="s">
        <v>319</v>
      </c>
    </row>
    <row r="124" spans="7:9" x14ac:dyDescent="0.3">
      <c r="G124" t="s">
        <v>55</v>
      </c>
      <c r="H124">
        <v>100</v>
      </c>
      <c r="I124" t="s">
        <v>320</v>
      </c>
    </row>
    <row r="125" spans="7:9" x14ac:dyDescent="0.3">
      <c r="G125" t="s">
        <v>240</v>
      </c>
      <c r="H125">
        <v>800</v>
      </c>
      <c r="I125" t="s">
        <v>321</v>
      </c>
    </row>
    <row r="126" spans="7:9" x14ac:dyDescent="0.3">
      <c r="G126" t="s">
        <v>240</v>
      </c>
      <c r="H126">
        <f>H121*0.002</f>
        <v>0.2</v>
      </c>
      <c r="I126" t="s">
        <v>323</v>
      </c>
    </row>
    <row r="127" spans="7:9" x14ac:dyDescent="0.3">
      <c r="G127" t="s">
        <v>240</v>
      </c>
      <c r="H127">
        <f>H122/50 *0.6</f>
        <v>1.3320000000000001</v>
      </c>
      <c r="I127" t="s">
        <v>324</v>
      </c>
    </row>
    <row r="128" spans="7:9" x14ac:dyDescent="0.3">
      <c r="G128" t="s">
        <v>240</v>
      </c>
      <c r="H128">
        <f>H123/1000 *0.1</f>
        <v>0.35499999999999998</v>
      </c>
      <c r="I128" t="s">
        <v>325</v>
      </c>
    </row>
    <row r="129" spans="6:12" x14ac:dyDescent="0.3">
      <c r="G129" t="s">
        <v>240</v>
      </c>
      <c r="H129">
        <f>H124/1000 *0.3</f>
        <v>0.03</v>
      </c>
      <c r="I129" t="s">
        <v>326</v>
      </c>
    </row>
    <row r="130" spans="6:12" x14ac:dyDescent="0.3">
      <c r="H130">
        <f>H125*0.1</f>
        <v>80</v>
      </c>
      <c r="I130" t="s">
        <v>327</v>
      </c>
    </row>
    <row r="131" spans="6:12" ht="15" thickBot="1" x14ac:dyDescent="0.35">
      <c r="G131" s="303" t="s">
        <v>339</v>
      </c>
      <c r="H131" s="303"/>
      <c r="I131" s="303"/>
    </row>
    <row r="132" spans="6:12" ht="15.6" x14ac:dyDescent="0.3">
      <c r="F132" s="28" t="s">
        <v>322</v>
      </c>
      <c r="G132" s="29" t="s">
        <v>340</v>
      </c>
      <c r="H132" s="29">
        <v>450</v>
      </c>
      <c r="I132" s="27" t="s">
        <v>343</v>
      </c>
      <c r="J132" s="28"/>
      <c r="K132" s="29"/>
      <c r="L132" s="29"/>
    </row>
    <row r="133" spans="6:12" ht="15.6" x14ac:dyDescent="0.3">
      <c r="F133" s="31" t="s">
        <v>322</v>
      </c>
      <c r="G133" s="32" t="s">
        <v>340</v>
      </c>
      <c r="H133" s="32">
        <v>19</v>
      </c>
      <c r="I133" s="30" t="s">
        <v>341</v>
      </c>
      <c r="J133" s="31"/>
      <c r="K133" s="32"/>
      <c r="L133" s="32"/>
    </row>
    <row r="134" spans="6:12" ht="15.6" x14ac:dyDescent="0.3">
      <c r="F134" s="31" t="s">
        <v>322</v>
      </c>
      <c r="G134" s="32" t="s">
        <v>340</v>
      </c>
      <c r="H134" s="32">
        <v>10</v>
      </c>
      <c r="I134" s="30" t="s">
        <v>45</v>
      </c>
      <c r="J134" s="31"/>
      <c r="K134" s="32"/>
      <c r="L134" s="32"/>
    </row>
    <row r="135" spans="6:12" ht="15.6" x14ac:dyDescent="0.3">
      <c r="F135" s="31" t="s">
        <v>322</v>
      </c>
      <c r="G135" s="32" t="s">
        <v>340</v>
      </c>
      <c r="H135" s="32">
        <v>25</v>
      </c>
      <c r="I135" s="30" t="s">
        <v>342</v>
      </c>
      <c r="J135" s="31"/>
      <c r="K135" s="32"/>
      <c r="L135" s="32"/>
    </row>
    <row r="136" spans="6:12" ht="15.6" x14ac:dyDescent="0.3">
      <c r="F136" s="31" t="s">
        <v>322</v>
      </c>
      <c r="G136" s="32" t="s">
        <v>340</v>
      </c>
      <c r="H136" s="32">
        <v>40</v>
      </c>
      <c r="I136" s="30" t="s">
        <v>281</v>
      </c>
      <c r="J136" s="31"/>
      <c r="K136" s="32"/>
      <c r="L136" s="32"/>
    </row>
    <row r="137" spans="6:12" ht="15" thickBot="1" x14ac:dyDescent="0.35">
      <c r="F137" s="309" t="s">
        <v>177</v>
      </c>
      <c r="G137" s="309"/>
      <c r="H137" s="309"/>
      <c r="I137" s="309"/>
    </row>
    <row r="138" spans="6:12" ht="62.4" x14ac:dyDescent="0.3">
      <c r="F138" s="27" t="s">
        <v>346</v>
      </c>
      <c r="G138" s="28" t="s">
        <v>322</v>
      </c>
      <c r="H138" s="29" t="s">
        <v>340</v>
      </c>
      <c r="I138" s="29"/>
    </row>
    <row r="139" spans="6:12" ht="15.6" x14ac:dyDescent="0.3">
      <c r="F139" s="30"/>
      <c r="G139" s="31"/>
      <c r="H139" s="32"/>
      <c r="I139" s="32"/>
    </row>
    <row r="140" spans="6:12" ht="15.6" x14ac:dyDescent="0.3">
      <c r="F140" s="30"/>
      <c r="G140" s="31" t="s">
        <v>322</v>
      </c>
      <c r="H140" s="32" t="s">
        <v>340</v>
      </c>
      <c r="I140" s="32"/>
    </row>
    <row r="141" spans="6:12" ht="93.6" x14ac:dyDescent="0.3">
      <c r="F141" s="30" t="s">
        <v>344</v>
      </c>
      <c r="G141" s="31" t="s">
        <v>322</v>
      </c>
      <c r="H141" s="32" t="s">
        <v>340</v>
      </c>
      <c r="I141" s="32">
        <v>15</v>
      </c>
    </row>
    <row r="142" spans="6:12" ht="46.8" x14ac:dyDescent="0.3">
      <c r="F142" s="30" t="s">
        <v>345</v>
      </c>
      <c r="G142" s="31" t="s">
        <v>322</v>
      </c>
      <c r="H142" s="32" t="s">
        <v>340</v>
      </c>
      <c r="I142" s="32">
        <v>8</v>
      </c>
    </row>
    <row r="143" spans="6:12" ht="15.6" x14ac:dyDescent="0.3">
      <c r="F143" s="30"/>
      <c r="G143" s="31"/>
      <c r="H143" s="32"/>
      <c r="I143" s="32"/>
    </row>
    <row r="144" spans="6:12" ht="15.6" x14ac:dyDescent="0.3">
      <c r="F144" s="30"/>
      <c r="G144" s="31" t="s">
        <v>322</v>
      </c>
      <c r="H144" s="32">
        <v>320</v>
      </c>
      <c r="I144" s="32" t="s">
        <v>304</v>
      </c>
    </row>
    <row r="145" spans="6:9" ht="15.6" x14ac:dyDescent="0.3">
      <c r="F145" s="30"/>
      <c r="G145" s="31"/>
      <c r="H145" s="32"/>
      <c r="I145" s="32"/>
    </row>
    <row r="146" spans="6:9" ht="16.2" thickBot="1" x14ac:dyDescent="0.35">
      <c r="F146" s="30"/>
      <c r="G146" s="31"/>
      <c r="H146" s="32"/>
      <c r="I146" s="32"/>
    </row>
    <row r="147" spans="6:9" ht="31.2" x14ac:dyDescent="0.3">
      <c r="F147" s="27" t="s">
        <v>347</v>
      </c>
      <c r="G147" s="28" t="s">
        <v>322</v>
      </c>
      <c r="H147" s="29" t="s">
        <v>340</v>
      </c>
      <c r="I147" s="29">
        <v>230</v>
      </c>
    </row>
    <row r="148" spans="6:9" ht="15.6" x14ac:dyDescent="0.3">
      <c r="F148" s="30" t="s">
        <v>341</v>
      </c>
      <c r="G148" s="31" t="s">
        <v>322</v>
      </c>
      <c r="H148" s="32" t="s">
        <v>340</v>
      </c>
      <c r="I148" s="32">
        <v>12</v>
      </c>
    </row>
    <row r="149" spans="6:9" ht="15.6" x14ac:dyDescent="0.3">
      <c r="F149" s="30" t="s">
        <v>45</v>
      </c>
      <c r="G149" s="31" t="s">
        <v>322</v>
      </c>
      <c r="H149" s="32" t="s">
        <v>340</v>
      </c>
      <c r="I149" s="32">
        <v>10</v>
      </c>
    </row>
    <row r="150" spans="6:9" ht="46.8" x14ac:dyDescent="0.3">
      <c r="F150" s="30" t="s">
        <v>342</v>
      </c>
      <c r="G150" s="31" t="s">
        <v>322</v>
      </c>
      <c r="H150" s="32" t="s">
        <v>340</v>
      </c>
      <c r="I150" s="32">
        <v>15</v>
      </c>
    </row>
    <row r="151" spans="6:9" ht="15.6" x14ac:dyDescent="0.3">
      <c r="F151" s="30" t="s">
        <v>281</v>
      </c>
      <c r="G151" s="31" t="s">
        <v>322</v>
      </c>
      <c r="H151" s="32" t="s">
        <v>340</v>
      </c>
      <c r="I151" s="32">
        <v>30</v>
      </c>
    </row>
    <row r="153" spans="6:9" x14ac:dyDescent="0.3">
      <c r="G153" s="303" t="s">
        <v>348</v>
      </c>
      <c r="H153" s="303"/>
      <c r="I153" s="303"/>
    </row>
    <row r="154" spans="6:9" x14ac:dyDescent="0.3">
      <c r="G154" t="s">
        <v>315</v>
      </c>
      <c r="I154" t="s">
        <v>4</v>
      </c>
    </row>
    <row r="155" spans="6:9" x14ac:dyDescent="0.3">
      <c r="G155" t="s">
        <v>317</v>
      </c>
      <c r="H155">
        <v>100</v>
      </c>
      <c r="I155" t="s">
        <v>316</v>
      </c>
    </row>
    <row r="156" spans="6:9" x14ac:dyDescent="0.3">
      <c r="G156" t="s">
        <v>318</v>
      </c>
      <c r="H156">
        <v>111</v>
      </c>
      <c r="I156" t="s">
        <v>46</v>
      </c>
    </row>
    <row r="157" spans="6:9" x14ac:dyDescent="0.3">
      <c r="G157" t="s">
        <v>30</v>
      </c>
      <c r="H157">
        <v>3550</v>
      </c>
      <c r="I157" t="s">
        <v>319</v>
      </c>
    </row>
    <row r="158" spans="6:9" x14ac:dyDescent="0.3">
      <c r="G158" t="s">
        <v>55</v>
      </c>
      <c r="H158">
        <v>100</v>
      </c>
      <c r="I158" t="s">
        <v>320</v>
      </c>
    </row>
    <row r="159" spans="6:9" x14ac:dyDescent="0.3">
      <c r="G159" t="s">
        <v>322</v>
      </c>
      <c r="H159">
        <v>55</v>
      </c>
      <c r="I159" t="s">
        <v>348</v>
      </c>
    </row>
    <row r="160" spans="6:9" x14ac:dyDescent="0.3">
      <c r="G160" t="s">
        <v>240</v>
      </c>
      <c r="H160">
        <f>H156*0.09</f>
        <v>9.99</v>
      </c>
      <c r="I160" t="s">
        <v>323</v>
      </c>
    </row>
    <row r="161" spans="7:11" x14ac:dyDescent="0.3">
      <c r="G161" t="s">
        <v>240</v>
      </c>
      <c r="H161">
        <f>H156/50 *6</f>
        <v>13.32</v>
      </c>
      <c r="I161" t="s">
        <v>324</v>
      </c>
    </row>
    <row r="162" spans="7:11" x14ac:dyDescent="0.3">
      <c r="G162" t="s">
        <v>240</v>
      </c>
      <c r="H162">
        <f>H157/1000 *1</f>
        <v>3.55</v>
      </c>
      <c r="I162" t="s">
        <v>325</v>
      </c>
    </row>
    <row r="163" spans="7:11" x14ac:dyDescent="0.3">
      <c r="G163" t="s">
        <v>240</v>
      </c>
      <c r="H163">
        <f>H158/1000 *3</f>
        <v>0.30000000000000004</v>
      </c>
      <c r="I163" t="s">
        <v>326</v>
      </c>
    </row>
    <row r="164" spans="7:11" x14ac:dyDescent="0.3">
      <c r="G164" t="s">
        <v>240</v>
      </c>
      <c r="H164">
        <f>H159*1</f>
        <v>55</v>
      </c>
      <c r="I164" t="s">
        <v>348</v>
      </c>
    </row>
    <row r="165" spans="7:11" x14ac:dyDescent="0.3">
      <c r="G165" s="303"/>
      <c r="H165" s="303"/>
      <c r="I165" s="303"/>
    </row>
    <row r="166" spans="7:11" x14ac:dyDescent="0.3">
      <c r="I166" s="2" t="s">
        <v>349</v>
      </c>
    </row>
    <row r="167" spans="7:11" x14ac:dyDescent="0.3">
      <c r="G167" t="s">
        <v>240</v>
      </c>
      <c r="H167">
        <v>75</v>
      </c>
      <c r="I167" t="s">
        <v>4</v>
      </c>
    </row>
    <row r="168" spans="7:11" x14ac:dyDescent="0.3">
      <c r="G168" t="s">
        <v>240</v>
      </c>
      <c r="H168">
        <v>170</v>
      </c>
      <c r="I168" t="s">
        <v>350</v>
      </c>
    </row>
    <row r="169" spans="7:11" ht="15" thickBot="1" x14ac:dyDescent="0.35">
      <c r="G169" s="303" t="s">
        <v>351</v>
      </c>
      <c r="H169" s="303"/>
      <c r="I169" s="303"/>
    </row>
    <row r="170" spans="7:11" ht="18" thickBot="1" x14ac:dyDescent="0.35">
      <c r="G170" s="33"/>
      <c r="H170" s="34"/>
      <c r="I170" s="35"/>
      <c r="J170" s="36"/>
      <c r="K170" s="36"/>
    </row>
    <row r="171" spans="7:11" ht="18" thickBot="1" x14ac:dyDescent="0.35">
      <c r="G171" s="33"/>
      <c r="H171" s="34"/>
      <c r="I171" s="37"/>
      <c r="J171" s="36"/>
      <c r="K171" s="36"/>
    </row>
    <row r="172" spans="7:11" ht="18" thickBot="1" x14ac:dyDescent="0.35">
      <c r="G172" s="33"/>
      <c r="H172" s="34"/>
      <c r="I172" s="37"/>
      <c r="J172" s="36"/>
      <c r="K172" s="36"/>
    </row>
    <row r="173" spans="7:11" ht="18" thickBot="1" x14ac:dyDescent="0.35">
      <c r="G173" s="33"/>
      <c r="H173" s="34"/>
      <c r="I173" s="36"/>
      <c r="J173" s="36"/>
      <c r="K173" s="36"/>
    </row>
    <row r="174" spans="7:11" ht="18" thickBot="1" x14ac:dyDescent="0.35">
      <c r="G174" s="33"/>
      <c r="H174" s="34"/>
      <c r="I174" s="36"/>
      <c r="J174" s="36"/>
      <c r="K174" s="36"/>
    </row>
    <row r="175" spans="7:11" ht="18" thickBot="1" x14ac:dyDescent="0.35">
      <c r="G175" s="38"/>
      <c r="H175" s="34"/>
      <c r="I175" s="36"/>
      <c r="J175" s="36"/>
      <c r="K175" s="36"/>
    </row>
    <row r="176" spans="7:11" ht="18" thickBot="1" x14ac:dyDescent="0.35">
      <c r="G176" s="38"/>
      <c r="H176" s="34"/>
      <c r="I176" s="36"/>
      <c r="J176" s="36"/>
      <c r="K176" s="36"/>
    </row>
    <row r="177" spans="7:12" ht="18" thickBot="1" x14ac:dyDescent="0.35">
      <c r="G177" s="33"/>
      <c r="H177" s="34"/>
      <c r="I177" s="36"/>
      <c r="J177" s="36"/>
      <c r="K177" s="36"/>
    </row>
    <row r="178" spans="7:12" ht="18" thickBot="1" x14ac:dyDescent="0.35">
      <c r="G178" s="33"/>
      <c r="H178" s="34"/>
      <c r="I178" s="36"/>
      <c r="J178" s="36"/>
      <c r="K178" s="36"/>
    </row>
    <row r="179" spans="7:12" ht="18" thickBot="1" x14ac:dyDescent="0.35">
      <c r="G179" s="33"/>
      <c r="H179" s="34"/>
      <c r="I179" s="36"/>
      <c r="J179" s="36"/>
      <c r="K179" s="36"/>
    </row>
    <row r="180" spans="7:12" ht="18" thickBot="1" x14ac:dyDescent="0.35">
      <c r="G180" s="33"/>
      <c r="H180" s="34"/>
      <c r="I180" s="36"/>
      <c r="J180" s="36"/>
    </row>
    <row r="181" spans="7:12" ht="105" thickBot="1" x14ac:dyDescent="0.35">
      <c r="G181" s="39" t="s">
        <v>352</v>
      </c>
      <c r="H181" s="40" t="s">
        <v>353</v>
      </c>
      <c r="I181" s="41">
        <v>2.2000000000000002</v>
      </c>
      <c r="J181" s="42">
        <v>180</v>
      </c>
      <c r="K181" s="42">
        <v>396.00000000000006</v>
      </c>
    </row>
    <row r="182" spans="7:12" ht="35.4" thickBot="1" x14ac:dyDescent="0.35">
      <c r="G182" s="39" t="s">
        <v>363</v>
      </c>
      <c r="H182" s="40" t="s">
        <v>353</v>
      </c>
      <c r="I182" s="43">
        <v>1.25</v>
      </c>
      <c r="J182" s="42">
        <v>36</v>
      </c>
      <c r="K182" s="42">
        <v>45</v>
      </c>
    </row>
    <row r="183" spans="7:12" ht="70.2" thickBot="1" x14ac:dyDescent="0.35">
      <c r="G183" s="39" t="s">
        <v>354</v>
      </c>
      <c r="H183" s="40" t="s">
        <v>353</v>
      </c>
      <c r="I183" s="43">
        <v>0.01</v>
      </c>
      <c r="J183" s="42">
        <v>9000</v>
      </c>
      <c r="K183" s="42">
        <v>90</v>
      </c>
    </row>
    <row r="184" spans="7:12" ht="87.6" thickBot="1" x14ac:dyDescent="0.35">
      <c r="G184" s="44" t="s">
        <v>364</v>
      </c>
      <c r="H184" s="40" t="s">
        <v>353</v>
      </c>
      <c r="I184" s="42">
        <v>4</v>
      </c>
      <c r="J184" s="42">
        <v>95</v>
      </c>
      <c r="K184" s="42">
        <v>380</v>
      </c>
    </row>
    <row r="185" spans="7:12" ht="18" thickBot="1" x14ac:dyDescent="0.35">
      <c r="G185" s="39" t="s">
        <v>355</v>
      </c>
      <c r="H185" s="40" t="s">
        <v>203</v>
      </c>
      <c r="I185" s="42">
        <v>1</v>
      </c>
      <c r="J185" s="42">
        <v>450</v>
      </c>
      <c r="K185" s="42">
        <v>450</v>
      </c>
    </row>
    <row r="186" spans="7:12" ht="70.2" thickBot="1" x14ac:dyDescent="0.35">
      <c r="G186" s="39" t="s">
        <v>356</v>
      </c>
      <c r="H186" s="40" t="s">
        <v>203</v>
      </c>
      <c r="I186" s="42">
        <v>1</v>
      </c>
      <c r="J186" s="42">
        <v>240</v>
      </c>
      <c r="K186" s="42">
        <v>240</v>
      </c>
    </row>
    <row r="187" spans="7:12" ht="18" thickBot="1" x14ac:dyDescent="0.35">
      <c r="G187" s="44" t="s">
        <v>357</v>
      </c>
      <c r="H187" s="40" t="s">
        <v>203</v>
      </c>
      <c r="I187" s="42">
        <v>1</v>
      </c>
      <c r="J187" s="42">
        <v>150</v>
      </c>
      <c r="K187" s="42">
        <v>150</v>
      </c>
    </row>
    <row r="188" spans="7:12" ht="35.4" thickBot="1" x14ac:dyDescent="0.35">
      <c r="G188" s="44" t="s">
        <v>358</v>
      </c>
      <c r="H188" s="40" t="s">
        <v>203</v>
      </c>
      <c r="I188" s="42">
        <v>1</v>
      </c>
      <c r="J188" s="42">
        <v>100</v>
      </c>
      <c r="K188" s="42">
        <v>100</v>
      </c>
    </row>
    <row r="189" spans="7:12" ht="18" thickBot="1" x14ac:dyDescent="0.35">
      <c r="G189" s="39" t="s">
        <v>359</v>
      </c>
      <c r="H189" s="40" t="s">
        <v>203</v>
      </c>
      <c r="I189" s="42">
        <v>1</v>
      </c>
      <c r="J189" s="42">
        <v>150</v>
      </c>
      <c r="K189" s="42">
        <v>150</v>
      </c>
    </row>
    <row r="190" spans="7:12" ht="52.8" thickBot="1" x14ac:dyDescent="0.35">
      <c r="G190" s="39" t="s">
        <v>360</v>
      </c>
      <c r="H190" s="40"/>
      <c r="I190" s="42">
        <v>1</v>
      </c>
      <c r="J190" s="42">
        <v>24</v>
      </c>
      <c r="K190" s="42">
        <v>24</v>
      </c>
    </row>
    <row r="191" spans="7:12" ht="52.8" thickBot="1" x14ac:dyDescent="0.35">
      <c r="G191" s="39" t="s">
        <v>361</v>
      </c>
      <c r="H191" s="40" t="s">
        <v>362</v>
      </c>
      <c r="I191" s="42">
        <v>1</v>
      </c>
      <c r="J191" s="42">
        <v>650</v>
      </c>
      <c r="K191" s="42">
        <v>650</v>
      </c>
      <c r="L191" s="46">
        <v>2675</v>
      </c>
    </row>
    <row r="192" spans="7:12" ht="35.4" thickBot="1" x14ac:dyDescent="0.35">
      <c r="G192" s="39" t="s">
        <v>304</v>
      </c>
      <c r="H192" s="40" t="s">
        <v>362</v>
      </c>
      <c r="I192" s="42">
        <v>1</v>
      </c>
      <c r="J192" s="42">
        <v>550</v>
      </c>
      <c r="K192" s="42">
        <v>550</v>
      </c>
    </row>
    <row r="193" spans="4:21" x14ac:dyDescent="0.3">
      <c r="J193" t="s">
        <v>366</v>
      </c>
      <c r="K193" t="s">
        <v>365</v>
      </c>
    </row>
    <row r="194" spans="4:21" ht="17.399999999999999" x14ac:dyDescent="0.3">
      <c r="K194" s="45">
        <v>3225</v>
      </c>
      <c r="O194" s="303" t="s">
        <v>367</v>
      </c>
      <c r="P194" s="303"/>
      <c r="Q194" s="303"/>
      <c r="R194" s="303"/>
      <c r="S194" s="303"/>
      <c r="T194" s="303"/>
      <c r="U194" s="303"/>
    </row>
    <row r="195" spans="4:21" ht="17.399999999999999" x14ac:dyDescent="0.3">
      <c r="K195" s="45"/>
      <c r="O195" s="2" t="s">
        <v>372</v>
      </c>
      <c r="P195" s="2" t="s">
        <v>371</v>
      </c>
      <c r="Q195" s="2" t="s">
        <v>203</v>
      </c>
      <c r="R195" s="2" t="s">
        <v>370</v>
      </c>
      <c r="S195" s="2" t="s">
        <v>369</v>
      </c>
      <c r="T195" s="2" t="s">
        <v>368</v>
      </c>
      <c r="U195" s="2"/>
    </row>
    <row r="196" spans="4:21" x14ac:dyDescent="0.3">
      <c r="E196" s="303" t="s">
        <v>375</v>
      </c>
      <c r="F196" s="303"/>
      <c r="G196" s="303"/>
      <c r="H196" s="303"/>
      <c r="I196" s="303"/>
      <c r="O196">
        <f>R196*S196*P196</f>
        <v>10164</v>
      </c>
      <c r="P196">
        <v>3850</v>
      </c>
      <c r="Q196">
        <v>95</v>
      </c>
      <c r="R196">
        <v>1.2</v>
      </c>
      <c r="S196">
        <v>2.2000000000000002</v>
      </c>
      <c r="T196">
        <v>1</v>
      </c>
    </row>
    <row r="197" spans="4:21" x14ac:dyDescent="0.3">
      <c r="D197" t="s">
        <v>383</v>
      </c>
      <c r="E197" t="s">
        <v>310</v>
      </c>
      <c r="F197" t="s">
        <v>380</v>
      </c>
      <c r="G197" t="s">
        <v>370</v>
      </c>
      <c r="H197" t="s">
        <v>369</v>
      </c>
      <c r="I197" t="s">
        <v>368</v>
      </c>
      <c r="K197" s="47"/>
      <c r="O197">
        <f t="shared" ref="O197:O203" si="4">R197*S197*P197</f>
        <v>5929</v>
      </c>
      <c r="P197">
        <v>3850</v>
      </c>
      <c r="Q197">
        <v>32</v>
      </c>
      <c r="R197">
        <v>0.7</v>
      </c>
      <c r="S197">
        <v>2.2000000000000002</v>
      </c>
      <c r="T197">
        <v>2</v>
      </c>
    </row>
    <row r="198" spans="4:21" x14ac:dyDescent="0.3">
      <c r="D198">
        <f>G198*H198</f>
        <v>1.4</v>
      </c>
      <c r="E198">
        <f>H198*G198*F198</f>
        <v>5600</v>
      </c>
      <c r="F198">
        <v>4000</v>
      </c>
      <c r="G198">
        <v>2</v>
      </c>
      <c r="H198">
        <v>0.7</v>
      </c>
      <c r="I198" t="s">
        <v>376</v>
      </c>
      <c r="K198" s="47"/>
      <c r="O198">
        <f t="shared" si="4"/>
        <v>5929</v>
      </c>
      <c r="P198">
        <v>3850</v>
      </c>
      <c r="Q198">
        <v>147</v>
      </c>
      <c r="R198">
        <v>0.7</v>
      </c>
      <c r="S198">
        <v>2.2000000000000002</v>
      </c>
      <c r="T198">
        <v>3</v>
      </c>
    </row>
    <row r="199" spans="4:21" x14ac:dyDescent="0.3">
      <c r="D199">
        <f t="shared" ref="D199:D201" si="5">G199*H199</f>
        <v>10.240000000000002</v>
      </c>
      <c r="E199">
        <f t="shared" ref="E199:E201" si="6">H199*G199*F199</f>
        <v>40960.000000000007</v>
      </c>
      <c r="F199">
        <v>4000</v>
      </c>
      <c r="G199">
        <v>3.2</v>
      </c>
      <c r="H199">
        <v>3.2</v>
      </c>
      <c r="I199" t="s">
        <v>377</v>
      </c>
      <c r="K199" s="47"/>
      <c r="O199">
        <f t="shared" si="4"/>
        <v>10164</v>
      </c>
      <c r="P199">
        <v>3850</v>
      </c>
      <c r="R199">
        <v>1.2</v>
      </c>
      <c r="S199">
        <v>2.2000000000000002</v>
      </c>
      <c r="T199">
        <v>4</v>
      </c>
    </row>
    <row r="200" spans="4:21" x14ac:dyDescent="0.3">
      <c r="D200">
        <f t="shared" si="5"/>
        <v>0.25</v>
      </c>
      <c r="E200">
        <f t="shared" si="6"/>
        <v>1000</v>
      </c>
      <c r="F200">
        <v>4000</v>
      </c>
      <c r="G200">
        <v>0.5</v>
      </c>
      <c r="H200">
        <v>0.5</v>
      </c>
      <c r="I200" t="s">
        <v>378</v>
      </c>
      <c r="K200" s="47"/>
      <c r="O200">
        <f t="shared" si="4"/>
        <v>16940</v>
      </c>
      <c r="P200">
        <v>3850</v>
      </c>
      <c r="Q200">
        <v>83</v>
      </c>
      <c r="R200">
        <v>2</v>
      </c>
      <c r="S200">
        <v>2.2000000000000002</v>
      </c>
      <c r="T200">
        <v>5</v>
      </c>
    </row>
    <row r="201" spans="4:21" x14ac:dyDescent="0.3">
      <c r="D201">
        <f t="shared" si="5"/>
        <v>2.2399999999999998</v>
      </c>
      <c r="E201">
        <f t="shared" si="6"/>
        <v>8959.9999999999982</v>
      </c>
      <c r="F201">
        <v>4000</v>
      </c>
      <c r="G201">
        <v>3.2</v>
      </c>
      <c r="H201">
        <v>0.7</v>
      </c>
      <c r="I201" t="s">
        <v>379</v>
      </c>
      <c r="K201" s="47"/>
      <c r="R201" s="3">
        <v>2</v>
      </c>
      <c r="S201" s="3">
        <v>2.2000000000000002</v>
      </c>
      <c r="T201" s="3">
        <v>6</v>
      </c>
    </row>
    <row r="202" spans="4:21" x14ac:dyDescent="0.3">
      <c r="G202" t="s">
        <v>382</v>
      </c>
      <c r="H202">
        <v>5510</v>
      </c>
      <c r="I202" t="s">
        <v>381</v>
      </c>
      <c r="K202" s="47"/>
      <c r="O202">
        <f t="shared" si="4"/>
        <v>13552.000000000002</v>
      </c>
      <c r="P202">
        <v>3850</v>
      </c>
      <c r="Q202">
        <v>42</v>
      </c>
      <c r="R202">
        <v>1.6</v>
      </c>
      <c r="S202">
        <v>2.2000000000000002</v>
      </c>
      <c r="T202">
        <v>7</v>
      </c>
    </row>
    <row r="203" spans="4:21" x14ac:dyDescent="0.3">
      <c r="H203">
        <f>H202*D198</f>
        <v>7713.9999999999991</v>
      </c>
      <c r="I203" t="s">
        <v>376</v>
      </c>
      <c r="K203" s="47"/>
      <c r="O203">
        <f t="shared" si="4"/>
        <v>7623.0000000000009</v>
      </c>
      <c r="P203">
        <v>3850</v>
      </c>
      <c r="Q203">
        <v>81</v>
      </c>
      <c r="R203">
        <v>0.9</v>
      </c>
      <c r="S203">
        <v>2.2000000000000002</v>
      </c>
      <c r="T203">
        <v>8</v>
      </c>
    </row>
    <row r="204" spans="4:21" x14ac:dyDescent="0.3">
      <c r="H204">
        <f>H202*D199</f>
        <v>56422.400000000009</v>
      </c>
      <c r="I204" t="s">
        <v>377</v>
      </c>
      <c r="K204" s="47"/>
    </row>
    <row r="205" spans="4:21" x14ac:dyDescent="0.3">
      <c r="H205">
        <f>H202*D200</f>
        <v>1377.5</v>
      </c>
      <c r="I205" t="s">
        <v>378</v>
      </c>
      <c r="K205" s="47"/>
    </row>
    <row r="206" spans="4:21" x14ac:dyDescent="0.3">
      <c r="H206">
        <f>H202*D201</f>
        <v>12342.4</v>
      </c>
      <c r="I206" t="s">
        <v>379</v>
      </c>
      <c r="K206" s="47"/>
    </row>
    <row r="207" spans="4:21" x14ac:dyDescent="0.3">
      <c r="K207" s="47"/>
    </row>
    <row r="208" spans="4:21" x14ac:dyDescent="0.3">
      <c r="K208" s="47"/>
    </row>
    <row r="210" spans="7:9" x14ac:dyDescent="0.3">
      <c r="I210" t="s">
        <v>395</v>
      </c>
    </row>
    <row r="211" spans="7:9" x14ac:dyDescent="0.3">
      <c r="G211" t="s">
        <v>260</v>
      </c>
      <c r="H211">
        <v>400</v>
      </c>
      <c r="I211" t="s">
        <v>396</v>
      </c>
    </row>
    <row r="212" spans="7:9" x14ac:dyDescent="0.3">
      <c r="G212" t="s">
        <v>163</v>
      </c>
      <c r="H212">
        <v>30</v>
      </c>
      <c r="I212" t="s">
        <v>136</v>
      </c>
    </row>
    <row r="213" spans="7:9" x14ac:dyDescent="0.3">
      <c r="H213">
        <f>H211/H212</f>
        <v>13.333333333333334</v>
      </c>
      <c r="I213" t="s">
        <v>397</v>
      </c>
    </row>
    <row r="215" spans="7:9" x14ac:dyDescent="0.3">
      <c r="I215" t="s">
        <v>399</v>
      </c>
    </row>
    <row r="216" spans="7:9" x14ac:dyDescent="0.3">
      <c r="H216" t="s">
        <v>400</v>
      </c>
      <c r="I216">
        <v>9690</v>
      </c>
    </row>
    <row r="217" spans="7:9" x14ac:dyDescent="0.3">
      <c r="H217" t="s">
        <v>400</v>
      </c>
      <c r="I217">
        <v>86</v>
      </c>
    </row>
    <row r="218" spans="7:9" x14ac:dyDescent="0.3">
      <c r="H218">
        <v>3</v>
      </c>
      <c r="I218" t="s">
        <v>401</v>
      </c>
    </row>
    <row r="219" spans="7:9" x14ac:dyDescent="0.3">
      <c r="H219" s="81">
        <f>H218*I217*I216</f>
        <v>2500020</v>
      </c>
      <c r="I219" t="s">
        <v>402</v>
      </c>
    </row>
  </sheetData>
  <mergeCells count="19">
    <mergeCell ref="E196:I196"/>
    <mergeCell ref="O194:U194"/>
    <mergeCell ref="G169:I169"/>
    <mergeCell ref="G119:I119"/>
    <mergeCell ref="G131:I131"/>
    <mergeCell ref="F137:I137"/>
    <mergeCell ref="G153:I153"/>
    <mergeCell ref="G165:I165"/>
    <mergeCell ref="G96:I96"/>
    <mergeCell ref="A1:P1"/>
    <mergeCell ref="G2:I2"/>
    <mergeCell ref="G30:I30"/>
    <mergeCell ref="G31:I31"/>
    <mergeCell ref="F40:I40"/>
    <mergeCell ref="G85:I86"/>
    <mergeCell ref="F73:I73"/>
    <mergeCell ref="F48:I48"/>
    <mergeCell ref="F63:I63"/>
    <mergeCell ref="F64:I6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Sheet6</vt:lpstr>
      <vt:lpstr>Sheet5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</dc:creator>
  <cp:lastModifiedBy>joseph diaa</cp:lastModifiedBy>
  <cp:lastPrinted>2024-06-24T12:51:49Z</cp:lastPrinted>
  <dcterms:created xsi:type="dcterms:W3CDTF">2015-06-05T18:17:20Z</dcterms:created>
  <dcterms:modified xsi:type="dcterms:W3CDTF">2024-06-28T20:19:55Z</dcterms:modified>
</cp:coreProperties>
</file>