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dace74c39e4a160/ドキュメント/家計簿/"/>
    </mc:Choice>
  </mc:AlternateContent>
  <xr:revisionPtr revIDLastSave="26" documentId="8_{77069D36-136A-4C49-A90F-2929D54B844E}" xr6:coauthVersionLast="47" xr6:coauthVersionMax="47" xr10:uidLastSave="{D2ACECA1-CB0A-4BB5-B974-D263976633C0}"/>
  <bookViews>
    <workbookView xWindow="-108" yWindow="-108" windowWidth="23256" windowHeight="14856" firstSheet="1" activeTab="7" xr2:uid="{00000000-000D-0000-FFFF-FFFF00000000}"/>
  </bookViews>
  <sheets>
    <sheet name="0825_0924" sheetId="7" r:id="rId1"/>
    <sheet name="0925_1024" sheetId="4" r:id="rId2"/>
    <sheet name="1025_1123" sheetId="6" r:id="rId3"/>
    <sheet name="1124_1224" sheetId="5" r:id="rId4"/>
    <sheet name="1225_0124" sheetId="1" r:id="rId5"/>
    <sheet name="0125_0222" sheetId="2" r:id="rId6"/>
    <sheet name="0223_0324" sheetId="8" r:id="rId7"/>
    <sheet name="可視化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8" l="1"/>
  <c r="G33" i="8"/>
  <c r="G35" i="8"/>
  <c r="G30" i="8"/>
  <c r="T29" i="8" l="1"/>
  <c r="G29" i="8"/>
  <c r="L28" i="8"/>
  <c r="G28" i="8"/>
  <c r="N21" i="8" l="1"/>
  <c r="T24" i="8"/>
  <c r="G23" i="8"/>
  <c r="M27" i="8"/>
  <c r="V27" i="8" s="1"/>
  <c r="G27" i="8"/>
  <c r="T21" i="8"/>
  <c r="G26" i="8"/>
  <c r="V26" i="8" s="1"/>
  <c r="G24" i="8"/>
  <c r="G21" i="8"/>
  <c r="L20" i="8"/>
  <c r="G20" i="8"/>
  <c r="V20" i="8" s="1"/>
  <c r="AA24" i="8"/>
  <c r="G17" i="8"/>
  <c r="V17" i="8" s="1"/>
  <c r="O14" i="8"/>
  <c r="P14" i="8"/>
  <c r="L14" i="8"/>
  <c r="G14" i="8"/>
  <c r="M13" i="8"/>
  <c r="L13" i="8"/>
  <c r="G13" i="8"/>
  <c r="V13" i="8" s="1"/>
  <c r="Q4" i="8"/>
  <c r="T4" i="8"/>
  <c r="G12" i="8"/>
  <c r="M11" i="8"/>
  <c r="V11" i="8" s="1"/>
  <c r="J9" i="8"/>
  <c r="J36" i="8" s="1"/>
  <c r="T9" i="8"/>
  <c r="N9" i="8"/>
  <c r="G8" i="8"/>
  <c r="V8" i="8" s="1"/>
  <c r="Q7" i="8"/>
  <c r="Q36" i="8" s="1"/>
  <c r="G7" i="8"/>
  <c r="I36" i="8"/>
  <c r="K36" i="8"/>
  <c r="O36" i="8"/>
  <c r="R36" i="8"/>
  <c r="F36" i="8"/>
  <c r="D36" i="8"/>
  <c r="U36" i="8" s="1"/>
  <c r="L6" i="8"/>
  <c r="V6" i="8" s="1"/>
  <c r="M6" i="8"/>
  <c r="G6" i="8"/>
  <c r="S11" i="9"/>
  <c r="G5" i="8"/>
  <c r="V5" i="8" s="1"/>
  <c r="H5" i="8"/>
  <c r="H36" i="8" s="1"/>
  <c r="V10" i="8"/>
  <c r="V12" i="8"/>
  <c r="V15" i="8"/>
  <c r="V16" i="8"/>
  <c r="V18" i="8"/>
  <c r="V19" i="8"/>
  <c r="V21" i="8"/>
  <c r="V22" i="8"/>
  <c r="V23" i="8"/>
  <c r="V24" i="8"/>
  <c r="V25" i="8"/>
  <c r="V28" i="8"/>
  <c r="V29" i="8"/>
  <c r="V30" i="8"/>
  <c r="V31" i="8"/>
  <c r="V32" i="8"/>
  <c r="V33" i="8"/>
  <c r="V34" i="8"/>
  <c r="V3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5" i="8"/>
  <c r="G31" i="2"/>
  <c r="S28" i="2"/>
  <c r="H4" i="8"/>
  <c r="G33" i="2"/>
  <c r="G32" i="2"/>
  <c r="G29" i="2"/>
  <c r="G28" i="2"/>
  <c r="X34" i="2"/>
  <c r="G36" i="1"/>
  <c r="I24" i="2"/>
  <c r="K24" i="2"/>
  <c r="G23" i="2"/>
  <c r="O27" i="2"/>
  <c r="G26" i="2"/>
  <c r="G27" i="2"/>
  <c r="L22" i="2"/>
  <c r="G22" i="2"/>
  <c r="L21" i="2"/>
  <c r="G21" i="2"/>
  <c r="G16" i="2"/>
  <c r="S24" i="2"/>
  <c r="N24" i="2"/>
  <c r="S14" i="2"/>
  <c r="G20" i="2"/>
  <c r="G18" i="2"/>
  <c r="M14" i="2"/>
  <c r="G15" i="2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E11" i="9"/>
  <c r="D11" i="9"/>
  <c r="S9" i="2"/>
  <c r="N9" i="2"/>
  <c r="G12" i="2"/>
  <c r="G14" i="2"/>
  <c r="G11" i="2"/>
  <c r="G9" i="2"/>
  <c r="S4" i="2"/>
  <c r="H34" i="2"/>
  <c r="S5" i="2"/>
  <c r="G5" i="2"/>
  <c r="G34" i="1"/>
  <c r="G31" i="1"/>
  <c r="AA17" i="8"/>
  <c r="U4" i="8"/>
  <c r="N4" i="8"/>
  <c r="T5" i="4"/>
  <c r="O36" i="7"/>
  <c r="N36" i="7"/>
  <c r="K36" i="7"/>
  <c r="J36" i="7"/>
  <c r="I36" i="7"/>
  <c r="H36" i="7"/>
  <c r="F36" i="7"/>
  <c r="D36" i="7"/>
  <c r="Q35" i="7"/>
  <c r="P35" i="7"/>
  <c r="G35" i="7"/>
  <c r="P34" i="7"/>
  <c r="M34" i="7"/>
  <c r="L34" i="7"/>
  <c r="Q34" i="7" s="1"/>
  <c r="Q33" i="7"/>
  <c r="P33" i="7"/>
  <c r="Q32" i="7"/>
  <c r="P32" i="7"/>
  <c r="Q31" i="7"/>
  <c r="P31" i="7"/>
  <c r="Q30" i="7"/>
  <c r="P30" i="7"/>
  <c r="Q29" i="7"/>
  <c r="P29" i="7"/>
  <c r="P28" i="7"/>
  <c r="M28" i="7"/>
  <c r="M36" i="7" s="1"/>
  <c r="L28" i="7"/>
  <c r="G28" i="7"/>
  <c r="Q28" i="7" s="1"/>
  <c r="Q27" i="7"/>
  <c r="P27" i="7"/>
  <c r="F27" i="7"/>
  <c r="E27" i="7"/>
  <c r="E36" i="7" s="1"/>
  <c r="V26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Q11" i="7"/>
  <c r="P11" i="7"/>
  <c r="Q10" i="7"/>
  <c r="P10" i="7"/>
  <c r="Q9" i="7"/>
  <c r="P9" i="7"/>
  <c r="Q8" i="7"/>
  <c r="P8" i="7"/>
  <c r="R8" i="7" s="1"/>
  <c r="R9" i="7" s="1"/>
  <c r="R10" i="7" s="1"/>
  <c r="R11" i="7" s="1"/>
  <c r="Q7" i="7"/>
  <c r="P7" i="7"/>
  <c r="Q6" i="7"/>
  <c r="P6" i="7"/>
  <c r="Q5" i="7"/>
  <c r="P5" i="7"/>
  <c r="R5" i="7" s="1"/>
  <c r="R6" i="7" s="1"/>
  <c r="R7" i="7" s="1"/>
  <c r="P4" i="7"/>
  <c r="O4" i="7"/>
  <c r="H4" i="7"/>
  <c r="Q4" i="7" s="1"/>
  <c r="V35" i="6"/>
  <c r="R35" i="6"/>
  <c r="Q35" i="6"/>
  <c r="P35" i="6"/>
  <c r="O35" i="6"/>
  <c r="K35" i="6"/>
  <c r="J35" i="6"/>
  <c r="H35" i="6"/>
  <c r="F35" i="6"/>
  <c r="D35" i="6"/>
  <c r="T35" i="6" s="1"/>
  <c r="T34" i="6"/>
  <c r="G34" i="6"/>
  <c r="U34" i="6" s="1"/>
  <c r="U33" i="6"/>
  <c r="T33" i="6"/>
  <c r="G33" i="6"/>
  <c r="T32" i="6"/>
  <c r="G32" i="6"/>
  <c r="U32" i="6" s="1"/>
  <c r="U31" i="6"/>
  <c r="T31" i="6"/>
  <c r="G31" i="6"/>
  <c r="T30" i="6"/>
  <c r="G30" i="6"/>
  <c r="U30" i="6" s="1"/>
  <c r="U29" i="6"/>
  <c r="T29" i="6"/>
  <c r="L29" i="6"/>
  <c r="L35" i="6" s="1"/>
  <c r="G29" i="6"/>
  <c r="T28" i="6"/>
  <c r="G28" i="6"/>
  <c r="U28" i="6" s="1"/>
  <c r="U27" i="6"/>
  <c r="T27" i="6"/>
  <c r="G27" i="6"/>
  <c r="Z26" i="6"/>
  <c r="T26" i="6"/>
  <c r="S26" i="6"/>
  <c r="U26" i="6" s="1"/>
  <c r="G26" i="6"/>
  <c r="T25" i="6"/>
  <c r="G25" i="6"/>
  <c r="U25" i="6" s="1"/>
  <c r="U24" i="6"/>
  <c r="T24" i="6"/>
  <c r="G24" i="6"/>
  <c r="T23" i="6"/>
  <c r="M23" i="6"/>
  <c r="M35" i="6" s="1"/>
  <c r="G23" i="6"/>
  <c r="U23" i="6" s="1"/>
  <c r="U22" i="6"/>
  <c r="T22" i="6"/>
  <c r="S22" i="6"/>
  <c r="G22" i="6"/>
  <c r="T21" i="6"/>
  <c r="I21" i="6"/>
  <c r="I35" i="6" s="1"/>
  <c r="G21" i="6"/>
  <c r="U21" i="6" s="1"/>
  <c r="Z20" i="6"/>
  <c r="T20" i="6"/>
  <c r="G20" i="6"/>
  <c r="U20" i="6" s="1"/>
  <c r="U19" i="6"/>
  <c r="T19" i="6"/>
  <c r="G19" i="6"/>
  <c r="T18" i="6"/>
  <c r="G18" i="6"/>
  <c r="U18" i="6" s="1"/>
  <c r="U17" i="6"/>
  <c r="T17" i="6"/>
  <c r="G17" i="6"/>
  <c r="T16" i="6"/>
  <c r="G16" i="6"/>
  <c r="U16" i="6" s="1"/>
  <c r="U15" i="6"/>
  <c r="T15" i="6"/>
  <c r="G15" i="6"/>
  <c r="T14" i="6"/>
  <c r="G14" i="6"/>
  <c r="U14" i="6" s="1"/>
  <c r="U13" i="6"/>
  <c r="T13" i="6"/>
  <c r="S13" i="6"/>
  <c r="G13" i="6"/>
  <c r="T12" i="6"/>
  <c r="G12" i="6"/>
  <c r="U12" i="6" s="1"/>
  <c r="U11" i="6"/>
  <c r="T11" i="6"/>
  <c r="G11" i="6"/>
  <c r="T10" i="6"/>
  <c r="G10" i="6"/>
  <c r="U10" i="6" s="1"/>
  <c r="U9" i="6"/>
  <c r="T9" i="6"/>
  <c r="G9" i="6"/>
  <c r="T8" i="6"/>
  <c r="G8" i="6"/>
  <c r="U8" i="6" s="1"/>
  <c r="U7" i="6"/>
  <c r="T7" i="6"/>
  <c r="S7" i="6"/>
  <c r="S35" i="6" s="1"/>
  <c r="N7" i="6"/>
  <c r="N35" i="6" s="1"/>
  <c r="G7" i="6"/>
  <c r="T6" i="6"/>
  <c r="G6" i="6"/>
  <c r="U6" i="6" s="1"/>
  <c r="U5" i="6"/>
  <c r="T5" i="6"/>
  <c r="G5" i="6"/>
  <c r="T4" i="6"/>
  <c r="H4" i="6"/>
  <c r="U4" i="6" s="1"/>
  <c r="G4" i="6"/>
  <c r="N36" i="8" l="1"/>
  <c r="V14" i="8"/>
  <c r="P36" i="8"/>
  <c r="L36" i="8"/>
  <c r="M36" i="8"/>
  <c r="V9" i="8"/>
  <c r="T36" i="8"/>
  <c r="G36" i="8"/>
  <c r="V7" i="8"/>
  <c r="V4" i="8"/>
  <c r="W4" i="8" s="1"/>
  <c r="P36" i="7"/>
  <c r="R36" i="7" s="1"/>
  <c r="L36" i="7"/>
  <c r="G36" i="7"/>
  <c r="Q36" i="7" s="1"/>
  <c r="V4" i="6"/>
  <c r="G35" i="6"/>
  <c r="U35" i="6" s="1"/>
  <c r="V36" i="8" l="1"/>
  <c r="W36" i="8" s="1"/>
  <c r="S36" i="5"/>
  <c r="Q36" i="5"/>
  <c r="P36" i="5"/>
  <c r="M36" i="5"/>
  <c r="K36" i="5"/>
  <c r="J36" i="5"/>
  <c r="I36" i="5"/>
  <c r="H36" i="5"/>
  <c r="F36" i="5"/>
  <c r="U35" i="5"/>
  <c r="G35" i="5"/>
  <c r="V35" i="5" s="1"/>
  <c r="U34" i="5"/>
  <c r="L34" i="5"/>
  <c r="G34" i="5"/>
  <c r="V34" i="5" s="1"/>
  <c r="U33" i="5"/>
  <c r="G33" i="5"/>
  <c r="V33" i="5" s="1"/>
  <c r="U32" i="5"/>
  <c r="G32" i="5"/>
  <c r="V32" i="5" s="1"/>
  <c r="U31" i="5"/>
  <c r="G31" i="5"/>
  <c r="V31" i="5" s="1"/>
  <c r="U30" i="5"/>
  <c r="G30" i="5"/>
  <c r="V30" i="5" s="1"/>
  <c r="U29" i="5"/>
  <c r="G29" i="5"/>
  <c r="V29" i="5" s="1"/>
  <c r="U28" i="5"/>
  <c r="G28" i="5"/>
  <c r="V28" i="5" s="1"/>
  <c r="V27" i="5"/>
  <c r="U27" i="5"/>
  <c r="U26" i="5"/>
  <c r="G26" i="5"/>
  <c r="V26" i="5" s="1"/>
  <c r="U25" i="5"/>
  <c r="G25" i="5"/>
  <c r="V25" i="5" s="1"/>
  <c r="U24" i="5"/>
  <c r="T24" i="5"/>
  <c r="G24" i="5"/>
  <c r="V24" i="5" s="1"/>
  <c r="U23" i="5"/>
  <c r="G23" i="5"/>
  <c r="V23" i="5" s="1"/>
  <c r="AA22" i="5"/>
  <c r="U22" i="5"/>
  <c r="N22" i="5"/>
  <c r="N36" i="5" s="1"/>
  <c r="G22" i="5"/>
  <c r="V22" i="5" s="1"/>
  <c r="V21" i="5"/>
  <c r="U21" i="5"/>
  <c r="T21" i="5"/>
  <c r="O21" i="5"/>
  <c r="G21" i="5"/>
  <c r="U20" i="5"/>
  <c r="L20" i="5"/>
  <c r="L36" i="5" s="1"/>
  <c r="G20" i="5"/>
  <c r="U19" i="5"/>
  <c r="G19" i="5"/>
  <c r="V19" i="5" s="1"/>
  <c r="V18" i="5"/>
  <c r="U18" i="5"/>
  <c r="V17" i="5"/>
  <c r="U17" i="5"/>
  <c r="V16" i="5"/>
  <c r="U16" i="5"/>
  <c r="V15" i="5"/>
  <c r="U15" i="5"/>
  <c r="L15" i="5"/>
  <c r="G15" i="5"/>
  <c r="U14" i="5"/>
  <c r="G14" i="5"/>
  <c r="V14" i="5" s="1"/>
  <c r="U13" i="5"/>
  <c r="G13" i="5"/>
  <c r="V13" i="5" s="1"/>
  <c r="U12" i="5"/>
  <c r="R12" i="5"/>
  <c r="R36" i="5" s="1"/>
  <c r="G12" i="5"/>
  <c r="V12" i="5" s="1"/>
  <c r="U11" i="5"/>
  <c r="G11" i="5"/>
  <c r="V11" i="5" s="1"/>
  <c r="U10" i="5"/>
  <c r="G10" i="5"/>
  <c r="V10" i="5" s="1"/>
  <c r="U9" i="5"/>
  <c r="G9" i="5"/>
  <c r="V9" i="5" s="1"/>
  <c r="U8" i="5"/>
  <c r="T8" i="5"/>
  <c r="V8" i="5" s="1"/>
  <c r="G8" i="5"/>
  <c r="U7" i="5"/>
  <c r="G7" i="5"/>
  <c r="V7" i="5" s="1"/>
  <c r="V6" i="5"/>
  <c r="U6" i="5"/>
  <c r="O6" i="5"/>
  <c r="O36" i="5" s="1"/>
  <c r="G6" i="5"/>
  <c r="G36" i="5" s="1"/>
  <c r="V36" i="5" s="1"/>
  <c r="T5" i="5"/>
  <c r="T36" i="5" s="1"/>
  <c r="D5" i="5"/>
  <c r="U5" i="5" s="1"/>
  <c r="H4" i="5"/>
  <c r="G4" i="5"/>
  <c r="V4" i="5" s="1"/>
  <c r="D4" i="5"/>
  <c r="U4" i="5" s="1"/>
  <c r="W4" i="5" s="1"/>
  <c r="D36" i="5" l="1"/>
  <c r="U36" i="5" s="1"/>
  <c r="W36" i="5" s="1"/>
  <c r="V20" i="5"/>
  <c r="V5" i="5"/>
  <c r="P35" i="4" l="1"/>
  <c r="O35" i="4"/>
  <c r="J35" i="4"/>
  <c r="I35" i="4"/>
  <c r="H35" i="4"/>
  <c r="G35" i="4"/>
  <c r="E35" i="4"/>
  <c r="R35" i="4" s="1"/>
  <c r="D35" i="4"/>
  <c r="S34" i="4"/>
  <c r="R34" i="4"/>
  <c r="S33" i="4"/>
  <c r="R33" i="4"/>
  <c r="R32" i="4"/>
  <c r="F32" i="4"/>
  <c r="S32" i="4" s="1"/>
  <c r="S31" i="4"/>
  <c r="R31" i="4"/>
  <c r="F31" i="4"/>
  <c r="S30" i="4"/>
  <c r="R30" i="4"/>
  <c r="S29" i="4"/>
  <c r="R29" i="4"/>
  <c r="K29" i="4"/>
  <c r="F29" i="4"/>
  <c r="S28" i="4"/>
  <c r="R28" i="4"/>
  <c r="S27" i="4"/>
  <c r="R27" i="4"/>
  <c r="F27" i="4"/>
  <c r="S26" i="4"/>
  <c r="R26" i="4"/>
  <c r="F26" i="4"/>
  <c r="S25" i="4"/>
  <c r="R25" i="4"/>
  <c r="R24" i="4"/>
  <c r="L24" i="4"/>
  <c r="F24" i="4"/>
  <c r="S24" i="4" s="1"/>
  <c r="E24" i="4"/>
  <c r="S23" i="4"/>
  <c r="R23" i="4"/>
  <c r="S22" i="4"/>
  <c r="R22" i="4"/>
  <c r="K22" i="4"/>
  <c r="X21" i="4"/>
  <c r="S21" i="4"/>
  <c r="R21" i="4"/>
  <c r="F21" i="4"/>
  <c r="R20" i="4"/>
  <c r="Q20" i="4"/>
  <c r="M20" i="4"/>
  <c r="M35" i="4" s="1"/>
  <c r="K20" i="4"/>
  <c r="S20" i="4" s="1"/>
  <c r="S19" i="4"/>
  <c r="R19" i="4"/>
  <c r="R18" i="4"/>
  <c r="F18" i="4"/>
  <c r="S18" i="4" s="1"/>
  <c r="R17" i="4"/>
  <c r="L17" i="4"/>
  <c r="L35" i="4" s="1"/>
  <c r="F17" i="4"/>
  <c r="S16" i="4"/>
  <c r="R16" i="4"/>
  <c r="R15" i="4"/>
  <c r="N15" i="4"/>
  <c r="S15" i="4" s="1"/>
  <c r="S14" i="4"/>
  <c r="R14" i="4"/>
  <c r="S13" i="4"/>
  <c r="R13" i="4"/>
  <c r="F13" i="4"/>
  <c r="S12" i="4"/>
  <c r="R12" i="4"/>
  <c r="S11" i="4"/>
  <c r="R11" i="4"/>
  <c r="K11" i="4"/>
  <c r="F11" i="4"/>
  <c r="R10" i="4"/>
  <c r="F10" i="4"/>
  <c r="S10" i="4" s="1"/>
  <c r="S9" i="4"/>
  <c r="R9" i="4"/>
  <c r="S8" i="4"/>
  <c r="R8" i="4"/>
  <c r="R7" i="4"/>
  <c r="Q7" i="4"/>
  <c r="S7" i="4" s="1"/>
  <c r="S6" i="4"/>
  <c r="R6" i="4"/>
  <c r="S5" i="4"/>
  <c r="R5" i="4"/>
  <c r="S4" i="4"/>
  <c r="T4" i="4" s="1"/>
  <c r="R4" i="4"/>
  <c r="Q4" i="4"/>
  <c r="G4" i="4"/>
  <c r="F4" i="4"/>
  <c r="F35" i="4" l="1"/>
  <c r="S35" i="4" s="1"/>
  <c r="T35" i="4" s="1"/>
  <c r="N35" i="4"/>
  <c r="S17" i="4"/>
  <c r="Q35" i="4"/>
  <c r="K35" i="4"/>
  <c r="T6" i="4" l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N4" i="2" l="1"/>
  <c r="H4" i="2"/>
  <c r="U4" i="2" s="1"/>
  <c r="S34" i="2"/>
  <c r="Q34" i="2"/>
  <c r="P34" i="2"/>
  <c r="N34" i="2"/>
  <c r="K34" i="2"/>
  <c r="J34" i="2"/>
  <c r="I34" i="2"/>
  <c r="F34" i="2"/>
  <c r="U33" i="2"/>
  <c r="T33" i="2"/>
  <c r="U32" i="2"/>
  <c r="T32" i="2"/>
  <c r="U31" i="2"/>
  <c r="T31" i="2"/>
  <c r="U30" i="2"/>
  <c r="T30" i="2"/>
  <c r="U29" i="2"/>
  <c r="T29" i="2"/>
  <c r="T28" i="2"/>
  <c r="U28" i="2"/>
  <c r="U27" i="2"/>
  <c r="T27" i="2"/>
  <c r="U26" i="2"/>
  <c r="T26" i="2"/>
  <c r="U25" i="2"/>
  <c r="T25" i="2"/>
  <c r="T24" i="2"/>
  <c r="M34" i="2"/>
  <c r="L34" i="2"/>
  <c r="U24" i="2"/>
  <c r="T23" i="2"/>
  <c r="U23" i="2"/>
  <c r="T22" i="2"/>
  <c r="U22" i="2"/>
  <c r="Z21" i="2"/>
  <c r="U21" i="2"/>
  <c r="T21" i="2"/>
  <c r="U20" i="2"/>
  <c r="T20" i="2"/>
  <c r="U19" i="2"/>
  <c r="T19" i="2"/>
  <c r="U18" i="2"/>
  <c r="T18" i="2"/>
  <c r="U17" i="2"/>
  <c r="T17" i="2"/>
  <c r="U16" i="2"/>
  <c r="T16" i="2"/>
  <c r="Z15" i="2"/>
  <c r="U15" i="2"/>
  <c r="T15" i="2"/>
  <c r="U14" i="2"/>
  <c r="T14" i="2"/>
  <c r="U13" i="2"/>
  <c r="T13" i="2"/>
  <c r="U12" i="2"/>
  <c r="T12" i="2"/>
  <c r="U11" i="2"/>
  <c r="T11" i="2"/>
  <c r="U10" i="2"/>
  <c r="T10" i="2"/>
  <c r="T9" i="2"/>
  <c r="U9" i="2"/>
  <c r="T8" i="2"/>
  <c r="O34" i="2"/>
  <c r="U8" i="2"/>
  <c r="T7" i="2"/>
  <c r="U7" i="2"/>
  <c r="T6" i="2"/>
  <c r="U6" i="2"/>
  <c r="U5" i="2"/>
  <c r="D34" i="2"/>
  <c r="T4" i="2"/>
  <c r="G27" i="1"/>
  <c r="G28" i="1"/>
  <c r="G5" i="1"/>
  <c r="Z21" i="1"/>
  <c r="Z15" i="1"/>
  <c r="N21" i="1"/>
  <c r="G24" i="1"/>
  <c r="G22" i="1"/>
  <c r="G18" i="1"/>
  <c r="G16" i="1"/>
  <c r="G14" i="1"/>
  <c r="G13" i="1"/>
  <c r="G8" i="1"/>
  <c r="M24" i="1"/>
  <c r="L24" i="1"/>
  <c r="O24" i="1"/>
  <c r="G23" i="1"/>
  <c r="G21" i="1"/>
  <c r="G20" i="1"/>
  <c r="G19" i="1"/>
  <c r="O18" i="1"/>
  <c r="G11" i="1"/>
  <c r="T34" i="2" l="1"/>
  <c r="V4" i="2"/>
  <c r="X4" i="2" s="1"/>
  <c r="G34" i="2"/>
  <c r="U34" i="2" s="1"/>
  <c r="T5" i="2"/>
  <c r="J7" i="1"/>
  <c r="S7" i="1"/>
  <c r="N7" i="1"/>
  <c r="D5" i="1"/>
  <c r="G9" i="1"/>
  <c r="G6" i="1"/>
  <c r="G7" i="1"/>
  <c r="O8" i="1"/>
  <c r="V34" i="2" l="1"/>
  <c r="S4" i="1"/>
  <c r="D4" i="1"/>
  <c r="Q36" i="1" l="1"/>
  <c r="P36" i="1"/>
  <c r="H36" i="1" l="1"/>
  <c r="I36" i="1"/>
  <c r="J36" i="1"/>
  <c r="K36" i="1"/>
  <c r="L36" i="1"/>
  <c r="M36" i="1"/>
  <c r="N36" i="1"/>
  <c r="O36" i="1"/>
  <c r="F36" i="1"/>
  <c r="S36" i="1"/>
  <c r="D36" i="1"/>
  <c r="U36" i="1" l="1"/>
  <c r="T36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4" i="1"/>
  <c r="U12" i="1"/>
  <c r="U13" i="1"/>
  <c r="U14" i="1"/>
  <c r="U15" i="1"/>
  <c r="U18" i="1"/>
  <c r="U19" i="1"/>
  <c r="U20" i="1"/>
  <c r="U21" i="1"/>
  <c r="U22" i="1"/>
  <c r="U23" i="1"/>
  <c r="U24" i="1"/>
  <c r="U25" i="1"/>
  <c r="U26" i="1"/>
  <c r="U27" i="1"/>
  <c r="U29" i="1"/>
  <c r="U30" i="1"/>
  <c r="U31" i="1"/>
  <c r="U32" i="1"/>
  <c r="U33" i="1"/>
  <c r="U34" i="1"/>
  <c r="U35" i="1"/>
  <c r="U17" i="1"/>
  <c r="U16" i="1"/>
  <c r="T19" i="1"/>
  <c r="T12" i="1"/>
  <c r="T14" i="1"/>
  <c r="T15" i="1"/>
  <c r="T16" i="1"/>
  <c r="T17" i="1"/>
  <c r="T18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35" i="1"/>
  <c r="T13" i="1"/>
  <c r="V6" i="1" l="1"/>
  <c r="V7" i="1" s="1"/>
  <c r="V8" i="1" s="1"/>
  <c r="U4" i="1"/>
  <c r="V4" i="1" s="1"/>
  <c r="T27" i="1"/>
  <c r="U28" i="1"/>
  <c r="V9" i="1" l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36" i="1"/>
  <c r="V25" i="1" l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5" i="2" l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W5" i="8" l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</calcChain>
</file>

<file path=xl/sharedStrings.xml><?xml version="1.0" encoding="utf-8"?>
<sst xmlns="http://schemas.openxmlformats.org/spreadsheetml/2006/main" count="465" uniqueCount="64">
  <si>
    <t>土</t>
  </si>
  <si>
    <t>日</t>
  </si>
  <si>
    <t>月</t>
  </si>
  <si>
    <t>火</t>
  </si>
  <si>
    <t>水</t>
  </si>
  <si>
    <t>木</t>
  </si>
  <si>
    <t>金</t>
  </si>
  <si>
    <t>給料</t>
    <rPh sb="0" eb="2">
      <t>キュウリョウ</t>
    </rPh>
    <phoneticPr fontId="2"/>
  </si>
  <si>
    <t>その他</t>
    <rPh sb="2" eb="3">
      <t>タ</t>
    </rPh>
    <phoneticPr fontId="2"/>
  </si>
  <si>
    <t>収入</t>
    <rPh sb="0" eb="2">
      <t>シュウニュウ</t>
    </rPh>
    <phoneticPr fontId="2"/>
  </si>
  <si>
    <t>食費</t>
    <rPh sb="0" eb="2">
      <t>ショクヒ</t>
    </rPh>
    <phoneticPr fontId="2"/>
  </si>
  <si>
    <t>ガス代</t>
    <rPh sb="2" eb="3">
      <t>ダイ</t>
    </rPh>
    <phoneticPr fontId="2"/>
  </si>
  <si>
    <t>電気代</t>
    <rPh sb="0" eb="3">
      <t>デンキダイ</t>
    </rPh>
    <phoneticPr fontId="2"/>
  </si>
  <si>
    <t>水道代</t>
    <rPh sb="0" eb="3">
      <t>スイドウダイ</t>
    </rPh>
    <phoneticPr fontId="2"/>
  </si>
  <si>
    <t>支出</t>
    <rPh sb="0" eb="2">
      <t>シシュツ</t>
    </rPh>
    <phoneticPr fontId="2"/>
  </si>
  <si>
    <t>合計</t>
    <rPh sb="0" eb="2">
      <t>ゴウケイ</t>
    </rPh>
    <phoneticPr fontId="2"/>
  </si>
  <si>
    <t>雑貨</t>
    <rPh sb="0" eb="2">
      <t>ザッカ</t>
    </rPh>
    <phoneticPr fontId="2"/>
  </si>
  <si>
    <t>交通費</t>
    <rPh sb="0" eb="3">
      <t>コウツウヒ</t>
    </rPh>
    <phoneticPr fontId="2"/>
  </si>
  <si>
    <t>予算⇒</t>
    <rPh sb="0" eb="2">
      <t>ヨサン</t>
    </rPh>
    <phoneticPr fontId="2"/>
  </si>
  <si>
    <t>趣味</t>
    <rPh sb="0" eb="2">
      <t>シュミ</t>
    </rPh>
    <phoneticPr fontId="2"/>
  </si>
  <si>
    <t>衛星用品</t>
    <rPh sb="0" eb="2">
      <t>エイセイ</t>
    </rPh>
    <rPh sb="2" eb="4">
      <t>ヨウヒン</t>
    </rPh>
    <phoneticPr fontId="2"/>
  </si>
  <si>
    <t>収入計</t>
    <rPh sb="0" eb="2">
      <t>シュウニュウ</t>
    </rPh>
    <rPh sb="2" eb="3">
      <t>ケイ</t>
    </rPh>
    <phoneticPr fontId="2"/>
  </si>
  <si>
    <t>支出計</t>
    <rPh sb="0" eb="3">
      <t>シシュツケイ</t>
    </rPh>
    <phoneticPr fontId="2"/>
  </si>
  <si>
    <t>収支</t>
    <rPh sb="0" eb="2">
      <t>シュウシ</t>
    </rPh>
    <phoneticPr fontId="2"/>
  </si>
  <si>
    <t>通信料</t>
    <rPh sb="0" eb="3">
      <t>ツウシンリョウ</t>
    </rPh>
    <phoneticPr fontId="2"/>
  </si>
  <si>
    <t>ゆうちょ</t>
    <phoneticPr fontId="2"/>
  </si>
  <si>
    <t>PayPay</t>
    <phoneticPr fontId="2"/>
  </si>
  <si>
    <t>Suica</t>
    <phoneticPr fontId="2"/>
  </si>
  <si>
    <t>auPay</t>
    <phoneticPr fontId="2"/>
  </si>
  <si>
    <t xml:space="preserve">残高 </t>
    <rPh sb="0" eb="2">
      <t>ザンダカ</t>
    </rPh>
    <phoneticPr fontId="2"/>
  </si>
  <si>
    <t>エスコ</t>
    <phoneticPr fontId="2"/>
  </si>
  <si>
    <t>家具</t>
    <rPh sb="0" eb="2">
      <t>カグ</t>
    </rPh>
    <phoneticPr fontId="2"/>
  </si>
  <si>
    <t>散髪</t>
    <rPh sb="0" eb="2">
      <t>サンパツ</t>
    </rPh>
    <phoneticPr fontId="2"/>
  </si>
  <si>
    <t>調整</t>
    <rPh sb="0" eb="2">
      <t>チョウセイ</t>
    </rPh>
    <phoneticPr fontId="2"/>
  </si>
  <si>
    <t>現金</t>
    <rPh sb="0" eb="2">
      <t>ゲンキン</t>
    </rPh>
    <phoneticPr fontId="2"/>
  </si>
  <si>
    <t>じぶん銀行</t>
    <rPh sb="3" eb="5">
      <t>ギンコウ</t>
    </rPh>
    <phoneticPr fontId="2"/>
  </si>
  <si>
    <t>月</t>
    <phoneticPr fontId="2"/>
  </si>
  <si>
    <t>木</t>
    <phoneticPr fontId="2"/>
  </si>
  <si>
    <t>残高</t>
    <rPh sb="0" eb="2">
      <t>ザンダカ</t>
    </rPh>
    <phoneticPr fontId="2"/>
  </si>
  <si>
    <t>ポイント</t>
    <phoneticPr fontId="2"/>
  </si>
  <si>
    <t>円</t>
    <rPh sb="0" eb="1">
      <t>エン</t>
    </rPh>
    <phoneticPr fontId="2"/>
  </si>
  <si>
    <t>Ponta</t>
    <phoneticPr fontId="2"/>
  </si>
  <si>
    <t>WAON POINT</t>
    <phoneticPr fontId="2"/>
  </si>
  <si>
    <t>Tポイント</t>
    <phoneticPr fontId="2"/>
  </si>
  <si>
    <t>PayPayポイント</t>
    <phoneticPr fontId="2"/>
  </si>
  <si>
    <t>エスコポイント</t>
    <phoneticPr fontId="2"/>
  </si>
  <si>
    <t>SUICA残高</t>
    <rPh sb="5" eb="7">
      <t>ザンダカ</t>
    </rPh>
    <phoneticPr fontId="2"/>
  </si>
  <si>
    <t>エスコ残高</t>
    <rPh sb="3" eb="5">
      <t>ザンダカ</t>
    </rPh>
    <phoneticPr fontId="2"/>
  </si>
  <si>
    <t>auPay残高</t>
    <rPh sb="5" eb="7">
      <t>ザンダカ</t>
    </rPh>
    <phoneticPr fontId="2"/>
  </si>
  <si>
    <t>PayPay残高</t>
    <rPh sb="6" eb="8">
      <t>ザンダカ</t>
    </rPh>
    <phoneticPr fontId="2"/>
  </si>
  <si>
    <t>じぶん銀行残高</t>
    <rPh sb="3" eb="5">
      <t>ギンコウ</t>
    </rPh>
    <rPh sb="5" eb="7">
      <t>ザンダカ</t>
    </rPh>
    <phoneticPr fontId="2"/>
  </si>
  <si>
    <t>ゆうちょ銀行残高</t>
    <rPh sb="4" eb="6">
      <t>ギンコウ</t>
    </rPh>
    <rPh sb="6" eb="8">
      <t>ザンダカ</t>
    </rPh>
    <phoneticPr fontId="2"/>
  </si>
  <si>
    <t>土</t>
    <rPh sb="0" eb="1">
      <t>ツチ</t>
    </rPh>
    <phoneticPr fontId="2"/>
  </si>
  <si>
    <t>火</t>
    <phoneticPr fontId="2"/>
  </si>
  <si>
    <t xml:space="preserve"> hj.t4./^,</t>
    <phoneticPr fontId="2"/>
  </si>
  <si>
    <t>衣服</t>
    <rPh sb="0" eb="2">
      <t>イフク</t>
    </rPh>
    <phoneticPr fontId="2"/>
  </si>
  <si>
    <t>土</t>
    <phoneticPr fontId="2"/>
  </si>
  <si>
    <t>水</t>
    <phoneticPr fontId="2"/>
  </si>
  <si>
    <t>衣類</t>
    <rPh sb="0" eb="2">
      <t>イルイ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</si>
  <si>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</si>
  <si>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</si>
  <si>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金</t>
    <phoneticPr fontId="2"/>
  </si>
  <si>
    <t>家具・家電</t>
    <rPh sb="0" eb="2">
      <t>カグ</t>
    </rPh>
    <rPh sb="3" eb="5">
      <t>カデン</t>
    </rPh>
    <phoneticPr fontId="2"/>
  </si>
  <si>
    <t>nanaco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</si>
</sst>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8" tint="-0.249977111117893"/>
      <name val="Yu Gothic"/>
      <family val="3"/>
      <charset val="128"/>
      <scheme val="minor"/>
    </font>
    <font>
      <b/>
      <sz val="11"/>
      <color rgb="FFC00000"/>
      <name val="Yu Gothic"/>
      <family val="3"/>
      <charset val="128"/>
      <scheme val="minor"/>
    </font>
    <font>
      <b/>
      <sz val="11"/>
      <color theme="9" tint="-0.249977111117893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0" fontId="3" fillId="3" borderId="1" xfId="0" applyFont="1" applyFill="1" applyBorder="1"/>
    <xf numFmtId="0" fontId="3" fillId="4" borderId="5" xfId="0" applyFont="1" applyFill="1" applyBorder="1"/>
    <xf numFmtId="38" fontId="0" fillId="0" borderId="9" xfId="1" applyFont="1" applyBorder="1" applyAlignment="1"/>
    <xf numFmtId="38" fontId="0" fillId="0" borderId="10" xfId="1" applyFont="1" applyBorder="1" applyAlignment="1"/>
    <xf numFmtId="38" fontId="0" fillId="0" borderId="11" xfId="1" applyFont="1" applyBorder="1" applyAlignment="1"/>
    <xf numFmtId="38" fontId="0" fillId="0" borderId="1" xfId="1" applyFont="1" applyBorder="1" applyAlignment="1"/>
    <xf numFmtId="38" fontId="0" fillId="0" borderId="15" xfId="1" applyFont="1" applyBorder="1" applyAlignment="1"/>
    <xf numFmtId="38" fontId="0" fillId="0" borderId="17" xfId="1" applyFont="1" applyBorder="1" applyAlignment="1"/>
    <xf numFmtId="38" fontId="0" fillId="0" borderId="18" xfId="1" applyFont="1" applyBorder="1" applyAlignment="1"/>
    <xf numFmtId="38" fontId="0" fillId="0" borderId="16" xfId="1" applyFont="1" applyBorder="1" applyAlignment="1"/>
    <xf numFmtId="38" fontId="0" fillId="0" borderId="5" xfId="1" applyFont="1" applyBorder="1" applyAlignment="1"/>
    <xf numFmtId="38" fontId="0" fillId="0" borderId="20" xfId="1" applyFont="1" applyBorder="1" applyAlignment="1"/>
    <xf numFmtId="38" fontId="0" fillId="0" borderId="6" xfId="1" applyFont="1" applyBorder="1" applyAlignment="1"/>
    <xf numFmtId="0" fontId="3" fillId="2" borderId="10" xfId="0" applyFont="1" applyFill="1" applyBorder="1"/>
    <xf numFmtId="0" fontId="3" fillId="2" borderId="11" xfId="0" applyFont="1" applyFill="1" applyBorder="1"/>
    <xf numFmtId="0" fontId="3" fillId="3" borderId="10" xfId="0" applyFont="1" applyFill="1" applyBorder="1"/>
    <xf numFmtId="0" fontId="3" fillId="3" borderId="6" xfId="0" applyFont="1" applyFill="1" applyBorder="1"/>
    <xf numFmtId="0" fontId="3" fillId="3" borderId="11" xfId="0" applyFont="1" applyFill="1" applyBorder="1"/>
    <xf numFmtId="0" fontId="0" fillId="4" borderId="26" xfId="0" applyFill="1" applyBorder="1"/>
    <xf numFmtId="38" fontId="3" fillId="2" borderId="22" xfId="1" applyFont="1" applyFill="1" applyBorder="1" applyAlignment="1"/>
    <xf numFmtId="38" fontId="3" fillId="2" borderId="23" xfId="1" applyFont="1" applyFill="1" applyBorder="1" applyAlignment="1"/>
    <xf numFmtId="38" fontId="3" fillId="3" borderId="22" xfId="1" applyFont="1" applyFill="1" applyBorder="1" applyAlignment="1"/>
    <xf numFmtId="38" fontId="3" fillId="3" borderId="4" xfId="1" applyFont="1" applyFill="1" applyBorder="1" applyAlignment="1"/>
    <xf numFmtId="38" fontId="3" fillId="3" borderId="24" xfId="1" applyFont="1" applyFill="1" applyBorder="1" applyAlignment="1"/>
    <xf numFmtId="38" fontId="3" fillId="3" borderId="3" xfId="1" applyFont="1" applyFill="1" applyBorder="1" applyAlignment="1"/>
    <xf numFmtId="38" fontId="6" fillId="5" borderId="28" xfId="1" applyFont="1" applyFill="1" applyBorder="1" applyAlignment="1"/>
    <xf numFmtId="38" fontId="0" fillId="0" borderId="27" xfId="0" applyNumberFormat="1" applyBorder="1"/>
    <xf numFmtId="38" fontId="0" fillId="0" borderId="29" xfId="0" applyNumberFormat="1" applyBorder="1"/>
    <xf numFmtId="38" fontId="0" fillId="0" borderId="13" xfId="0" applyNumberFormat="1" applyBorder="1"/>
    <xf numFmtId="38" fontId="6" fillId="5" borderId="30" xfId="1" applyFont="1" applyFill="1" applyBorder="1" applyAlignment="1"/>
    <xf numFmtId="38" fontId="0" fillId="0" borderId="31" xfId="0" applyNumberFormat="1" applyBorder="1"/>
    <xf numFmtId="38" fontId="0" fillId="0" borderId="32" xfId="0" applyNumberFormat="1" applyBorder="1"/>
    <xf numFmtId="38" fontId="0" fillId="0" borderId="1" xfId="0" applyNumberFormat="1" applyBorder="1"/>
    <xf numFmtId="38" fontId="0" fillId="0" borderId="16" xfId="0" applyNumberFormat="1" applyBorder="1"/>
    <xf numFmtId="38" fontId="0" fillId="0" borderId="2" xfId="0" applyNumberFormat="1" applyBorder="1"/>
    <xf numFmtId="38" fontId="6" fillId="5" borderId="33" xfId="1" applyFont="1" applyFill="1" applyBorder="1" applyAlignment="1"/>
    <xf numFmtId="0" fontId="0" fillId="4" borderId="34" xfId="0" applyFill="1" applyBorder="1"/>
    <xf numFmtId="0" fontId="0" fillId="4" borderId="35" xfId="0" applyFill="1" applyBorder="1"/>
    <xf numFmtId="0" fontId="0" fillId="4" borderId="27" xfId="0" applyFill="1" applyBorder="1"/>
    <xf numFmtId="56" fontId="3" fillId="4" borderId="10" xfId="0" applyNumberFormat="1" applyFont="1" applyFill="1" applyBorder="1"/>
    <xf numFmtId="0" fontId="0" fillId="0" borderId="1" xfId="0" applyBorder="1"/>
    <xf numFmtId="0" fontId="0" fillId="0" borderId="12" xfId="0" applyBorder="1"/>
    <xf numFmtId="38" fontId="0" fillId="0" borderId="8" xfId="1" applyFont="1" applyBorder="1" applyAlignment="1"/>
    <xf numFmtId="0" fontId="0" fillId="0" borderId="33" xfId="0" applyBorder="1"/>
    <xf numFmtId="38" fontId="0" fillId="0" borderId="38" xfId="1" applyFont="1" applyBorder="1" applyAlignment="1"/>
    <xf numFmtId="38" fontId="0" fillId="0" borderId="41" xfId="0" applyNumberFormat="1" applyBorder="1"/>
    <xf numFmtId="0" fontId="3" fillId="3" borderId="5" xfId="0" applyFont="1" applyFill="1" applyBorder="1"/>
    <xf numFmtId="38" fontId="0" fillId="0" borderId="0" xfId="1" applyFont="1" applyAlignment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38" fontId="0" fillId="0" borderId="0" xfId="0" applyNumberFormat="1"/>
    <xf numFmtId="0" fontId="0" fillId="4" borderId="42" xfId="0" applyFill="1" applyBorder="1"/>
    <xf numFmtId="0" fontId="0" fillId="4" borderId="22" xfId="0" applyFill="1" applyBorder="1"/>
    <xf numFmtId="0" fontId="3" fillId="2" borderId="44" xfId="0" applyFont="1" applyFill="1" applyBorder="1"/>
    <xf numFmtId="38" fontId="3" fillId="2" borderId="45" xfId="1" applyFont="1" applyFill="1" applyBorder="1" applyAlignment="1"/>
    <xf numFmtId="38" fontId="0" fillId="0" borderId="44" xfId="1" applyFont="1" applyBorder="1" applyAlignment="1"/>
    <xf numFmtId="38" fontId="0" fillId="0" borderId="31" xfId="1" applyFont="1" applyBorder="1" applyAlignment="1"/>
    <xf numFmtId="0" fontId="0" fillId="4" borderId="46" xfId="0" applyFill="1" applyBorder="1"/>
    <xf numFmtId="38" fontId="0" fillId="0" borderId="47" xfId="1" applyFont="1" applyBorder="1" applyAlignment="1"/>
    <xf numFmtId="56" fontId="3" fillId="4" borderId="9" xfId="0" applyNumberFormat="1" applyFont="1" applyFill="1" applyBorder="1"/>
    <xf numFmtId="0" fontId="3" fillId="4" borderId="48" xfId="0" applyFont="1" applyFill="1" applyBorder="1"/>
    <xf numFmtId="38" fontId="0" fillId="0" borderId="49" xfId="1" applyFont="1" applyBorder="1" applyAlignment="1"/>
    <xf numFmtId="38" fontId="0" fillId="0" borderId="50" xfId="1" applyFont="1" applyBorder="1" applyAlignment="1"/>
    <xf numFmtId="38" fontId="0" fillId="0" borderId="2" xfId="1" applyFont="1" applyBorder="1" applyAlignment="1"/>
    <xf numFmtId="38" fontId="0" fillId="0" borderId="48" xfId="1" applyFont="1" applyBorder="1" applyAlignment="1"/>
    <xf numFmtId="38" fontId="0" fillId="0" borderId="26" xfId="0" applyNumberFormat="1" applyBorder="1"/>
    <xf numFmtId="0" fontId="3" fillId="4" borderId="51" xfId="0" applyFont="1" applyFill="1" applyBorder="1"/>
    <xf numFmtId="0" fontId="3" fillId="4" borderId="7" xfId="0" applyFont="1" applyFill="1" applyBorder="1"/>
    <xf numFmtId="0" fontId="3" fillId="4" borderId="10" xfId="0" applyFont="1" applyFill="1" applyBorder="1"/>
    <xf numFmtId="0" fontId="3" fillId="4" borderId="52" xfId="0" applyFont="1" applyFill="1" applyBorder="1"/>
    <xf numFmtId="38" fontId="0" fillId="0" borderId="53" xfId="1" applyFont="1" applyBorder="1" applyAlignment="1"/>
    <xf numFmtId="0" fontId="3" fillId="4" borderId="54" xfId="0" applyFont="1" applyFill="1" applyBorder="1"/>
    <xf numFmtId="0" fontId="3" fillId="4" borderId="39" xfId="0" applyFont="1" applyFill="1" applyBorder="1"/>
    <xf numFmtId="38" fontId="0" fillId="0" borderId="41" xfId="1" applyFont="1" applyBorder="1" applyAlignment="1"/>
    <xf numFmtId="38" fontId="0" fillId="0" borderId="14" xfId="1" applyFont="1" applyBorder="1" applyAlignment="1"/>
    <xf numFmtId="0" fontId="0" fillId="0" borderId="2" xfId="0" applyBorder="1"/>
    <xf numFmtId="38" fontId="0" fillId="0" borderId="55" xfId="1" applyFont="1" applyFill="1" applyBorder="1" applyAlignment="1"/>
    <xf numFmtId="0" fontId="0" fillId="4" borderId="52" xfId="0" applyFill="1" applyBorder="1"/>
    <xf numFmtId="38" fontId="0" fillId="0" borderId="0" xfId="1" applyFont="1" applyBorder="1" applyAlignment="1"/>
    <xf numFmtId="38" fontId="0" fillId="6" borderId="59" xfId="1" applyFont="1" applyFill="1" applyBorder="1" applyAlignment="1"/>
    <xf numFmtId="38" fontId="0" fillId="6" borderId="60" xfId="1" applyFont="1" applyFill="1" applyBorder="1" applyAlignment="1"/>
    <xf numFmtId="14" fontId="0" fillId="0" borderId="61" xfId="1" applyNumberFormat="1" applyFont="1" applyBorder="1" applyAlignment="1"/>
    <xf numFmtId="14" fontId="0" fillId="0" borderId="62" xfId="1" applyNumberFormat="1" applyFont="1" applyBorder="1" applyAlignment="1"/>
    <xf numFmtId="14" fontId="0" fillId="0" borderId="63" xfId="1" applyNumberFormat="1" applyFont="1" applyBorder="1" applyAlignment="1"/>
    <xf numFmtId="14" fontId="0" fillId="0" borderId="64" xfId="1" applyNumberFormat="1" applyFont="1" applyBorder="1" applyAlignment="1"/>
    <xf numFmtId="38" fontId="0" fillId="6" borderId="65" xfId="1" applyFont="1" applyFill="1" applyBorder="1" applyAlignment="1"/>
    <xf numFmtId="38" fontId="0" fillId="0" borderId="62" xfId="1" applyFont="1" applyBorder="1" applyAlignment="1"/>
    <xf numFmtId="38" fontId="0" fillId="0" borderId="66" xfId="1" applyFont="1" applyBorder="1" applyAlignment="1"/>
    <xf numFmtId="38" fontId="0" fillId="0" borderId="64" xfId="1" applyFont="1" applyBorder="1" applyAlignment="1"/>
    <xf numFmtId="14" fontId="0" fillId="0" borderId="13" xfId="1" applyNumberFormat="1" applyFont="1" applyBorder="1" applyAlignment="1"/>
    <xf numFmtId="14" fontId="0" fillId="0" borderId="32" xfId="1" applyNumberFormat="1" applyFont="1" applyBorder="1" applyAlignment="1"/>
    <xf numFmtId="38" fontId="0" fillId="0" borderId="13" xfId="1" applyFont="1" applyBorder="1" applyAlignment="1"/>
    <xf numFmtId="38" fontId="0" fillId="0" borderId="32" xfId="1" applyFont="1" applyBorder="1" applyAlignment="1"/>
    <xf numFmtId="38" fontId="0" fillId="0" borderId="1" xfId="1" applyFont="1" applyFill="1" applyBorder="1" applyAlignment="1"/>
    <xf numFmtId="38" fontId="6" fillId="5" borderId="73" xfId="1" applyFont="1" applyFill="1" applyBorder="1" applyAlignment="1"/>
    <xf numFmtId="38" fontId="0" fillId="0" borderId="44" xfId="0" applyNumberFormat="1" applyBorder="1"/>
    <xf numFmtId="38" fontId="0" fillId="0" borderId="14" xfId="0" applyNumberFormat="1" applyBorder="1"/>
    <xf numFmtId="38" fontId="3" fillId="3" borderId="23" xfId="1" applyFont="1" applyFill="1" applyBorder="1" applyAlignment="1"/>
    <xf numFmtId="38" fontId="6" fillId="0" borderId="70" xfId="1" applyFont="1" applyFill="1" applyBorder="1" applyAlignment="1"/>
    <xf numFmtId="0" fontId="0" fillId="0" borderId="0" xfId="0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74" xfId="0" applyFont="1" applyFill="1" applyBorder="1" applyAlignment="1">
      <alignment horizontal="center" vertical="center"/>
    </xf>
    <xf numFmtId="38" fontId="7" fillId="0" borderId="42" xfId="1" applyFont="1" applyFill="1" applyBorder="1" applyAlignment="1"/>
    <xf numFmtId="38" fontId="7" fillId="0" borderId="0" xfId="1" applyFont="1" applyFill="1" applyBorder="1" applyAlignment="1"/>
    <xf numFmtId="38" fontId="7" fillId="0" borderId="67" xfId="1" applyFont="1" applyFill="1" applyBorder="1" applyAlignment="1"/>
    <xf numFmtId="38" fontId="7" fillId="0" borderId="68" xfId="1" applyFont="1" applyFill="1" applyBorder="1" applyAlignment="1"/>
    <xf numFmtId="38" fontId="7" fillId="0" borderId="69" xfId="1" applyFont="1" applyFill="1" applyBorder="1" applyAlignment="1"/>
    <xf numFmtId="38" fontId="7" fillId="0" borderId="10" xfId="1" applyFont="1" applyFill="1" applyBorder="1" applyAlignment="1"/>
    <xf numFmtId="38" fontId="7" fillId="0" borderId="1" xfId="1" applyFont="1" applyFill="1" applyBorder="1" applyAlignment="1"/>
    <xf numFmtId="38" fontId="7" fillId="0" borderId="11" xfId="1" applyFont="1" applyFill="1" applyBorder="1" applyAlignment="1"/>
    <xf numFmtId="38" fontId="7" fillId="0" borderId="10" xfId="1" applyFont="1" applyBorder="1" applyAlignment="1"/>
    <xf numFmtId="38" fontId="7" fillId="0" borderId="1" xfId="1" applyFont="1" applyBorder="1" applyAlignment="1"/>
    <xf numFmtId="38" fontId="7" fillId="0" borderId="5" xfId="1" applyFont="1" applyBorder="1" applyAlignment="1"/>
    <xf numFmtId="38" fontId="7" fillId="0" borderId="11" xfId="1" applyFont="1" applyBorder="1" applyAlignment="1"/>
    <xf numFmtId="38" fontId="7" fillId="0" borderId="9" xfId="1" applyFont="1" applyBorder="1" applyAlignment="1"/>
    <xf numFmtId="38" fontId="7" fillId="0" borderId="71" xfId="1" applyFont="1" applyBorder="1" applyAlignment="1"/>
    <xf numFmtId="38" fontId="7" fillId="0" borderId="75" xfId="1" applyFont="1" applyBorder="1" applyAlignment="1"/>
    <xf numFmtId="38" fontId="7" fillId="0" borderId="76" xfId="1" applyFont="1" applyBorder="1" applyAlignment="1"/>
    <xf numFmtId="38" fontId="7" fillId="0" borderId="72" xfId="1" applyFont="1" applyBorder="1" applyAlignment="1"/>
    <xf numFmtId="0" fontId="6" fillId="5" borderId="51" xfId="0" applyFont="1" applyFill="1" applyBorder="1" applyAlignment="1">
      <alignment horizontal="center"/>
    </xf>
    <xf numFmtId="0" fontId="6" fillId="5" borderId="50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4" fillId="2" borderId="57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0" fontId="4" fillId="2" borderId="58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58" xfId="0" applyFont="1" applyFill="1" applyBorder="1" applyAlignment="1">
      <alignment horizontal="center"/>
    </xf>
    <xf numFmtId="0" fontId="6" fillId="5" borderId="46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56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6" fillId="5" borderId="34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5" borderId="35" xfId="0" applyFont="1" applyFill="1" applyBorder="1" applyAlignment="1">
      <alignment horizontal="center"/>
    </xf>
    <xf numFmtId="0" fontId="6" fillId="5" borderId="49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21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収入・支出の推移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可視化!$D$3</c:f>
              <c:strCache>
                <c:ptCount val="1"/>
                <c:pt idx="0">
                  <c:v>収入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可視化!$D$4:$D$10</c:f>
              <c:numCache>
                <c:formatCode>#,##0_);[Red]\(#,##0\)</c:formatCode>
                <c:ptCount val="7"/>
                <c:pt idx="0">
                  <c:v>562169</c:v>
                </c:pt>
                <c:pt idx="1">
                  <c:v>209405</c:v>
                </c:pt>
                <c:pt idx="2">
                  <c:v>244174</c:v>
                </c:pt>
                <c:pt idx="3">
                  <c:v>536084</c:v>
                </c:pt>
                <c:pt idx="4">
                  <c:v>243049</c:v>
                </c:pt>
                <c:pt idx="5">
                  <c:v>232656</c:v>
                </c:pt>
                <c:pt idx="6">
                  <c:v>212851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6-4351-A09E-D96EE9E7DAAF}"/>
            </c:ext>
          </c:extLst>
        </c:ser>
        <c:ser>
          <c:idx val="1"/>
          <c:order val="1"/>
          <c:tx>
            <c:strRef>
              <c:f>可視化!$E$3</c:f>
              <c:strCache>
                <c:ptCount val="1"/>
                <c:pt idx="0">
                  <c:v>支出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可視化!$E$4:$E$10</c:f>
              <c:numCache>
                <c:formatCode>#,##0_);[Red]\(#,##0\)</c:formatCode>
                <c:ptCount val="7"/>
                <c:pt idx="0">
                  <c:v>25763.040000000001</c:v>
                </c:pt>
                <c:pt idx="1">
                  <c:v>139546</c:v>
                </c:pt>
                <c:pt idx="2">
                  <c:v>156351</c:v>
                </c:pt>
                <c:pt idx="3">
                  <c:v>137662</c:v>
                </c:pt>
                <c:pt idx="4">
                  <c:v>447467</c:v>
                </c:pt>
                <c:pt idx="5">
                  <c:v>281439</c:v>
                </c:pt>
                <c:pt idx="6">
                  <c:v>144166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6-4351-A09E-D96EE9E7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56239"/>
        <c:axId val="244766719"/>
      </c:lineChart>
      <c:catAx>
        <c:axId val="2416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開始</a:t>
                </a:r>
                <a:r>
                  <a:rPr lang="en-US" altLang="ja-JP"/>
                  <a:t>-</a:t>
                </a:r>
                <a:r>
                  <a:rPr lang="ja-JP" altLang="en-US"/>
                  <a:t>終了点月日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66719"/>
        <c:crosses val="autoZero"/>
        <c:auto val="1"/>
        <c:lblAlgn val="ctr"/>
        <c:lblOffset val="100"/>
        <c:noMultiLvlLbl val="0"/>
      </c:catAx>
      <c:valAx>
        <c:axId val="2447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16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貯金額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可視化!$S$4:$S$10</c:f>
              <c:numCache>
                <c:formatCode>#,##0_);[Red]\(#,##0\)</c:formatCode>
                <c:ptCount val="7"/>
                <c:pt idx="0">
                  <c:v>536405.96</c:v>
                </c:pt>
                <c:pt idx="1">
                  <c:v>606264.96</c:v>
                </c:pt>
                <c:pt idx="2">
                  <c:v>707379.96</c:v>
                </c:pt>
                <c:pt idx="3">
                  <c:v>1105801.96</c:v>
                </c:pt>
                <c:pt idx="4">
                  <c:v>869315.96</c:v>
                </c:pt>
                <c:pt idx="5">
                  <c:v>820532.96</c:v>
                </c:pt>
                <c:pt idx="6">
                  <c:v>889217.96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3-4190-93A0-4D515C55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45695"/>
        <c:axId val="193122111"/>
      </c:lineChart>
      <c:catAx>
        <c:axId val="1923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開始</a:t>
                </a:r>
                <a:r>
                  <a:rPr lang="en-US" altLang="ja-JP"/>
                  <a:t>-</a:t>
                </a:r>
                <a:r>
                  <a:rPr lang="ja-JP" altLang="en-US"/>
                  <a:t>終了年月日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122111"/>
        <c:crosses val="autoZero"/>
        <c:auto val="1"/>
        <c:lblAlgn val="ctr"/>
        <c:lblOffset val="100"/>
        <c:noMultiLvlLbl val="0"/>
      </c:catAx>
      <c:valAx>
        <c:axId val="1931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3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支出内訳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可視化!$F$3</c:f>
              <c:strCache>
                <c:ptCount val="1"/>
                <c:pt idx="0">
                  <c:v>食費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可視化!$F$4:$F$10</c:f>
              <c:numCache>
                <c:formatCode>#,##0_);[Red]\(#,##0\)</c:formatCode>
                <c:ptCount val="7"/>
                <c:pt idx="0">
                  <c:v>20012.439999999999</c:v>
                </c:pt>
                <c:pt idx="1">
                  <c:v>37669</c:v>
                </c:pt>
                <c:pt idx="2">
                  <c:v>50718</c:v>
                </c:pt>
                <c:pt idx="3">
                  <c:v>46955</c:v>
                </c:pt>
                <c:pt idx="4">
                  <c:v>61110</c:v>
                </c:pt>
                <c:pt idx="5">
                  <c:v>52749</c:v>
                </c:pt>
                <c:pt idx="6">
                  <c:v>53153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2-4E77-9BCA-CEC01E5471FC}"/>
            </c:ext>
          </c:extLst>
        </c:ser>
        <c:ser>
          <c:idx val="1"/>
          <c:order val="1"/>
          <c:tx>
            <c:strRef>
              <c:f>可視化!$G$3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可視化!$G$4:$G$10</c:f>
              <c:numCache>
                <c:formatCode>#,##0_);[Red]\(#,##0\)</c:formatCode>
                <c:ptCount val="7"/>
                <c:pt idx="0">
                  <c:v>3500</c:v>
                </c:pt>
                <c:pt idx="1">
                  <c:v>15400</c:v>
                </c:pt>
                <c:pt idx="2">
                  <c:v>15400</c:v>
                </c:pt>
                <c:pt idx="3">
                  <c:v>14000</c:v>
                </c:pt>
                <c:pt idx="4">
                  <c:v>11200</c:v>
                </c:pt>
                <c:pt idx="5">
                  <c:v>14700</c:v>
                </c:pt>
                <c:pt idx="6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2-4E77-9BCA-CEC01E5471FC}"/>
            </c:ext>
          </c:extLst>
        </c:ser>
        <c:ser>
          <c:idx val="2"/>
          <c:order val="2"/>
          <c:tx>
            <c:strRef>
              <c:f>可視化!$H$3</c:f>
              <c:strCache>
                <c:ptCount val="1"/>
                <c:pt idx="0">
                  <c:v>ガス代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可視化!$H$4:$H$10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4117</c:v>
                </c:pt>
                <c:pt idx="2">
                  <c:v>3896</c:v>
                </c:pt>
                <c:pt idx="3">
                  <c:v>4264</c:v>
                </c:pt>
                <c:pt idx="4">
                  <c:v>4633</c:v>
                </c:pt>
                <c:pt idx="5">
                  <c:v>5591</c:v>
                </c:pt>
                <c:pt idx="6">
                  <c:v>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2-4E77-9BCA-CEC01E5471FC}"/>
            </c:ext>
          </c:extLst>
        </c:ser>
        <c:ser>
          <c:idx val="3"/>
          <c:order val="3"/>
          <c:tx>
            <c:strRef>
              <c:f>可視化!$I$3</c:f>
              <c:strCache>
                <c:ptCount val="1"/>
                <c:pt idx="0">
                  <c:v>電気代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可視化!$I$4:$I$10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1794</c:v>
                </c:pt>
                <c:pt idx="2">
                  <c:v>3252</c:v>
                </c:pt>
                <c:pt idx="3">
                  <c:v>2603</c:v>
                </c:pt>
                <c:pt idx="4">
                  <c:v>2087</c:v>
                </c:pt>
                <c:pt idx="5">
                  <c:v>2183</c:v>
                </c:pt>
                <c:pt idx="6">
                  <c:v>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2-4E77-9BCA-CEC01E5471FC}"/>
            </c:ext>
          </c:extLst>
        </c:ser>
        <c:ser>
          <c:idx val="4"/>
          <c:order val="4"/>
          <c:tx>
            <c:strRef>
              <c:f>可視化!$J$3</c:f>
              <c:strCache>
                <c:ptCount val="1"/>
                <c:pt idx="0">
                  <c:v>水道代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可視化!$J$4:$J$10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4922</c:v>
                </c:pt>
                <c:pt idx="2">
                  <c:v>0</c:v>
                </c:pt>
                <c:pt idx="3">
                  <c:v>4922</c:v>
                </c:pt>
                <c:pt idx="4">
                  <c:v>0</c:v>
                </c:pt>
                <c:pt idx="5">
                  <c:v>4946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2-4E77-9BCA-CEC01E5471FC}"/>
            </c:ext>
          </c:extLst>
        </c:ser>
        <c:ser>
          <c:idx val="5"/>
          <c:order val="5"/>
          <c:tx>
            <c:strRef>
              <c:f>可視化!$K$3</c:f>
              <c:strCache>
                <c:ptCount val="1"/>
                <c:pt idx="0">
                  <c:v>衛星用品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可視化!$K$4:$K$10</c:f>
              <c:numCache>
                <c:formatCode>#,##0_);[Red]\(#,##0\)</c:formatCode>
                <c:ptCount val="7"/>
                <c:pt idx="0">
                  <c:v>1692.6000000000001</c:v>
                </c:pt>
                <c:pt idx="1">
                  <c:v>4548</c:v>
                </c:pt>
                <c:pt idx="2">
                  <c:v>1609</c:v>
                </c:pt>
                <c:pt idx="3">
                  <c:v>1948</c:v>
                </c:pt>
                <c:pt idx="4">
                  <c:v>2788</c:v>
                </c:pt>
                <c:pt idx="5">
                  <c:v>3205</c:v>
                </c:pt>
                <c:pt idx="6">
                  <c:v>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2-4E77-9BCA-CEC01E5471FC}"/>
            </c:ext>
          </c:extLst>
        </c:ser>
        <c:ser>
          <c:idx val="6"/>
          <c:order val="6"/>
          <c:tx>
            <c:strRef>
              <c:f>可視化!$L$3</c:f>
              <c:strCache>
                <c:ptCount val="1"/>
                <c:pt idx="0">
                  <c:v>雑貨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可視化!$L$4:$L$10</c:f>
              <c:numCache>
                <c:formatCode>#,##0_);[Red]\(#,##0\)</c:formatCode>
                <c:ptCount val="7"/>
                <c:pt idx="0">
                  <c:v>558</c:v>
                </c:pt>
                <c:pt idx="1">
                  <c:v>801</c:v>
                </c:pt>
                <c:pt idx="2">
                  <c:v>1430</c:v>
                </c:pt>
                <c:pt idx="3">
                  <c:v>0</c:v>
                </c:pt>
                <c:pt idx="4">
                  <c:v>5490</c:v>
                </c:pt>
                <c:pt idx="5">
                  <c:v>2420</c:v>
                </c:pt>
                <c:pt idx="6">
                  <c:v>12282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42-4E77-9BCA-CEC01E5471FC}"/>
            </c:ext>
          </c:extLst>
        </c:ser>
        <c:ser>
          <c:idx val="7"/>
          <c:order val="7"/>
          <c:tx>
            <c:strRef>
              <c:f>可視化!$M$3</c:f>
              <c:strCache>
                <c:ptCount val="1"/>
                <c:pt idx="0">
                  <c:v>通信料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可視化!$M$4:$M$10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9860</c:v>
                </c:pt>
                <c:pt idx="2">
                  <c:v>8355</c:v>
                </c:pt>
                <c:pt idx="3">
                  <c:v>7932</c:v>
                </c:pt>
                <c:pt idx="4">
                  <c:v>7778</c:v>
                </c:pt>
                <c:pt idx="5">
                  <c:v>6535</c:v>
                </c:pt>
                <c:pt idx="6">
                  <c:v>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42-4E77-9BCA-CEC01E5471FC}"/>
            </c:ext>
          </c:extLst>
        </c:ser>
        <c:ser>
          <c:idx val="8"/>
          <c:order val="8"/>
          <c:tx>
            <c:strRef>
              <c:f>可視化!$N$3</c:f>
              <c:strCache>
                <c:ptCount val="1"/>
                <c:pt idx="0">
                  <c:v>趣味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可視化!$N$4:$N$10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9601</c:v>
                </c:pt>
                <c:pt idx="2">
                  <c:v>5500</c:v>
                </c:pt>
                <c:pt idx="3">
                  <c:v>8030</c:v>
                </c:pt>
                <c:pt idx="4">
                  <c:v>12210</c:v>
                </c:pt>
                <c:pt idx="5">
                  <c:v>2000</c:v>
                </c:pt>
                <c:pt idx="6">
                  <c:v>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42-4E77-9BCA-CEC01E5471FC}"/>
            </c:ext>
          </c:extLst>
        </c:ser>
        <c:ser>
          <c:idx val="9"/>
          <c:order val="9"/>
          <c:tx>
            <c:strRef>
              <c:f>可視化!$O$3</c:f>
              <c:strCache>
                <c:ptCount val="1"/>
                <c:pt idx="0">
                  <c:v>散髪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可視化!$O$4:$O$10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2300</c:v>
                </c:pt>
                <c:pt idx="2">
                  <c:v>6600</c:v>
                </c:pt>
                <c:pt idx="3">
                  <c:v>2300</c:v>
                </c:pt>
                <c:pt idx="4">
                  <c:v>0</c:v>
                </c:pt>
                <c:pt idx="5">
                  <c:v>2750</c:v>
                </c:pt>
                <c:pt idx="6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42-4E77-9BCA-CEC01E5471FC}"/>
            </c:ext>
          </c:extLst>
        </c:ser>
        <c:ser>
          <c:idx val="10"/>
          <c:order val="10"/>
          <c:tx>
            <c:strRef>
              <c:f>可視化!$P$3</c:f>
              <c:strCache>
                <c:ptCount val="1"/>
                <c:pt idx="0">
                  <c:v>衣類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可視化!$P$4:$P$10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42-4E77-9BCA-CEC01E5471FC}"/>
            </c:ext>
          </c:extLst>
        </c:ser>
        <c:ser>
          <c:idx val="11"/>
          <c:order val="11"/>
          <c:tx>
            <c:strRef>
              <c:f>可視化!$Q$3</c:f>
              <c:strCache>
                <c:ptCount val="1"/>
                <c:pt idx="0">
                  <c:v>家具・家電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可視化!$Q$4:$Q$10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8161</c:v>
                </c:pt>
                <c:pt idx="3">
                  <c:v>3679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42-4E77-9BCA-CEC01E5471FC}"/>
            </c:ext>
          </c:extLst>
        </c:ser>
        <c:ser>
          <c:idx val="12"/>
          <c:order val="12"/>
          <c:tx>
            <c:strRef>
              <c:f>可視化!$R$3</c:f>
              <c:strCache>
                <c:ptCount val="1"/>
                <c:pt idx="0">
                  <c:v>その他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可視化!$R$4:$R$10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48534</c:v>
                </c:pt>
                <c:pt idx="2">
                  <c:v>51430</c:v>
                </c:pt>
                <c:pt idx="3">
                  <c:v>41029</c:v>
                </c:pt>
                <c:pt idx="4">
                  <c:v>340171</c:v>
                </c:pt>
                <c:pt idx="5">
                  <c:v>184360</c:v>
                </c:pt>
                <c:pt idx="6">
                  <c:v>28540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42-4E77-9BCA-CEC01E54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97567"/>
        <c:axId val="194429279"/>
      </c:lineChart>
      <c:catAx>
        <c:axId val="25129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開始</a:t>
                </a:r>
                <a:r>
                  <a:rPr lang="en-US" altLang="ja-JP"/>
                  <a:t>-</a:t>
                </a:r>
                <a:r>
                  <a:rPr lang="ja-JP" altLang="en-US"/>
                  <a:t>終了年月日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429279"/>
        <c:crosses val="autoZero"/>
        <c:auto val="1"/>
        <c:lblAlgn val="ctr"/>
        <c:lblOffset val="100"/>
        <c:noMultiLvlLbl val="0"/>
      </c:catAx>
      <c:valAx>
        <c:axId val="1944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12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その他を除く支出内訳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可視化!$F$3</c:f>
              <c:strCache>
                <c:ptCount val="1"/>
                <c:pt idx="0">
                  <c:v>食費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可視化!$F$4:$F$10</c:f>
              <c:numCache>
                <c:formatCode>#,##0_);[Red]\(#,##0\)</c:formatCode>
                <c:ptCount val="7"/>
                <c:pt idx="0">
                  <c:v>20012.439999999999</c:v>
                </c:pt>
                <c:pt idx="1">
                  <c:v>37669</c:v>
                </c:pt>
                <c:pt idx="2">
                  <c:v>50718</c:v>
                </c:pt>
                <c:pt idx="3">
                  <c:v>46955</c:v>
                </c:pt>
                <c:pt idx="4">
                  <c:v>61110</c:v>
                </c:pt>
                <c:pt idx="5">
                  <c:v>52749</c:v>
                </c:pt>
                <c:pt idx="6">
                  <c:v>53153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C-4EC1-ABF5-7DCCED5960EF}"/>
            </c:ext>
          </c:extLst>
        </c:ser>
        <c:ser>
          <c:idx val="1"/>
          <c:order val="1"/>
          <c:tx>
            <c:strRef>
              <c:f>可視化!$G$3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可視化!$G$4:$G$10</c:f>
              <c:numCache>
                <c:formatCode>#,##0_);[Red]\(#,##0\)</c:formatCode>
                <c:ptCount val="7"/>
                <c:pt idx="0">
                  <c:v>3500</c:v>
                </c:pt>
                <c:pt idx="1">
                  <c:v>15400</c:v>
                </c:pt>
                <c:pt idx="2">
                  <c:v>15400</c:v>
                </c:pt>
                <c:pt idx="3">
                  <c:v>14000</c:v>
                </c:pt>
                <c:pt idx="4">
                  <c:v>11200</c:v>
                </c:pt>
                <c:pt idx="5">
                  <c:v>14700</c:v>
                </c:pt>
                <c:pt idx="6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C-4EC1-ABF5-7DCCED5960EF}"/>
            </c:ext>
          </c:extLst>
        </c:ser>
        <c:ser>
          <c:idx val="2"/>
          <c:order val="2"/>
          <c:tx>
            <c:strRef>
              <c:f>可視化!$H$3</c:f>
              <c:strCache>
                <c:ptCount val="1"/>
                <c:pt idx="0">
                  <c:v>ガス代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可視化!$H$4:$H$10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4117</c:v>
                </c:pt>
                <c:pt idx="2">
                  <c:v>3896</c:v>
                </c:pt>
                <c:pt idx="3">
                  <c:v>4264</c:v>
                </c:pt>
                <c:pt idx="4">
                  <c:v>4633</c:v>
                </c:pt>
                <c:pt idx="5">
                  <c:v>5591</c:v>
                </c:pt>
                <c:pt idx="6">
                  <c:v>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C-4EC1-ABF5-7DCCED5960EF}"/>
            </c:ext>
          </c:extLst>
        </c:ser>
        <c:ser>
          <c:idx val="3"/>
          <c:order val="3"/>
          <c:tx>
            <c:strRef>
              <c:f>可視化!$I$3</c:f>
              <c:strCache>
                <c:ptCount val="1"/>
                <c:pt idx="0">
                  <c:v>電気代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可視化!$I$4:$I$10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1794</c:v>
                </c:pt>
                <c:pt idx="2">
                  <c:v>3252</c:v>
                </c:pt>
                <c:pt idx="3">
                  <c:v>2603</c:v>
                </c:pt>
                <c:pt idx="4">
                  <c:v>2087</c:v>
                </c:pt>
                <c:pt idx="5">
                  <c:v>2183</c:v>
                </c:pt>
                <c:pt idx="6">
                  <c:v>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C-4EC1-ABF5-7DCCED5960EF}"/>
            </c:ext>
          </c:extLst>
        </c:ser>
        <c:ser>
          <c:idx val="4"/>
          <c:order val="4"/>
          <c:tx>
            <c:strRef>
              <c:f>可視化!$J$3</c:f>
              <c:strCache>
                <c:ptCount val="1"/>
                <c:pt idx="0">
                  <c:v>水道代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可視化!$J$4:$J$10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4922</c:v>
                </c:pt>
                <c:pt idx="2">
                  <c:v>0</c:v>
                </c:pt>
                <c:pt idx="3">
                  <c:v>4922</c:v>
                </c:pt>
                <c:pt idx="4">
                  <c:v>0</c:v>
                </c:pt>
                <c:pt idx="5">
                  <c:v>4946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C-4EC1-ABF5-7DCCED5960EF}"/>
            </c:ext>
          </c:extLst>
        </c:ser>
        <c:ser>
          <c:idx val="5"/>
          <c:order val="5"/>
          <c:tx>
            <c:strRef>
              <c:f>可視化!$K$3</c:f>
              <c:strCache>
                <c:ptCount val="1"/>
                <c:pt idx="0">
                  <c:v>衛星用品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可視化!$K$4:$K$10</c:f>
              <c:numCache>
                <c:formatCode>#,##0_);[Red]\(#,##0\)</c:formatCode>
                <c:ptCount val="7"/>
                <c:pt idx="0">
                  <c:v>1692.6000000000001</c:v>
                </c:pt>
                <c:pt idx="1">
                  <c:v>4548</c:v>
                </c:pt>
                <c:pt idx="2">
                  <c:v>1609</c:v>
                </c:pt>
                <c:pt idx="3">
                  <c:v>1948</c:v>
                </c:pt>
                <c:pt idx="4">
                  <c:v>2788</c:v>
                </c:pt>
                <c:pt idx="5">
                  <c:v>3205</c:v>
                </c:pt>
                <c:pt idx="6">
                  <c:v>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C-4EC1-ABF5-7DCCED5960EF}"/>
            </c:ext>
          </c:extLst>
        </c:ser>
        <c:ser>
          <c:idx val="6"/>
          <c:order val="6"/>
          <c:tx>
            <c:strRef>
              <c:f>可視化!$L$3</c:f>
              <c:strCache>
                <c:ptCount val="1"/>
                <c:pt idx="0">
                  <c:v>雑貨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可視化!$L$4:$L$10</c:f>
              <c:numCache>
                <c:formatCode>#,##0_);[Red]\(#,##0\)</c:formatCode>
                <c:ptCount val="7"/>
                <c:pt idx="0">
                  <c:v>558</c:v>
                </c:pt>
                <c:pt idx="1">
                  <c:v>801</c:v>
                </c:pt>
                <c:pt idx="2">
                  <c:v>1430</c:v>
                </c:pt>
                <c:pt idx="3">
                  <c:v>0</c:v>
                </c:pt>
                <c:pt idx="4">
                  <c:v>5490</c:v>
                </c:pt>
                <c:pt idx="5">
                  <c:v>2420</c:v>
                </c:pt>
                <c:pt idx="6">
                  <c:v>12282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C-4EC1-ABF5-7DCCED5960EF}"/>
            </c:ext>
          </c:extLst>
        </c:ser>
        <c:ser>
          <c:idx val="7"/>
          <c:order val="7"/>
          <c:tx>
            <c:strRef>
              <c:f>可視化!$M$3</c:f>
              <c:strCache>
                <c:ptCount val="1"/>
                <c:pt idx="0">
                  <c:v>通信料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可視化!$M$4:$M$10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9860</c:v>
                </c:pt>
                <c:pt idx="2">
                  <c:v>8355</c:v>
                </c:pt>
                <c:pt idx="3">
                  <c:v>7932</c:v>
                </c:pt>
                <c:pt idx="4">
                  <c:v>7778</c:v>
                </c:pt>
                <c:pt idx="5">
                  <c:v>6535</c:v>
                </c:pt>
                <c:pt idx="6">
                  <c:v>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EC-4EC1-ABF5-7DCCED5960EF}"/>
            </c:ext>
          </c:extLst>
        </c:ser>
        <c:ser>
          <c:idx val="8"/>
          <c:order val="8"/>
          <c:tx>
            <c:strRef>
              <c:f>可視化!$N$3</c:f>
              <c:strCache>
                <c:ptCount val="1"/>
                <c:pt idx="0">
                  <c:v>趣味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可視化!$N$4:$N$10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9601</c:v>
                </c:pt>
                <c:pt idx="2">
                  <c:v>5500</c:v>
                </c:pt>
                <c:pt idx="3">
                  <c:v>8030</c:v>
                </c:pt>
                <c:pt idx="4">
                  <c:v>12210</c:v>
                </c:pt>
                <c:pt idx="5">
                  <c:v>2000</c:v>
                </c:pt>
                <c:pt idx="6">
                  <c:v>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EC-4EC1-ABF5-7DCCED5960EF}"/>
            </c:ext>
          </c:extLst>
        </c:ser>
        <c:ser>
          <c:idx val="9"/>
          <c:order val="9"/>
          <c:tx>
            <c:strRef>
              <c:f>可視化!$O$3</c:f>
              <c:strCache>
                <c:ptCount val="1"/>
                <c:pt idx="0">
                  <c:v>散髪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可視化!$O$4:$O$10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2300</c:v>
                </c:pt>
                <c:pt idx="2">
                  <c:v>6600</c:v>
                </c:pt>
                <c:pt idx="3">
                  <c:v>2300</c:v>
                </c:pt>
                <c:pt idx="4">
                  <c:v>0</c:v>
                </c:pt>
                <c:pt idx="5">
                  <c:v>2750</c:v>
                </c:pt>
                <c:pt idx="6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EC-4EC1-ABF5-7DCCED5960EF}"/>
            </c:ext>
          </c:extLst>
        </c:ser>
        <c:ser>
          <c:idx val="10"/>
          <c:order val="10"/>
          <c:tx>
            <c:strRef>
              <c:f>可視化!$P$3</c:f>
              <c:strCache>
                <c:ptCount val="1"/>
                <c:pt idx="0">
                  <c:v>衣類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可視化!$P$4:$P$10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EC-4EC1-ABF5-7DCCED5960EF}"/>
            </c:ext>
          </c:extLst>
        </c:ser>
        <c:ser>
          <c:idx val="11"/>
          <c:order val="11"/>
          <c:tx>
            <c:strRef>
              <c:f>可視化!$Q$3</c:f>
              <c:strCache>
                <c:ptCount val="1"/>
                <c:pt idx="0">
                  <c:v>家具・家電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可視化!$B$4:$C$10</c:f>
              <c:multiLvlStrCache>
                <c:ptCount val="7"/>
                <c:lvl>
                  <c:pt idx="0">
                    <c:v>2024/9/24</c:v>
                  </c:pt>
                  <c:pt idx="1">
                    <c:v>2024/10/24</c:v>
                  </c:pt>
                  <c:pt idx="2">
                    <c:v>2024/11/23</c:v>
                  </c:pt>
                  <c:pt idx="3">
                    <c:v>2024/12/24</c:v>
                  </c:pt>
                  <c:pt idx="4">
                    <c:v>2025/1/24</c:v>
                  </c:pt>
                  <c:pt idx="5">
                    <c:v>2025/2/22</c:v>
                  </c:pt>
                  <c:pt idx="6">
                    <c:v>2025/3/24</c:v>
                  </c:pt>
                </c:lvl>
                <c:lvl>
                  <c:pt idx="0">
                    <c:v>2024/8/25</c:v>
                  </c:pt>
                  <c:pt idx="1">
                    <c:v>2024/9/25</c:v>
                  </c:pt>
                  <c:pt idx="2">
                    <c:v>2024/10/25</c:v>
                  </c:pt>
                  <c:pt idx="3">
                    <c:v>2024/11/24</c:v>
                  </c:pt>
                  <c:pt idx="4">
                    <c:v>2024/12/25</c:v>
                  </c:pt>
                  <c:pt idx="5">
                    <c:v>2025/1/25</c:v>
                  </c:pt>
                  <c:pt idx="6">
                    <c:v>2025/2/25</c:v>
                  </c:pt>
                </c:lvl>
              </c:multiLvlStrCache>
            </c:multiLvlStrRef>
          </c:cat>
          <c:val>
            <c:numRef>
              <c:f>可視化!$Q$4:$Q$10</c:f>
              <c:numCache>
                <c:formatCode>#,##0_);[Red]\(#,##0\)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8161</c:v>
                </c:pt>
                <c:pt idx="3">
                  <c:v>3679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EC-4EC1-ABF5-7DCCED59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440559"/>
        <c:axId val="243724351"/>
      </c:lineChart>
      <c:catAx>
        <c:axId val="43144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開始</a:t>
                </a:r>
                <a:r>
                  <a:rPr lang="en-US" altLang="ja-JP"/>
                  <a:t>-</a:t>
                </a:r>
                <a:r>
                  <a:rPr lang="ja-JP" altLang="en-US"/>
                  <a:t>終了年月日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724351"/>
        <c:crosses val="autoZero"/>
        <c:auto val="1"/>
        <c:lblAlgn val="ctr"/>
        <c:lblOffset val="100"/>
        <c:noMultiLvlLbl val="0"/>
      </c:catAx>
      <c:valAx>
        <c:axId val="2437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4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支出内訳</a:t>
            </a:r>
            <a:r>
              <a:rPr lang="en-US" altLang="ja-JP"/>
              <a:t>_</a:t>
            </a:r>
            <a:r>
              <a:rPr lang="ja-JP" altLang="en-US"/>
              <a:t>年度合計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可視化!$F$3:$R$3</c:f>
              <c:strCache>
                <c:ptCount val="13"/>
                <c:pt idx="0">
                  <c:v>食費</c:v>
                </c:pt>
                <c:pt idx="1">
                  <c:v>交通費</c:v>
                </c:pt>
                <c:pt idx="2">
                  <c:v>ガス代</c:v>
                </c:pt>
                <c:pt idx="3">
                  <c:v>電気代</c:v>
                </c:pt>
                <c:pt idx="4">
                  <c:v>水道代</c:v>
                </c:pt>
                <c:pt idx="5">
                  <c:v>衛星用品</c:v>
                </c:pt>
                <c:pt idx="6">
                  <c:v>雑貨</c:v>
                </c:pt>
                <c:pt idx="7">
                  <c:v>通信料</c:v>
                </c:pt>
                <c:pt idx="8">
                  <c:v>趣味</c:v>
                </c:pt>
                <c:pt idx="9">
                  <c:v>散髪</c:v>
                </c:pt>
                <c:pt idx="10">
                  <c:v>衣類</c:v>
                </c:pt>
                <c:pt idx="11">
                  <c:v>家具・家電</c:v>
                </c:pt>
                <c:pt idx="12">
                  <c:v>その他</c:v>
                </c:pt>
              </c:strCache>
            </c:strRef>
          </c:cat>
          <c:val>
            <c:numRef>
              <c:f>可視化!$F$11:$R$11</c:f>
              <c:numCache>
                <c:formatCode>#,##0_);[Red]\(#,##0\)</c:formatCode>
                <c:ptCount val="13"/>
                <c:pt idx="0">
                  <c:v>322366.44</c:v>
                </c:pt>
                <c:pt idx="1">
                  <c:v>88200</c:v>
                </c:pt>
                <c:pt idx="2">
                  <c:v>28387</c:v>
                </c:pt>
                <c:pt idx="3">
                  <c:v>15304</c:v>
                </c:pt>
                <c:pt idx="4">
                  <c:v>14790</c:v>
                </c:pt>
                <c:pt idx="5">
                  <c:v>18685.599999999999</c:v>
                </c:pt>
                <c:pt idx="6">
                  <c:v>22981</c:v>
                </c:pt>
                <c:pt idx="7">
                  <c:v>47853</c:v>
                </c:pt>
                <c:pt idx="8">
                  <c:v>44161</c:v>
                </c:pt>
                <c:pt idx="9">
                  <c:v>18350</c:v>
                </c:pt>
                <c:pt idx="10">
                  <c:v>5412</c:v>
                </c:pt>
                <c:pt idx="11">
                  <c:v>11840</c:v>
                </c:pt>
                <c:pt idx="12">
                  <c:v>694064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1-471F-A66D-3E3C7DA0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966399"/>
        <c:axId val="261664287"/>
      </c:barChart>
      <c:catAx>
        <c:axId val="23996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項目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664287"/>
        <c:crosses val="autoZero"/>
        <c:auto val="1"/>
        <c:lblAlgn val="ctr"/>
        <c:lblOffset val="100"/>
        <c:noMultiLvlLbl val="0"/>
      </c:catAx>
      <c:valAx>
        <c:axId val="2616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96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11</xdr:row>
      <xdr:rowOff>220980</xdr:rowOff>
    </xdr:from>
    <xdr:to>
      <xdr:col>8</xdr:col>
      <xdr:colOff>662940</xdr:colOff>
      <xdr:row>26</xdr:row>
      <xdr:rowOff>220980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27B2B1A-5DCD-DDC2-2A25-CE8E50E9A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12</xdr:row>
      <xdr:rowOff>7620</xdr:rowOff>
    </xdr:from>
    <xdr:to>
      <xdr:col>17</xdr:col>
      <xdr:colOff>662940</xdr:colOff>
      <xdr:row>26</xdr:row>
      <xdr:rowOff>220980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8EE7544-A999-C6E8-85FE-C9DD0E8BC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652891</xdr:colOff>
      <xdr:row>44</xdr:row>
      <xdr:rowOff>29134</xdr:rowOff>
    </xdr:from>
    <xdr:to>
      <xdr:col>17</xdr:col>
      <xdr:colOff>641686</xdr:colOff>
      <xdr:row>79</xdr:row>
      <xdr:rowOff>40105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DA0E199-4ABD-56EA-E347-48138A95B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666748</xdr:colOff>
      <xdr:row>27</xdr:row>
      <xdr:rowOff>227598</xdr:rowOff>
    </xdr:from>
    <xdr:to>
      <xdr:col>8</xdr:col>
      <xdr:colOff>651709</xdr:colOff>
      <xdr:row>43</xdr:row>
      <xdr:rowOff>10026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1BE3477-C40A-9627-2F71-A59F4214C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15038</xdr:colOff>
      <xdr:row>28</xdr:row>
      <xdr:rowOff>7017</xdr:rowOff>
    </xdr:from>
    <xdr:to>
      <xdr:col>18</xdr:col>
      <xdr:colOff>10026</xdr:colOff>
      <xdr:row>42</xdr:row>
      <xdr:rowOff>230604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B2E6E4B-B3C9-53A9-5DE4-408C8FDE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9625-BEFC-4697-BEF4-76E533A81219}">
  <dimension ref="B1:V36"/>
  <sheetViews>
    <sheetView topLeftCell="A3" workbookViewId="0">
      <pane xSplit="3" ySplit="2" topLeftCell="E22" activePane="bottomRight" state="frozen"/>
      <selection activeCell="A3" sqref="A3"/>
      <selection pane="topRight" activeCell="D3" sqref="D3"/>
      <selection pane="bottomLeft" activeCell="A5" sqref="A5"/>
      <selection pane="bottomRight" activeCell="R36" sqref="R36"/>
    </sheetView>
  </sheetViews>
  <sheetFormatPr defaultRowHeight="18"/>
  <cols>
    <col min="3" max="3" width="3.19921875" bestFit="1" customWidth="1"/>
    <col min="20" max="20" width="13" bestFit="1" customWidth="1"/>
    <col min="21" max="21" width="16.296875" bestFit="1" customWidth="1"/>
    <col min="22" max="22" width="13" bestFit="1" customWidth="1"/>
    <col min="23" max="23" width="9.69921875" bestFit="1" customWidth="1"/>
  </cols>
  <sheetData>
    <row r="1" spans="2:22" ht="18.600000000000001" thickBot="1"/>
    <row r="2" spans="2:22">
      <c r="B2" s="37"/>
      <c r="C2" s="38"/>
      <c r="D2" s="128" t="s">
        <v>9</v>
      </c>
      <c r="E2" s="129"/>
      <c r="F2" s="130"/>
      <c r="G2" s="131" t="s">
        <v>14</v>
      </c>
      <c r="H2" s="132"/>
      <c r="I2" s="132"/>
      <c r="J2" s="132"/>
      <c r="K2" s="132"/>
      <c r="L2" s="132"/>
      <c r="M2" s="132"/>
      <c r="N2" s="132"/>
      <c r="O2" s="133"/>
      <c r="P2" s="134" t="s">
        <v>21</v>
      </c>
      <c r="Q2" s="136" t="s">
        <v>22</v>
      </c>
      <c r="R2" s="122" t="s">
        <v>38</v>
      </c>
    </row>
    <row r="3" spans="2:22">
      <c r="B3" s="39"/>
      <c r="C3" s="19"/>
      <c r="D3" s="14" t="s">
        <v>7</v>
      </c>
      <c r="E3" s="54" t="s">
        <v>39</v>
      </c>
      <c r="F3" s="15" t="s">
        <v>8</v>
      </c>
      <c r="G3" s="16" t="s">
        <v>10</v>
      </c>
      <c r="H3" s="17" t="s">
        <v>17</v>
      </c>
      <c r="I3" s="1" t="s">
        <v>11</v>
      </c>
      <c r="J3" s="1" t="s">
        <v>12</v>
      </c>
      <c r="K3" s="1" t="s">
        <v>13</v>
      </c>
      <c r="L3" s="1" t="s">
        <v>20</v>
      </c>
      <c r="M3" s="1" t="s">
        <v>16</v>
      </c>
      <c r="N3" s="1" t="s">
        <v>19</v>
      </c>
      <c r="O3" s="18" t="s">
        <v>8</v>
      </c>
      <c r="P3" s="135"/>
      <c r="Q3" s="137"/>
      <c r="R3" s="123"/>
    </row>
    <row r="4" spans="2:22" ht="18.600000000000001" thickBot="1">
      <c r="B4" s="124" t="s">
        <v>18</v>
      </c>
      <c r="C4" s="125"/>
      <c r="D4" s="20">
        <v>200000</v>
      </c>
      <c r="E4" s="55">
        <v>100</v>
      </c>
      <c r="F4" s="21">
        <v>0</v>
      </c>
      <c r="G4" s="22">
        <v>30000</v>
      </c>
      <c r="H4" s="23">
        <f>350*21</f>
        <v>7350</v>
      </c>
      <c r="I4" s="24">
        <v>3500</v>
      </c>
      <c r="J4" s="24">
        <v>5000</v>
      </c>
      <c r="K4" s="24">
        <v>2500</v>
      </c>
      <c r="L4" s="24">
        <v>4000</v>
      </c>
      <c r="M4" s="24">
        <v>5000</v>
      </c>
      <c r="N4" s="24">
        <v>0</v>
      </c>
      <c r="O4" s="25">
        <f>40000</f>
        <v>40000</v>
      </c>
      <c r="P4" s="26">
        <f>SUM($D4:$F4)</f>
        <v>200100</v>
      </c>
      <c r="Q4" s="36">
        <f>SUM($G4:$O4)</f>
        <v>97350</v>
      </c>
      <c r="R4" s="30"/>
    </row>
    <row r="5" spans="2:22" ht="18.600000000000001" thickTop="1">
      <c r="B5" s="40">
        <v>45163</v>
      </c>
      <c r="C5" s="2" t="s">
        <v>6</v>
      </c>
      <c r="D5" s="4">
        <v>0</v>
      </c>
      <c r="E5" s="56">
        <v>0</v>
      </c>
      <c r="F5" s="5">
        <v>0</v>
      </c>
      <c r="G5" s="4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11">
        <v>0</v>
      </c>
      <c r="P5" s="28">
        <f t="shared" ref="P5:P11" si="0">SUM($D5:$F5)</f>
        <v>0</v>
      </c>
      <c r="Q5" s="33">
        <f t="shared" ref="Q5:Q11" si="1">SUM($G5:$O5)</f>
        <v>0</v>
      </c>
      <c r="R5" s="31">
        <f>R4+SUM(P5)-SUM(Q5)</f>
        <v>0</v>
      </c>
    </row>
    <row r="6" spans="2:22">
      <c r="B6" s="40">
        <v>45164</v>
      </c>
      <c r="C6" s="2" t="s">
        <v>0</v>
      </c>
      <c r="D6" s="4">
        <v>0</v>
      </c>
      <c r="E6" s="56">
        <v>0</v>
      </c>
      <c r="F6" s="5">
        <v>0</v>
      </c>
      <c r="G6" s="4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11">
        <v>0</v>
      </c>
      <c r="P6" s="28">
        <f t="shared" si="0"/>
        <v>0</v>
      </c>
      <c r="Q6" s="33">
        <f t="shared" si="1"/>
        <v>0</v>
      </c>
      <c r="R6" s="31">
        <f>R5+SUM(P6)-SUM(Q6)</f>
        <v>0</v>
      </c>
    </row>
    <row r="7" spans="2:22">
      <c r="B7" s="40">
        <v>45165</v>
      </c>
      <c r="C7" s="2" t="s">
        <v>1</v>
      </c>
      <c r="D7" s="4">
        <v>0</v>
      </c>
      <c r="E7" s="56">
        <v>0</v>
      </c>
      <c r="F7" s="5">
        <v>0</v>
      </c>
      <c r="G7" s="4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11">
        <v>0</v>
      </c>
      <c r="P7" s="28">
        <f t="shared" si="0"/>
        <v>0</v>
      </c>
      <c r="Q7" s="33">
        <f t="shared" si="1"/>
        <v>0</v>
      </c>
      <c r="R7" s="31">
        <f>R6+SUM(P7)-SUM(Q7)</f>
        <v>0</v>
      </c>
    </row>
    <row r="8" spans="2:22">
      <c r="B8" s="60">
        <v>45166</v>
      </c>
      <c r="C8" s="61" t="s">
        <v>2</v>
      </c>
      <c r="D8" s="3">
        <v>0</v>
      </c>
      <c r="E8" s="62">
        <v>0</v>
      </c>
      <c r="F8" s="63">
        <v>0</v>
      </c>
      <c r="G8" s="3">
        <v>0</v>
      </c>
      <c r="H8" s="64">
        <v>0</v>
      </c>
      <c r="I8" s="64"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5">
        <v>0</v>
      </c>
      <c r="P8" s="27">
        <f t="shared" si="0"/>
        <v>0</v>
      </c>
      <c r="Q8" s="35">
        <f t="shared" si="1"/>
        <v>0</v>
      </c>
      <c r="R8" s="66">
        <f>P8-Q8</f>
        <v>0</v>
      </c>
    </row>
    <row r="9" spans="2:22">
      <c r="B9" s="40">
        <v>45167</v>
      </c>
      <c r="C9" s="2" t="s">
        <v>3</v>
      </c>
      <c r="D9" s="4">
        <v>0</v>
      </c>
      <c r="E9" s="56">
        <v>0</v>
      </c>
      <c r="F9" s="5">
        <v>0</v>
      </c>
      <c r="G9" s="4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11">
        <v>0</v>
      </c>
      <c r="P9" s="28">
        <f t="shared" si="0"/>
        <v>0</v>
      </c>
      <c r="Q9" s="33">
        <f t="shared" si="1"/>
        <v>0</v>
      </c>
      <c r="R9" s="31">
        <f>R8+SUM(P9)-SUM(Q9)</f>
        <v>0</v>
      </c>
    </row>
    <row r="10" spans="2:22">
      <c r="B10" s="40">
        <v>45168</v>
      </c>
      <c r="C10" s="2" t="s">
        <v>4</v>
      </c>
      <c r="D10" s="4">
        <v>0</v>
      </c>
      <c r="E10" s="56">
        <v>0</v>
      </c>
      <c r="F10" s="5">
        <v>0</v>
      </c>
      <c r="G10" s="4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11">
        <v>0</v>
      </c>
      <c r="P10" s="28">
        <f t="shared" si="0"/>
        <v>0</v>
      </c>
      <c r="Q10" s="33">
        <f t="shared" si="1"/>
        <v>0</v>
      </c>
      <c r="R10" s="31">
        <f>R9+SUM(P10)-SUM(Q10)</f>
        <v>0</v>
      </c>
    </row>
    <row r="11" spans="2:22">
      <c r="B11" s="40">
        <v>45169</v>
      </c>
      <c r="C11" s="2" t="s">
        <v>5</v>
      </c>
      <c r="D11" s="4">
        <v>0</v>
      </c>
      <c r="E11" s="56">
        <v>0</v>
      </c>
      <c r="F11" s="5">
        <v>0</v>
      </c>
      <c r="G11" s="4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11">
        <v>0</v>
      </c>
      <c r="P11" s="28">
        <f t="shared" si="0"/>
        <v>0</v>
      </c>
      <c r="Q11" s="33">
        <f t="shared" si="1"/>
        <v>0</v>
      </c>
      <c r="R11" s="31">
        <f>R10+SUM(P11)-SUM(Q11)</f>
        <v>0</v>
      </c>
    </row>
    <row r="12" spans="2:22" ht="18.600000000000001" thickBot="1">
      <c r="B12" s="60">
        <v>45170</v>
      </c>
      <c r="C12" s="61" t="s">
        <v>6</v>
      </c>
      <c r="D12" s="3">
        <v>0</v>
      </c>
      <c r="E12" s="62">
        <v>0</v>
      </c>
      <c r="F12" s="63">
        <v>0</v>
      </c>
      <c r="G12" s="3">
        <v>0</v>
      </c>
      <c r="H12" s="64">
        <v>0</v>
      </c>
      <c r="I12" s="64">
        <v>0</v>
      </c>
      <c r="J12" s="64">
        <v>0</v>
      </c>
      <c r="K12" s="64">
        <v>0</v>
      </c>
      <c r="L12" s="64">
        <v>0</v>
      </c>
      <c r="M12" s="64">
        <v>0</v>
      </c>
      <c r="N12" s="64">
        <v>0</v>
      </c>
      <c r="O12" s="65">
        <v>0</v>
      </c>
      <c r="P12" s="27">
        <f>SUM($D12:$F12)</f>
        <v>0</v>
      </c>
      <c r="Q12" s="35">
        <f t="shared" ref="Q12:Q17" si="2">SUM($G12:$O12)</f>
        <v>0</v>
      </c>
      <c r="R12" s="66">
        <f>P12-Q12</f>
        <v>0</v>
      </c>
    </row>
    <row r="13" spans="2:22" ht="18.600000000000001" thickBot="1">
      <c r="B13" s="40">
        <v>45171</v>
      </c>
      <c r="C13" s="2" t="s">
        <v>0</v>
      </c>
      <c r="D13" s="4">
        <v>0</v>
      </c>
      <c r="E13" s="56">
        <v>0</v>
      </c>
      <c r="F13" s="5">
        <v>0</v>
      </c>
      <c r="G13" s="4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11">
        <v>0</v>
      </c>
      <c r="P13" s="28">
        <f>SUM($D13:$F13)</f>
        <v>0</v>
      </c>
      <c r="Q13" s="33">
        <f t="shared" si="2"/>
        <v>0</v>
      </c>
      <c r="R13" s="31">
        <f>R12+SUM(P13)-SUM(Q13)</f>
        <v>0</v>
      </c>
      <c r="U13" s="58"/>
      <c r="V13" s="67" t="s">
        <v>40</v>
      </c>
    </row>
    <row r="14" spans="2:22">
      <c r="B14" s="40">
        <v>45172</v>
      </c>
      <c r="C14" s="2" t="s">
        <v>1</v>
      </c>
      <c r="D14" s="4">
        <v>0</v>
      </c>
      <c r="E14" s="56">
        <v>0</v>
      </c>
      <c r="F14" s="5">
        <v>0</v>
      </c>
      <c r="G14" s="4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11">
        <v>0</v>
      </c>
      <c r="P14" s="28">
        <f t="shared" ref="P14:P35" si="3">SUM($D14:$F14)</f>
        <v>0</v>
      </c>
      <c r="Q14" s="33">
        <f t="shared" si="2"/>
        <v>0</v>
      </c>
      <c r="R14" s="31">
        <f t="shared" ref="R14:R24" si="4">R13+SUM(P14)-SUM(Q14)</f>
        <v>0</v>
      </c>
      <c r="U14" s="68" t="s">
        <v>41</v>
      </c>
      <c r="V14" s="43">
        <v>62</v>
      </c>
    </row>
    <row r="15" spans="2:22">
      <c r="B15" s="40">
        <v>45173</v>
      </c>
      <c r="C15" s="2" t="s">
        <v>2</v>
      </c>
      <c r="D15" s="4">
        <v>0</v>
      </c>
      <c r="E15" s="56">
        <v>0</v>
      </c>
      <c r="F15" s="5">
        <v>0</v>
      </c>
      <c r="G15" s="4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11">
        <v>0</v>
      </c>
      <c r="P15" s="28">
        <f t="shared" si="3"/>
        <v>0</v>
      </c>
      <c r="Q15" s="33">
        <f t="shared" si="2"/>
        <v>0</v>
      </c>
      <c r="R15" s="31">
        <f t="shared" si="4"/>
        <v>0</v>
      </c>
      <c r="U15" s="69" t="s">
        <v>42</v>
      </c>
      <c r="V15" s="5">
        <v>535</v>
      </c>
    </row>
    <row r="16" spans="2:22">
      <c r="B16" s="40">
        <v>45174</v>
      </c>
      <c r="C16" s="2" t="s">
        <v>3</v>
      </c>
      <c r="D16" s="4">
        <v>0</v>
      </c>
      <c r="E16" s="56">
        <v>0</v>
      </c>
      <c r="F16" s="5">
        <v>0</v>
      </c>
      <c r="G16" s="4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11">
        <v>0</v>
      </c>
      <c r="P16" s="28">
        <f t="shared" si="3"/>
        <v>0</v>
      </c>
      <c r="Q16" s="33">
        <f t="shared" si="2"/>
        <v>0</v>
      </c>
      <c r="R16" s="31">
        <f t="shared" si="4"/>
        <v>0</v>
      </c>
      <c r="U16" s="69" t="s">
        <v>43</v>
      </c>
      <c r="V16" s="5">
        <v>0</v>
      </c>
    </row>
    <row r="17" spans="2:22">
      <c r="B17" s="40">
        <v>45175</v>
      </c>
      <c r="C17" s="2" t="s">
        <v>4</v>
      </c>
      <c r="D17" s="4">
        <v>0</v>
      </c>
      <c r="E17" s="56">
        <v>0</v>
      </c>
      <c r="F17" s="5">
        <v>0</v>
      </c>
      <c r="G17" s="4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11">
        <v>0</v>
      </c>
      <c r="P17" s="28">
        <f t="shared" si="3"/>
        <v>0</v>
      </c>
      <c r="Q17" s="33">
        <f t="shared" si="2"/>
        <v>0</v>
      </c>
      <c r="R17" s="31">
        <f t="shared" si="4"/>
        <v>0</v>
      </c>
      <c r="U17" s="69" t="s">
        <v>44</v>
      </c>
      <c r="V17" s="5">
        <v>23</v>
      </c>
    </row>
    <row r="18" spans="2:22">
      <c r="B18" s="40">
        <v>45176</v>
      </c>
      <c r="C18" s="2" t="s">
        <v>5</v>
      </c>
      <c r="D18" s="4">
        <v>0</v>
      </c>
      <c r="E18" s="56">
        <v>0</v>
      </c>
      <c r="F18" s="5">
        <v>0</v>
      </c>
      <c r="G18" s="4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11">
        <v>0</v>
      </c>
      <c r="P18" s="28">
        <f t="shared" si="3"/>
        <v>0</v>
      </c>
      <c r="Q18" s="33">
        <f t="shared" ref="Q18:Q35" si="5">SUM($G18:$O18)</f>
        <v>0</v>
      </c>
      <c r="R18" s="31">
        <f t="shared" si="4"/>
        <v>0</v>
      </c>
      <c r="U18" s="69" t="s">
        <v>45</v>
      </c>
      <c r="V18" s="5">
        <v>109</v>
      </c>
    </row>
    <row r="19" spans="2:22">
      <c r="B19" s="40">
        <v>45177</v>
      </c>
      <c r="C19" s="2" t="s">
        <v>6</v>
      </c>
      <c r="D19" s="4">
        <v>0</v>
      </c>
      <c r="E19" s="56">
        <v>0</v>
      </c>
      <c r="F19" s="5">
        <v>0</v>
      </c>
      <c r="G19" s="4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11">
        <v>0</v>
      </c>
      <c r="P19" s="28">
        <f>SUM($D19:$F19)</f>
        <v>0</v>
      </c>
      <c r="Q19" s="33">
        <f t="shared" si="5"/>
        <v>0</v>
      </c>
      <c r="R19" s="31">
        <f t="shared" si="4"/>
        <v>0</v>
      </c>
      <c r="U19" s="69" t="s">
        <v>46</v>
      </c>
      <c r="V19" s="5">
        <v>1530</v>
      </c>
    </row>
    <row r="20" spans="2:22">
      <c r="B20" s="40">
        <v>45178</v>
      </c>
      <c r="C20" s="2" t="s">
        <v>0</v>
      </c>
      <c r="D20" s="4">
        <v>0</v>
      </c>
      <c r="E20" s="56">
        <v>0</v>
      </c>
      <c r="F20" s="5">
        <v>0</v>
      </c>
      <c r="G20" s="4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11">
        <v>0</v>
      </c>
      <c r="P20" s="28">
        <f t="shared" si="3"/>
        <v>0</v>
      </c>
      <c r="Q20" s="33">
        <f t="shared" si="5"/>
        <v>0</v>
      </c>
      <c r="R20" s="31">
        <f t="shared" si="4"/>
        <v>0</v>
      </c>
      <c r="U20" s="69" t="s">
        <v>47</v>
      </c>
      <c r="V20" s="5">
        <v>7004</v>
      </c>
    </row>
    <row r="21" spans="2:22">
      <c r="B21" s="40">
        <v>45179</v>
      </c>
      <c r="C21" s="2" t="s">
        <v>1</v>
      </c>
      <c r="D21" s="4">
        <v>0</v>
      </c>
      <c r="E21" s="56">
        <v>0</v>
      </c>
      <c r="F21" s="5">
        <v>0</v>
      </c>
      <c r="G21" s="4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11">
        <v>0</v>
      </c>
      <c r="P21" s="28">
        <f t="shared" si="3"/>
        <v>0</v>
      </c>
      <c r="Q21" s="33">
        <f t="shared" si="5"/>
        <v>0</v>
      </c>
      <c r="R21" s="31">
        <f t="shared" si="4"/>
        <v>0</v>
      </c>
      <c r="U21" s="69" t="s">
        <v>48</v>
      </c>
      <c r="V21" s="5">
        <v>206</v>
      </c>
    </row>
    <row r="22" spans="2:22">
      <c r="B22" s="40">
        <v>45180</v>
      </c>
      <c r="C22" s="2" t="s">
        <v>2</v>
      </c>
      <c r="D22" s="4">
        <v>0</v>
      </c>
      <c r="E22" s="56">
        <v>0</v>
      </c>
      <c r="F22" s="5">
        <v>0</v>
      </c>
      <c r="G22" s="4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1">
        <v>0</v>
      </c>
      <c r="P22" s="28">
        <f t="shared" si="3"/>
        <v>0</v>
      </c>
      <c r="Q22" s="33">
        <f t="shared" si="5"/>
        <v>0</v>
      </c>
      <c r="R22" s="31">
        <f t="shared" si="4"/>
        <v>0</v>
      </c>
      <c r="U22" s="69" t="s">
        <v>49</v>
      </c>
      <c r="V22" s="5">
        <v>2225</v>
      </c>
    </row>
    <row r="23" spans="2:22">
      <c r="B23" s="40">
        <v>45181</v>
      </c>
      <c r="C23" s="2" t="s">
        <v>3</v>
      </c>
      <c r="D23" s="4">
        <v>0</v>
      </c>
      <c r="E23" s="56">
        <v>0</v>
      </c>
      <c r="F23" s="5">
        <v>0</v>
      </c>
      <c r="G23" s="4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11">
        <v>0</v>
      </c>
      <c r="P23" s="28">
        <f t="shared" si="3"/>
        <v>0</v>
      </c>
      <c r="Q23" s="33">
        <f t="shared" si="5"/>
        <v>0</v>
      </c>
      <c r="R23" s="31">
        <f t="shared" si="4"/>
        <v>0</v>
      </c>
      <c r="U23" s="70" t="s">
        <v>34</v>
      </c>
      <c r="V23" s="71">
        <v>2038</v>
      </c>
    </row>
    <row r="24" spans="2:22">
      <c r="B24" s="40">
        <v>45182</v>
      </c>
      <c r="C24" s="2" t="s">
        <v>4</v>
      </c>
      <c r="D24" s="4">
        <v>0</v>
      </c>
      <c r="E24" s="56">
        <v>0</v>
      </c>
      <c r="F24" s="5">
        <v>0</v>
      </c>
      <c r="G24" s="4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11">
        <v>0</v>
      </c>
      <c r="P24" s="28">
        <f t="shared" si="3"/>
        <v>0</v>
      </c>
      <c r="Q24" s="33">
        <f t="shared" si="5"/>
        <v>0</v>
      </c>
      <c r="R24" s="31">
        <f t="shared" si="4"/>
        <v>0</v>
      </c>
      <c r="U24" s="70" t="s">
        <v>50</v>
      </c>
      <c r="V24" s="71">
        <v>7634</v>
      </c>
    </row>
    <row r="25" spans="2:22" ht="18.600000000000001" thickBot="1">
      <c r="B25" s="40">
        <v>45183</v>
      </c>
      <c r="C25" s="2" t="s">
        <v>5</v>
      </c>
      <c r="D25" s="4">
        <v>0</v>
      </c>
      <c r="E25" s="56">
        <v>0</v>
      </c>
      <c r="F25" s="5">
        <v>0</v>
      </c>
      <c r="G25" s="4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11">
        <v>0</v>
      </c>
      <c r="P25" s="28">
        <f t="shared" si="3"/>
        <v>0</v>
      </c>
      <c r="Q25" s="33">
        <f t="shared" si="5"/>
        <v>0</v>
      </c>
      <c r="R25" s="31">
        <f>R24+SUM(P25)-SUM(Q25)</f>
        <v>0</v>
      </c>
      <c r="U25" s="72" t="s">
        <v>51</v>
      </c>
      <c r="V25" s="45">
        <v>528914</v>
      </c>
    </row>
    <row r="26" spans="2:22" ht="19.2" thickTop="1" thickBot="1">
      <c r="B26" s="40">
        <v>45184</v>
      </c>
      <c r="C26" s="2" t="s">
        <v>6</v>
      </c>
      <c r="D26" s="4">
        <v>0</v>
      </c>
      <c r="E26" s="56">
        <v>0</v>
      </c>
      <c r="F26" s="5">
        <v>0</v>
      </c>
      <c r="G26" s="4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11">
        <v>0</v>
      </c>
      <c r="P26" s="28">
        <f t="shared" si="3"/>
        <v>0</v>
      </c>
      <c r="Q26" s="33">
        <f t="shared" si="5"/>
        <v>0</v>
      </c>
      <c r="R26" s="31">
        <f>R25+SUM(P26)-SUM(Q26)</f>
        <v>0</v>
      </c>
      <c r="U26" s="73" t="s">
        <v>15</v>
      </c>
      <c r="V26" s="74">
        <f>SUM(V14:V25)</f>
        <v>550280</v>
      </c>
    </row>
    <row r="27" spans="2:22">
      <c r="B27" s="40">
        <v>45185</v>
      </c>
      <c r="C27" s="2" t="s">
        <v>52</v>
      </c>
      <c r="D27" s="4">
        <v>0</v>
      </c>
      <c r="E27" s="56">
        <f>72+62+535</f>
        <v>669</v>
      </c>
      <c r="F27" s="5">
        <f>528914+17238+7634+2225+206+4330+892</f>
        <v>561439</v>
      </c>
      <c r="G27" s="4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11">
        <v>0</v>
      </c>
      <c r="P27" s="28">
        <f t="shared" si="3"/>
        <v>562108</v>
      </c>
      <c r="Q27" s="33">
        <f t="shared" si="5"/>
        <v>0</v>
      </c>
      <c r="R27" s="31">
        <f>R26+SUM(P27)-SUM(Q27)</f>
        <v>562108</v>
      </c>
    </row>
    <row r="28" spans="2:22">
      <c r="B28" s="40">
        <v>45186</v>
      </c>
      <c r="C28" s="2" t="s">
        <v>1</v>
      </c>
      <c r="D28" s="4">
        <v>0</v>
      </c>
      <c r="E28" s="56">
        <v>37</v>
      </c>
      <c r="F28" s="5">
        <v>0</v>
      </c>
      <c r="G28" s="4">
        <f>(238+298+298+436+288+298+239+298)*1.08</f>
        <v>2584.44</v>
      </c>
      <c r="H28" s="6">
        <v>0</v>
      </c>
      <c r="I28" s="6">
        <v>0</v>
      </c>
      <c r="J28" s="6">
        <v>0</v>
      </c>
      <c r="K28" s="6">
        <v>0</v>
      </c>
      <c r="L28" s="6">
        <f>(499+318+269)*1.1</f>
        <v>1194.6000000000001</v>
      </c>
      <c r="M28" s="6">
        <f>100*1.1</f>
        <v>110.00000000000001</v>
      </c>
      <c r="N28" s="6">
        <v>0</v>
      </c>
      <c r="O28" s="11">
        <v>0</v>
      </c>
      <c r="P28" s="28">
        <f t="shared" si="3"/>
        <v>37</v>
      </c>
      <c r="Q28" s="33">
        <f t="shared" si="5"/>
        <v>3889.04</v>
      </c>
      <c r="R28" s="31">
        <f>R27+SUM(P28)-SUM(Q28)</f>
        <v>558255.96</v>
      </c>
    </row>
    <row r="29" spans="2:22">
      <c r="B29" s="40">
        <v>45187</v>
      </c>
      <c r="C29" s="2" t="s">
        <v>2</v>
      </c>
      <c r="D29" s="4">
        <v>0</v>
      </c>
      <c r="E29" s="56">
        <v>10</v>
      </c>
      <c r="F29" s="5">
        <v>0</v>
      </c>
      <c r="G29" s="4">
        <v>0</v>
      </c>
      <c r="H29" s="13">
        <v>700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11">
        <v>0</v>
      </c>
      <c r="P29" s="28">
        <f t="shared" si="3"/>
        <v>10</v>
      </c>
      <c r="Q29" s="33">
        <f t="shared" si="5"/>
        <v>700</v>
      </c>
      <c r="R29" s="31">
        <f t="shared" ref="R29:R35" si="6">R28+SUM(P29)-SUM(Q29)</f>
        <v>557565.96</v>
      </c>
      <c r="U29" s="51"/>
    </row>
    <row r="30" spans="2:22">
      <c r="B30" s="40">
        <v>45188</v>
      </c>
      <c r="C30" s="2" t="s">
        <v>3</v>
      </c>
      <c r="D30" s="4">
        <v>0</v>
      </c>
      <c r="E30" s="56">
        <v>0</v>
      </c>
      <c r="F30" s="5">
        <v>0</v>
      </c>
      <c r="G30" s="4">
        <v>5200</v>
      </c>
      <c r="H30" s="13">
        <v>700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11">
        <v>0</v>
      </c>
      <c r="P30" s="28">
        <f t="shared" si="3"/>
        <v>0</v>
      </c>
      <c r="Q30" s="33">
        <f t="shared" si="5"/>
        <v>5900</v>
      </c>
      <c r="R30" s="31">
        <f t="shared" si="6"/>
        <v>551665.96</v>
      </c>
    </row>
    <row r="31" spans="2:22">
      <c r="B31" s="40">
        <v>45189</v>
      </c>
      <c r="C31" s="2" t="s">
        <v>4</v>
      </c>
      <c r="D31" s="4">
        <v>0</v>
      </c>
      <c r="E31" s="56">
        <v>14</v>
      </c>
      <c r="F31" s="5">
        <v>0</v>
      </c>
      <c r="G31" s="4">
        <v>0</v>
      </c>
      <c r="H31" s="13">
        <v>700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11">
        <v>0</v>
      </c>
      <c r="P31" s="28">
        <f t="shared" si="3"/>
        <v>14</v>
      </c>
      <c r="Q31" s="33">
        <f t="shared" si="5"/>
        <v>700</v>
      </c>
      <c r="R31" s="31">
        <f t="shared" si="6"/>
        <v>550979.96</v>
      </c>
    </row>
    <row r="32" spans="2:22">
      <c r="B32" s="40">
        <v>45190</v>
      </c>
      <c r="C32" s="2" t="s">
        <v>5</v>
      </c>
      <c r="D32" s="4">
        <v>0</v>
      </c>
      <c r="E32" s="56">
        <v>0</v>
      </c>
      <c r="F32" s="5">
        <v>0</v>
      </c>
      <c r="G32" s="4">
        <v>0</v>
      </c>
      <c r="H32" s="13">
        <v>700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11">
        <v>0</v>
      </c>
      <c r="P32" s="28">
        <f t="shared" si="3"/>
        <v>0</v>
      </c>
      <c r="Q32" s="33">
        <f t="shared" si="5"/>
        <v>700</v>
      </c>
      <c r="R32" s="31">
        <f t="shared" si="6"/>
        <v>550279.96</v>
      </c>
    </row>
    <row r="33" spans="2:18">
      <c r="B33" s="40">
        <v>45191</v>
      </c>
      <c r="C33" s="2" t="s">
        <v>6</v>
      </c>
      <c r="D33" s="4">
        <v>0</v>
      </c>
      <c r="E33" s="56">
        <v>0</v>
      </c>
      <c r="F33" s="5">
        <v>0</v>
      </c>
      <c r="G33" s="4">
        <v>2080</v>
      </c>
      <c r="H33" s="13">
        <v>700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11">
        <v>0</v>
      </c>
      <c r="P33" s="28">
        <f t="shared" si="3"/>
        <v>0</v>
      </c>
      <c r="Q33" s="33">
        <f t="shared" si="5"/>
        <v>2780</v>
      </c>
      <c r="R33" s="31">
        <f t="shared" si="6"/>
        <v>547499.96</v>
      </c>
    </row>
    <row r="34" spans="2:18">
      <c r="B34" s="40">
        <v>45192</v>
      </c>
      <c r="C34" s="2" t="s">
        <v>0</v>
      </c>
      <c r="D34" s="4">
        <v>0</v>
      </c>
      <c r="E34" s="56">
        <v>0</v>
      </c>
      <c r="F34" s="5">
        <v>0</v>
      </c>
      <c r="G34" s="4">
        <v>4443</v>
      </c>
      <c r="H34" s="13">
        <v>0</v>
      </c>
      <c r="I34" s="6">
        <v>0</v>
      </c>
      <c r="J34" s="6">
        <v>0</v>
      </c>
      <c r="K34" s="6">
        <v>0</v>
      </c>
      <c r="L34" s="6">
        <f>498</f>
        <v>498</v>
      </c>
      <c r="M34" s="6">
        <f>448</f>
        <v>448</v>
      </c>
      <c r="N34" s="6">
        <v>0</v>
      </c>
      <c r="O34" s="11">
        <v>0</v>
      </c>
      <c r="P34" s="28">
        <f t="shared" si="3"/>
        <v>0</v>
      </c>
      <c r="Q34" s="33">
        <f t="shared" si="5"/>
        <v>5389</v>
      </c>
      <c r="R34" s="31">
        <f t="shared" si="6"/>
        <v>542110.96</v>
      </c>
    </row>
    <row r="35" spans="2:18" ht="18.600000000000001" thickBot="1">
      <c r="B35" s="40">
        <v>45193</v>
      </c>
      <c r="C35" s="2" t="s">
        <v>1</v>
      </c>
      <c r="D35" s="4">
        <v>0</v>
      </c>
      <c r="E35" s="56">
        <v>0</v>
      </c>
      <c r="F35" s="5">
        <v>0</v>
      </c>
      <c r="G35" s="4">
        <f>2165+3540</f>
        <v>5705</v>
      </c>
      <c r="H35" s="13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11">
        <v>0</v>
      </c>
      <c r="P35" s="28">
        <f t="shared" si="3"/>
        <v>0</v>
      </c>
      <c r="Q35" s="33">
        <f t="shared" si="5"/>
        <v>5705</v>
      </c>
      <c r="R35" s="31">
        <f t="shared" si="6"/>
        <v>536405.96</v>
      </c>
    </row>
    <row r="36" spans="2:18" ht="18.600000000000001" thickBot="1">
      <c r="B36" s="126" t="s">
        <v>15</v>
      </c>
      <c r="C36" s="127"/>
      <c r="D36" s="7">
        <f t="shared" ref="D36:O36" si="7">SUM(D12:D35)</f>
        <v>0</v>
      </c>
      <c r="E36" s="75">
        <f t="shared" si="7"/>
        <v>730</v>
      </c>
      <c r="F36" s="8">
        <f t="shared" si="7"/>
        <v>561439</v>
      </c>
      <c r="G36" s="9">
        <f t="shared" si="7"/>
        <v>20012.440000000002</v>
      </c>
      <c r="H36" s="10">
        <f t="shared" si="7"/>
        <v>3500</v>
      </c>
      <c r="I36" s="10">
        <f t="shared" si="7"/>
        <v>0</v>
      </c>
      <c r="J36" s="10">
        <f t="shared" si="7"/>
        <v>0</v>
      </c>
      <c r="K36" s="10">
        <f t="shared" si="7"/>
        <v>0</v>
      </c>
      <c r="L36" s="10">
        <f t="shared" si="7"/>
        <v>1692.6000000000001</v>
      </c>
      <c r="M36" s="10">
        <f t="shared" si="7"/>
        <v>558</v>
      </c>
      <c r="N36" s="10">
        <f t="shared" si="7"/>
        <v>0</v>
      </c>
      <c r="O36" s="12">
        <f t="shared" si="7"/>
        <v>0</v>
      </c>
      <c r="P36" s="29">
        <f>SUM(D36:F36)</f>
        <v>562169</v>
      </c>
      <c r="Q36" s="34">
        <f>SUM(G36:O36)</f>
        <v>25763.040000000001</v>
      </c>
      <c r="R36" s="32">
        <f>P36-Q36</f>
        <v>536405.96</v>
      </c>
    </row>
  </sheetData>
  <mergeCells count="7">
    <mergeCell ref="R2:R3"/>
    <mergeCell ref="B4:C4"/>
    <mergeCell ref="B36:C36"/>
    <mergeCell ref="D2:F2"/>
    <mergeCell ref="G2:O2"/>
    <mergeCell ref="P2:P3"/>
    <mergeCell ref="Q2:Q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C184-D3FD-40B6-A535-4FCF322DB6FB}">
  <dimension ref="B1:X3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33" sqref="F33"/>
    </sheetView>
  </sheetViews>
  <sheetFormatPr defaultRowHeight="18"/>
  <cols>
    <col min="2" max="2" width="10" bestFit="1" customWidth="1"/>
    <col min="3" max="3" width="3.19921875" bestFit="1" customWidth="1"/>
    <col min="22" max="22" width="13" bestFit="1" customWidth="1"/>
    <col min="23" max="23" width="15.19921875" bestFit="1" customWidth="1"/>
    <col min="24" max="24" width="13" bestFit="1" customWidth="1"/>
    <col min="25" max="25" width="9.69921875" bestFit="1" customWidth="1"/>
  </cols>
  <sheetData>
    <row r="1" spans="2:24" ht="18.600000000000001" thickBot="1"/>
    <row r="2" spans="2:24">
      <c r="B2" s="37"/>
      <c r="C2" s="38"/>
      <c r="D2" s="143" t="s">
        <v>9</v>
      </c>
      <c r="E2" s="144"/>
      <c r="F2" s="145" t="s">
        <v>14</v>
      </c>
      <c r="G2" s="146"/>
      <c r="H2" s="147"/>
      <c r="I2" s="147"/>
      <c r="J2" s="147"/>
      <c r="K2" s="147"/>
      <c r="L2" s="147"/>
      <c r="M2" s="147"/>
      <c r="N2" s="147"/>
      <c r="O2" s="148"/>
      <c r="P2" s="148"/>
      <c r="Q2" s="148"/>
      <c r="R2" s="149" t="s">
        <v>21</v>
      </c>
      <c r="S2" s="151" t="s">
        <v>22</v>
      </c>
      <c r="T2" s="138" t="s">
        <v>23</v>
      </c>
    </row>
    <row r="3" spans="2:24">
      <c r="B3" s="39"/>
      <c r="C3" s="19"/>
      <c r="D3" s="14" t="s">
        <v>7</v>
      </c>
      <c r="E3" s="15" t="s">
        <v>8</v>
      </c>
      <c r="F3" s="16" t="s">
        <v>10</v>
      </c>
      <c r="G3" s="17" t="s">
        <v>17</v>
      </c>
      <c r="H3" s="1" t="s">
        <v>11</v>
      </c>
      <c r="I3" s="1" t="s">
        <v>12</v>
      </c>
      <c r="J3" s="1" t="s">
        <v>13</v>
      </c>
      <c r="K3" s="1" t="s">
        <v>20</v>
      </c>
      <c r="L3" s="1" t="s">
        <v>16</v>
      </c>
      <c r="M3" s="1" t="s">
        <v>24</v>
      </c>
      <c r="N3" s="1" t="s">
        <v>19</v>
      </c>
      <c r="O3" s="47" t="s">
        <v>32</v>
      </c>
      <c r="P3" s="47" t="s">
        <v>31</v>
      </c>
      <c r="Q3" s="18" t="s">
        <v>8</v>
      </c>
      <c r="R3" s="150"/>
      <c r="S3" s="152"/>
      <c r="T3" s="139"/>
    </row>
    <row r="4" spans="2:24" ht="18.600000000000001" thickBot="1">
      <c r="B4" s="140" t="s">
        <v>18</v>
      </c>
      <c r="C4" s="141"/>
      <c r="D4" s="20">
        <v>216000</v>
      </c>
      <c r="E4" s="21">
        <v>0</v>
      </c>
      <c r="F4" s="22">
        <f>30000</f>
        <v>30000</v>
      </c>
      <c r="G4" s="23">
        <f>700*23</f>
        <v>16100</v>
      </c>
      <c r="H4" s="24">
        <v>3500</v>
      </c>
      <c r="I4" s="24">
        <v>5000</v>
      </c>
      <c r="J4" s="24">
        <v>2500</v>
      </c>
      <c r="K4" s="24">
        <v>4000</v>
      </c>
      <c r="L4" s="24">
        <v>5000</v>
      </c>
      <c r="M4" s="24">
        <v>9000</v>
      </c>
      <c r="N4" s="24">
        <v>20000</v>
      </c>
      <c r="O4" s="25">
        <v>3000</v>
      </c>
      <c r="P4" s="25">
        <v>0</v>
      </c>
      <c r="Q4" s="25">
        <f>40000</f>
        <v>40000</v>
      </c>
      <c r="R4" s="26">
        <f t="shared" ref="R4:R34" si="0">SUM($D4:$E4)</f>
        <v>216000</v>
      </c>
      <c r="S4" s="36">
        <f t="shared" ref="S4:S34" si="1">SUM($F4:$Q4)</f>
        <v>138100</v>
      </c>
      <c r="T4" s="30">
        <f>R4-S4</f>
        <v>77900</v>
      </c>
    </row>
    <row r="5" spans="2:24" ht="18.600000000000001" thickTop="1">
      <c r="B5" s="40">
        <v>45194</v>
      </c>
      <c r="C5" s="2" t="s">
        <v>36</v>
      </c>
      <c r="D5" s="4">
        <v>208793</v>
      </c>
      <c r="E5" s="5">
        <v>0</v>
      </c>
      <c r="F5" s="4">
        <v>0</v>
      </c>
      <c r="G5" s="6">
        <v>700</v>
      </c>
      <c r="H5" s="6">
        <v>0</v>
      </c>
      <c r="I5" s="6">
        <v>0</v>
      </c>
      <c r="J5" s="6">
        <v>0</v>
      </c>
      <c r="K5" s="6">
        <v>1200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11">
        <v>110</v>
      </c>
      <c r="R5" s="28">
        <f t="shared" si="0"/>
        <v>208793</v>
      </c>
      <c r="S5" s="33">
        <f t="shared" si="1"/>
        <v>2010</v>
      </c>
      <c r="T5" s="31">
        <f>'0825_0924'!R35+SUM(R5)-SUM(S5)</f>
        <v>743188.96</v>
      </c>
    </row>
    <row r="6" spans="2:24">
      <c r="B6" s="40">
        <v>45195</v>
      </c>
      <c r="C6" s="2" t="s">
        <v>53</v>
      </c>
      <c r="D6" s="4">
        <v>0</v>
      </c>
      <c r="E6" s="5">
        <v>0</v>
      </c>
      <c r="F6" s="4">
        <v>0</v>
      </c>
      <c r="G6" s="6">
        <v>700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11">
        <v>0</v>
      </c>
      <c r="R6" s="28">
        <f t="shared" si="0"/>
        <v>0</v>
      </c>
      <c r="S6" s="33">
        <f t="shared" si="1"/>
        <v>700</v>
      </c>
      <c r="T6" s="31">
        <f>T5+SUM(R6)-SUM(S6)</f>
        <v>742488.96</v>
      </c>
    </row>
    <row r="7" spans="2:24">
      <c r="B7" s="40">
        <v>45196</v>
      </c>
      <c r="C7" s="2" t="s">
        <v>4</v>
      </c>
      <c r="D7" s="4">
        <v>0</v>
      </c>
      <c r="E7" s="5">
        <v>0</v>
      </c>
      <c r="F7" s="4">
        <v>0</v>
      </c>
      <c r="G7" s="6">
        <v>700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6881</v>
      </c>
      <c r="N7" s="6">
        <v>0</v>
      </c>
      <c r="O7" s="6">
        <v>0</v>
      </c>
      <c r="P7" s="6">
        <v>0</v>
      </c>
      <c r="Q7" s="11">
        <f>5212+34800+500+1375</f>
        <v>41887</v>
      </c>
      <c r="R7" s="28">
        <f t="shared" si="0"/>
        <v>0</v>
      </c>
      <c r="S7" s="33">
        <f t="shared" si="1"/>
        <v>49468</v>
      </c>
      <c r="T7" s="31">
        <f>T6+SUM(R7)-SUM(S7)</f>
        <v>693020.96</v>
      </c>
    </row>
    <row r="8" spans="2:24">
      <c r="B8" s="40">
        <v>45197</v>
      </c>
      <c r="C8" s="2" t="s">
        <v>5</v>
      </c>
      <c r="D8" s="4">
        <v>0</v>
      </c>
      <c r="E8" s="5">
        <v>0</v>
      </c>
      <c r="F8" s="4">
        <v>0</v>
      </c>
      <c r="G8" s="6">
        <v>700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11">
        <v>0</v>
      </c>
      <c r="R8" s="27">
        <f t="shared" si="0"/>
        <v>0</v>
      </c>
      <c r="S8" s="35">
        <f t="shared" si="1"/>
        <v>700</v>
      </c>
      <c r="T8" s="31">
        <f t="shared" ref="T8:T34" si="2">T7+SUM(R8)-SUM(S8)</f>
        <v>692320.96</v>
      </c>
    </row>
    <row r="9" spans="2:24">
      <c r="B9" s="40">
        <v>45198</v>
      </c>
      <c r="C9" s="2" t="s">
        <v>6</v>
      </c>
      <c r="D9" s="4">
        <v>0</v>
      </c>
      <c r="E9" s="5">
        <v>0</v>
      </c>
      <c r="F9" s="4">
        <v>0</v>
      </c>
      <c r="G9" s="6">
        <v>700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11">
        <v>0</v>
      </c>
      <c r="R9" s="28">
        <f t="shared" si="0"/>
        <v>0</v>
      </c>
      <c r="S9" s="33">
        <f t="shared" si="1"/>
        <v>700</v>
      </c>
      <c r="T9" s="31">
        <f t="shared" si="2"/>
        <v>691620.96</v>
      </c>
    </row>
    <row r="10" spans="2:24">
      <c r="B10" s="40">
        <v>45199</v>
      </c>
      <c r="C10" s="2" t="s">
        <v>0</v>
      </c>
      <c r="D10" s="4">
        <v>0</v>
      </c>
      <c r="E10" s="5">
        <v>0</v>
      </c>
      <c r="F10" s="4">
        <f>948+75</f>
        <v>1023</v>
      </c>
      <c r="G10" s="6">
        <v>0</v>
      </c>
      <c r="H10" s="6">
        <v>0</v>
      </c>
      <c r="I10" s="6">
        <v>1794</v>
      </c>
      <c r="J10" s="6">
        <v>0</v>
      </c>
      <c r="K10" s="6">
        <v>110</v>
      </c>
      <c r="L10" s="6">
        <v>0</v>
      </c>
      <c r="M10" s="6">
        <v>0</v>
      </c>
      <c r="N10" s="6">
        <v>6215</v>
      </c>
      <c r="O10" s="6">
        <v>0</v>
      </c>
      <c r="P10" s="6">
        <v>0</v>
      </c>
      <c r="Q10" s="11">
        <v>0</v>
      </c>
      <c r="R10" s="28">
        <f t="shared" si="0"/>
        <v>0</v>
      </c>
      <c r="S10" s="33">
        <f t="shared" si="1"/>
        <v>9142</v>
      </c>
      <c r="T10" s="31">
        <f t="shared" si="2"/>
        <v>682478.96</v>
      </c>
    </row>
    <row r="11" spans="2:24">
      <c r="B11" s="40">
        <v>45200</v>
      </c>
      <c r="C11" s="2" t="s">
        <v>1</v>
      </c>
      <c r="D11" s="4">
        <v>0</v>
      </c>
      <c r="E11" s="5">
        <v>3</v>
      </c>
      <c r="F11" s="4">
        <f>2696+215</f>
        <v>2911</v>
      </c>
      <c r="G11" s="6">
        <v>0</v>
      </c>
      <c r="H11" s="6">
        <v>0</v>
      </c>
      <c r="I11" s="6">
        <v>0</v>
      </c>
      <c r="J11" s="6">
        <v>0</v>
      </c>
      <c r="K11" s="6">
        <f>1952+195</f>
        <v>2147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11">
        <v>0</v>
      </c>
      <c r="R11" s="28">
        <f t="shared" si="0"/>
        <v>3</v>
      </c>
      <c r="S11" s="33">
        <f t="shared" si="1"/>
        <v>5058</v>
      </c>
      <c r="T11" s="31">
        <f t="shared" si="2"/>
        <v>677423.96</v>
      </c>
    </row>
    <row r="12" spans="2:24">
      <c r="B12" s="40">
        <v>45201</v>
      </c>
      <c r="C12" s="2" t="s">
        <v>2</v>
      </c>
      <c r="D12" s="3">
        <v>0</v>
      </c>
      <c r="E12" s="63">
        <v>0</v>
      </c>
      <c r="F12" s="3">
        <v>0</v>
      </c>
      <c r="G12" s="64">
        <v>700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11">
        <v>0</v>
      </c>
      <c r="R12" s="27">
        <f t="shared" si="0"/>
        <v>0</v>
      </c>
      <c r="S12" s="35">
        <f t="shared" si="1"/>
        <v>700</v>
      </c>
      <c r="T12" s="31">
        <f t="shared" si="2"/>
        <v>676723.96</v>
      </c>
    </row>
    <row r="13" spans="2:24" ht="18.600000000000001" thickBot="1">
      <c r="B13" s="40">
        <v>45202</v>
      </c>
      <c r="C13" s="2" t="s">
        <v>3</v>
      </c>
      <c r="D13" s="3">
        <v>0</v>
      </c>
      <c r="E13" s="63">
        <v>0</v>
      </c>
      <c r="F13" s="4">
        <f>5*520</f>
        <v>2600</v>
      </c>
      <c r="G13" s="6">
        <v>700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11">
        <v>0</v>
      </c>
      <c r="R13" s="28">
        <f t="shared" si="0"/>
        <v>0</v>
      </c>
      <c r="S13" s="33">
        <f t="shared" si="1"/>
        <v>3300</v>
      </c>
      <c r="T13" s="31">
        <f t="shared" si="2"/>
        <v>673423.96</v>
      </c>
    </row>
    <row r="14" spans="2:24">
      <c r="B14" s="40">
        <v>45203</v>
      </c>
      <c r="C14" s="2" t="s">
        <v>4</v>
      </c>
      <c r="D14" s="3">
        <v>0</v>
      </c>
      <c r="E14" s="63">
        <v>0</v>
      </c>
      <c r="F14" s="4">
        <v>0</v>
      </c>
      <c r="G14" s="6">
        <v>700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11">
        <v>0</v>
      </c>
      <c r="R14" s="28">
        <f t="shared" si="0"/>
        <v>0</v>
      </c>
      <c r="S14" s="33">
        <f t="shared" si="1"/>
        <v>700</v>
      </c>
      <c r="T14" s="31">
        <f t="shared" si="2"/>
        <v>672723.96</v>
      </c>
      <c r="V14" s="58" t="s">
        <v>29</v>
      </c>
      <c r="W14" s="42" t="s">
        <v>25</v>
      </c>
      <c r="X14" s="43">
        <v>629573</v>
      </c>
    </row>
    <row r="15" spans="2:24">
      <c r="B15" s="40">
        <v>45204</v>
      </c>
      <c r="C15" s="2" t="s">
        <v>5</v>
      </c>
      <c r="D15" s="3">
        <v>0</v>
      </c>
      <c r="E15" s="63">
        <v>0</v>
      </c>
      <c r="F15" s="4">
        <v>2360</v>
      </c>
      <c r="G15" s="6">
        <v>700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f>3386</f>
        <v>3386</v>
      </c>
      <c r="O15" s="6">
        <v>0</v>
      </c>
      <c r="P15" s="6">
        <v>0</v>
      </c>
      <c r="Q15" s="11">
        <v>0</v>
      </c>
      <c r="R15" s="28">
        <f t="shared" si="0"/>
        <v>0</v>
      </c>
      <c r="S15" s="33">
        <f t="shared" si="1"/>
        <v>6446</v>
      </c>
      <c r="T15" s="31">
        <f>T14+SUM(R15)-SUM(S15)</f>
        <v>666277.96</v>
      </c>
      <c r="V15" s="52"/>
      <c r="W15" s="76" t="s">
        <v>35</v>
      </c>
      <c r="X15" s="63">
        <v>797</v>
      </c>
    </row>
    <row r="16" spans="2:24">
      <c r="B16" s="40">
        <v>45205</v>
      </c>
      <c r="C16" s="2" t="s">
        <v>6</v>
      </c>
      <c r="D16" s="3">
        <v>0</v>
      </c>
      <c r="E16" s="63">
        <v>0</v>
      </c>
      <c r="F16" s="4">
        <v>0</v>
      </c>
      <c r="G16" s="6">
        <v>700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11">
        <v>0</v>
      </c>
      <c r="R16" s="28">
        <f t="shared" si="0"/>
        <v>0</v>
      </c>
      <c r="S16" s="33">
        <f t="shared" si="1"/>
        <v>700</v>
      </c>
      <c r="T16" s="31">
        <f t="shared" si="2"/>
        <v>665577.96</v>
      </c>
      <c r="V16" s="52"/>
      <c r="W16" s="76" t="s">
        <v>34</v>
      </c>
      <c r="X16" s="63">
        <v>355</v>
      </c>
    </row>
    <row r="17" spans="2:24">
      <c r="B17" s="40">
        <v>45206</v>
      </c>
      <c r="C17" s="2" t="s">
        <v>0</v>
      </c>
      <c r="D17" s="3">
        <v>0</v>
      </c>
      <c r="E17" s="63">
        <v>0</v>
      </c>
      <c r="F17" s="4">
        <f>4429+354</f>
        <v>4783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f>201+20</f>
        <v>221</v>
      </c>
      <c r="M17" s="6">
        <v>0</v>
      </c>
      <c r="N17" s="6">
        <v>0</v>
      </c>
      <c r="O17" s="6">
        <v>0</v>
      </c>
      <c r="P17" s="6">
        <v>0</v>
      </c>
      <c r="Q17" s="11">
        <v>220</v>
      </c>
      <c r="R17" s="28">
        <f t="shared" si="0"/>
        <v>0</v>
      </c>
      <c r="S17" s="33">
        <f t="shared" si="1"/>
        <v>5224</v>
      </c>
      <c r="T17" s="31">
        <f t="shared" si="2"/>
        <v>660353.96</v>
      </c>
      <c r="V17" s="52"/>
      <c r="W17" s="41" t="s">
        <v>26</v>
      </c>
      <c r="X17" s="5">
        <v>552</v>
      </c>
    </row>
    <row r="18" spans="2:24">
      <c r="B18" s="40">
        <v>45207</v>
      </c>
      <c r="C18" s="2" t="s">
        <v>1</v>
      </c>
      <c r="D18" s="3">
        <v>0</v>
      </c>
      <c r="E18" s="63">
        <v>0</v>
      </c>
      <c r="F18" s="4">
        <f>297+1550</f>
        <v>1847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28">
        <f t="shared" si="0"/>
        <v>0</v>
      </c>
      <c r="S18" s="33">
        <f t="shared" si="1"/>
        <v>1847</v>
      </c>
      <c r="T18" s="31">
        <f t="shared" si="2"/>
        <v>658506.96</v>
      </c>
      <c r="V18" s="52"/>
      <c r="W18" s="41" t="s">
        <v>27</v>
      </c>
      <c r="X18" s="5">
        <v>680</v>
      </c>
    </row>
    <row r="19" spans="2:24">
      <c r="B19" s="40">
        <v>45208</v>
      </c>
      <c r="C19" s="2" t="s">
        <v>2</v>
      </c>
      <c r="D19" s="3">
        <v>0</v>
      </c>
      <c r="E19" s="63">
        <v>0</v>
      </c>
      <c r="F19" s="4">
        <v>0</v>
      </c>
      <c r="G19" s="6">
        <v>700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28">
        <f t="shared" si="0"/>
        <v>0</v>
      </c>
      <c r="S19" s="33">
        <f t="shared" si="1"/>
        <v>700</v>
      </c>
      <c r="T19" s="31">
        <f t="shared" si="2"/>
        <v>657806.96</v>
      </c>
      <c r="V19" s="52"/>
      <c r="W19" s="41" t="s">
        <v>28</v>
      </c>
      <c r="X19" s="5">
        <v>315</v>
      </c>
    </row>
    <row r="20" spans="2:24" ht="18.600000000000001" thickBot="1">
      <c r="B20" s="40">
        <v>45209</v>
      </c>
      <c r="C20" s="2" t="s">
        <v>3</v>
      </c>
      <c r="D20" s="3">
        <v>0</v>
      </c>
      <c r="E20" s="63">
        <v>0</v>
      </c>
      <c r="F20" s="4">
        <v>0</v>
      </c>
      <c r="G20" s="6">
        <v>700</v>
      </c>
      <c r="H20" s="6">
        <v>4117</v>
      </c>
      <c r="I20" s="6">
        <v>0</v>
      </c>
      <c r="J20" s="6">
        <v>0</v>
      </c>
      <c r="K20" s="6">
        <f>217</f>
        <v>217</v>
      </c>
      <c r="L20" s="6">
        <v>0</v>
      </c>
      <c r="M20" s="6">
        <f>2979</f>
        <v>2979</v>
      </c>
      <c r="N20" s="6"/>
      <c r="O20" s="6">
        <v>0</v>
      </c>
      <c r="P20" s="6">
        <v>0</v>
      </c>
      <c r="Q20" s="11">
        <f>858+5000+129</f>
        <v>5987</v>
      </c>
      <c r="R20" s="28">
        <f t="shared" si="0"/>
        <v>0</v>
      </c>
      <c r="S20" s="33">
        <f t="shared" si="1"/>
        <v>14000</v>
      </c>
      <c r="T20" s="31">
        <f t="shared" si="2"/>
        <v>643806.96</v>
      </c>
      <c r="V20" s="53"/>
      <c r="W20" s="44" t="s">
        <v>30</v>
      </c>
      <c r="X20" s="45">
        <v>7392</v>
      </c>
    </row>
    <row r="21" spans="2:24" ht="19.2" thickTop="1" thickBot="1">
      <c r="B21" s="40">
        <v>45210</v>
      </c>
      <c r="C21" s="2" t="s">
        <v>4</v>
      </c>
      <c r="D21" s="3">
        <v>0</v>
      </c>
      <c r="E21" s="63">
        <v>0</v>
      </c>
      <c r="F21" s="4">
        <f>5200</f>
        <v>5200</v>
      </c>
      <c r="G21" s="6">
        <v>700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28">
        <f t="shared" si="0"/>
        <v>0</v>
      </c>
      <c r="S21" s="33">
        <f t="shared" si="1"/>
        <v>5900</v>
      </c>
      <c r="T21" s="31">
        <f t="shared" si="2"/>
        <v>637906.96</v>
      </c>
      <c r="V21" s="49" t="s">
        <v>15</v>
      </c>
      <c r="W21" s="50"/>
      <c r="X21" s="46">
        <f>SUM(X14:X20)</f>
        <v>639664</v>
      </c>
    </row>
    <row r="22" spans="2:24">
      <c r="B22" s="40">
        <v>45211</v>
      </c>
      <c r="C22" s="2" t="s">
        <v>5</v>
      </c>
      <c r="D22" s="3">
        <v>0</v>
      </c>
      <c r="E22" s="63">
        <v>0</v>
      </c>
      <c r="F22" s="4">
        <v>0</v>
      </c>
      <c r="G22" s="6">
        <v>700</v>
      </c>
      <c r="H22" s="6">
        <v>0</v>
      </c>
      <c r="I22" s="6">
        <v>0</v>
      </c>
      <c r="J22" s="6">
        <v>4922</v>
      </c>
      <c r="K22" s="6">
        <f>382</f>
        <v>382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28">
        <f t="shared" si="0"/>
        <v>0</v>
      </c>
      <c r="S22" s="33">
        <f t="shared" si="1"/>
        <v>6004</v>
      </c>
      <c r="T22" s="31">
        <f t="shared" si="2"/>
        <v>631902.96</v>
      </c>
    </row>
    <row r="23" spans="2:24">
      <c r="B23" s="40">
        <v>45212</v>
      </c>
      <c r="C23" s="2" t="s">
        <v>6</v>
      </c>
      <c r="D23" s="3">
        <v>0</v>
      </c>
      <c r="E23" s="63">
        <v>0</v>
      </c>
      <c r="F23" s="4">
        <v>0</v>
      </c>
      <c r="G23" s="6">
        <v>700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28">
        <f t="shared" si="0"/>
        <v>0</v>
      </c>
      <c r="S23" s="33">
        <f t="shared" si="1"/>
        <v>700</v>
      </c>
      <c r="T23" s="31">
        <f t="shared" si="2"/>
        <v>631202.96</v>
      </c>
    </row>
    <row r="24" spans="2:24">
      <c r="B24" s="40">
        <v>45213</v>
      </c>
      <c r="C24" s="2" t="s">
        <v>0</v>
      </c>
      <c r="D24" s="3">
        <v>0</v>
      </c>
      <c r="E24" s="63">
        <f>109</f>
        <v>109</v>
      </c>
      <c r="F24" s="4">
        <f>3916+313</f>
        <v>4229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f>528+52</f>
        <v>580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28">
        <f t="shared" si="0"/>
        <v>109</v>
      </c>
      <c r="S24" s="33">
        <f t="shared" si="1"/>
        <v>4809</v>
      </c>
      <c r="T24" s="31">
        <f t="shared" si="2"/>
        <v>626502.96</v>
      </c>
    </row>
    <row r="25" spans="2:24">
      <c r="B25" s="40">
        <v>45214</v>
      </c>
      <c r="C25" s="2" t="s">
        <v>1</v>
      </c>
      <c r="D25" s="3">
        <v>0</v>
      </c>
      <c r="E25" s="63">
        <v>0</v>
      </c>
      <c r="F25" s="4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 t="s">
        <v>54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28">
        <f t="shared" si="0"/>
        <v>0</v>
      </c>
      <c r="S25" s="33">
        <f t="shared" si="1"/>
        <v>0</v>
      </c>
      <c r="T25" s="31">
        <f t="shared" si="2"/>
        <v>626502.96</v>
      </c>
    </row>
    <row r="26" spans="2:24">
      <c r="B26" s="40">
        <v>45215</v>
      </c>
      <c r="C26" s="2" t="s">
        <v>2</v>
      </c>
      <c r="D26" s="3">
        <v>0</v>
      </c>
      <c r="E26" s="63">
        <v>0</v>
      </c>
      <c r="F26" s="4">
        <f>888</f>
        <v>888</v>
      </c>
      <c r="G26" s="6">
        <v>700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28">
        <f t="shared" si="0"/>
        <v>0</v>
      </c>
      <c r="S26" s="33">
        <f t="shared" si="1"/>
        <v>1588</v>
      </c>
      <c r="T26" s="31">
        <f t="shared" si="2"/>
        <v>624914.96</v>
      </c>
    </row>
    <row r="27" spans="2:24">
      <c r="B27" s="40">
        <v>45216</v>
      </c>
      <c r="C27" s="2" t="s">
        <v>3</v>
      </c>
      <c r="D27" s="3">
        <v>0</v>
      </c>
      <c r="E27" s="63">
        <v>0</v>
      </c>
      <c r="F27" s="4">
        <f>2260</f>
        <v>2260</v>
      </c>
      <c r="G27" s="6">
        <v>700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28">
        <f t="shared" si="0"/>
        <v>0</v>
      </c>
      <c r="S27" s="33">
        <f t="shared" si="1"/>
        <v>2960</v>
      </c>
      <c r="T27" s="31">
        <f t="shared" si="2"/>
        <v>621954.96</v>
      </c>
    </row>
    <row r="28" spans="2:24">
      <c r="B28" s="40">
        <v>45217</v>
      </c>
      <c r="C28" s="2" t="s">
        <v>4</v>
      </c>
      <c r="D28" s="3">
        <v>0</v>
      </c>
      <c r="E28" s="63">
        <v>0</v>
      </c>
      <c r="F28" s="4">
        <v>0</v>
      </c>
      <c r="G28" s="6">
        <v>700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28">
        <f t="shared" si="0"/>
        <v>0</v>
      </c>
      <c r="S28" s="33">
        <f t="shared" si="1"/>
        <v>700</v>
      </c>
      <c r="T28" s="31">
        <f t="shared" si="2"/>
        <v>621254.96</v>
      </c>
    </row>
    <row r="29" spans="2:24">
      <c r="B29" s="40">
        <v>45218</v>
      </c>
      <c r="C29" s="2" t="s">
        <v>5</v>
      </c>
      <c r="D29" s="3">
        <v>0</v>
      </c>
      <c r="E29" s="63">
        <v>0</v>
      </c>
      <c r="F29" s="4">
        <f>2000</f>
        <v>2000</v>
      </c>
      <c r="G29" s="6">
        <v>700</v>
      </c>
      <c r="H29" s="6">
        <v>0</v>
      </c>
      <c r="I29" s="6">
        <v>0</v>
      </c>
      <c r="J29" s="6">
        <v>0</v>
      </c>
      <c r="K29" s="6">
        <f>492</f>
        <v>492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28">
        <f t="shared" si="0"/>
        <v>0</v>
      </c>
      <c r="S29" s="33">
        <f t="shared" si="1"/>
        <v>3192</v>
      </c>
      <c r="T29" s="31">
        <f t="shared" si="2"/>
        <v>618062.96</v>
      </c>
    </row>
    <row r="30" spans="2:24">
      <c r="B30" s="40">
        <v>45219</v>
      </c>
      <c r="C30" s="2" t="s">
        <v>6</v>
      </c>
      <c r="D30" s="3">
        <v>0</v>
      </c>
      <c r="E30" s="63">
        <v>0</v>
      </c>
      <c r="F30" s="4">
        <v>0</v>
      </c>
      <c r="G30" s="6">
        <v>700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28">
        <f t="shared" si="0"/>
        <v>0</v>
      </c>
      <c r="S30" s="33">
        <f t="shared" si="1"/>
        <v>700</v>
      </c>
      <c r="T30" s="31">
        <f t="shared" si="2"/>
        <v>617362.96</v>
      </c>
    </row>
    <row r="31" spans="2:24">
      <c r="B31" s="40">
        <v>45220</v>
      </c>
      <c r="C31" s="2" t="s">
        <v>0</v>
      </c>
      <c r="D31" s="3">
        <v>0</v>
      </c>
      <c r="E31" s="63">
        <v>0</v>
      </c>
      <c r="F31" s="4">
        <f>2906</f>
        <v>2906</v>
      </c>
      <c r="G31" s="13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28">
        <f t="shared" si="0"/>
        <v>0</v>
      </c>
      <c r="S31" s="33">
        <f t="shared" si="1"/>
        <v>2906</v>
      </c>
      <c r="T31" s="31">
        <f t="shared" si="2"/>
        <v>614456.96</v>
      </c>
    </row>
    <row r="32" spans="2:24">
      <c r="B32" s="40">
        <v>45221</v>
      </c>
      <c r="C32" s="2" t="s">
        <v>1</v>
      </c>
      <c r="D32" s="3">
        <v>0</v>
      </c>
      <c r="E32" s="63">
        <v>0</v>
      </c>
      <c r="F32" s="4">
        <f>2010+382</f>
        <v>2392</v>
      </c>
      <c r="G32" s="13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2300</v>
      </c>
      <c r="P32" s="6">
        <v>0</v>
      </c>
      <c r="Q32" s="6">
        <v>330</v>
      </c>
      <c r="R32" s="28">
        <f t="shared" si="0"/>
        <v>0</v>
      </c>
      <c r="S32" s="33">
        <f t="shared" si="1"/>
        <v>5022</v>
      </c>
      <c r="T32" s="31">
        <f t="shared" si="2"/>
        <v>609434.96</v>
      </c>
    </row>
    <row r="33" spans="2:20">
      <c r="B33" s="40">
        <v>45222</v>
      </c>
      <c r="C33" s="2" t="s">
        <v>2</v>
      </c>
      <c r="D33" s="3">
        <v>0</v>
      </c>
      <c r="E33" s="63">
        <v>0</v>
      </c>
      <c r="F33" s="4">
        <v>0</v>
      </c>
      <c r="G33" s="13">
        <v>700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11">
        <v>0</v>
      </c>
      <c r="R33" s="28">
        <f t="shared" si="0"/>
        <v>0</v>
      </c>
      <c r="S33" s="33">
        <f t="shared" si="1"/>
        <v>700</v>
      </c>
      <c r="T33" s="31">
        <f t="shared" si="2"/>
        <v>608734.96</v>
      </c>
    </row>
    <row r="34" spans="2:20" ht="18.600000000000001" thickBot="1">
      <c r="B34" s="40">
        <v>45223</v>
      </c>
      <c r="C34" s="2" t="s">
        <v>3</v>
      </c>
      <c r="D34" s="3">
        <v>0</v>
      </c>
      <c r="E34" s="63">
        <v>500</v>
      </c>
      <c r="F34" s="4">
        <v>2270</v>
      </c>
      <c r="G34" s="13">
        <v>700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11">
        <v>0</v>
      </c>
      <c r="R34" s="28">
        <f t="shared" si="0"/>
        <v>500</v>
      </c>
      <c r="S34" s="33">
        <f t="shared" si="1"/>
        <v>2970</v>
      </c>
      <c r="T34" s="31">
        <f t="shared" si="2"/>
        <v>606264.96</v>
      </c>
    </row>
    <row r="35" spans="2:20" ht="18.600000000000001" thickBot="1">
      <c r="B35" s="126" t="s">
        <v>15</v>
      </c>
      <c r="C35" s="142"/>
      <c r="D35" s="7">
        <f t="shared" ref="D35:Q35" si="3">SUM(D5:D34)</f>
        <v>208793</v>
      </c>
      <c r="E35" s="8">
        <f t="shared" si="3"/>
        <v>612</v>
      </c>
      <c r="F35" s="9">
        <f t="shared" si="3"/>
        <v>37669</v>
      </c>
      <c r="G35" s="10">
        <f t="shared" si="3"/>
        <v>15400</v>
      </c>
      <c r="H35" s="10">
        <f t="shared" si="3"/>
        <v>4117</v>
      </c>
      <c r="I35" s="10">
        <f t="shared" si="3"/>
        <v>1794</v>
      </c>
      <c r="J35" s="10">
        <f t="shared" si="3"/>
        <v>4922</v>
      </c>
      <c r="K35" s="10">
        <f t="shared" si="3"/>
        <v>4548</v>
      </c>
      <c r="L35" s="10">
        <f t="shared" si="3"/>
        <v>801</v>
      </c>
      <c r="M35" s="10">
        <f t="shared" si="3"/>
        <v>9860</v>
      </c>
      <c r="N35" s="10">
        <f t="shared" si="3"/>
        <v>9601</v>
      </c>
      <c r="O35" s="10">
        <f t="shared" si="3"/>
        <v>2300</v>
      </c>
      <c r="P35" s="10">
        <f t="shared" si="3"/>
        <v>0</v>
      </c>
      <c r="Q35" s="12">
        <f t="shared" si="3"/>
        <v>48534</v>
      </c>
      <c r="R35" s="29">
        <f>SUM(D35:E35)</f>
        <v>209405</v>
      </c>
      <c r="S35" s="34">
        <f>SUM(F35:Q35)</f>
        <v>139546</v>
      </c>
      <c r="T35" s="32">
        <f>R35-S35</f>
        <v>69859</v>
      </c>
    </row>
  </sheetData>
  <mergeCells count="7">
    <mergeCell ref="T2:T3"/>
    <mergeCell ref="B4:C4"/>
    <mergeCell ref="B35:C35"/>
    <mergeCell ref="D2:E2"/>
    <mergeCell ref="F2:Q2"/>
    <mergeCell ref="R2:R3"/>
    <mergeCell ref="S2:S3"/>
  </mergeCells>
  <phoneticPr fontId="2"/>
  <conditionalFormatting sqref="F35">
    <cfRule type="expression" dxfId="20" priority="2">
      <formula>$F$35&gt;$F$4</formula>
    </cfRule>
  </conditionalFormatting>
  <conditionalFormatting sqref="G35:P35">
    <cfRule type="expression" dxfId="19" priority="3">
      <formula>G$35&gt;G$4</formula>
    </cfRule>
  </conditionalFormatting>
  <conditionalFormatting sqref="Q35">
    <cfRule type="expression" dxfId="18" priority="1">
      <formula>$Q$35&gt;$Q$4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3A25-9329-42C8-BFC4-C83E4DAC71D4}">
  <dimension ref="B1:AB35"/>
  <sheetViews>
    <sheetView topLeftCell="B1" workbookViewId="0">
      <pane xSplit="2" ySplit="4" topLeftCell="D13" activePane="bottomRight" state="frozen"/>
      <selection activeCell="B1" sqref="B1"/>
      <selection pane="topRight" activeCell="D1" sqref="D1"/>
      <selection pane="bottomLeft" activeCell="B5" sqref="B5"/>
      <selection pane="bottomRight" activeCell="G5" sqref="G5:G34"/>
    </sheetView>
  </sheetViews>
  <sheetFormatPr defaultRowHeight="18"/>
  <cols>
    <col min="2" max="2" width="10" bestFit="1" customWidth="1"/>
    <col min="3" max="3" width="3.19921875" bestFit="1" customWidth="1"/>
    <col min="24" max="24" width="13" bestFit="1" customWidth="1"/>
    <col min="25" max="25" width="15.19921875" bestFit="1" customWidth="1"/>
    <col min="26" max="26" width="13" bestFit="1" customWidth="1"/>
    <col min="27" max="27" width="9.69921875" bestFit="1" customWidth="1"/>
  </cols>
  <sheetData>
    <row r="1" spans="2:26" ht="18.600000000000001" thickBot="1"/>
    <row r="2" spans="2:26">
      <c r="B2" s="37"/>
      <c r="C2" s="38"/>
      <c r="D2" s="143" t="s">
        <v>9</v>
      </c>
      <c r="E2" s="129"/>
      <c r="F2" s="144"/>
      <c r="G2" s="145" t="s">
        <v>14</v>
      </c>
      <c r="H2" s="146"/>
      <c r="I2" s="147"/>
      <c r="J2" s="147"/>
      <c r="K2" s="147"/>
      <c r="L2" s="147"/>
      <c r="M2" s="147"/>
      <c r="N2" s="147"/>
      <c r="O2" s="147"/>
      <c r="P2" s="148"/>
      <c r="Q2" s="148"/>
      <c r="R2" s="148"/>
      <c r="S2" s="148"/>
      <c r="T2" s="149" t="s">
        <v>21</v>
      </c>
      <c r="U2" s="151" t="s">
        <v>22</v>
      </c>
      <c r="V2" s="138" t="s">
        <v>23</v>
      </c>
    </row>
    <row r="3" spans="2:26">
      <c r="B3" s="39"/>
      <c r="C3" s="19"/>
      <c r="D3" s="14" t="s">
        <v>7</v>
      </c>
      <c r="E3" s="54" t="s">
        <v>33</v>
      </c>
      <c r="F3" s="15" t="s">
        <v>8</v>
      </c>
      <c r="G3" s="16" t="s">
        <v>10</v>
      </c>
      <c r="H3" s="17" t="s">
        <v>17</v>
      </c>
      <c r="I3" s="1" t="s">
        <v>11</v>
      </c>
      <c r="J3" s="1" t="s">
        <v>12</v>
      </c>
      <c r="K3" s="1" t="s">
        <v>13</v>
      </c>
      <c r="L3" s="1" t="s">
        <v>20</v>
      </c>
      <c r="M3" s="1" t="s">
        <v>16</v>
      </c>
      <c r="N3" s="1" t="s">
        <v>24</v>
      </c>
      <c r="O3" s="1" t="s">
        <v>19</v>
      </c>
      <c r="P3" s="47" t="s">
        <v>32</v>
      </c>
      <c r="Q3" s="47" t="s">
        <v>31</v>
      </c>
      <c r="R3" s="47" t="s">
        <v>33</v>
      </c>
      <c r="S3" s="18" t="s">
        <v>8</v>
      </c>
      <c r="T3" s="150"/>
      <c r="U3" s="152"/>
      <c r="V3" s="139"/>
    </row>
    <row r="4" spans="2:26" ht="18.600000000000001" thickBot="1">
      <c r="B4" s="140" t="s">
        <v>18</v>
      </c>
      <c r="C4" s="141"/>
      <c r="D4" s="20">
        <v>240000</v>
      </c>
      <c r="E4" s="55">
        <v>0</v>
      </c>
      <c r="F4" s="21">
        <v>0</v>
      </c>
      <c r="G4" s="22">
        <f>35000</f>
        <v>35000</v>
      </c>
      <c r="H4" s="23">
        <f>700*22</f>
        <v>15400</v>
      </c>
      <c r="I4" s="24">
        <v>4200</v>
      </c>
      <c r="J4" s="24">
        <v>2000</v>
      </c>
      <c r="K4" s="24">
        <v>4000</v>
      </c>
      <c r="L4" s="24">
        <v>4000</v>
      </c>
      <c r="M4" s="24">
        <v>1000</v>
      </c>
      <c r="N4" s="24">
        <v>8355</v>
      </c>
      <c r="O4" s="24">
        <v>30000</v>
      </c>
      <c r="P4" s="25">
        <v>2300</v>
      </c>
      <c r="Q4" s="25">
        <v>10000</v>
      </c>
      <c r="R4" s="25">
        <v>0</v>
      </c>
      <c r="S4" s="25">
        <v>48000</v>
      </c>
      <c r="T4" s="26">
        <f t="shared" ref="T4:T34" si="0">SUM($D4:$F4)</f>
        <v>240000</v>
      </c>
      <c r="U4" s="36">
        <f t="shared" ref="U4:U34" si="1">SUM($G4:$S4)</f>
        <v>164255</v>
      </c>
      <c r="V4" s="30">
        <f>T4-U4</f>
        <v>75745</v>
      </c>
    </row>
    <row r="5" spans="2:26" ht="18.600000000000001" thickTop="1">
      <c r="B5" s="40">
        <v>45224</v>
      </c>
      <c r="C5" s="2" t="s">
        <v>57</v>
      </c>
      <c r="D5" s="4">
        <v>244174</v>
      </c>
      <c r="E5" s="56">
        <v>0</v>
      </c>
      <c r="F5" s="5">
        <v>0</v>
      </c>
      <c r="G5" s="4">
        <f>657+300</f>
        <v>957</v>
      </c>
      <c r="H5" s="6">
        <v>700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11">
        <v>0</v>
      </c>
      <c r="S5" s="11">
        <v>300</v>
      </c>
      <c r="T5" s="28">
        <f t="shared" si="0"/>
        <v>244174</v>
      </c>
      <c r="U5" s="33">
        <f t="shared" si="1"/>
        <v>1957</v>
      </c>
      <c r="V5" s="31">
        <f>'0925_1024'!T34+SUM(T5)-SUM(U5)</f>
        <v>848481.96</v>
      </c>
    </row>
    <row r="6" spans="2:26">
      <c r="B6" s="40">
        <v>45225</v>
      </c>
      <c r="C6" s="2" t="s">
        <v>37</v>
      </c>
      <c r="D6" s="4">
        <v>0</v>
      </c>
      <c r="E6" s="56">
        <v>0</v>
      </c>
      <c r="F6" s="5">
        <v>0</v>
      </c>
      <c r="G6" s="4">
        <f>672+150</f>
        <v>822</v>
      </c>
      <c r="H6" s="6">
        <v>700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11">
        <v>0</v>
      </c>
      <c r="S6" s="11">
        <v>0</v>
      </c>
      <c r="T6" s="28">
        <f t="shared" si="0"/>
        <v>0</v>
      </c>
      <c r="U6" s="33">
        <f t="shared" si="1"/>
        <v>1522</v>
      </c>
      <c r="V6" s="31">
        <f>V5+SUM(T6)-SUM(U6)</f>
        <v>846959.96</v>
      </c>
      <c r="Y6" s="48"/>
    </row>
    <row r="7" spans="2:26">
      <c r="B7" s="40">
        <v>45226</v>
      </c>
      <c r="C7" s="2" t="s">
        <v>6</v>
      </c>
      <c r="D7" s="4">
        <v>0</v>
      </c>
      <c r="E7" s="56">
        <v>0</v>
      </c>
      <c r="F7" s="5">
        <v>0</v>
      </c>
      <c r="G7" s="4">
        <f>710+300</f>
        <v>1010</v>
      </c>
      <c r="H7" s="6">
        <v>700</v>
      </c>
      <c r="I7" s="6">
        <v>0</v>
      </c>
      <c r="J7" s="6">
        <v>3252</v>
      </c>
      <c r="K7" s="6">
        <v>0</v>
      </c>
      <c r="L7" s="6">
        <v>0</v>
      </c>
      <c r="M7" s="6">
        <v>0</v>
      </c>
      <c r="N7" s="6">
        <f>8355</f>
        <v>8355</v>
      </c>
      <c r="O7" s="6">
        <v>0</v>
      </c>
      <c r="P7" s="11">
        <v>0</v>
      </c>
      <c r="Q7" s="11">
        <v>8161</v>
      </c>
      <c r="R7" s="11">
        <v>0</v>
      </c>
      <c r="S7" s="11">
        <f>34500+5212</f>
        <v>39712</v>
      </c>
      <c r="T7" s="28">
        <f t="shared" si="0"/>
        <v>0</v>
      </c>
      <c r="U7" s="33">
        <f t="shared" si="1"/>
        <v>61190</v>
      </c>
      <c r="V7" s="31">
        <f>V6+SUM(T7)-SUM(U7)</f>
        <v>785769.96</v>
      </c>
    </row>
    <row r="8" spans="2:26">
      <c r="B8" s="40">
        <v>45227</v>
      </c>
      <c r="C8" s="2" t="s">
        <v>0</v>
      </c>
      <c r="D8" s="4">
        <v>0</v>
      </c>
      <c r="E8" s="56">
        <v>13292</v>
      </c>
      <c r="F8" s="5">
        <v>0</v>
      </c>
      <c r="G8" s="4">
        <f>2450+3224</f>
        <v>5674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11">
        <v>0</v>
      </c>
      <c r="Q8" s="11">
        <v>0</v>
      </c>
      <c r="R8" s="11">
        <v>0</v>
      </c>
      <c r="S8" s="11">
        <v>0</v>
      </c>
      <c r="T8" s="27">
        <f t="shared" si="0"/>
        <v>13292</v>
      </c>
      <c r="U8" s="35">
        <f t="shared" si="1"/>
        <v>5674</v>
      </c>
      <c r="V8" s="31">
        <f t="shared" ref="V8:V34" si="2">V7+SUM(T8)-SUM(U8)</f>
        <v>793387.96</v>
      </c>
    </row>
    <row r="9" spans="2:26">
      <c r="B9" s="40">
        <v>45228</v>
      </c>
      <c r="C9" s="2" t="s">
        <v>1</v>
      </c>
      <c r="D9" s="4">
        <v>0</v>
      </c>
      <c r="E9" s="56">
        <v>0</v>
      </c>
      <c r="F9" s="5">
        <v>0</v>
      </c>
      <c r="G9" s="4">
        <f>138+569</f>
        <v>707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11">
        <v>0</v>
      </c>
      <c r="T9" s="28">
        <f t="shared" si="0"/>
        <v>0</v>
      </c>
      <c r="U9" s="33">
        <f t="shared" si="1"/>
        <v>707</v>
      </c>
      <c r="V9" s="31">
        <f t="shared" si="2"/>
        <v>792680.95999999996</v>
      </c>
    </row>
    <row r="10" spans="2:26">
      <c r="B10" s="40">
        <v>45229</v>
      </c>
      <c r="C10" s="2" t="s">
        <v>2</v>
      </c>
      <c r="D10" s="4">
        <v>0</v>
      </c>
      <c r="E10" s="56">
        <v>0</v>
      </c>
      <c r="F10" s="5">
        <v>0</v>
      </c>
      <c r="G10" s="4">
        <f>150</f>
        <v>150</v>
      </c>
      <c r="H10" s="6">
        <v>700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11">
        <v>0</v>
      </c>
      <c r="T10" s="28">
        <f t="shared" si="0"/>
        <v>0</v>
      </c>
      <c r="U10" s="33">
        <f t="shared" si="1"/>
        <v>850</v>
      </c>
      <c r="V10" s="31">
        <f t="shared" si="2"/>
        <v>791830.96</v>
      </c>
    </row>
    <row r="11" spans="2:26">
      <c r="B11" s="40">
        <v>45230</v>
      </c>
      <c r="C11" s="2" t="s">
        <v>3</v>
      </c>
      <c r="D11" s="4">
        <v>0</v>
      </c>
      <c r="E11" s="56">
        <v>0</v>
      </c>
      <c r="F11" s="5">
        <v>0</v>
      </c>
      <c r="G11" s="4">
        <f>150</f>
        <v>150</v>
      </c>
      <c r="H11" s="6">
        <v>700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11">
        <v>0</v>
      </c>
      <c r="T11" s="28">
        <f t="shared" si="0"/>
        <v>0</v>
      </c>
      <c r="U11" s="33">
        <f t="shared" si="1"/>
        <v>850</v>
      </c>
      <c r="V11" s="31">
        <f t="shared" si="2"/>
        <v>790980.96</v>
      </c>
    </row>
    <row r="12" spans="2:26">
      <c r="B12" s="40">
        <v>45231</v>
      </c>
      <c r="C12" s="2" t="s">
        <v>4</v>
      </c>
      <c r="D12" s="4">
        <v>0</v>
      </c>
      <c r="E12" s="56">
        <v>0</v>
      </c>
      <c r="F12" s="5">
        <v>0</v>
      </c>
      <c r="G12" s="3">
        <f>2899+150</f>
        <v>3049</v>
      </c>
      <c r="H12" s="6">
        <v>700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11">
        <v>0</v>
      </c>
      <c r="T12" s="27">
        <f t="shared" si="0"/>
        <v>0</v>
      </c>
      <c r="U12" s="35">
        <f t="shared" si="1"/>
        <v>3749</v>
      </c>
      <c r="V12" s="31">
        <f t="shared" si="2"/>
        <v>787231.96</v>
      </c>
    </row>
    <row r="13" spans="2:26" ht="18.600000000000001" thickBot="1">
      <c r="B13" s="40">
        <v>45232</v>
      </c>
      <c r="C13" s="2" t="s">
        <v>5</v>
      </c>
      <c r="D13" s="4">
        <v>0</v>
      </c>
      <c r="E13" s="56">
        <v>0</v>
      </c>
      <c r="F13" s="5">
        <v>0</v>
      </c>
      <c r="G13" s="4">
        <f>150</f>
        <v>150</v>
      </c>
      <c r="H13" s="6">
        <v>700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11">
        <f>7519</f>
        <v>7519</v>
      </c>
      <c r="T13" s="28">
        <f t="shared" si="0"/>
        <v>0</v>
      </c>
      <c r="U13" s="33">
        <f t="shared" si="1"/>
        <v>8369</v>
      </c>
      <c r="V13" s="31">
        <f t="shared" si="2"/>
        <v>778862.96</v>
      </c>
    </row>
    <row r="14" spans="2:26">
      <c r="B14" s="40">
        <v>45233</v>
      </c>
      <c r="C14" s="2" t="s">
        <v>6</v>
      </c>
      <c r="D14" s="4">
        <v>0</v>
      </c>
      <c r="E14" s="56">
        <v>0</v>
      </c>
      <c r="F14" s="5">
        <v>0</v>
      </c>
      <c r="G14" s="4">
        <f>150</f>
        <v>150</v>
      </c>
      <c r="H14" s="6">
        <v>700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11">
        <v>0</v>
      </c>
      <c r="T14" s="28">
        <f t="shared" si="0"/>
        <v>0</v>
      </c>
      <c r="U14" s="33">
        <f t="shared" si="1"/>
        <v>850</v>
      </c>
      <c r="V14" s="31">
        <f t="shared" si="2"/>
        <v>778012.96</v>
      </c>
      <c r="X14" s="153" t="s">
        <v>39</v>
      </c>
      <c r="Y14" s="42" t="s">
        <v>41</v>
      </c>
      <c r="Z14" s="43">
        <v>62</v>
      </c>
    </row>
    <row r="15" spans="2:26">
      <c r="B15" s="40">
        <v>45234</v>
      </c>
      <c r="C15" s="2" t="s">
        <v>0</v>
      </c>
      <c r="D15" s="4">
        <v>0</v>
      </c>
      <c r="E15" s="56">
        <v>0</v>
      </c>
      <c r="F15" s="5">
        <v>0</v>
      </c>
      <c r="G15" s="4">
        <f>2860</f>
        <v>2860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11">
        <v>0</v>
      </c>
      <c r="T15" s="28">
        <f t="shared" si="0"/>
        <v>0</v>
      </c>
      <c r="U15" s="33">
        <f t="shared" si="1"/>
        <v>2860</v>
      </c>
      <c r="V15" s="31">
        <f>V14+SUM(T15)-SUM(U15)</f>
        <v>775152.96</v>
      </c>
      <c r="X15" s="154"/>
      <c r="Y15" s="41" t="s">
        <v>42</v>
      </c>
      <c r="Z15" s="5">
        <v>535</v>
      </c>
    </row>
    <row r="16" spans="2:26">
      <c r="B16" s="40">
        <v>45235</v>
      </c>
      <c r="C16" s="2" t="s">
        <v>1</v>
      </c>
      <c r="D16" s="4">
        <v>0</v>
      </c>
      <c r="E16" s="56">
        <v>0</v>
      </c>
      <c r="F16" s="5">
        <v>0</v>
      </c>
      <c r="G16" s="4">
        <f>3962-3</f>
        <v>3959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440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11">
        <v>3</v>
      </c>
      <c r="T16" s="28">
        <f t="shared" si="0"/>
        <v>0</v>
      </c>
      <c r="U16" s="33">
        <f t="shared" si="1"/>
        <v>4402</v>
      </c>
      <c r="V16" s="31">
        <f t="shared" si="2"/>
        <v>770750.96</v>
      </c>
      <c r="X16" s="154"/>
      <c r="Y16" s="41" t="s">
        <v>43</v>
      </c>
      <c r="Z16" s="5">
        <v>0</v>
      </c>
    </row>
    <row r="17" spans="2:28">
      <c r="B17" s="40">
        <v>45236</v>
      </c>
      <c r="C17" s="2" t="s">
        <v>2</v>
      </c>
      <c r="D17" s="4">
        <v>0</v>
      </c>
      <c r="E17" s="56">
        <v>0</v>
      </c>
      <c r="F17" s="5">
        <v>0</v>
      </c>
      <c r="G17" s="4">
        <f>150</f>
        <v>150</v>
      </c>
      <c r="H17" s="6">
        <v>700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11">
        <v>0</v>
      </c>
      <c r="T17" s="28">
        <f t="shared" si="0"/>
        <v>0</v>
      </c>
      <c r="U17" s="33">
        <f t="shared" si="1"/>
        <v>850</v>
      </c>
      <c r="V17" s="31">
        <f t="shared" si="2"/>
        <v>769900.96</v>
      </c>
      <c r="X17" s="154"/>
      <c r="Y17" s="41" t="s">
        <v>44</v>
      </c>
      <c r="Z17" s="5">
        <v>23</v>
      </c>
    </row>
    <row r="18" spans="2:28">
      <c r="B18" s="40">
        <v>45237</v>
      </c>
      <c r="C18" s="2" t="s">
        <v>3</v>
      </c>
      <c r="D18" s="4">
        <v>0</v>
      </c>
      <c r="E18" s="56">
        <v>0</v>
      </c>
      <c r="F18" s="5">
        <v>0</v>
      </c>
      <c r="G18" s="4">
        <f>150</f>
        <v>150</v>
      </c>
      <c r="H18" s="6">
        <v>700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11">
        <v>0</v>
      </c>
      <c r="T18" s="28">
        <f t="shared" si="0"/>
        <v>0</v>
      </c>
      <c r="U18" s="33">
        <f t="shared" si="1"/>
        <v>850</v>
      </c>
      <c r="V18" s="31">
        <f t="shared" si="2"/>
        <v>769050.96</v>
      </c>
      <c r="X18" s="154"/>
      <c r="Y18" s="41" t="s">
        <v>45</v>
      </c>
      <c r="Z18" s="5">
        <v>169</v>
      </c>
    </row>
    <row r="19" spans="2:28">
      <c r="B19" s="40">
        <v>45238</v>
      </c>
      <c r="C19" s="2" t="s">
        <v>4</v>
      </c>
      <c r="D19" s="4">
        <v>0</v>
      </c>
      <c r="E19" s="56">
        <v>0</v>
      </c>
      <c r="F19" s="5">
        <v>0</v>
      </c>
      <c r="G19" s="4">
        <f>150+2310</f>
        <v>2460</v>
      </c>
      <c r="H19" s="6">
        <v>700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11">
        <v>0</v>
      </c>
      <c r="T19" s="28">
        <f t="shared" si="0"/>
        <v>0</v>
      </c>
      <c r="U19" s="33">
        <f t="shared" si="1"/>
        <v>3160</v>
      </c>
      <c r="V19" s="31">
        <f t="shared" si="2"/>
        <v>765890.96</v>
      </c>
      <c r="X19" s="78" t="s">
        <v>29</v>
      </c>
      <c r="Y19" s="41" t="s">
        <v>25</v>
      </c>
      <c r="Z19" s="5">
        <v>741938</v>
      </c>
    </row>
    <row r="20" spans="2:28">
      <c r="B20" s="40">
        <v>45239</v>
      </c>
      <c r="C20" s="2" t="s">
        <v>5</v>
      </c>
      <c r="D20" s="4">
        <v>0</v>
      </c>
      <c r="E20" s="56">
        <v>0</v>
      </c>
      <c r="F20" s="5">
        <v>0</v>
      </c>
      <c r="G20" s="4">
        <f>150+618+5200</f>
        <v>5968</v>
      </c>
      <c r="H20" s="6">
        <v>700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11">
        <v>0</v>
      </c>
      <c r="T20" s="28">
        <f t="shared" si="0"/>
        <v>0</v>
      </c>
      <c r="U20" s="33">
        <f t="shared" si="1"/>
        <v>6668</v>
      </c>
      <c r="V20" s="31">
        <f t="shared" si="2"/>
        <v>759222.96</v>
      </c>
      <c r="X20" s="52"/>
      <c r="Y20" s="41" t="s">
        <v>34</v>
      </c>
      <c r="Z20" s="5">
        <f>25000+265</f>
        <v>25265</v>
      </c>
    </row>
    <row r="21" spans="2:28">
      <c r="B21" s="40">
        <v>45240</v>
      </c>
      <c r="C21" s="2" t="s">
        <v>6</v>
      </c>
      <c r="D21" s="4">
        <v>0</v>
      </c>
      <c r="E21" s="56">
        <v>0</v>
      </c>
      <c r="F21" s="5">
        <v>0</v>
      </c>
      <c r="G21" s="4">
        <f>150+847</f>
        <v>997</v>
      </c>
      <c r="H21" s="6">
        <v>700</v>
      </c>
      <c r="I21" s="6">
        <f>3896</f>
        <v>3896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11">
        <v>0</v>
      </c>
      <c r="T21" s="28">
        <f t="shared" si="0"/>
        <v>0</v>
      </c>
      <c r="U21" s="33">
        <f t="shared" si="1"/>
        <v>5593</v>
      </c>
      <c r="V21" s="31">
        <f t="shared" si="2"/>
        <v>753629.96</v>
      </c>
      <c r="X21" s="52"/>
      <c r="Y21" s="41" t="s">
        <v>35</v>
      </c>
      <c r="Z21" s="5">
        <v>18830</v>
      </c>
    </row>
    <row r="22" spans="2:28">
      <c r="B22" s="40">
        <v>45241</v>
      </c>
      <c r="C22" s="2" t="s">
        <v>0</v>
      </c>
      <c r="D22" s="4">
        <v>0</v>
      </c>
      <c r="E22" s="56">
        <v>0</v>
      </c>
      <c r="F22" s="5">
        <v>0</v>
      </c>
      <c r="G22" s="4">
        <f>3669+2310</f>
        <v>5979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5500</v>
      </c>
      <c r="P22" s="6">
        <v>0</v>
      </c>
      <c r="Q22" s="6">
        <v>0</v>
      </c>
      <c r="R22" s="6">
        <v>0</v>
      </c>
      <c r="S22" s="11">
        <f>220</f>
        <v>220</v>
      </c>
      <c r="T22" s="28">
        <f t="shared" si="0"/>
        <v>0</v>
      </c>
      <c r="U22" s="33">
        <f t="shared" si="1"/>
        <v>11699</v>
      </c>
      <c r="V22" s="31">
        <f t="shared" si="2"/>
        <v>741930.96</v>
      </c>
      <c r="X22" s="52"/>
      <c r="Y22" s="41" t="s">
        <v>26</v>
      </c>
      <c r="Z22" s="5">
        <v>959</v>
      </c>
      <c r="AA22" s="51"/>
    </row>
    <row r="23" spans="2:28">
      <c r="B23" s="40">
        <v>45242</v>
      </c>
      <c r="C23" s="2" t="s">
        <v>1</v>
      </c>
      <c r="D23" s="4">
        <v>0</v>
      </c>
      <c r="E23" s="56">
        <v>0</v>
      </c>
      <c r="F23" s="5">
        <v>0</v>
      </c>
      <c r="G23" s="4">
        <f>534+1243</f>
        <v>1777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f>990</f>
        <v>990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11">
        <v>0</v>
      </c>
      <c r="T23" s="28">
        <f t="shared" si="0"/>
        <v>0</v>
      </c>
      <c r="U23" s="33">
        <f t="shared" si="1"/>
        <v>2767</v>
      </c>
      <c r="V23" s="31">
        <f t="shared" si="2"/>
        <v>739163.96</v>
      </c>
      <c r="X23" s="52"/>
      <c r="Y23" s="41" t="s">
        <v>27</v>
      </c>
      <c r="Z23" s="5">
        <v>4030</v>
      </c>
    </row>
    <row r="24" spans="2:28">
      <c r="B24" s="40">
        <v>45243</v>
      </c>
      <c r="C24" s="2" t="s">
        <v>2</v>
      </c>
      <c r="D24" s="4">
        <v>0</v>
      </c>
      <c r="E24" s="56">
        <v>0</v>
      </c>
      <c r="F24" s="5">
        <v>0</v>
      </c>
      <c r="G24" s="4">
        <f>150</f>
        <v>150</v>
      </c>
      <c r="H24" s="6">
        <v>700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11">
        <v>0</v>
      </c>
      <c r="T24" s="28">
        <f t="shared" si="0"/>
        <v>0</v>
      </c>
      <c r="U24" s="33">
        <f t="shared" si="1"/>
        <v>850</v>
      </c>
      <c r="V24" s="31">
        <f t="shared" si="2"/>
        <v>738313.96</v>
      </c>
      <c r="X24" s="52"/>
      <c r="Y24" s="41" t="s">
        <v>28</v>
      </c>
      <c r="Z24" s="5">
        <v>315</v>
      </c>
      <c r="AB24" s="51"/>
    </row>
    <row r="25" spans="2:28" ht="18.600000000000001" thickBot="1">
      <c r="B25" s="40">
        <v>45244</v>
      </c>
      <c r="C25" s="2" t="s">
        <v>3</v>
      </c>
      <c r="D25" s="4">
        <v>0</v>
      </c>
      <c r="E25" s="56">
        <v>0</v>
      </c>
      <c r="F25" s="5">
        <v>0</v>
      </c>
      <c r="G25" s="4">
        <f>150</f>
        <v>150</v>
      </c>
      <c r="H25" s="6">
        <v>700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11">
        <v>0</v>
      </c>
      <c r="T25" s="28">
        <f t="shared" si="0"/>
        <v>0</v>
      </c>
      <c r="U25" s="33">
        <f t="shared" si="1"/>
        <v>850</v>
      </c>
      <c r="V25" s="31">
        <f t="shared" si="2"/>
        <v>737463.96</v>
      </c>
      <c r="X25" s="53"/>
      <c r="Y25" s="44" t="s">
        <v>30</v>
      </c>
      <c r="Z25" s="45">
        <v>4486</v>
      </c>
    </row>
    <row r="26" spans="2:28" ht="19.2" thickTop="1" thickBot="1">
      <c r="B26" s="40">
        <v>45245</v>
      </c>
      <c r="C26" s="2" t="s">
        <v>4</v>
      </c>
      <c r="D26" s="4">
        <v>0</v>
      </c>
      <c r="E26" s="56">
        <v>0</v>
      </c>
      <c r="F26" s="5">
        <v>0</v>
      </c>
      <c r="G26" s="4">
        <f>971+150</f>
        <v>1121</v>
      </c>
      <c r="H26" s="6">
        <v>700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11">
        <f>3346</f>
        <v>3346</v>
      </c>
      <c r="T26" s="28">
        <f t="shared" si="0"/>
        <v>0</v>
      </c>
      <c r="U26" s="33">
        <f t="shared" si="1"/>
        <v>5167</v>
      </c>
      <c r="V26" s="31">
        <f t="shared" si="2"/>
        <v>732296.96</v>
      </c>
      <c r="X26" s="49" t="s">
        <v>15</v>
      </c>
      <c r="Y26" s="50"/>
      <c r="Z26" s="46">
        <f>SUM(Z14:Z25)</f>
        <v>796612</v>
      </c>
    </row>
    <row r="27" spans="2:28">
      <c r="B27" s="40">
        <v>45246</v>
      </c>
      <c r="C27" s="2" t="s">
        <v>5</v>
      </c>
      <c r="D27" s="4">
        <v>0</v>
      </c>
      <c r="E27" s="56">
        <v>0</v>
      </c>
      <c r="F27" s="5">
        <v>0</v>
      </c>
      <c r="G27" s="4">
        <f>150</f>
        <v>150</v>
      </c>
      <c r="H27" s="6">
        <v>700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11">
        <v>0</v>
      </c>
      <c r="T27" s="28">
        <f t="shared" si="0"/>
        <v>0</v>
      </c>
      <c r="U27" s="33">
        <f t="shared" si="1"/>
        <v>850</v>
      </c>
      <c r="V27" s="31">
        <f t="shared" si="2"/>
        <v>731446.96</v>
      </c>
    </row>
    <row r="28" spans="2:28">
      <c r="B28" s="40">
        <v>45247</v>
      </c>
      <c r="C28" s="2" t="s">
        <v>6</v>
      </c>
      <c r="D28" s="4">
        <v>0</v>
      </c>
      <c r="E28" s="56">
        <v>0</v>
      </c>
      <c r="F28" s="5">
        <v>0</v>
      </c>
      <c r="G28" s="4">
        <f>150</f>
        <v>150</v>
      </c>
      <c r="H28" s="6">
        <v>700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11">
        <v>0</v>
      </c>
      <c r="T28" s="28">
        <f t="shared" si="0"/>
        <v>0</v>
      </c>
      <c r="U28" s="33">
        <f t="shared" si="1"/>
        <v>850</v>
      </c>
      <c r="V28" s="31">
        <f t="shared" si="2"/>
        <v>730596.96</v>
      </c>
    </row>
    <row r="29" spans="2:28">
      <c r="B29" s="40">
        <v>45248</v>
      </c>
      <c r="C29" s="2" t="s">
        <v>0</v>
      </c>
      <c r="D29" s="4">
        <v>0</v>
      </c>
      <c r="E29" s="56">
        <v>0</v>
      </c>
      <c r="F29" s="5">
        <v>0</v>
      </c>
      <c r="G29" s="4">
        <f>2293+183+2310</f>
        <v>4786</v>
      </c>
      <c r="H29" s="13">
        <v>0</v>
      </c>
      <c r="I29" s="6">
        <v>0</v>
      </c>
      <c r="J29" s="6">
        <v>0</v>
      </c>
      <c r="K29" s="6">
        <v>0</v>
      </c>
      <c r="L29" s="6">
        <f>1463+146</f>
        <v>1609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11">
        <v>0</v>
      </c>
      <c r="T29" s="28">
        <f t="shared" si="0"/>
        <v>0</v>
      </c>
      <c r="U29" s="33">
        <f t="shared" si="1"/>
        <v>6395</v>
      </c>
      <c r="V29" s="31">
        <f t="shared" si="2"/>
        <v>724201.96</v>
      </c>
    </row>
    <row r="30" spans="2:28">
      <c r="B30" s="40">
        <v>45249</v>
      </c>
      <c r="C30" s="2" t="s">
        <v>1</v>
      </c>
      <c r="D30" s="4">
        <v>0</v>
      </c>
      <c r="E30" s="56">
        <v>0</v>
      </c>
      <c r="F30" s="5">
        <v>0</v>
      </c>
      <c r="G30" s="4">
        <f>1166</f>
        <v>1166</v>
      </c>
      <c r="H30" s="13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11">
        <v>330</v>
      </c>
      <c r="T30" s="28">
        <f t="shared" si="0"/>
        <v>0</v>
      </c>
      <c r="U30" s="33">
        <f t="shared" si="1"/>
        <v>1496</v>
      </c>
      <c r="V30" s="31">
        <f t="shared" si="2"/>
        <v>722705.96</v>
      </c>
    </row>
    <row r="31" spans="2:28">
      <c r="B31" s="40">
        <v>45250</v>
      </c>
      <c r="C31" s="2" t="s">
        <v>2</v>
      </c>
      <c r="D31" s="4">
        <v>0</v>
      </c>
      <c r="E31" s="56">
        <v>0</v>
      </c>
      <c r="F31" s="5">
        <v>0</v>
      </c>
      <c r="G31" s="4">
        <f>847+150</f>
        <v>997</v>
      </c>
      <c r="H31" s="13">
        <v>700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11">
        <v>6600</v>
      </c>
      <c r="Q31" s="6">
        <v>0</v>
      </c>
      <c r="R31" s="6">
        <v>0</v>
      </c>
      <c r="S31" s="11">
        <v>0</v>
      </c>
      <c r="T31" s="28">
        <f t="shared" si="0"/>
        <v>0</v>
      </c>
      <c r="U31" s="33">
        <f t="shared" si="1"/>
        <v>8297</v>
      </c>
      <c r="V31" s="31">
        <f t="shared" si="2"/>
        <v>714408.95999999996</v>
      </c>
    </row>
    <row r="32" spans="2:28">
      <c r="B32" s="40">
        <v>45251</v>
      </c>
      <c r="C32" s="2" t="s">
        <v>3</v>
      </c>
      <c r="D32" s="4">
        <v>0</v>
      </c>
      <c r="E32" s="56">
        <v>0</v>
      </c>
      <c r="F32" s="5">
        <v>0</v>
      </c>
      <c r="G32" s="4">
        <f>1739+150</f>
        <v>1889</v>
      </c>
      <c r="H32" s="13">
        <v>700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11">
        <v>0</v>
      </c>
      <c r="Q32" s="6">
        <v>0</v>
      </c>
      <c r="R32" s="6">
        <v>0</v>
      </c>
      <c r="S32" s="11">
        <v>0</v>
      </c>
      <c r="T32" s="28">
        <f t="shared" si="0"/>
        <v>0</v>
      </c>
      <c r="U32" s="33">
        <f t="shared" si="1"/>
        <v>2589</v>
      </c>
      <c r="V32" s="31">
        <f t="shared" si="2"/>
        <v>711819.96</v>
      </c>
    </row>
    <row r="33" spans="2:22">
      <c r="B33" s="40">
        <v>45252</v>
      </c>
      <c r="C33" s="2" t="s">
        <v>4</v>
      </c>
      <c r="D33" s="4">
        <v>0</v>
      </c>
      <c r="E33" s="56">
        <v>0</v>
      </c>
      <c r="F33" s="5">
        <v>0</v>
      </c>
      <c r="G33" s="4">
        <f>2220+150</f>
        <v>2370</v>
      </c>
      <c r="H33" s="13">
        <v>700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11">
        <v>0</v>
      </c>
      <c r="Q33" s="6">
        <v>0</v>
      </c>
      <c r="R33" s="6">
        <v>0</v>
      </c>
      <c r="S33" s="11">
        <v>0</v>
      </c>
      <c r="T33" s="28">
        <f t="shared" si="0"/>
        <v>0</v>
      </c>
      <c r="U33" s="33">
        <f t="shared" si="1"/>
        <v>3070</v>
      </c>
      <c r="V33" s="31">
        <f t="shared" si="2"/>
        <v>708749.96</v>
      </c>
    </row>
    <row r="34" spans="2:22" ht="18.600000000000001" thickBot="1">
      <c r="B34" s="40">
        <v>45253</v>
      </c>
      <c r="C34" s="2" t="s">
        <v>5</v>
      </c>
      <c r="D34" s="4">
        <v>0</v>
      </c>
      <c r="E34" s="56">
        <v>0</v>
      </c>
      <c r="F34" s="5">
        <v>0</v>
      </c>
      <c r="G34" s="4">
        <f>520+150</f>
        <v>670</v>
      </c>
      <c r="H34" s="13">
        <v>700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11">
        <v>0</v>
      </c>
      <c r="Q34" s="6">
        <v>0</v>
      </c>
      <c r="R34" s="6">
        <v>0</v>
      </c>
      <c r="S34" s="11">
        <v>0</v>
      </c>
      <c r="T34" s="28">
        <f t="shared" si="0"/>
        <v>0</v>
      </c>
      <c r="U34" s="33">
        <f t="shared" si="1"/>
        <v>1370</v>
      </c>
      <c r="V34" s="31">
        <f t="shared" si="2"/>
        <v>707379.96</v>
      </c>
    </row>
    <row r="35" spans="2:22" ht="18.600000000000001" thickBot="1">
      <c r="B35" s="126" t="s">
        <v>15</v>
      </c>
      <c r="C35" s="142"/>
      <c r="D35" s="7">
        <f>SUM(D5:D34)</f>
        <v>244174</v>
      </c>
      <c r="E35" s="75"/>
      <c r="F35" s="8">
        <f t="shared" ref="F35:Q35" si="3">SUM(F5:F34)</f>
        <v>0</v>
      </c>
      <c r="G35" s="9">
        <f t="shared" si="3"/>
        <v>50718</v>
      </c>
      <c r="H35" s="10">
        <f t="shared" si="3"/>
        <v>15400</v>
      </c>
      <c r="I35" s="10">
        <f t="shared" si="3"/>
        <v>3896</v>
      </c>
      <c r="J35" s="10">
        <f t="shared" si="3"/>
        <v>3252</v>
      </c>
      <c r="K35" s="10">
        <f t="shared" si="3"/>
        <v>0</v>
      </c>
      <c r="L35" s="10">
        <f t="shared" si="3"/>
        <v>1609</v>
      </c>
      <c r="M35" s="10">
        <f t="shared" si="3"/>
        <v>1430</v>
      </c>
      <c r="N35" s="10">
        <f t="shared" si="3"/>
        <v>8355</v>
      </c>
      <c r="O35" s="10">
        <f t="shared" si="3"/>
        <v>5500</v>
      </c>
      <c r="P35" s="10">
        <f t="shared" si="3"/>
        <v>6600</v>
      </c>
      <c r="Q35" s="10">
        <f t="shared" si="3"/>
        <v>8161</v>
      </c>
      <c r="R35" s="12">
        <f>SUM(R8:R34)</f>
        <v>0</v>
      </c>
      <c r="S35" s="12">
        <f>SUM(S5:S34)</f>
        <v>51430</v>
      </c>
      <c r="T35" s="29">
        <f>SUM(D35:F35)</f>
        <v>244174</v>
      </c>
      <c r="U35" s="34">
        <f>SUM(G35:S35)</f>
        <v>156351</v>
      </c>
      <c r="V35" s="32">
        <f>T35-U35</f>
        <v>87823</v>
      </c>
    </row>
  </sheetData>
  <mergeCells count="8">
    <mergeCell ref="X14:X18"/>
    <mergeCell ref="B35:C35"/>
    <mergeCell ref="D2:F2"/>
    <mergeCell ref="G2:S2"/>
    <mergeCell ref="T2:T3"/>
    <mergeCell ref="U2:U3"/>
    <mergeCell ref="V2:V3"/>
    <mergeCell ref="B4:C4"/>
  </mergeCells>
  <phoneticPr fontId="2"/>
  <conditionalFormatting sqref="G35">
    <cfRule type="expression" dxfId="17" priority="2">
      <formula>$G$35&gt;$G$4</formula>
    </cfRule>
  </conditionalFormatting>
  <conditionalFormatting sqref="H35:R35">
    <cfRule type="expression" dxfId="16" priority="3">
      <formula>H$35&gt;H$4</formula>
    </cfRule>
  </conditionalFormatting>
  <conditionalFormatting sqref="S35">
    <cfRule type="expression" dxfId="15" priority="1">
      <formula>$S$35&gt;$S$4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59CE-2C14-495A-88BC-7D09633EA6C4}">
  <dimension ref="B1:AC36"/>
  <sheetViews>
    <sheetView workbookViewId="0">
      <pane xSplit="3" ySplit="4" topLeftCell="E15" activePane="bottomRight" state="frozen"/>
      <selection pane="topRight" activeCell="D1" sqref="D1"/>
      <selection pane="bottomLeft" activeCell="A5" sqref="A5"/>
      <selection pane="bottomRight" activeCell="G5" sqref="G5:G35"/>
    </sheetView>
  </sheetViews>
  <sheetFormatPr defaultRowHeight="18"/>
  <cols>
    <col min="1" max="1" width="3.09765625" customWidth="1"/>
    <col min="2" max="2" width="10" bestFit="1" customWidth="1"/>
    <col min="3" max="3" width="3.19921875" bestFit="1" customWidth="1"/>
    <col min="7" max="22" width="8.8984375" bestFit="1" customWidth="1"/>
    <col min="23" max="23" width="9.8984375" bestFit="1" customWidth="1"/>
    <col min="25" max="25" width="13" bestFit="1" customWidth="1"/>
    <col min="26" max="26" width="15.19921875" bestFit="1" customWidth="1"/>
    <col min="27" max="27" width="13" bestFit="1" customWidth="1"/>
    <col min="28" max="28" width="9.69921875" bestFit="1" customWidth="1"/>
  </cols>
  <sheetData>
    <row r="1" spans="2:27" ht="18.600000000000001" thickBot="1"/>
    <row r="2" spans="2:27">
      <c r="B2" s="37"/>
      <c r="C2" s="38"/>
      <c r="D2" s="143" t="s">
        <v>9</v>
      </c>
      <c r="E2" s="129"/>
      <c r="F2" s="144"/>
      <c r="G2" s="145" t="s">
        <v>14</v>
      </c>
      <c r="H2" s="146"/>
      <c r="I2" s="147"/>
      <c r="J2" s="147"/>
      <c r="K2" s="147"/>
      <c r="L2" s="147"/>
      <c r="M2" s="147"/>
      <c r="N2" s="147"/>
      <c r="O2" s="147"/>
      <c r="P2" s="148"/>
      <c r="Q2" s="148"/>
      <c r="R2" s="148"/>
      <c r="S2" s="148"/>
      <c r="T2" s="148"/>
      <c r="U2" s="149" t="s">
        <v>21</v>
      </c>
      <c r="V2" s="151" t="s">
        <v>22</v>
      </c>
      <c r="W2" s="138" t="s">
        <v>23</v>
      </c>
    </row>
    <row r="3" spans="2:27">
      <c r="B3" s="39"/>
      <c r="C3" s="19"/>
      <c r="D3" s="14" t="s">
        <v>7</v>
      </c>
      <c r="E3" s="54" t="s">
        <v>33</v>
      </c>
      <c r="F3" s="15" t="s">
        <v>8</v>
      </c>
      <c r="G3" s="16" t="s">
        <v>10</v>
      </c>
      <c r="H3" s="17" t="s">
        <v>17</v>
      </c>
      <c r="I3" s="1" t="s">
        <v>11</v>
      </c>
      <c r="J3" s="1" t="s">
        <v>12</v>
      </c>
      <c r="K3" s="1" t="s">
        <v>13</v>
      </c>
      <c r="L3" s="1" t="s">
        <v>20</v>
      </c>
      <c r="M3" s="1" t="s">
        <v>16</v>
      </c>
      <c r="N3" s="1" t="s">
        <v>24</v>
      </c>
      <c r="O3" s="1" t="s">
        <v>19</v>
      </c>
      <c r="P3" s="47" t="s">
        <v>55</v>
      </c>
      <c r="Q3" s="47" t="s">
        <v>32</v>
      </c>
      <c r="R3" s="47" t="s">
        <v>31</v>
      </c>
      <c r="S3" s="47" t="s">
        <v>33</v>
      </c>
      <c r="T3" s="18" t="s">
        <v>8</v>
      </c>
      <c r="U3" s="150"/>
      <c r="V3" s="152"/>
      <c r="W3" s="139"/>
    </row>
    <row r="4" spans="2:27" ht="18.600000000000001" thickBot="1">
      <c r="B4" s="140" t="s">
        <v>18</v>
      </c>
      <c r="C4" s="141"/>
      <c r="D4" s="20">
        <f>240000+300000</f>
        <v>540000</v>
      </c>
      <c r="E4" s="55">
        <v>0</v>
      </c>
      <c r="F4" s="21">
        <v>0</v>
      </c>
      <c r="G4" s="22">
        <f>40000</f>
        <v>40000</v>
      </c>
      <c r="H4" s="23">
        <f>700*20</f>
        <v>14000</v>
      </c>
      <c r="I4" s="24">
        <v>4200</v>
      </c>
      <c r="J4" s="24">
        <v>3200</v>
      </c>
      <c r="K4" s="24">
        <v>4400</v>
      </c>
      <c r="L4" s="24">
        <v>2000</v>
      </c>
      <c r="M4" s="24">
        <v>1000</v>
      </c>
      <c r="N4" s="24">
        <v>6700</v>
      </c>
      <c r="O4" s="24">
        <v>8000</v>
      </c>
      <c r="P4" s="25">
        <v>0</v>
      </c>
      <c r="Q4" s="25">
        <v>2300</v>
      </c>
      <c r="R4" s="25">
        <v>11000</v>
      </c>
      <c r="S4" s="25">
        <v>0</v>
      </c>
      <c r="T4" s="25">
        <v>48000</v>
      </c>
      <c r="U4" s="26">
        <f t="shared" ref="U4:U35" si="0">SUM($D4:$F4)</f>
        <v>540000</v>
      </c>
      <c r="V4" s="36">
        <f t="shared" ref="V4:V35" si="1">SUM($G4:$T4)</f>
        <v>144800</v>
      </c>
      <c r="W4" s="30">
        <f>U4-V4</f>
        <v>395200</v>
      </c>
    </row>
    <row r="5" spans="2:27" ht="18.600000000000001" thickTop="1">
      <c r="B5" s="40">
        <v>45254</v>
      </c>
      <c r="C5" s="2" t="s">
        <v>6</v>
      </c>
      <c r="D5" s="4">
        <f>248907</f>
        <v>248907</v>
      </c>
      <c r="E5" s="56">
        <v>0</v>
      </c>
      <c r="F5" s="5">
        <v>0</v>
      </c>
      <c r="G5" s="4">
        <v>0</v>
      </c>
      <c r="H5" s="6">
        <v>700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11">
        <f>220+3</f>
        <v>223</v>
      </c>
      <c r="U5" s="28">
        <f t="shared" si="0"/>
        <v>248907</v>
      </c>
      <c r="V5" s="33">
        <f t="shared" si="1"/>
        <v>923</v>
      </c>
      <c r="W5" s="31">
        <f>'1025_1123'!V34+SUM(U5)-SUM(V5)</f>
        <v>955363.96</v>
      </c>
    </row>
    <row r="6" spans="2:27">
      <c r="B6" s="40">
        <v>45255</v>
      </c>
      <c r="C6" s="2" t="s">
        <v>56</v>
      </c>
      <c r="D6" s="4">
        <v>0</v>
      </c>
      <c r="E6" s="56">
        <v>0</v>
      </c>
      <c r="F6" s="5">
        <v>0</v>
      </c>
      <c r="G6" s="4">
        <f>110+2380+2380+118</f>
        <v>4988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f>3080</f>
        <v>3080</v>
      </c>
      <c r="P6" s="6">
        <v>0</v>
      </c>
      <c r="Q6" s="6">
        <v>0</v>
      </c>
      <c r="R6" s="6">
        <v>0</v>
      </c>
      <c r="S6" s="6">
        <v>0</v>
      </c>
      <c r="T6" s="6">
        <v>220</v>
      </c>
      <c r="U6" s="28">
        <f t="shared" si="0"/>
        <v>0</v>
      </c>
      <c r="V6" s="33">
        <f t="shared" si="1"/>
        <v>8288</v>
      </c>
      <c r="W6" s="31">
        <f>W5+SUM(U6)-SUM(V6)</f>
        <v>947075.96</v>
      </c>
    </row>
    <row r="7" spans="2:27">
      <c r="B7" s="40">
        <v>45256</v>
      </c>
      <c r="C7" s="2" t="s">
        <v>1</v>
      </c>
      <c r="D7" s="4">
        <v>0</v>
      </c>
      <c r="E7" s="56">
        <v>0</v>
      </c>
      <c r="F7" s="5">
        <v>0</v>
      </c>
      <c r="G7" s="4">
        <f>1517</f>
        <v>1517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11">
        <v>0</v>
      </c>
      <c r="U7" s="28">
        <f t="shared" si="0"/>
        <v>0</v>
      </c>
      <c r="V7" s="33">
        <f t="shared" si="1"/>
        <v>1517</v>
      </c>
      <c r="W7" s="31">
        <f>W6+SUM(U7)-SUM(V7)</f>
        <v>945558.96</v>
      </c>
      <c r="Z7" s="48"/>
    </row>
    <row r="8" spans="2:27">
      <c r="B8" s="40">
        <v>45257</v>
      </c>
      <c r="C8" s="2" t="s">
        <v>2</v>
      </c>
      <c r="D8" s="4">
        <v>0</v>
      </c>
      <c r="E8" s="56">
        <v>0</v>
      </c>
      <c r="F8" s="5">
        <v>0</v>
      </c>
      <c r="G8" s="4">
        <f>5200+942</f>
        <v>6142</v>
      </c>
      <c r="H8" s="6">
        <v>0</v>
      </c>
      <c r="I8" s="6">
        <v>0</v>
      </c>
      <c r="J8" s="6">
        <v>2603</v>
      </c>
      <c r="K8" s="6">
        <v>0</v>
      </c>
      <c r="L8" s="6">
        <v>0</v>
      </c>
      <c r="M8" s="6">
        <v>0</v>
      </c>
      <c r="N8" s="6">
        <v>4095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11">
        <f>35259+5212</f>
        <v>40471</v>
      </c>
      <c r="U8" s="28">
        <f t="shared" si="0"/>
        <v>0</v>
      </c>
      <c r="V8" s="33">
        <f t="shared" si="1"/>
        <v>53311</v>
      </c>
      <c r="W8" s="31">
        <f>W7+SUM(U8)-SUM(V8)</f>
        <v>892247.96</v>
      </c>
    </row>
    <row r="9" spans="2:27">
      <c r="B9" s="40">
        <v>45258</v>
      </c>
      <c r="C9" s="2" t="s">
        <v>3</v>
      </c>
      <c r="D9" s="4">
        <v>0</v>
      </c>
      <c r="E9" s="56">
        <v>0</v>
      </c>
      <c r="F9" s="5">
        <v>0</v>
      </c>
      <c r="G9" s="4">
        <f>140+847</f>
        <v>987</v>
      </c>
      <c r="H9" s="6">
        <v>700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11">
        <v>0</v>
      </c>
      <c r="U9" s="27">
        <f t="shared" si="0"/>
        <v>0</v>
      </c>
      <c r="V9" s="35">
        <f t="shared" si="1"/>
        <v>1687</v>
      </c>
      <c r="W9" s="31">
        <f t="shared" ref="W9:W35" si="2">W8+SUM(U9)-SUM(V9)</f>
        <v>890560.96</v>
      </c>
    </row>
    <row r="10" spans="2:27">
      <c r="B10" s="40">
        <v>45259</v>
      </c>
      <c r="C10" s="2" t="s">
        <v>4</v>
      </c>
      <c r="D10" s="4">
        <v>0</v>
      </c>
      <c r="E10" s="56">
        <v>0</v>
      </c>
      <c r="F10" s="5">
        <v>0</v>
      </c>
      <c r="G10" s="4">
        <f>140+378</f>
        <v>518</v>
      </c>
      <c r="H10" s="6">
        <v>700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11">
        <v>0</v>
      </c>
      <c r="U10" s="28">
        <f t="shared" si="0"/>
        <v>0</v>
      </c>
      <c r="V10" s="33">
        <f t="shared" si="1"/>
        <v>1218</v>
      </c>
      <c r="W10" s="31">
        <f t="shared" si="2"/>
        <v>889342.96</v>
      </c>
    </row>
    <row r="11" spans="2:27">
      <c r="B11" s="40">
        <v>45260</v>
      </c>
      <c r="C11" s="2" t="s">
        <v>5</v>
      </c>
      <c r="D11" s="4">
        <v>0</v>
      </c>
      <c r="E11" s="56">
        <v>0</v>
      </c>
      <c r="F11" s="5">
        <v>0</v>
      </c>
      <c r="G11" s="4">
        <f>847+140</f>
        <v>987</v>
      </c>
      <c r="H11" s="6">
        <v>700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11">
        <v>0</v>
      </c>
      <c r="U11" s="28">
        <f t="shared" si="0"/>
        <v>0</v>
      </c>
      <c r="V11" s="33">
        <f t="shared" si="1"/>
        <v>1687</v>
      </c>
      <c r="W11" s="31">
        <f t="shared" si="2"/>
        <v>887655.96</v>
      </c>
    </row>
    <row r="12" spans="2:27">
      <c r="B12" s="40">
        <v>45261</v>
      </c>
      <c r="C12" s="2" t="s">
        <v>6</v>
      </c>
      <c r="D12" s="4">
        <v>0</v>
      </c>
      <c r="E12" s="56">
        <v>0</v>
      </c>
      <c r="F12" s="5">
        <v>0</v>
      </c>
      <c r="G12" s="4">
        <f>140</f>
        <v>140</v>
      </c>
      <c r="H12" s="6">
        <v>700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f>3679</f>
        <v>3679</v>
      </c>
      <c r="S12" s="6">
        <v>0</v>
      </c>
      <c r="T12" s="11">
        <v>0</v>
      </c>
      <c r="U12" s="28">
        <f t="shared" si="0"/>
        <v>0</v>
      </c>
      <c r="V12" s="33">
        <f t="shared" si="1"/>
        <v>4519</v>
      </c>
      <c r="W12" s="31">
        <f t="shared" si="2"/>
        <v>883136.96</v>
      </c>
    </row>
    <row r="13" spans="2:27">
      <c r="B13" s="40">
        <v>45262</v>
      </c>
      <c r="C13" s="2" t="s">
        <v>0</v>
      </c>
      <c r="D13" s="4">
        <v>0</v>
      </c>
      <c r="E13" s="56">
        <v>0</v>
      </c>
      <c r="F13" s="5">
        <v>0</v>
      </c>
      <c r="G13" s="3">
        <f>2336+2020</f>
        <v>4356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11">
        <v>0</v>
      </c>
      <c r="U13" s="27">
        <f t="shared" si="0"/>
        <v>0</v>
      </c>
      <c r="V13" s="35">
        <f t="shared" si="1"/>
        <v>4356</v>
      </c>
      <c r="W13" s="31">
        <f t="shared" si="2"/>
        <v>878780.96</v>
      </c>
    </row>
    <row r="14" spans="2:27" ht="18.600000000000001" thickBot="1">
      <c r="B14" s="40">
        <v>45263</v>
      </c>
      <c r="C14" s="2" t="s">
        <v>1</v>
      </c>
      <c r="D14" s="4">
        <v>0</v>
      </c>
      <c r="E14" s="56">
        <v>0</v>
      </c>
      <c r="F14" s="5">
        <v>0</v>
      </c>
      <c r="G14" s="4">
        <f>837</f>
        <v>837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11">
        <v>0</v>
      </c>
      <c r="U14" s="28">
        <f t="shared" si="0"/>
        <v>0</v>
      </c>
      <c r="V14" s="33">
        <f t="shared" si="1"/>
        <v>837</v>
      </c>
      <c r="W14" s="31">
        <f t="shared" si="2"/>
        <v>877943.96</v>
      </c>
    </row>
    <row r="15" spans="2:27">
      <c r="B15" s="40">
        <v>45264</v>
      </c>
      <c r="C15" s="2" t="s">
        <v>2</v>
      </c>
      <c r="D15" s="4">
        <v>0</v>
      </c>
      <c r="E15" s="56">
        <v>0</v>
      </c>
      <c r="F15" s="5">
        <v>500</v>
      </c>
      <c r="G15" s="4">
        <f>1192+95</f>
        <v>1287</v>
      </c>
      <c r="H15" s="6">
        <v>700</v>
      </c>
      <c r="I15" s="6">
        <v>0</v>
      </c>
      <c r="J15" s="6">
        <v>0</v>
      </c>
      <c r="K15" s="6">
        <v>0</v>
      </c>
      <c r="L15" s="6">
        <f>476+47</f>
        <v>523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11">
        <v>0</v>
      </c>
      <c r="U15" s="28">
        <f t="shared" si="0"/>
        <v>500</v>
      </c>
      <c r="V15" s="33">
        <f t="shared" si="1"/>
        <v>2510</v>
      </c>
      <c r="W15" s="31">
        <f t="shared" si="2"/>
        <v>875933.96</v>
      </c>
      <c r="Y15" s="58" t="s">
        <v>29</v>
      </c>
      <c r="Z15" s="42" t="s">
        <v>25</v>
      </c>
      <c r="AA15" s="43">
        <v>870660</v>
      </c>
    </row>
    <row r="16" spans="2:27">
      <c r="B16" s="40">
        <v>45265</v>
      </c>
      <c r="C16" s="2" t="s">
        <v>3</v>
      </c>
      <c r="D16" s="4">
        <v>0</v>
      </c>
      <c r="E16" s="56">
        <v>0</v>
      </c>
      <c r="F16" s="5">
        <v>0</v>
      </c>
      <c r="G16" s="4">
        <v>0</v>
      </c>
      <c r="H16" s="6">
        <v>700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11">
        <v>0</v>
      </c>
      <c r="U16" s="28">
        <f t="shared" si="0"/>
        <v>0</v>
      </c>
      <c r="V16" s="33">
        <f t="shared" si="1"/>
        <v>700</v>
      </c>
      <c r="W16" s="31">
        <f>W15+SUM(U16)-SUM(V16)</f>
        <v>875233.96</v>
      </c>
      <c r="Y16" s="52"/>
      <c r="Z16" s="41" t="s">
        <v>34</v>
      </c>
      <c r="AA16" s="5"/>
    </row>
    <row r="17" spans="2:29">
      <c r="B17" s="40">
        <v>45266</v>
      </c>
      <c r="C17" s="2" t="s">
        <v>4</v>
      </c>
      <c r="D17" s="4">
        <v>0</v>
      </c>
      <c r="E17" s="56">
        <v>0</v>
      </c>
      <c r="F17" s="5">
        <v>0</v>
      </c>
      <c r="G17" s="4">
        <v>0</v>
      </c>
      <c r="H17" s="6">
        <v>700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11">
        <v>0</v>
      </c>
      <c r="U17" s="28">
        <f t="shared" si="0"/>
        <v>0</v>
      </c>
      <c r="V17" s="33">
        <f t="shared" si="1"/>
        <v>700</v>
      </c>
      <c r="W17" s="31">
        <f t="shared" si="2"/>
        <v>874533.96</v>
      </c>
      <c r="Y17" s="52"/>
      <c r="Z17" s="41" t="s">
        <v>35</v>
      </c>
      <c r="AA17" s="5"/>
    </row>
    <row r="18" spans="2:29">
      <c r="B18" s="40">
        <v>45267</v>
      </c>
      <c r="C18" s="2" t="s">
        <v>5</v>
      </c>
      <c r="D18" s="4">
        <v>0</v>
      </c>
      <c r="E18" s="56">
        <v>0</v>
      </c>
      <c r="F18" s="5">
        <v>0</v>
      </c>
      <c r="G18" s="4">
        <v>0</v>
      </c>
      <c r="H18" s="6">
        <v>700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11">
        <v>0</v>
      </c>
      <c r="U18" s="28">
        <f t="shared" si="0"/>
        <v>0</v>
      </c>
      <c r="V18" s="33">
        <f t="shared" si="1"/>
        <v>700</v>
      </c>
      <c r="W18" s="31">
        <f t="shared" si="2"/>
        <v>873833.96</v>
      </c>
      <c r="Y18" s="52"/>
      <c r="Z18" s="41" t="s">
        <v>26</v>
      </c>
      <c r="AA18" s="5"/>
    </row>
    <row r="19" spans="2:29">
      <c r="B19" s="40">
        <v>45268</v>
      </c>
      <c r="C19" s="2" t="s">
        <v>6</v>
      </c>
      <c r="D19" s="4">
        <v>0</v>
      </c>
      <c r="E19" s="56">
        <v>0</v>
      </c>
      <c r="F19" s="5">
        <v>0</v>
      </c>
      <c r="G19" s="4">
        <f>2290</f>
        <v>2290</v>
      </c>
      <c r="H19" s="6">
        <v>700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11">
        <v>0</v>
      </c>
      <c r="U19" s="28">
        <f t="shared" si="0"/>
        <v>0</v>
      </c>
      <c r="V19" s="33">
        <f t="shared" si="1"/>
        <v>2990</v>
      </c>
      <c r="W19" s="31">
        <f t="shared" si="2"/>
        <v>870843.96</v>
      </c>
      <c r="Y19" s="52"/>
      <c r="Z19" s="41" t="s">
        <v>27</v>
      </c>
      <c r="AA19" s="5"/>
    </row>
    <row r="20" spans="2:29">
      <c r="B20" s="40">
        <v>45269</v>
      </c>
      <c r="C20" s="2" t="s">
        <v>0</v>
      </c>
      <c r="D20" s="4">
        <v>0</v>
      </c>
      <c r="E20" s="56">
        <v>0</v>
      </c>
      <c r="F20" s="5">
        <v>0</v>
      </c>
      <c r="G20" s="4">
        <f>3267+261</f>
        <v>3528</v>
      </c>
      <c r="H20" s="6">
        <v>0</v>
      </c>
      <c r="I20" s="6">
        <v>0</v>
      </c>
      <c r="J20" s="6">
        <v>0</v>
      </c>
      <c r="K20" s="6">
        <v>0</v>
      </c>
      <c r="L20" s="6">
        <f>701+70</f>
        <v>771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11">
        <v>0</v>
      </c>
      <c r="U20" s="28">
        <f t="shared" si="0"/>
        <v>0</v>
      </c>
      <c r="V20" s="33">
        <f t="shared" si="1"/>
        <v>4299</v>
      </c>
      <c r="W20" s="31">
        <f t="shared" si="2"/>
        <v>866544.96</v>
      </c>
      <c r="Y20" s="52"/>
      <c r="Z20" s="41" t="s">
        <v>28</v>
      </c>
      <c r="AA20" s="5"/>
    </row>
    <row r="21" spans="2:29" ht="18.600000000000001" thickBot="1">
      <c r="B21" s="40">
        <v>45270</v>
      </c>
      <c r="C21" s="2" t="s">
        <v>1</v>
      </c>
      <c r="D21" s="4">
        <v>0</v>
      </c>
      <c r="E21" s="56">
        <v>0</v>
      </c>
      <c r="F21" s="5">
        <v>0</v>
      </c>
      <c r="G21" s="4">
        <f>603</f>
        <v>603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f>4950</f>
        <v>4950</v>
      </c>
      <c r="P21" s="11">
        <v>0</v>
      </c>
      <c r="Q21" s="6">
        <v>0</v>
      </c>
      <c r="R21" s="6">
        <v>0</v>
      </c>
      <c r="S21" s="6">
        <v>0</v>
      </c>
      <c r="T21" s="11">
        <f>5</f>
        <v>5</v>
      </c>
      <c r="U21" s="28">
        <f t="shared" si="0"/>
        <v>0</v>
      </c>
      <c r="V21" s="33">
        <f t="shared" si="1"/>
        <v>5558</v>
      </c>
      <c r="W21" s="31">
        <f t="shared" si="2"/>
        <v>860986.96</v>
      </c>
      <c r="Y21" s="53"/>
      <c r="Z21" s="44" t="s">
        <v>30</v>
      </c>
      <c r="AA21" s="45"/>
    </row>
    <row r="22" spans="2:29" ht="19.2" thickTop="1" thickBot="1">
      <c r="B22" s="40">
        <v>45271</v>
      </c>
      <c r="C22" s="2" t="s">
        <v>2</v>
      </c>
      <c r="D22" s="4">
        <v>0</v>
      </c>
      <c r="E22" s="56">
        <v>0</v>
      </c>
      <c r="F22" s="5">
        <v>0</v>
      </c>
      <c r="G22" s="4">
        <f>586</f>
        <v>586</v>
      </c>
      <c r="H22" s="6">
        <v>700</v>
      </c>
      <c r="I22" s="6">
        <v>4264</v>
      </c>
      <c r="J22" s="6">
        <v>0</v>
      </c>
      <c r="K22" s="6">
        <v>0</v>
      </c>
      <c r="L22" s="6">
        <v>0</v>
      </c>
      <c r="M22" s="6">
        <v>0</v>
      </c>
      <c r="N22" s="6">
        <f>858+2979</f>
        <v>3837</v>
      </c>
      <c r="O22" s="77">
        <v>0</v>
      </c>
      <c r="P22" s="11">
        <v>0</v>
      </c>
      <c r="Q22" s="6">
        <v>0</v>
      </c>
      <c r="R22" s="6">
        <v>0</v>
      </c>
      <c r="S22" s="6">
        <v>0</v>
      </c>
      <c r="T22" s="11">
        <v>0</v>
      </c>
      <c r="U22" s="28">
        <f t="shared" si="0"/>
        <v>0</v>
      </c>
      <c r="V22" s="33">
        <f t="shared" si="1"/>
        <v>9387</v>
      </c>
      <c r="W22" s="31">
        <f t="shared" si="2"/>
        <v>851599.96</v>
      </c>
      <c r="Y22" s="49" t="s">
        <v>15</v>
      </c>
      <c r="Z22" s="50"/>
      <c r="AA22" s="46">
        <f>SUM(AA15:AA21)</f>
        <v>870660</v>
      </c>
    </row>
    <row r="23" spans="2:29">
      <c r="B23" s="40">
        <v>45272</v>
      </c>
      <c r="C23" s="2" t="s">
        <v>3</v>
      </c>
      <c r="D23" s="4">
        <v>0</v>
      </c>
      <c r="E23" s="56">
        <v>0</v>
      </c>
      <c r="F23" s="5">
        <v>0</v>
      </c>
      <c r="G23" s="4">
        <f>2270</f>
        <v>2270</v>
      </c>
      <c r="H23" s="6">
        <v>700</v>
      </c>
      <c r="I23" s="6">
        <v>0</v>
      </c>
      <c r="J23" s="6">
        <v>0</v>
      </c>
      <c r="K23" s="6">
        <v>4922</v>
      </c>
      <c r="L23" s="6">
        <v>0</v>
      </c>
      <c r="M23" s="6">
        <v>0</v>
      </c>
      <c r="N23" s="6">
        <v>0</v>
      </c>
      <c r="O23" s="6">
        <v>0</v>
      </c>
      <c r="P23" s="11">
        <v>0</v>
      </c>
      <c r="Q23" s="6">
        <v>0</v>
      </c>
      <c r="R23" s="6">
        <v>0</v>
      </c>
      <c r="S23" s="6">
        <v>0</v>
      </c>
      <c r="T23" s="11">
        <v>0</v>
      </c>
      <c r="U23" s="28">
        <f t="shared" si="0"/>
        <v>0</v>
      </c>
      <c r="V23" s="33">
        <f t="shared" si="1"/>
        <v>7892</v>
      </c>
      <c r="W23" s="31">
        <f t="shared" si="2"/>
        <v>843707.96</v>
      </c>
      <c r="AB23" s="51"/>
    </row>
    <row r="24" spans="2:29">
      <c r="B24" s="40">
        <v>45273</v>
      </c>
      <c r="C24" s="2" t="s">
        <v>4</v>
      </c>
      <c r="D24" s="4">
        <v>0</v>
      </c>
      <c r="E24" s="56">
        <v>0</v>
      </c>
      <c r="F24" s="5">
        <v>0</v>
      </c>
      <c r="G24" s="4">
        <f>657</f>
        <v>657</v>
      </c>
      <c r="H24" s="6">
        <v>700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11">
        <v>0</v>
      </c>
      <c r="Q24" s="6">
        <v>0</v>
      </c>
      <c r="R24" s="6">
        <v>0</v>
      </c>
      <c r="S24" s="6">
        <v>0</v>
      </c>
      <c r="T24" s="11">
        <f>110</f>
        <v>110</v>
      </c>
      <c r="U24" s="28">
        <f t="shared" si="0"/>
        <v>0</v>
      </c>
      <c r="V24" s="33">
        <f>SUM($G24:$T24)</f>
        <v>1467</v>
      </c>
      <c r="W24" s="31">
        <f>W23+SUM(U24)-SUM(V24)</f>
        <v>842240.96</v>
      </c>
    </row>
    <row r="25" spans="2:29">
      <c r="B25" s="40">
        <v>45274</v>
      </c>
      <c r="C25" s="2" t="s">
        <v>5</v>
      </c>
      <c r="D25" s="4">
        <v>0</v>
      </c>
      <c r="E25" s="56">
        <v>0</v>
      </c>
      <c r="F25" s="5">
        <v>0</v>
      </c>
      <c r="G25" s="4">
        <f>640</f>
        <v>640</v>
      </c>
      <c r="H25" s="6">
        <v>700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11">
        <v>0</v>
      </c>
      <c r="Q25" s="6">
        <v>0</v>
      </c>
      <c r="R25" s="6">
        <v>0</v>
      </c>
      <c r="S25" s="6">
        <v>0</v>
      </c>
      <c r="T25" s="11">
        <v>0</v>
      </c>
      <c r="U25" s="28">
        <f t="shared" si="0"/>
        <v>0</v>
      </c>
      <c r="V25" s="33">
        <f t="shared" si="1"/>
        <v>1340</v>
      </c>
      <c r="W25" s="31">
        <f t="shared" si="2"/>
        <v>840900.96</v>
      </c>
      <c r="AC25" s="51"/>
    </row>
    <row r="26" spans="2:29">
      <c r="B26" s="40">
        <v>45275</v>
      </c>
      <c r="C26" s="2" t="s">
        <v>6</v>
      </c>
      <c r="D26" s="4">
        <v>286677</v>
      </c>
      <c r="E26" s="56">
        <v>0</v>
      </c>
      <c r="F26" s="5">
        <v>0</v>
      </c>
      <c r="G26" s="4">
        <f>2210</f>
        <v>2210</v>
      </c>
      <c r="H26" s="6">
        <v>700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11">
        <v>0</v>
      </c>
      <c r="U26" s="28">
        <f t="shared" si="0"/>
        <v>286677</v>
      </c>
      <c r="V26" s="33">
        <f t="shared" si="1"/>
        <v>2910</v>
      </c>
      <c r="W26" s="31">
        <f t="shared" si="2"/>
        <v>1124667.96</v>
      </c>
    </row>
    <row r="27" spans="2:29">
      <c r="B27" s="40">
        <v>45276</v>
      </c>
      <c r="C27" s="2" t="s">
        <v>0</v>
      </c>
      <c r="D27" s="4">
        <v>0</v>
      </c>
      <c r="E27" s="56">
        <v>0</v>
      </c>
      <c r="F27" s="5">
        <v>0</v>
      </c>
      <c r="G27" s="4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11">
        <v>0</v>
      </c>
      <c r="U27" s="28">
        <f t="shared" si="0"/>
        <v>0</v>
      </c>
      <c r="V27" s="33">
        <f t="shared" si="1"/>
        <v>0</v>
      </c>
      <c r="W27" s="31">
        <f t="shared" si="2"/>
        <v>1124667.96</v>
      </c>
    </row>
    <row r="28" spans="2:29">
      <c r="B28" s="40">
        <v>45277</v>
      </c>
      <c r="C28" s="2" t="s">
        <v>1</v>
      </c>
      <c r="D28" s="4">
        <v>0</v>
      </c>
      <c r="E28" s="56">
        <v>0</v>
      </c>
      <c r="F28" s="5">
        <v>0</v>
      </c>
      <c r="G28" s="4">
        <f>1574</f>
        <v>1574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11">
        <v>0</v>
      </c>
      <c r="U28" s="28">
        <f t="shared" si="0"/>
        <v>0</v>
      </c>
      <c r="V28" s="33">
        <f t="shared" si="1"/>
        <v>1574</v>
      </c>
      <c r="W28" s="31">
        <f t="shared" si="2"/>
        <v>1123093.96</v>
      </c>
      <c r="AA28" s="48"/>
    </row>
    <row r="29" spans="2:29">
      <c r="B29" s="40">
        <v>45278</v>
      </c>
      <c r="C29" s="2" t="s">
        <v>2</v>
      </c>
      <c r="D29" s="4">
        <v>0</v>
      </c>
      <c r="E29" s="56">
        <v>0</v>
      </c>
      <c r="F29" s="5">
        <v>0</v>
      </c>
      <c r="G29" s="4">
        <f>847</f>
        <v>847</v>
      </c>
      <c r="H29" s="6">
        <v>700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11">
        <v>0</v>
      </c>
      <c r="U29" s="28">
        <f t="shared" si="0"/>
        <v>0</v>
      </c>
      <c r="V29" s="33">
        <f t="shared" si="1"/>
        <v>1547</v>
      </c>
      <c r="W29" s="31">
        <f t="shared" si="2"/>
        <v>1121546.96</v>
      </c>
      <c r="AA29" s="48"/>
    </row>
    <row r="30" spans="2:29">
      <c r="B30" s="40">
        <v>45279</v>
      </c>
      <c r="C30" s="2" t="s">
        <v>3</v>
      </c>
      <c r="D30" s="4">
        <v>0</v>
      </c>
      <c r="E30" s="56">
        <v>0</v>
      </c>
      <c r="F30" s="5">
        <v>0</v>
      </c>
      <c r="G30" s="4">
        <f>666</f>
        <v>666</v>
      </c>
      <c r="H30" s="6">
        <v>700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11">
        <v>0</v>
      </c>
      <c r="U30" s="28">
        <f t="shared" si="0"/>
        <v>0</v>
      </c>
      <c r="V30" s="33">
        <f t="shared" si="1"/>
        <v>1366</v>
      </c>
      <c r="W30" s="31">
        <f t="shared" si="2"/>
        <v>1120180.96</v>
      </c>
    </row>
    <row r="31" spans="2:29">
      <c r="B31" s="40">
        <v>45280</v>
      </c>
      <c r="C31" s="2" t="s">
        <v>4</v>
      </c>
      <c r="D31" s="4">
        <v>0</v>
      </c>
      <c r="E31" s="56">
        <v>0</v>
      </c>
      <c r="F31" s="5">
        <v>0</v>
      </c>
      <c r="G31" s="4">
        <f>2120</f>
        <v>2120</v>
      </c>
      <c r="H31" s="6">
        <v>700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11">
        <v>0</v>
      </c>
      <c r="U31" s="28">
        <f t="shared" si="0"/>
        <v>0</v>
      </c>
      <c r="V31" s="33">
        <f t="shared" si="1"/>
        <v>2820</v>
      </c>
      <c r="W31" s="31">
        <f t="shared" si="2"/>
        <v>1117360.96</v>
      </c>
    </row>
    <row r="32" spans="2:29">
      <c r="B32" s="40">
        <v>45281</v>
      </c>
      <c r="C32" s="2" t="s">
        <v>5</v>
      </c>
      <c r="D32" s="4">
        <v>0</v>
      </c>
      <c r="E32" s="56">
        <v>0</v>
      </c>
      <c r="F32" s="5">
        <v>0</v>
      </c>
      <c r="G32" s="4">
        <f>668</f>
        <v>668</v>
      </c>
      <c r="H32" s="6">
        <v>700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11">
        <v>0</v>
      </c>
      <c r="U32" s="28">
        <f t="shared" si="0"/>
        <v>0</v>
      </c>
      <c r="V32" s="33">
        <f t="shared" si="1"/>
        <v>1368</v>
      </c>
      <c r="W32" s="31">
        <f t="shared" si="2"/>
        <v>1115992.96</v>
      </c>
    </row>
    <row r="33" spans="2:23">
      <c r="B33" s="40">
        <v>45282</v>
      </c>
      <c r="C33" s="2" t="s">
        <v>6</v>
      </c>
      <c r="D33" s="4">
        <v>0</v>
      </c>
      <c r="E33" s="56">
        <v>0</v>
      </c>
      <c r="F33" s="5">
        <v>0</v>
      </c>
      <c r="G33" s="4">
        <f>2210</f>
        <v>2210</v>
      </c>
      <c r="H33" s="6">
        <v>700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11">
        <v>0</v>
      </c>
      <c r="U33" s="28">
        <f t="shared" si="0"/>
        <v>0</v>
      </c>
      <c r="V33" s="33">
        <f t="shared" si="1"/>
        <v>2910</v>
      </c>
      <c r="W33" s="31">
        <f t="shared" si="2"/>
        <v>1113082.96</v>
      </c>
    </row>
    <row r="34" spans="2:23">
      <c r="B34" s="40">
        <v>45283</v>
      </c>
      <c r="C34" s="2" t="s">
        <v>0</v>
      </c>
      <c r="D34" s="4">
        <v>0</v>
      </c>
      <c r="E34" s="56">
        <v>0</v>
      </c>
      <c r="F34" s="5">
        <v>0</v>
      </c>
      <c r="G34" s="4">
        <f>284+227+62+343+192+257+321+95</f>
        <v>1781</v>
      </c>
      <c r="H34" s="13">
        <v>0</v>
      </c>
      <c r="I34" s="6">
        <v>0</v>
      </c>
      <c r="J34" s="6">
        <v>0</v>
      </c>
      <c r="K34" s="6">
        <v>0</v>
      </c>
      <c r="L34" s="6">
        <f>437+217</f>
        <v>654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11">
        <v>0</v>
      </c>
      <c r="U34" s="28">
        <f t="shared" si="0"/>
        <v>0</v>
      </c>
      <c r="V34" s="33">
        <f t="shared" si="1"/>
        <v>2435</v>
      </c>
      <c r="W34" s="31">
        <f t="shared" si="2"/>
        <v>1110647.96</v>
      </c>
    </row>
    <row r="35" spans="2:23" ht="18.600000000000001" thickBot="1">
      <c r="B35" s="40">
        <v>45284</v>
      </c>
      <c r="C35" s="2" t="s">
        <v>1</v>
      </c>
      <c r="D35" s="4">
        <v>0</v>
      </c>
      <c r="E35" s="56">
        <v>0</v>
      </c>
      <c r="F35" s="5">
        <v>0</v>
      </c>
      <c r="G35" s="4">
        <f>546+2000</f>
        <v>2546</v>
      </c>
      <c r="H35" s="13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11">
        <v>2300</v>
      </c>
      <c r="R35" s="6">
        <v>0</v>
      </c>
      <c r="S35" s="6">
        <v>0</v>
      </c>
      <c r="T35" s="11">
        <v>0</v>
      </c>
      <c r="U35" s="28">
        <f t="shared" si="0"/>
        <v>0</v>
      </c>
      <c r="V35" s="33">
        <f t="shared" si="1"/>
        <v>4846</v>
      </c>
      <c r="W35" s="31">
        <f t="shared" si="2"/>
        <v>1105801.96</v>
      </c>
    </row>
    <row r="36" spans="2:23" ht="18.600000000000001" thickBot="1">
      <c r="B36" s="126" t="s">
        <v>15</v>
      </c>
      <c r="C36" s="142"/>
      <c r="D36" s="7">
        <f>SUM(D5:D35)</f>
        <v>535584</v>
      </c>
      <c r="E36" s="75"/>
      <c r="F36" s="8">
        <f t="shared" ref="F36:T36" si="3">SUM(F5:F35)</f>
        <v>500</v>
      </c>
      <c r="G36" s="9">
        <f t="shared" si="3"/>
        <v>46955</v>
      </c>
      <c r="H36" s="10">
        <f t="shared" si="3"/>
        <v>14000</v>
      </c>
      <c r="I36" s="10">
        <f t="shared" si="3"/>
        <v>4264</v>
      </c>
      <c r="J36" s="10">
        <f t="shared" si="3"/>
        <v>2603</v>
      </c>
      <c r="K36" s="10">
        <f t="shared" si="3"/>
        <v>4922</v>
      </c>
      <c r="L36" s="10">
        <f t="shared" si="3"/>
        <v>1948</v>
      </c>
      <c r="M36" s="10">
        <f t="shared" si="3"/>
        <v>0</v>
      </c>
      <c r="N36" s="10">
        <f t="shared" si="3"/>
        <v>7932</v>
      </c>
      <c r="O36" s="10">
        <f t="shared" si="3"/>
        <v>8030</v>
      </c>
      <c r="P36" s="10">
        <f t="shared" si="3"/>
        <v>0</v>
      </c>
      <c r="Q36" s="10">
        <f t="shared" si="3"/>
        <v>2300</v>
      </c>
      <c r="R36" s="10">
        <f>SUM(R5:R35)</f>
        <v>3679</v>
      </c>
      <c r="S36" s="10">
        <f>SUM(S5:S35)</f>
        <v>0</v>
      </c>
      <c r="T36" s="12">
        <f t="shared" si="3"/>
        <v>41029</v>
      </c>
      <c r="U36" s="29">
        <f>SUM(D36:F36)</f>
        <v>536084</v>
      </c>
      <c r="V36" s="34">
        <f>SUM(G36:T36)</f>
        <v>137662</v>
      </c>
      <c r="W36" s="32">
        <f>U36-V36</f>
        <v>398422</v>
      </c>
    </row>
  </sheetData>
  <mergeCells count="7">
    <mergeCell ref="W2:W3"/>
    <mergeCell ref="B4:C4"/>
    <mergeCell ref="B36:C36"/>
    <mergeCell ref="D2:F2"/>
    <mergeCell ref="G2:T2"/>
    <mergeCell ref="U2:U3"/>
    <mergeCell ref="V2:V3"/>
  </mergeCells>
  <phoneticPr fontId="2"/>
  <conditionalFormatting sqref="G36">
    <cfRule type="expression" dxfId="14" priority="2">
      <formula>$G$36&gt;$G$4</formula>
    </cfRule>
  </conditionalFormatting>
  <conditionalFormatting sqref="H36:S36">
    <cfRule type="expression" dxfId="13" priority="3">
      <formula>H$36&gt;H$4</formula>
    </cfRule>
  </conditionalFormatting>
  <conditionalFormatting sqref="T36">
    <cfRule type="expression" dxfId="12" priority="1">
      <formula>$T$36&gt;$T$4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6"/>
  <sheetViews>
    <sheetView workbookViewId="0">
      <pane xSplit="3" ySplit="4" topLeftCell="E17" activePane="bottomRight" state="frozen"/>
      <selection pane="topRight" activeCell="C1" sqref="C1"/>
      <selection pane="bottomLeft" activeCell="A3" sqref="A3"/>
      <selection pane="bottomRight" activeCell="G35" sqref="G5:G35"/>
    </sheetView>
  </sheetViews>
  <sheetFormatPr defaultRowHeight="18"/>
  <cols>
    <col min="2" max="2" width="10" bestFit="1" customWidth="1"/>
    <col min="3" max="3" width="3.19921875" bestFit="1" customWidth="1"/>
    <col min="22" max="22" width="9.69921875" bestFit="1" customWidth="1"/>
    <col min="24" max="24" width="13" bestFit="1" customWidth="1"/>
    <col min="25" max="25" width="15.19921875" bestFit="1" customWidth="1"/>
    <col min="26" max="26" width="13" bestFit="1" customWidth="1"/>
    <col min="27" max="27" width="9.69921875" bestFit="1" customWidth="1"/>
  </cols>
  <sheetData>
    <row r="1" spans="2:26" ht="18.600000000000001" thickBot="1"/>
    <row r="2" spans="2:26">
      <c r="B2" s="37"/>
      <c r="C2" s="38"/>
      <c r="D2" s="143" t="s">
        <v>9</v>
      </c>
      <c r="E2" s="129"/>
      <c r="F2" s="144"/>
      <c r="G2" s="145" t="s">
        <v>14</v>
      </c>
      <c r="H2" s="146"/>
      <c r="I2" s="147"/>
      <c r="J2" s="147"/>
      <c r="K2" s="147"/>
      <c r="L2" s="147"/>
      <c r="M2" s="147"/>
      <c r="N2" s="147"/>
      <c r="O2" s="147"/>
      <c r="P2" s="148"/>
      <c r="Q2" s="148"/>
      <c r="R2" s="148"/>
      <c r="S2" s="148"/>
      <c r="T2" s="149" t="s">
        <v>21</v>
      </c>
      <c r="U2" s="151" t="s">
        <v>22</v>
      </c>
      <c r="V2" s="138" t="s">
        <v>23</v>
      </c>
    </row>
    <row r="3" spans="2:26">
      <c r="B3" s="39"/>
      <c r="C3" s="19"/>
      <c r="D3" s="14" t="s">
        <v>7</v>
      </c>
      <c r="E3" s="54" t="s">
        <v>33</v>
      </c>
      <c r="F3" s="15" t="s">
        <v>8</v>
      </c>
      <c r="G3" s="16" t="s">
        <v>10</v>
      </c>
      <c r="H3" s="17" t="s">
        <v>17</v>
      </c>
      <c r="I3" s="1" t="s">
        <v>11</v>
      </c>
      <c r="J3" s="1" t="s">
        <v>12</v>
      </c>
      <c r="K3" s="1" t="s">
        <v>13</v>
      </c>
      <c r="L3" s="1" t="s">
        <v>20</v>
      </c>
      <c r="M3" s="1" t="s">
        <v>16</v>
      </c>
      <c r="N3" s="1" t="s">
        <v>24</v>
      </c>
      <c r="O3" s="1" t="s">
        <v>19</v>
      </c>
      <c r="P3" s="47" t="s">
        <v>32</v>
      </c>
      <c r="Q3" s="47" t="s">
        <v>31</v>
      </c>
      <c r="R3" s="47" t="s">
        <v>33</v>
      </c>
      <c r="S3" s="18" t="s">
        <v>8</v>
      </c>
      <c r="T3" s="150"/>
      <c r="U3" s="152"/>
      <c r="V3" s="139"/>
    </row>
    <row r="4" spans="2:26" ht="18.600000000000001" thickBot="1">
      <c r="B4" s="140" t="s">
        <v>18</v>
      </c>
      <c r="C4" s="141"/>
      <c r="D4" s="20">
        <f>242000</f>
        <v>242000</v>
      </c>
      <c r="E4" s="55">
        <v>0</v>
      </c>
      <c r="F4" s="21">
        <v>0</v>
      </c>
      <c r="G4" s="22">
        <v>50000</v>
      </c>
      <c r="H4" s="23">
        <v>11200</v>
      </c>
      <c r="I4" s="24">
        <v>4600</v>
      </c>
      <c r="J4" s="24">
        <v>2000</v>
      </c>
      <c r="K4" s="24">
        <v>4000</v>
      </c>
      <c r="L4" s="24">
        <v>4000</v>
      </c>
      <c r="M4" s="24">
        <v>1000</v>
      </c>
      <c r="N4" s="24">
        <v>6600</v>
      </c>
      <c r="O4" s="24">
        <v>30000</v>
      </c>
      <c r="P4" s="25">
        <v>2600</v>
      </c>
      <c r="Q4" s="25">
        <v>0</v>
      </c>
      <c r="R4" s="25">
        <v>0</v>
      </c>
      <c r="S4" s="25">
        <f>340000</f>
        <v>340000</v>
      </c>
      <c r="T4" s="26">
        <f t="shared" ref="T4:T35" si="0">SUM($D4:$F4)</f>
        <v>242000</v>
      </c>
      <c r="U4" s="36">
        <f t="shared" ref="U4:U35" si="1">SUM($G4:$S4)</f>
        <v>456000</v>
      </c>
      <c r="V4" s="30">
        <f>T4-U4</f>
        <v>-214000</v>
      </c>
      <c r="X4" s="51"/>
    </row>
    <row r="5" spans="2:26" ht="18.600000000000001" thickTop="1">
      <c r="B5" s="40">
        <v>45285</v>
      </c>
      <c r="C5" s="2" t="s">
        <v>36</v>
      </c>
      <c r="D5" s="4">
        <f>242449</f>
        <v>242449</v>
      </c>
      <c r="E5" s="56">
        <v>0</v>
      </c>
      <c r="F5" s="5">
        <v>0</v>
      </c>
      <c r="G5" s="4">
        <f>10400</f>
        <v>10400</v>
      </c>
      <c r="H5" s="6">
        <v>700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11">
        <v>0</v>
      </c>
      <c r="S5" s="11">
        <v>0</v>
      </c>
      <c r="T5" s="28">
        <f t="shared" si="0"/>
        <v>242449</v>
      </c>
      <c r="U5" s="33">
        <f t="shared" si="1"/>
        <v>11100</v>
      </c>
      <c r="V5" s="31">
        <v>1337150.96</v>
      </c>
    </row>
    <row r="6" spans="2:26">
      <c r="B6" s="40">
        <v>45286</v>
      </c>
      <c r="C6" s="2" t="s">
        <v>3</v>
      </c>
      <c r="D6" s="4">
        <v>0</v>
      </c>
      <c r="E6" s="56">
        <v>0</v>
      </c>
      <c r="F6" s="5">
        <v>0</v>
      </c>
      <c r="G6" s="4">
        <f>512+512</f>
        <v>1024</v>
      </c>
      <c r="H6" s="6">
        <v>700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11">
        <v>0</v>
      </c>
      <c r="S6" s="11">
        <v>0</v>
      </c>
      <c r="T6" s="28">
        <f t="shared" si="0"/>
        <v>0</v>
      </c>
      <c r="U6" s="33">
        <f t="shared" si="1"/>
        <v>1724</v>
      </c>
      <c r="V6" s="31">
        <f>V5+SUM(T6)-SUM(U6)</f>
        <v>1335426.96</v>
      </c>
      <c r="Y6" s="48"/>
    </row>
    <row r="7" spans="2:26">
      <c r="B7" s="40">
        <v>45287</v>
      </c>
      <c r="C7" s="2" t="s">
        <v>4</v>
      </c>
      <c r="D7" s="4">
        <v>0</v>
      </c>
      <c r="E7" s="56">
        <v>0</v>
      </c>
      <c r="F7" s="5">
        <v>0</v>
      </c>
      <c r="G7" s="4">
        <f>3540</f>
        <v>3540</v>
      </c>
      <c r="H7" s="6">
        <v>700</v>
      </c>
      <c r="I7" s="6">
        <v>0</v>
      </c>
      <c r="J7" s="6">
        <f>2087</f>
        <v>2087</v>
      </c>
      <c r="K7" s="6">
        <v>0</v>
      </c>
      <c r="L7" s="6">
        <v>0</v>
      </c>
      <c r="M7" s="6">
        <v>0</v>
      </c>
      <c r="N7" s="6">
        <f>3666</f>
        <v>3666</v>
      </c>
      <c r="O7" s="6">
        <v>0</v>
      </c>
      <c r="P7" s="11">
        <v>0</v>
      </c>
      <c r="Q7" s="11">
        <v>0</v>
      </c>
      <c r="R7" s="11">
        <v>0</v>
      </c>
      <c r="S7" s="11">
        <f>334959+5212</f>
        <v>340171</v>
      </c>
      <c r="T7" s="28">
        <f t="shared" si="0"/>
        <v>0</v>
      </c>
      <c r="U7" s="33">
        <f t="shared" si="1"/>
        <v>350164</v>
      </c>
      <c r="V7" s="31">
        <f>V6+SUM(T7)-SUM(U7)</f>
        <v>985262.96</v>
      </c>
    </row>
    <row r="8" spans="2:26">
      <c r="B8" s="40">
        <v>45288</v>
      </c>
      <c r="C8" s="2" t="s">
        <v>5</v>
      </c>
      <c r="D8" s="4">
        <v>0</v>
      </c>
      <c r="E8" s="56">
        <v>0</v>
      </c>
      <c r="F8" s="5">
        <v>0</v>
      </c>
      <c r="G8" s="4">
        <f>2360</f>
        <v>2360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f>4400</f>
        <v>4400</v>
      </c>
      <c r="P8" s="11">
        <v>0</v>
      </c>
      <c r="Q8" s="11">
        <v>0</v>
      </c>
      <c r="R8" s="11">
        <v>0</v>
      </c>
      <c r="S8" s="11">
        <v>0</v>
      </c>
      <c r="T8" s="27">
        <f t="shared" si="0"/>
        <v>0</v>
      </c>
      <c r="U8" s="35">
        <f t="shared" si="1"/>
        <v>6760</v>
      </c>
      <c r="V8" s="31">
        <f t="shared" ref="V8:V35" si="2">V7+SUM(T8)-SUM(U8)</f>
        <v>978502.96</v>
      </c>
    </row>
    <row r="9" spans="2:26">
      <c r="B9" s="40">
        <v>45289</v>
      </c>
      <c r="C9" s="2" t="s">
        <v>6</v>
      </c>
      <c r="D9" s="4">
        <v>0</v>
      </c>
      <c r="E9" s="56">
        <v>0</v>
      </c>
      <c r="F9" s="5">
        <v>0</v>
      </c>
      <c r="G9" s="4">
        <f>4760</f>
        <v>4760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11">
        <v>0</v>
      </c>
      <c r="T9" s="28">
        <f t="shared" si="0"/>
        <v>0</v>
      </c>
      <c r="U9" s="33">
        <f t="shared" si="1"/>
        <v>4760</v>
      </c>
      <c r="V9" s="31">
        <f t="shared" si="2"/>
        <v>973742.96</v>
      </c>
    </row>
    <row r="10" spans="2:26">
      <c r="B10" s="40">
        <v>45290</v>
      </c>
      <c r="C10" s="2" t="s">
        <v>0</v>
      </c>
      <c r="D10" s="4">
        <v>0</v>
      </c>
      <c r="E10" s="56">
        <v>0</v>
      </c>
      <c r="F10" s="5">
        <v>0</v>
      </c>
      <c r="G10" s="4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11">
        <v>0</v>
      </c>
      <c r="T10" s="28">
        <f t="shared" si="0"/>
        <v>0</v>
      </c>
      <c r="U10" s="33">
        <f t="shared" si="1"/>
        <v>0</v>
      </c>
      <c r="V10" s="31">
        <f t="shared" si="2"/>
        <v>973742.96</v>
      </c>
    </row>
    <row r="11" spans="2:26">
      <c r="B11" s="40">
        <v>45291</v>
      </c>
      <c r="C11" s="2" t="s">
        <v>1</v>
      </c>
      <c r="D11" s="4">
        <v>0</v>
      </c>
      <c r="E11" s="6">
        <v>0</v>
      </c>
      <c r="F11" s="57">
        <v>200</v>
      </c>
      <c r="G11" s="4">
        <f>2954</f>
        <v>2954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11">
        <v>0</v>
      </c>
      <c r="T11" s="28">
        <f t="shared" si="0"/>
        <v>200</v>
      </c>
      <c r="U11" s="33">
        <f t="shared" si="1"/>
        <v>2954</v>
      </c>
      <c r="V11" s="31">
        <f t="shared" si="2"/>
        <v>970988.96</v>
      </c>
    </row>
    <row r="12" spans="2:26">
      <c r="B12" s="40">
        <v>45292</v>
      </c>
      <c r="C12" s="2" t="s">
        <v>2</v>
      </c>
      <c r="D12" s="4">
        <v>0</v>
      </c>
      <c r="E12" s="6">
        <v>0</v>
      </c>
      <c r="F12" s="56">
        <v>0</v>
      </c>
      <c r="G12" s="3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11">
        <v>0</v>
      </c>
      <c r="T12" s="27">
        <f t="shared" si="0"/>
        <v>0</v>
      </c>
      <c r="U12" s="35">
        <f t="shared" si="1"/>
        <v>0</v>
      </c>
      <c r="V12" s="31">
        <f t="shared" si="2"/>
        <v>970988.96</v>
      </c>
    </row>
    <row r="13" spans="2:26" ht="18.600000000000001" thickBot="1">
      <c r="B13" s="40">
        <v>45293</v>
      </c>
      <c r="C13" s="2" t="s">
        <v>3</v>
      </c>
      <c r="D13" s="4">
        <v>0</v>
      </c>
      <c r="E13" s="6">
        <v>0</v>
      </c>
      <c r="F13" s="56">
        <v>0</v>
      </c>
      <c r="G13" s="4">
        <f>2240</f>
        <v>2240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11">
        <v>0</v>
      </c>
      <c r="T13" s="28">
        <f t="shared" si="0"/>
        <v>0</v>
      </c>
      <c r="U13" s="33">
        <f t="shared" si="1"/>
        <v>2240</v>
      </c>
      <c r="V13" s="31">
        <f t="shared" si="2"/>
        <v>968748.96</v>
      </c>
    </row>
    <row r="14" spans="2:26">
      <c r="B14" s="40">
        <v>45294</v>
      </c>
      <c r="C14" s="2" t="s">
        <v>4</v>
      </c>
      <c r="D14" s="4">
        <v>0</v>
      </c>
      <c r="E14" s="6">
        <v>0</v>
      </c>
      <c r="F14" s="56">
        <v>0</v>
      </c>
      <c r="G14" s="4">
        <f>2068+2360</f>
        <v>4428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11">
        <v>0</v>
      </c>
      <c r="T14" s="28">
        <f t="shared" si="0"/>
        <v>0</v>
      </c>
      <c r="U14" s="33">
        <f t="shared" si="1"/>
        <v>4428</v>
      </c>
      <c r="V14" s="31">
        <f t="shared" si="2"/>
        <v>964320.96</v>
      </c>
      <c r="X14" s="58" t="s">
        <v>29</v>
      </c>
      <c r="Y14" s="42" t="s">
        <v>25</v>
      </c>
      <c r="Z14" s="43">
        <v>881264</v>
      </c>
    </row>
    <row r="15" spans="2:26">
      <c r="B15" s="40">
        <v>45295</v>
      </c>
      <c r="C15" s="2" t="s">
        <v>5</v>
      </c>
      <c r="D15" s="4">
        <v>0</v>
      </c>
      <c r="E15" s="6">
        <v>0</v>
      </c>
      <c r="F15" s="56">
        <v>0</v>
      </c>
      <c r="G15" s="4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11">
        <v>0</v>
      </c>
      <c r="T15" s="28">
        <f t="shared" si="0"/>
        <v>0</v>
      </c>
      <c r="U15" s="33">
        <f t="shared" si="1"/>
        <v>0</v>
      </c>
      <c r="V15" s="31">
        <f>V14+SUM(T15)-SUM(U15)</f>
        <v>964320.96</v>
      </c>
      <c r="X15" s="52"/>
      <c r="Y15" s="41" t="s">
        <v>34</v>
      </c>
      <c r="Z15" s="5">
        <f>2000+713</f>
        <v>2713</v>
      </c>
    </row>
    <row r="16" spans="2:26">
      <c r="B16" s="40">
        <v>45296</v>
      </c>
      <c r="C16" s="2" t="s">
        <v>6</v>
      </c>
      <c r="D16" s="4">
        <v>0</v>
      </c>
      <c r="E16" s="6">
        <v>0</v>
      </c>
      <c r="F16" s="57">
        <v>200</v>
      </c>
      <c r="G16" s="4">
        <f>2588+2270</f>
        <v>4858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11">
        <v>0</v>
      </c>
      <c r="T16" s="28">
        <f t="shared" si="0"/>
        <v>200</v>
      </c>
      <c r="U16" s="33">
        <f t="shared" si="1"/>
        <v>4858</v>
      </c>
      <c r="V16" s="31">
        <f t="shared" si="2"/>
        <v>959662.96</v>
      </c>
      <c r="X16" s="52"/>
      <c r="Y16" s="41" t="s">
        <v>35</v>
      </c>
      <c r="Z16" s="5">
        <v>11</v>
      </c>
    </row>
    <row r="17" spans="2:28">
      <c r="B17" s="40">
        <v>45297</v>
      </c>
      <c r="C17" s="2" t="s">
        <v>0</v>
      </c>
      <c r="D17" s="4">
        <v>0</v>
      </c>
      <c r="E17" s="6">
        <v>0</v>
      </c>
      <c r="F17" s="6">
        <v>0</v>
      </c>
      <c r="G17" s="4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11">
        <v>0</v>
      </c>
      <c r="T17" s="28">
        <f t="shared" si="0"/>
        <v>0</v>
      </c>
      <c r="U17" s="33">
        <f t="shared" si="1"/>
        <v>0</v>
      </c>
      <c r="V17" s="31">
        <f t="shared" si="2"/>
        <v>959662.96</v>
      </c>
      <c r="X17" s="52"/>
      <c r="Y17" s="41" t="s">
        <v>26</v>
      </c>
      <c r="Z17" s="5">
        <v>412</v>
      </c>
    </row>
    <row r="18" spans="2:28">
      <c r="B18" s="40">
        <v>45298</v>
      </c>
      <c r="C18" s="2" t="s">
        <v>1</v>
      </c>
      <c r="D18" s="4">
        <v>0</v>
      </c>
      <c r="E18" s="6">
        <v>0</v>
      </c>
      <c r="F18" s="56">
        <v>0</v>
      </c>
      <c r="G18" s="4">
        <f>2360</f>
        <v>2360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f>1760</f>
        <v>1760</v>
      </c>
      <c r="P18" s="6">
        <v>0</v>
      </c>
      <c r="Q18" s="6">
        <v>0</v>
      </c>
      <c r="R18" s="6">
        <v>0</v>
      </c>
      <c r="S18" s="11">
        <v>0</v>
      </c>
      <c r="T18" s="28">
        <f t="shared" si="0"/>
        <v>0</v>
      </c>
      <c r="U18" s="33">
        <f t="shared" si="1"/>
        <v>4120</v>
      </c>
      <c r="V18" s="31">
        <f t="shared" si="2"/>
        <v>955542.96</v>
      </c>
      <c r="X18" s="52"/>
      <c r="Y18" s="41" t="s">
        <v>27</v>
      </c>
      <c r="Z18" s="5">
        <v>1480</v>
      </c>
    </row>
    <row r="19" spans="2:28">
      <c r="B19" s="40">
        <v>45299</v>
      </c>
      <c r="C19" s="2" t="s">
        <v>2</v>
      </c>
      <c r="D19" s="4">
        <v>0</v>
      </c>
      <c r="E19" s="6">
        <v>0</v>
      </c>
      <c r="F19" s="56">
        <v>0</v>
      </c>
      <c r="G19" s="4">
        <f>793</f>
        <v>793</v>
      </c>
      <c r="H19" s="6">
        <v>700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11">
        <v>0</v>
      </c>
      <c r="T19" s="28">
        <f t="shared" si="0"/>
        <v>0</v>
      </c>
      <c r="U19" s="33">
        <f t="shared" si="1"/>
        <v>1493</v>
      </c>
      <c r="V19" s="31">
        <f t="shared" si="2"/>
        <v>954049.96</v>
      </c>
      <c r="X19" s="52"/>
      <c r="Y19" s="41" t="s">
        <v>28</v>
      </c>
      <c r="Z19" s="5">
        <v>27</v>
      </c>
    </row>
    <row r="20" spans="2:28" ht="18.600000000000001" thickBot="1">
      <c r="B20" s="40">
        <v>45300</v>
      </c>
      <c r="C20" s="2" t="s">
        <v>3</v>
      </c>
      <c r="D20" s="4">
        <v>0</v>
      </c>
      <c r="E20" s="6">
        <v>0</v>
      </c>
      <c r="F20" s="56">
        <v>0</v>
      </c>
      <c r="G20" s="4">
        <f>520+745</f>
        <v>1265</v>
      </c>
      <c r="H20" s="6">
        <v>700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11">
        <v>0</v>
      </c>
      <c r="T20" s="28">
        <f t="shared" si="0"/>
        <v>0</v>
      </c>
      <c r="U20" s="33">
        <f t="shared" si="1"/>
        <v>1965</v>
      </c>
      <c r="V20" s="31">
        <f t="shared" si="2"/>
        <v>952084.96</v>
      </c>
      <c r="X20" s="53"/>
      <c r="Y20" s="44" t="s">
        <v>30</v>
      </c>
      <c r="Z20" s="45">
        <v>9979</v>
      </c>
    </row>
    <row r="21" spans="2:28" ht="19.2" thickTop="1" thickBot="1">
      <c r="B21" s="40">
        <v>45301</v>
      </c>
      <c r="C21" s="2" t="s">
        <v>4</v>
      </c>
      <c r="D21" s="4">
        <v>0</v>
      </c>
      <c r="E21" s="6">
        <v>0</v>
      </c>
      <c r="F21" s="56">
        <v>0</v>
      </c>
      <c r="G21" s="4">
        <f>780</f>
        <v>780</v>
      </c>
      <c r="H21" s="6">
        <v>700</v>
      </c>
      <c r="I21" s="6">
        <v>4633</v>
      </c>
      <c r="J21" s="6">
        <v>0</v>
      </c>
      <c r="K21" s="6">
        <v>0</v>
      </c>
      <c r="L21" s="6">
        <v>0</v>
      </c>
      <c r="M21" s="6">
        <v>0</v>
      </c>
      <c r="N21" s="6">
        <f>4112</f>
        <v>4112</v>
      </c>
      <c r="O21" s="6">
        <v>0</v>
      </c>
      <c r="P21" s="6">
        <v>0</v>
      </c>
      <c r="Q21" s="6">
        <v>0</v>
      </c>
      <c r="R21" s="6">
        <v>0</v>
      </c>
      <c r="S21" s="11">
        <v>0</v>
      </c>
      <c r="T21" s="28">
        <f t="shared" si="0"/>
        <v>0</v>
      </c>
      <c r="U21" s="33">
        <f t="shared" si="1"/>
        <v>10225</v>
      </c>
      <c r="V21" s="31">
        <f t="shared" si="2"/>
        <v>941859.96</v>
      </c>
      <c r="X21" s="49" t="s">
        <v>15</v>
      </c>
      <c r="Y21" s="50"/>
      <c r="Z21" s="46">
        <f>SUM(Z14:Z20)</f>
        <v>895886</v>
      </c>
      <c r="AA21" s="51"/>
    </row>
    <row r="22" spans="2:28">
      <c r="B22" s="40">
        <v>45302</v>
      </c>
      <c r="C22" s="2" t="s">
        <v>5</v>
      </c>
      <c r="D22" s="4">
        <v>0</v>
      </c>
      <c r="E22" s="6">
        <v>0</v>
      </c>
      <c r="F22" s="56">
        <v>0</v>
      </c>
      <c r="G22" s="4">
        <f>2180</f>
        <v>2180</v>
      </c>
      <c r="H22" s="6">
        <v>700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11">
        <v>0</v>
      </c>
      <c r="T22" s="28">
        <f t="shared" si="0"/>
        <v>0</v>
      </c>
      <c r="U22" s="33">
        <f t="shared" si="1"/>
        <v>2880</v>
      </c>
      <c r="V22" s="31">
        <f t="shared" si="2"/>
        <v>938979.96</v>
      </c>
      <c r="AA22" s="51"/>
    </row>
    <row r="23" spans="2:28">
      <c r="B23" s="40">
        <v>45303</v>
      </c>
      <c r="C23" s="2" t="s">
        <v>6</v>
      </c>
      <c r="D23" s="4">
        <v>0</v>
      </c>
      <c r="E23" s="6">
        <v>0</v>
      </c>
      <c r="F23" s="56">
        <v>0</v>
      </c>
      <c r="G23" s="4">
        <f>662</f>
        <v>662</v>
      </c>
      <c r="H23" s="6">
        <v>700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11">
        <v>0</v>
      </c>
      <c r="T23" s="28">
        <f t="shared" si="0"/>
        <v>0</v>
      </c>
      <c r="U23" s="33">
        <f t="shared" si="1"/>
        <v>1362</v>
      </c>
      <c r="V23" s="31">
        <f t="shared" si="2"/>
        <v>937617.96</v>
      </c>
    </row>
    <row r="24" spans="2:28">
      <c r="B24" s="40">
        <v>45304</v>
      </c>
      <c r="C24" s="2" t="s">
        <v>0</v>
      </c>
      <c r="D24" s="4">
        <v>0</v>
      </c>
      <c r="E24" s="56">
        <v>0</v>
      </c>
      <c r="F24" s="5">
        <v>200</v>
      </c>
      <c r="G24" s="4">
        <f>2553+204+185+2090</f>
        <v>5032</v>
      </c>
      <c r="H24" s="6">
        <v>0</v>
      </c>
      <c r="I24" s="6">
        <v>0</v>
      </c>
      <c r="J24" s="6">
        <v>0</v>
      </c>
      <c r="K24" s="6">
        <v>0</v>
      </c>
      <c r="L24" s="6">
        <f>738+258+369+328+188+179+379+349</f>
        <v>2788</v>
      </c>
      <c r="M24" s="6">
        <f>100+298+238</f>
        <v>636</v>
      </c>
      <c r="N24" s="6">
        <v>0</v>
      </c>
      <c r="O24" s="6">
        <f>6050</f>
        <v>6050</v>
      </c>
      <c r="P24" s="6">
        <v>0</v>
      </c>
      <c r="Q24" s="11">
        <v>0</v>
      </c>
      <c r="R24" s="6">
        <v>32068</v>
      </c>
      <c r="S24" s="11">
        <v>0</v>
      </c>
      <c r="T24" s="28">
        <f t="shared" si="0"/>
        <v>200</v>
      </c>
      <c r="U24" s="33">
        <f t="shared" si="1"/>
        <v>46574</v>
      </c>
      <c r="V24" s="31">
        <f t="shared" si="2"/>
        <v>891243.96</v>
      </c>
      <c r="AB24" s="51"/>
    </row>
    <row r="25" spans="2:28">
      <c r="B25" s="40">
        <v>45305</v>
      </c>
      <c r="C25" s="2" t="s">
        <v>1</v>
      </c>
      <c r="D25" s="4">
        <v>0</v>
      </c>
      <c r="E25" s="56">
        <v>0</v>
      </c>
      <c r="F25" s="5">
        <v>0</v>
      </c>
      <c r="G25" s="4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11">
        <v>0</v>
      </c>
      <c r="T25" s="28">
        <f t="shared" si="0"/>
        <v>0</v>
      </c>
      <c r="U25" s="33">
        <f t="shared" si="1"/>
        <v>0</v>
      </c>
      <c r="V25" s="31">
        <f t="shared" si="2"/>
        <v>891243.96</v>
      </c>
    </row>
    <row r="26" spans="2:28">
      <c r="B26" s="40">
        <v>45306</v>
      </c>
      <c r="C26" s="2" t="s">
        <v>2</v>
      </c>
      <c r="D26" s="4">
        <v>0</v>
      </c>
      <c r="E26" s="56">
        <v>0</v>
      </c>
      <c r="F26" s="5">
        <v>0</v>
      </c>
      <c r="G26" s="4">
        <v>0</v>
      </c>
      <c r="H26" s="6">
        <v>700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11">
        <v>0</v>
      </c>
      <c r="T26" s="28">
        <f t="shared" si="0"/>
        <v>0</v>
      </c>
      <c r="U26" s="33">
        <f t="shared" si="1"/>
        <v>700</v>
      </c>
      <c r="V26" s="31">
        <f t="shared" si="2"/>
        <v>890543.96</v>
      </c>
    </row>
    <row r="27" spans="2:28">
      <c r="B27" s="40">
        <v>45307</v>
      </c>
      <c r="C27" s="2" t="s">
        <v>3</v>
      </c>
      <c r="D27" s="4">
        <v>0</v>
      </c>
      <c r="E27" s="56">
        <v>0</v>
      </c>
      <c r="F27" s="5">
        <v>0</v>
      </c>
      <c r="G27" s="4">
        <f>2340</f>
        <v>2340</v>
      </c>
      <c r="H27" s="6">
        <v>700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11">
        <v>0</v>
      </c>
      <c r="T27" s="28">
        <f t="shared" si="0"/>
        <v>0</v>
      </c>
      <c r="U27" s="33">
        <f t="shared" si="1"/>
        <v>3040</v>
      </c>
      <c r="V27" s="31">
        <f t="shared" si="2"/>
        <v>887503.96</v>
      </c>
    </row>
    <row r="28" spans="2:28">
      <c r="B28" s="40">
        <v>45308</v>
      </c>
      <c r="C28" s="2" t="s">
        <v>4</v>
      </c>
      <c r="D28" s="4">
        <v>0</v>
      </c>
      <c r="E28" s="56">
        <v>0</v>
      </c>
      <c r="F28" s="5">
        <v>0</v>
      </c>
      <c r="G28" s="4">
        <f>1781</f>
        <v>1781</v>
      </c>
      <c r="H28" s="6">
        <v>700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11">
        <v>0</v>
      </c>
      <c r="T28" s="28">
        <f t="shared" si="0"/>
        <v>0</v>
      </c>
      <c r="U28" s="33">
        <f t="shared" si="1"/>
        <v>2481</v>
      </c>
      <c r="V28" s="31">
        <f t="shared" si="2"/>
        <v>885022.96</v>
      </c>
    </row>
    <row r="29" spans="2:28">
      <c r="B29" s="40">
        <v>45309</v>
      </c>
      <c r="C29" s="2" t="s">
        <v>5</v>
      </c>
      <c r="D29" s="4">
        <v>0</v>
      </c>
      <c r="E29" s="56">
        <v>0</v>
      </c>
      <c r="F29" s="5">
        <v>0</v>
      </c>
      <c r="G29" s="4">
        <v>0</v>
      </c>
      <c r="H29" s="6">
        <v>700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11">
        <v>0</v>
      </c>
      <c r="T29" s="28">
        <f t="shared" si="0"/>
        <v>0</v>
      </c>
      <c r="U29" s="33">
        <f t="shared" si="1"/>
        <v>700</v>
      </c>
      <c r="V29" s="31">
        <f t="shared" si="2"/>
        <v>884322.96</v>
      </c>
    </row>
    <row r="30" spans="2:28">
      <c r="B30" s="40">
        <v>45310</v>
      </c>
      <c r="C30" s="2" t="s">
        <v>6</v>
      </c>
      <c r="D30" s="4">
        <v>0</v>
      </c>
      <c r="E30" s="56">
        <v>0</v>
      </c>
      <c r="F30" s="5">
        <v>0</v>
      </c>
      <c r="G30" s="4">
        <v>0</v>
      </c>
      <c r="H30" s="6">
        <v>700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11">
        <v>0</v>
      </c>
      <c r="T30" s="28">
        <f t="shared" si="0"/>
        <v>0</v>
      </c>
      <c r="U30" s="33">
        <f t="shared" si="1"/>
        <v>700</v>
      </c>
      <c r="V30" s="31">
        <f t="shared" si="2"/>
        <v>883622.96</v>
      </c>
    </row>
    <row r="31" spans="2:28">
      <c r="B31" s="40">
        <v>45311</v>
      </c>
      <c r="C31" s="2" t="s">
        <v>0</v>
      </c>
      <c r="D31" s="4">
        <v>0</v>
      </c>
      <c r="E31" s="56">
        <v>0</v>
      </c>
      <c r="F31" s="5">
        <v>0</v>
      </c>
      <c r="G31" s="4">
        <f>2050+3206</f>
        <v>5256</v>
      </c>
      <c r="H31" s="13">
        <v>0</v>
      </c>
      <c r="I31" s="6">
        <v>0</v>
      </c>
      <c r="J31" s="6">
        <v>0</v>
      </c>
      <c r="K31" s="6">
        <v>0</v>
      </c>
      <c r="L31" s="6">
        <v>0</v>
      </c>
      <c r="M31" s="6">
        <v>4854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11">
        <v>0</v>
      </c>
      <c r="T31" s="28">
        <f t="shared" si="0"/>
        <v>0</v>
      </c>
      <c r="U31" s="33">
        <f t="shared" si="1"/>
        <v>10110</v>
      </c>
      <c r="V31" s="31">
        <f t="shared" si="2"/>
        <v>873512.95999999996</v>
      </c>
    </row>
    <row r="32" spans="2:28">
      <c r="B32" s="40">
        <v>45312</v>
      </c>
      <c r="C32" s="2" t="s">
        <v>1</v>
      </c>
      <c r="D32" s="4">
        <v>0</v>
      </c>
      <c r="E32" s="56">
        <v>0</v>
      </c>
      <c r="F32" s="5">
        <v>0</v>
      </c>
      <c r="G32" s="13">
        <v>0</v>
      </c>
      <c r="H32" s="13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11">
        <v>0</v>
      </c>
      <c r="T32" s="28">
        <f t="shared" si="0"/>
        <v>0</v>
      </c>
      <c r="U32" s="33">
        <f t="shared" si="1"/>
        <v>0</v>
      </c>
      <c r="V32" s="31">
        <f t="shared" si="2"/>
        <v>873512.95999999996</v>
      </c>
    </row>
    <row r="33" spans="2:25">
      <c r="B33" s="40">
        <v>45313</v>
      </c>
      <c r="C33" s="2" t="s">
        <v>2</v>
      </c>
      <c r="D33" s="4">
        <v>0</v>
      </c>
      <c r="E33" s="56">
        <v>0</v>
      </c>
      <c r="F33" s="5">
        <v>0</v>
      </c>
      <c r="G33" s="4">
        <v>0</v>
      </c>
      <c r="H33" s="13">
        <v>700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11">
        <v>0</v>
      </c>
      <c r="T33" s="28">
        <f t="shared" si="0"/>
        <v>0</v>
      </c>
      <c r="U33" s="33">
        <f t="shared" si="1"/>
        <v>700</v>
      </c>
      <c r="V33" s="31">
        <f t="shared" si="2"/>
        <v>872812.96</v>
      </c>
    </row>
    <row r="34" spans="2:25">
      <c r="B34" s="40">
        <v>45314</v>
      </c>
      <c r="C34" s="2" t="s">
        <v>3</v>
      </c>
      <c r="D34" s="4">
        <v>0</v>
      </c>
      <c r="E34" s="56">
        <v>0</v>
      </c>
      <c r="F34" s="5">
        <v>0</v>
      </c>
      <c r="G34" s="4">
        <f>820+1277</f>
        <v>2097</v>
      </c>
      <c r="H34" s="13">
        <v>700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11">
        <v>0</v>
      </c>
      <c r="T34" s="28">
        <f t="shared" si="0"/>
        <v>0</v>
      </c>
      <c r="U34" s="33">
        <f t="shared" si="1"/>
        <v>2797</v>
      </c>
      <c r="V34" s="31">
        <f t="shared" si="2"/>
        <v>870015.96</v>
      </c>
    </row>
    <row r="35" spans="2:25" ht="18.600000000000001" thickBot="1">
      <c r="B35" s="40">
        <v>45315</v>
      </c>
      <c r="C35" s="2" t="s">
        <v>4</v>
      </c>
      <c r="D35" s="4">
        <v>0</v>
      </c>
      <c r="E35" s="56">
        <v>0</v>
      </c>
      <c r="F35" s="5">
        <v>0</v>
      </c>
      <c r="G35" s="4">
        <v>0</v>
      </c>
      <c r="H35" s="13">
        <v>700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11">
        <v>0</v>
      </c>
      <c r="T35" s="28">
        <f t="shared" si="0"/>
        <v>0</v>
      </c>
      <c r="U35" s="33">
        <f t="shared" si="1"/>
        <v>700</v>
      </c>
      <c r="V35" s="31">
        <f t="shared" si="2"/>
        <v>869315.96</v>
      </c>
      <c r="X35" s="51"/>
      <c r="Y35" s="51"/>
    </row>
    <row r="36" spans="2:25" ht="18.600000000000001" thickBot="1">
      <c r="B36" s="126" t="s">
        <v>15</v>
      </c>
      <c r="C36" s="142"/>
      <c r="D36" s="7">
        <f>SUM(D5:D35)</f>
        <v>242449</v>
      </c>
      <c r="E36" s="59"/>
      <c r="F36" s="8">
        <f t="shared" ref="F36:Q36" si="3">SUM(F5:F35)</f>
        <v>600</v>
      </c>
      <c r="G36" s="9">
        <f t="shared" si="3"/>
        <v>61110</v>
      </c>
      <c r="H36" s="10">
        <f t="shared" si="3"/>
        <v>11200</v>
      </c>
      <c r="I36" s="10">
        <f t="shared" si="3"/>
        <v>4633</v>
      </c>
      <c r="J36" s="10">
        <f t="shared" si="3"/>
        <v>2087</v>
      </c>
      <c r="K36" s="10">
        <f t="shared" si="3"/>
        <v>0</v>
      </c>
      <c r="L36" s="10">
        <f t="shared" si="3"/>
        <v>2788</v>
      </c>
      <c r="M36" s="10">
        <f t="shared" si="3"/>
        <v>5490</v>
      </c>
      <c r="N36" s="10">
        <f t="shared" si="3"/>
        <v>7778</v>
      </c>
      <c r="O36" s="10">
        <f t="shared" si="3"/>
        <v>12210</v>
      </c>
      <c r="P36" s="10">
        <f t="shared" si="3"/>
        <v>0</v>
      </c>
      <c r="Q36" s="10">
        <f t="shared" si="3"/>
        <v>0</v>
      </c>
      <c r="R36" s="59"/>
      <c r="S36" s="12">
        <f>SUM(S5:S35)</f>
        <v>340171</v>
      </c>
      <c r="T36" s="29">
        <f>SUM(D36:F36)</f>
        <v>243049</v>
      </c>
      <c r="U36" s="34">
        <f>SUM(G36:S36)</f>
        <v>447467</v>
      </c>
      <c r="V36" s="32">
        <f>T36-U36</f>
        <v>-204418</v>
      </c>
    </row>
  </sheetData>
  <mergeCells count="7">
    <mergeCell ref="B36:C36"/>
    <mergeCell ref="V2:V3"/>
    <mergeCell ref="U2:U3"/>
    <mergeCell ref="B4:C4"/>
    <mergeCell ref="T2:T3"/>
    <mergeCell ref="D2:F2"/>
    <mergeCell ref="G2:S2"/>
  </mergeCells>
  <phoneticPr fontId="2"/>
  <conditionalFormatting sqref="G36">
    <cfRule type="expression" dxfId="11" priority="4">
      <formula>$G$36&gt;$G$4</formula>
    </cfRule>
  </conditionalFormatting>
  <conditionalFormatting sqref="H36:R36">
    <cfRule type="expression" dxfId="10" priority="1">
      <formula>H$36&gt;H$4</formula>
    </cfRule>
  </conditionalFormatting>
  <conditionalFormatting sqref="S36">
    <cfRule type="expression" dxfId="9" priority="2">
      <formula>$S$36&gt;$S$4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5E3E-BA73-4A85-824C-0574ADC18043}">
  <dimension ref="B1:AB34"/>
  <sheetViews>
    <sheetView workbookViewId="0">
      <pane xSplit="3" ySplit="4" topLeftCell="F13" activePane="bottomRight" state="frozen"/>
      <selection pane="topRight" activeCell="D1" sqref="D1"/>
      <selection pane="bottomLeft" activeCell="A5" sqref="A5"/>
      <selection pane="bottomRight" activeCell="M35" sqref="M35"/>
    </sheetView>
  </sheetViews>
  <sheetFormatPr defaultRowHeight="18"/>
  <cols>
    <col min="2" max="2" width="10" bestFit="1" customWidth="1"/>
    <col min="3" max="3" width="3.19921875" bestFit="1" customWidth="1"/>
    <col min="22" max="22" width="9.69921875" bestFit="1" customWidth="1"/>
    <col min="24" max="24" width="14.19921875" bestFit="1" customWidth="1"/>
    <col min="25" max="25" width="15.19921875" bestFit="1" customWidth="1"/>
    <col min="26" max="26" width="13" bestFit="1" customWidth="1"/>
    <col min="27" max="27" width="9.69921875" bestFit="1" customWidth="1"/>
  </cols>
  <sheetData>
    <row r="1" spans="2:26" ht="18.600000000000001" thickBot="1"/>
    <row r="2" spans="2:26">
      <c r="B2" s="37"/>
      <c r="C2" s="38"/>
      <c r="D2" s="143" t="s">
        <v>9</v>
      </c>
      <c r="E2" s="129"/>
      <c r="F2" s="144"/>
      <c r="G2" s="145" t="s">
        <v>14</v>
      </c>
      <c r="H2" s="146"/>
      <c r="I2" s="147"/>
      <c r="J2" s="147"/>
      <c r="K2" s="147"/>
      <c r="L2" s="147"/>
      <c r="M2" s="147"/>
      <c r="N2" s="147"/>
      <c r="O2" s="147"/>
      <c r="P2" s="148"/>
      <c r="Q2" s="148"/>
      <c r="R2" s="148"/>
      <c r="S2" s="148"/>
      <c r="T2" s="149" t="s">
        <v>21</v>
      </c>
      <c r="U2" s="151" t="s">
        <v>22</v>
      </c>
      <c r="V2" s="138" t="s">
        <v>23</v>
      </c>
    </row>
    <row r="3" spans="2:26">
      <c r="B3" s="39"/>
      <c r="C3" s="19"/>
      <c r="D3" s="14" t="s">
        <v>7</v>
      </c>
      <c r="E3" s="54" t="s">
        <v>33</v>
      </c>
      <c r="F3" s="15" t="s">
        <v>8</v>
      </c>
      <c r="G3" s="16" t="s">
        <v>10</v>
      </c>
      <c r="H3" s="17" t="s">
        <v>17</v>
      </c>
      <c r="I3" s="1" t="s">
        <v>11</v>
      </c>
      <c r="J3" s="1" t="s">
        <v>12</v>
      </c>
      <c r="K3" s="1" t="s">
        <v>13</v>
      </c>
      <c r="L3" s="1" t="s">
        <v>20</v>
      </c>
      <c r="M3" s="1" t="s">
        <v>16</v>
      </c>
      <c r="N3" s="1" t="s">
        <v>24</v>
      </c>
      <c r="O3" s="1" t="s">
        <v>19</v>
      </c>
      <c r="P3" s="47" t="s">
        <v>32</v>
      </c>
      <c r="Q3" s="47" t="s">
        <v>31</v>
      </c>
      <c r="R3" s="47" t="s">
        <v>33</v>
      </c>
      <c r="S3" s="18" t="s">
        <v>8</v>
      </c>
      <c r="T3" s="150"/>
      <c r="U3" s="152"/>
      <c r="V3" s="139"/>
      <c r="X3" s="48"/>
    </row>
    <row r="4" spans="2:26" ht="18.600000000000001" thickBot="1">
      <c r="B4" s="140" t="s">
        <v>18</v>
      </c>
      <c r="C4" s="141"/>
      <c r="D4" s="20">
        <v>230000</v>
      </c>
      <c r="E4" s="55">
        <v>0</v>
      </c>
      <c r="F4" s="21">
        <v>0</v>
      </c>
      <c r="G4" s="22">
        <v>35000</v>
      </c>
      <c r="H4" s="23">
        <f>22*700</f>
        <v>15400</v>
      </c>
      <c r="I4" s="24">
        <v>5500</v>
      </c>
      <c r="J4" s="24">
        <v>2500</v>
      </c>
      <c r="K4" s="24">
        <v>4500</v>
      </c>
      <c r="L4" s="24">
        <v>4000</v>
      </c>
      <c r="M4" s="24">
        <v>10000</v>
      </c>
      <c r="N4" s="24">
        <f>7700</f>
        <v>7700</v>
      </c>
      <c r="O4" s="24">
        <v>10000</v>
      </c>
      <c r="P4" s="25">
        <v>2800</v>
      </c>
      <c r="Q4" s="25">
        <v>0</v>
      </c>
      <c r="R4" s="25">
        <v>0</v>
      </c>
      <c r="S4" s="25">
        <f>172000+15000+8000</f>
        <v>195000</v>
      </c>
      <c r="T4" s="26">
        <f t="shared" ref="T4:T33" si="0">SUM($D4:$F4)</f>
        <v>230000</v>
      </c>
      <c r="U4" s="36">
        <f>SUM($G4:$S4)</f>
        <v>292400</v>
      </c>
      <c r="V4" s="30">
        <f>T4-U4</f>
        <v>-62400</v>
      </c>
      <c r="X4" s="51">
        <f>V4+165920</f>
        <v>103520</v>
      </c>
    </row>
    <row r="5" spans="2:26" ht="18.600000000000001" thickTop="1">
      <c r="B5" s="40">
        <v>45316</v>
      </c>
      <c r="C5" s="2" t="s">
        <v>37</v>
      </c>
      <c r="D5" s="4">
        <v>232656</v>
      </c>
      <c r="E5" s="56">
        <v>0</v>
      </c>
      <c r="F5" s="5">
        <v>0</v>
      </c>
      <c r="G5" s="4">
        <f>2324+172</f>
        <v>2496</v>
      </c>
      <c r="H5" s="6">
        <v>700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11">
        <f>5</f>
        <v>5</v>
      </c>
      <c r="T5" s="28">
        <f t="shared" si="0"/>
        <v>232656</v>
      </c>
      <c r="U5" s="33">
        <f t="shared" ref="U5:U33" si="1">SUM($G5:$S5)</f>
        <v>3201</v>
      </c>
      <c r="V5" s="31">
        <f>'1225_0124'!V35+SUM(T5)-SUM(U5)</f>
        <v>1098770.96</v>
      </c>
    </row>
    <row r="6" spans="2:26">
      <c r="B6" s="40">
        <v>45317</v>
      </c>
      <c r="C6" s="2" t="s">
        <v>6</v>
      </c>
      <c r="D6" s="4">
        <v>0</v>
      </c>
      <c r="E6" s="56">
        <v>0</v>
      </c>
      <c r="F6" s="5">
        <v>0</v>
      </c>
      <c r="G6" s="4">
        <v>0</v>
      </c>
      <c r="H6" s="6">
        <v>700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28">
        <f t="shared" si="0"/>
        <v>0</v>
      </c>
      <c r="U6" s="33">
        <f t="shared" si="1"/>
        <v>700</v>
      </c>
      <c r="V6" s="31">
        <f>V5+SUM(T6)-SUM(U6)</f>
        <v>1098070.96</v>
      </c>
      <c r="Y6" s="48"/>
    </row>
    <row r="7" spans="2:26">
      <c r="B7" s="40">
        <v>45318</v>
      </c>
      <c r="C7" s="2" t="s">
        <v>0</v>
      </c>
      <c r="D7" s="4">
        <v>0</v>
      </c>
      <c r="E7" s="56">
        <v>0</v>
      </c>
      <c r="F7" s="5">
        <v>0</v>
      </c>
      <c r="G7" s="4">
        <v>2249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2090</v>
      </c>
      <c r="N7" s="6">
        <v>0</v>
      </c>
      <c r="O7" s="6">
        <v>0</v>
      </c>
      <c r="P7" s="11">
        <v>2750</v>
      </c>
      <c r="Q7" s="6">
        <v>0</v>
      </c>
      <c r="R7" s="6">
        <v>0</v>
      </c>
      <c r="S7" s="6">
        <v>0</v>
      </c>
      <c r="T7" s="28">
        <f t="shared" si="0"/>
        <v>0</v>
      </c>
      <c r="U7" s="33">
        <f t="shared" si="1"/>
        <v>7089</v>
      </c>
      <c r="V7" s="31">
        <f>V6+SUM(T7)-SUM(U7)</f>
        <v>1090981.96</v>
      </c>
    </row>
    <row r="8" spans="2:26">
      <c r="B8" s="40">
        <v>45319</v>
      </c>
      <c r="C8" s="2" t="s">
        <v>1</v>
      </c>
      <c r="D8" s="4">
        <v>0</v>
      </c>
      <c r="E8" s="56">
        <v>0</v>
      </c>
      <c r="F8" s="5">
        <v>0</v>
      </c>
      <c r="G8" s="4">
        <v>1467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11">
        <v>0</v>
      </c>
      <c r="Q8" s="11">
        <v>0</v>
      </c>
      <c r="R8" s="11">
        <v>0</v>
      </c>
      <c r="S8" s="11">
        <v>0</v>
      </c>
      <c r="T8" s="27">
        <f t="shared" si="0"/>
        <v>0</v>
      </c>
      <c r="U8" s="35">
        <f t="shared" si="1"/>
        <v>1467</v>
      </c>
      <c r="V8" s="31">
        <f t="shared" ref="V8:V33" si="2">V7+SUM(T8)-SUM(U8)</f>
        <v>1089514.96</v>
      </c>
    </row>
    <row r="9" spans="2:26">
      <c r="B9" s="40">
        <v>45320</v>
      </c>
      <c r="C9" s="2" t="s">
        <v>2</v>
      </c>
      <c r="D9" s="4">
        <v>0</v>
      </c>
      <c r="E9" s="56">
        <v>0</v>
      </c>
      <c r="F9" s="5">
        <v>0</v>
      </c>
      <c r="G9" s="4">
        <f>793</f>
        <v>793</v>
      </c>
      <c r="H9" s="6">
        <v>700</v>
      </c>
      <c r="I9" s="6">
        <v>0</v>
      </c>
      <c r="J9" s="6">
        <v>2183</v>
      </c>
      <c r="K9" s="6">
        <v>0</v>
      </c>
      <c r="L9" s="6">
        <v>0</v>
      </c>
      <c r="M9" s="6">
        <v>0</v>
      </c>
      <c r="N9" s="6">
        <f>3556</f>
        <v>3556</v>
      </c>
      <c r="O9" s="6">
        <v>0</v>
      </c>
      <c r="P9" s="11">
        <v>0</v>
      </c>
      <c r="Q9" s="11">
        <v>0</v>
      </c>
      <c r="R9" s="11">
        <v>0</v>
      </c>
      <c r="S9" s="11">
        <f>165920+5212</f>
        <v>171132</v>
      </c>
      <c r="T9" s="28">
        <f t="shared" si="0"/>
        <v>0</v>
      </c>
      <c r="U9" s="33">
        <f t="shared" si="1"/>
        <v>178364</v>
      </c>
      <c r="V9" s="31">
        <f t="shared" si="2"/>
        <v>911150.96</v>
      </c>
    </row>
    <row r="10" spans="2:26">
      <c r="B10" s="40">
        <v>45321</v>
      </c>
      <c r="C10" s="2" t="s">
        <v>3</v>
      </c>
      <c r="D10" s="4">
        <v>0</v>
      </c>
      <c r="E10" s="56">
        <v>0</v>
      </c>
      <c r="F10" s="5">
        <v>0</v>
      </c>
      <c r="G10" s="4">
        <v>0</v>
      </c>
      <c r="H10" s="6">
        <v>700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11">
        <v>0</v>
      </c>
      <c r="T10" s="28">
        <f t="shared" si="0"/>
        <v>0</v>
      </c>
      <c r="U10" s="33">
        <f t="shared" si="1"/>
        <v>700</v>
      </c>
      <c r="V10" s="31">
        <f t="shared" si="2"/>
        <v>910450.96</v>
      </c>
    </row>
    <row r="11" spans="2:26">
      <c r="B11" s="40">
        <v>45322</v>
      </c>
      <c r="C11" s="2" t="s">
        <v>4</v>
      </c>
      <c r="D11" s="4">
        <v>0</v>
      </c>
      <c r="E11" s="56">
        <v>0</v>
      </c>
      <c r="F11" s="5">
        <v>0</v>
      </c>
      <c r="G11" s="4">
        <f>2360</f>
        <v>2360</v>
      </c>
      <c r="H11" s="6">
        <v>700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11">
        <v>0</v>
      </c>
      <c r="T11" s="28">
        <f t="shared" si="0"/>
        <v>0</v>
      </c>
      <c r="U11" s="33">
        <f t="shared" si="1"/>
        <v>3060</v>
      </c>
      <c r="V11" s="31">
        <f t="shared" si="2"/>
        <v>907390.96</v>
      </c>
    </row>
    <row r="12" spans="2:26">
      <c r="B12" s="40">
        <v>45323</v>
      </c>
      <c r="C12" s="2" t="s">
        <v>5</v>
      </c>
      <c r="D12" s="4">
        <v>0</v>
      </c>
      <c r="E12" s="56">
        <v>0</v>
      </c>
      <c r="F12" s="5">
        <v>0</v>
      </c>
      <c r="G12" s="3">
        <f>962</f>
        <v>962</v>
      </c>
      <c r="H12" s="6">
        <v>700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11">
        <v>0</v>
      </c>
      <c r="T12" s="27">
        <f t="shared" si="0"/>
        <v>0</v>
      </c>
      <c r="U12" s="35">
        <f t="shared" si="1"/>
        <v>1662</v>
      </c>
      <c r="V12" s="31">
        <f t="shared" si="2"/>
        <v>905728.96</v>
      </c>
    </row>
    <row r="13" spans="2:26" ht="18.600000000000001" thickBot="1">
      <c r="B13" s="40">
        <v>45324</v>
      </c>
      <c r="C13" s="2" t="s">
        <v>6</v>
      </c>
      <c r="D13" s="4">
        <v>0</v>
      </c>
      <c r="E13" s="56">
        <v>0</v>
      </c>
      <c r="F13" s="5">
        <v>0</v>
      </c>
      <c r="G13" s="4">
        <v>0</v>
      </c>
      <c r="H13" s="6">
        <v>700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11">
        <v>0</v>
      </c>
      <c r="T13" s="28">
        <f t="shared" si="0"/>
        <v>0</v>
      </c>
      <c r="U13" s="33">
        <f t="shared" si="1"/>
        <v>700</v>
      </c>
      <c r="V13" s="31">
        <f t="shared" si="2"/>
        <v>905028.96</v>
      </c>
    </row>
    <row r="14" spans="2:26">
      <c r="B14" s="40">
        <v>45325</v>
      </c>
      <c r="C14" s="2" t="s">
        <v>0</v>
      </c>
      <c r="D14" s="4">
        <v>0</v>
      </c>
      <c r="E14" s="56">
        <v>0</v>
      </c>
      <c r="F14" s="5">
        <v>0</v>
      </c>
      <c r="G14" s="4">
        <f>1870</f>
        <v>1870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f>330</f>
        <v>330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11">
        <f>8000+220</f>
        <v>8220</v>
      </c>
      <c r="T14" s="28">
        <f t="shared" si="0"/>
        <v>0</v>
      </c>
      <c r="U14" s="33">
        <f t="shared" si="1"/>
        <v>10420</v>
      </c>
      <c r="V14" s="31">
        <f t="shared" si="2"/>
        <v>894608.96</v>
      </c>
      <c r="X14" s="58" t="s">
        <v>29</v>
      </c>
      <c r="Y14" s="42" t="s">
        <v>25</v>
      </c>
      <c r="Z14" s="43">
        <v>881264</v>
      </c>
    </row>
    <row r="15" spans="2:26">
      <c r="B15" s="40">
        <v>45326</v>
      </c>
      <c r="C15" s="2" t="s">
        <v>1</v>
      </c>
      <c r="D15" s="4">
        <v>0</v>
      </c>
      <c r="E15" s="56">
        <v>0</v>
      </c>
      <c r="F15" s="5">
        <v>0</v>
      </c>
      <c r="G15" s="4">
        <f>5299</f>
        <v>5299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11">
        <v>0</v>
      </c>
      <c r="T15" s="28">
        <f t="shared" si="0"/>
        <v>0</v>
      </c>
      <c r="U15" s="33">
        <f t="shared" si="1"/>
        <v>5299</v>
      </c>
      <c r="V15" s="31">
        <f>V14+SUM(T15)-SUM(U15)</f>
        <v>889309.96</v>
      </c>
      <c r="X15" s="52"/>
      <c r="Y15" s="41" t="s">
        <v>34</v>
      </c>
      <c r="Z15" s="5">
        <f>2000+713</f>
        <v>2713</v>
      </c>
    </row>
    <row r="16" spans="2:26">
      <c r="B16" s="40">
        <v>45327</v>
      </c>
      <c r="C16" s="2" t="s">
        <v>2</v>
      </c>
      <c r="D16" s="4">
        <v>0</v>
      </c>
      <c r="E16" s="56">
        <v>0</v>
      </c>
      <c r="F16" s="5">
        <v>0</v>
      </c>
      <c r="G16" s="4">
        <f>520*15</f>
        <v>7800</v>
      </c>
      <c r="H16" s="6">
        <v>700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11">
        <v>0</v>
      </c>
      <c r="T16" s="28">
        <f t="shared" si="0"/>
        <v>0</v>
      </c>
      <c r="U16" s="33">
        <f t="shared" si="1"/>
        <v>8500</v>
      </c>
      <c r="V16" s="31">
        <f t="shared" si="2"/>
        <v>880809.96</v>
      </c>
      <c r="X16" s="52"/>
      <c r="Y16" s="41" t="s">
        <v>35</v>
      </c>
      <c r="Z16" s="5">
        <v>11</v>
      </c>
    </row>
    <row r="17" spans="2:28">
      <c r="B17" s="40">
        <v>45328</v>
      </c>
      <c r="C17" s="2" t="s">
        <v>3</v>
      </c>
      <c r="D17" s="4">
        <v>0</v>
      </c>
      <c r="E17" s="56">
        <v>0</v>
      </c>
      <c r="F17" s="5">
        <v>0</v>
      </c>
      <c r="G17" s="4">
        <v>0</v>
      </c>
      <c r="H17" s="6">
        <v>700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11">
        <v>0</v>
      </c>
      <c r="T17" s="28">
        <f t="shared" si="0"/>
        <v>0</v>
      </c>
      <c r="U17" s="33">
        <f t="shared" si="1"/>
        <v>700</v>
      </c>
      <c r="V17" s="31">
        <f t="shared" si="2"/>
        <v>880109.96</v>
      </c>
      <c r="X17" s="52"/>
      <c r="Y17" s="41" t="s">
        <v>26</v>
      </c>
      <c r="Z17" s="5">
        <v>412</v>
      </c>
    </row>
    <row r="18" spans="2:28">
      <c r="B18" s="40">
        <v>45329</v>
      </c>
      <c r="C18" s="2" t="s">
        <v>4</v>
      </c>
      <c r="D18" s="4">
        <v>0</v>
      </c>
      <c r="E18" s="56">
        <v>0</v>
      </c>
      <c r="F18" s="5">
        <v>0</v>
      </c>
      <c r="G18" s="4">
        <f>2420</f>
        <v>2420</v>
      </c>
      <c r="H18" s="6">
        <v>700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11">
        <v>0</v>
      </c>
      <c r="T18" s="28">
        <f t="shared" si="0"/>
        <v>0</v>
      </c>
      <c r="U18" s="33">
        <f t="shared" si="1"/>
        <v>3120</v>
      </c>
      <c r="V18" s="31">
        <f t="shared" si="2"/>
        <v>876989.96</v>
      </c>
      <c r="X18" s="52"/>
      <c r="Y18" s="41" t="s">
        <v>27</v>
      </c>
      <c r="Z18" s="5">
        <v>1480</v>
      </c>
    </row>
    <row r="19" spans="2:28">
      <c r="B19" s="40">
        <v>45330</v>
      </c>
      <c r="C19" s="2" t="s">
        <v>5</v>
      </c>
      <c r="D19" s="4">
        <v>0</v>
      </c>
      <c r="E19" s="56">
        <v>0</v>
      </c>
      <c r="F19" s="5">
        <v>0</v>
      </c>
      <c r="G19" s="4">
        <v>0</v>
      </c>
      <c r="H19" s="6">
        <v>700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11">
        <v>0</v>
      </c>
      <c r="T19" s="28">
        <f t="shared" si="0"/>
        <v>0</v>
      </c>
      <c r="U19" s="33">
        <f t="shared" si="1"/>
        <v>700</v>
      </c>
      <c r="V19" s="31">
        <f t="shared" si="2"/>
        <v>876289.96</v>
      </c>
      <c r="X19" s="52"/>
      <c r="Y19" s="41" t="s">
        <v>28</v>
      </c>
      <c r="Z19" s="5">
        <v>27</v>
      </c>
    </row>
    <row r="20" spans="2:28" ht="18.600000000000001" thickBot="1">
      <c r="B20" s="40">
        <v>45331</v>
      </c>
      <c r="C20" s="2" t="s">
        <v>6</v>
      </c>
      <c r="D20" s="4">
        <v>0</v>
      </c>
      <c r="E20" s="56">
        <v>0</v>
      </c>
      <c r="F20" s="5">
        <v>0</v>
      </c>
      <c r="G20" s="4">
        <f>2880</f>
        <v>2880</v>
      </c>
      <c r="H20" s="6">
        <v>700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11">
        <v>0</v>
      </c>
      <c r="T20" s="28">
        <f t="shared" si="0"/>
        <v>0</v>
      </c>
      <c r="U20" s="33">
        <f t="shared" si="1"/>
        <v>3580</v>
      </c>
      <c r="V20" s="31">
        <f t="shared" si="2"/>
        <v>872709.96</v>
      </c>
      <c r="X20" s="53"/>
      <c r="Y20" s="44" t="s">
        <v>30</v>
      </c>
      <c r="Z20" s="45">
        <v>9979</v>
      </c>
    </row>
    <row r="21" spans="2:28" ht="19.2" thickTop="1" thickBot="1">
      <c r="B21" s="40">
        <v>45332</v>
      </c>
      <c r="C21" s="2" t="s">
        <v>0</v>
      </c>
      <c r="D21" s="4">
        <v>0</v>
      </c>
      <c r="E21" s="56">
        <v>0</v>
      </c>
      <c r="F21" s="5">
        <v>0</v>
      </c>
      <c r="G21" s="4">
        <f>4336+346+456+36</f>
        <v>5174</v>
      </c>
      <c r="H21" s="6">
        <v>0</v>
      </c>
      <c r="I21" s="6">
        <v>0</v>
      </c>
      <c r="J21" s="6">
        <v>0</v>
      </c>
      <c r="K21" s="6">
        <v>0</v>
      </c>
      <c r="L21" s="6">
        <f>1583+158+1153+115</f>
        <v>3009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11">
        <v>0</v>
      </c>
      <c r="T21" s="28">
        <f t="shared" si="0"/>
        <v>0</v>
      </c>
      <c r="U21" s="33">
        <f t="shared" si="1"/>
        <v>8183</v>
      </c>
      <c r="V21" s="31">
        <f t="shared" si="2"/>
        <v>864526.96</v>
      </c>
      <c r="X21" s="49" t="s">
        <v>15</v>
      </c>
      <c r="Y21" s="50"/>
      <c r="Z21" s="46">
        <f>SUM(Z14:Z20)</f>
        <v>895886</v>
      </c>
      <c r="AA21" s="51"/>
    </row>
    <row r="22" spans="2:28">
      <c r="B22" s="40">
        <v>45333</v>
      </c>
      <c r="C22" s="2" t="s">
        <v>1</v>
      </c>
      <c r="D22" s="4">
        <v>0</v>
      </c>
      <c r="E22" s="56">
        <v>0</v>
      </c>
      <c r="F22" s="5">
        <v>0</v>
      </c>
      <c r="G22" s="4">
        <f>367+29</f>
        <v>396</v>
      </c>
      <c r="H22" s="6">
        <v>0</v>
      </c>
      <c r="I22" s="6">
        <v>0</v>
      </c>
      <c r="J22" s="6">
        <v>0</v>
      </c>
      <c r="K22" s="6">
        <v>0</v>
      </c>
      <c r="L22" s="6">
        <f>179+17</f>
        <v>196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11">
        <v>0</v>
      </c>
      <c r="T22" s="28">
        <f t="shared" si="0"/>
        <v>0</v>
      </c>
      <c r="U22" s="33">
        <f t="shared" si="1"/>
        <v>592</v>
      </c>
      <c r="V22" s="31">
        <f t="shared" si="2"/>
        <v>863934.96</v>
      </c>
      <c r="AA22" s="51"/>
    </row>
    <row r="23" spans="2:28">
      <c r="B23" s="40">
        <v>45334</v>
      </c>
      <c r="C23" s="2" t="s">
        <v>2</v>
      </c>
      <c r="D23" s="4">
        <v>0</v>
      </c>
      <c r="E23" s="56">
        <v>0</v>
      </c>
      <c r="F23" s="5">
        <v>0</v>
      </c>
      <c r="G23" s="4">
        <f>2360</f>
        <v>2360</v>
      </c>
      <c r="H23" s="6">
        <v>700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77">
        <v>0</v>
      </c>
      <c r="O23" s="94">
        <v>0</v>
      </c>
      <c r="P23" s="94">
        <v>0</v>
      </c>
      <c r="Q23" s="94">
        <v>0</v>
      </c>
      <c r="R23" s="94">
        <v>0</v>
      </c>
      <c r="S23" s="11">
        <v>0</v>
      </c>
      <c r="T23" s="28">
        <f t="shared" si="0"/>
        <v>0</v>
      </c>
      <c r="U23" s="33">
        <f t="shared" si="1"/>
        <v>3060</v>
      </c>
      <c r="V23" s="31">
        <f t="shared" si="2"/>
        <v>860874.96</v>
      </c>
    </row>
    <row r="24" spans="2:28">
      <c r="B24" s="40">
        <v>45335</v>
      </c>
      <c r="C24" s="2" t="s">
        <v>3</v>
      </c>
      <c r="D24" s="4">
        <v>0</v>
      </c>
      <c r="E24" s="56">
        <v>0</v>
      </c>
      <c r="F24" s="5">
        <v>0</v>
      </c>
      <c r="G24" s="4">
        <v>0</v>
      </c>
      <c r="H24" s="6">
        <v>700</v>
      </c>
      <c r="I24" s="6">
        <f>5591</f>
        <v>5591</v>
      </c>
      <c r="J24" s="6">
        <v>0</v>
      </c>
      <c r="K24" s="6">
        <f>4946</f>
        <v>4946</v>
      </c>
      <c r="L24" s="6">
        <v>0</v>
      </c>
      <c r="M24" s="6">
        <v>0</v>
      </c>
      <c r="N24" s="6">
        <f>2979</f>
        <v>2979</v>
      </c>
      <c r="O24" s="94">
        <v>0</v>
      </c>
      <c r="P24" s="94">
        <v>0</v>
      </c>
      <c r="Q24" s="94">
        <v>0</v>
      </c>
      <c r="R24" s="94">
        <v>0</v>
      </c>
      <c r="S24" s="11">
        <f>3540+858+275</f>
        <v>4673</v>
      </c>
      <c r="T24" s="28">
        <f t="shared" si="0"/>
        <v>0</v>
      </c>
      <c r="U24" s="33">
        <f t="shared" si="1"/>
        <v>18889</v>
      </c>
      <c r="V24" s="31">
        <f t="shared" si="2"/>
        <v>841985.96</v>
      </c>
      <c r="AB24" s="51"/>
    </row>
    <row r="25" spans="2:28">
      <c r="B25" s="40">
        <v>45336</v>
      </c>
      <c r="C25" s="2" t="s">
        <v>4</v>
      </c>
      <c r="D25" s="4">
        <v>0</v>
      </c>
      <c r="E25" s="56">
        <v>0</v>
      </c>
      <c r="F25" s="5">
        <v>0</v>
      </c>
      <c r="G25" s="4">
        <v>0</v>
      </c>
      <c r="H25" s="6">
        <v>700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  <c r="T25" s="28">
        <f t="shared" si="0"/>
        <v>0</v>
      </c>
      <c r="U25" s="33">
        <f t="shared" si="1"/>
        <v>700</v>
      </c>
      <c r="V25" s="31">
        <f t="shared" si="2"/>
        <v>841285.96</v>
      </c>
    </row>
    <row r="26" spans="2:28">
      <c r="B26" s="40">
        <v>45337</v>
      </c>
      <c r="C26" s="2" t="s">
        <v>5</v>
      </c>
      <c r="D26" s="4">
        <v>0</v>
      </c>
      <c r="E26" s="56">
        <v>0</v>
      </c>
      <c r="F26" s="5">
        <v>0</v>
      </c>
      <c r="G26" s="4">
        <f>365</f>
        <v>365</v>
      </c>
      <c r="H26" s="6">
        <v>700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94">
        <v>0</v>
      </c>
      <c r="P26" s="94">
        <v>0</v>
      </c>
      <c r="Q26" s="94">
        <v>0</v>
      </c>
      <c r="R26" s="94">
        <v>0</v>
      </c>
      <c r="S26" s="94">
        <v>0</v>
      </c>
      <c r="T26" s="28">
        <f t="shared" si="0"/>
        <v>0</v>
      </c>
      <c r="U26" s="33">
        <f t="shared" si="1"/>
        <v>1065</v>
      </c>
      <c r="V26" s="31">
        <f t="shared" si="2"/>
        <v>840220.96</v>
      </c>
    </row>
    <row r="27" spans="2:28">
      <c r="B27" s="40">
        <v>45338</v>
      </c>
      <c r="C27" s="2" t="s">
        <v>6</v>
      </c>
      <c r="D27" s="4">
        <v>0</v>
      </c>
      <c r="E27" s="56">
        <v>0</v>
      </c>
      <c r="F27" s="5">
        <v>0</v>
      </c>
      <c r="G27" s="4">
        <f>670</f>
        <v>670</v>
      </c>
      <c r="H27" s="6">
        <v>700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f>2000</f>
        <v>2000</v>
      </c>
      <c r="P27" s="94">
        <v>0</v>
      </c>
      <c r="Q27" s="94">
        <v>0</v>
      </c>
      <c r="R27" s="94">
        <v>0</v>
      </c>
      <c r="S27" s="94">
        <v>0</v>
      </c>
      <c r="T27" s="28">
        <f t="shared" si="0"/>
        <v>0</v>
      </c>
      <c r="U27" s="33">
        <f t="shared" si="1"/>
        <v>3370</v>
      </c>
      <c r="V27" s="31">
        <f t="shared" si="2"/>
        <v>836850.96</v>
      </c>
    </row>
    <row r="28" spans="2:28">
      <c r="B28" s="40">
        <v>45339</v>
      </c>
      <c r="C28" s="2" t="s">
        <v>0</v>
      </c>
      <c r="D28" s="4">
        <v>0</v>
      </c>
      <c r="E28" s="56">
        <v>0</v>
      </c>
      <c r="F28" s="5">
        <v>0</v>
      </c>
      <c r="G28" s="4">
        <f>4909+2860</f>
        <v>7769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f>330</f>
        <v>330</v>
      </c>
      <c r="T28" s="28">
        <f t="shared" si="0"/>
        <v>0</v>
      </c>
      <c r="U28" s="33">
        <f t="shared" si="1"/>
        <v>8099</v>
      </c>
      <c r="V28" s="31">
        <f t="shared" si="2"/>
        <v>828751.96</v>
      </c>
    </row>
    <row r="29" spans="2:28">
      <c r="B29" s="40">
        <v>45340</v>
      </c>
      <c r="C29" s="2" t="s">
        <v>1</v>
      </c>
      <c r="D29" s="4">
        <v>0</v>
      </c>
      <c r="E29" s="56">
        <v>0</v>
      </c>
      <c r="F29" s="5">
        <v>0</v>
      </c>
      <c r="G29" s="4">
        <f>548</f>
        <v>548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28">
        <f t="shared" si="0"/>
        <v>0</v>
      </c>
      <c r="U29" s="33">
        <f t="shared" si="1"/>
        <v>548</v>
      </c>
      <c r="V29" s="31">
        <f t="shared" si="2"/>
        <v>828203.96</v>
      </c>
    </row>
    <row r="30" spans="2:28">
      <c r="B30" s="40">
        <v>45341</v>
      </c>
      <c r="C30" s="2" t="s">
        <v>2</v>
      </c>
      <c r="D30" s="4">
        <v>0</v>
      </c>
      <c r="E30" s="56">
        <v>0</v>
      </c>
      <c r="F30" s="5">
        <v>0</v>
      </c>
      <c r="G30" s="4">
        <v>0</v>
      </c>
      <c r="H30" s="6">
        <v>700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28">
        <f t="shared" si="0"/>
        <v>0</v>
      </c>
      <c r="U30" s="33">
        <f t="shared" si="1"/>
        <v>700</v>
      </c>
      <c r="V30" s="31">
        <f t="shared" si="2"/>
        <v>827503.96</v>
      </c>
    </row>
    <row r="31" spans="2:28">
      <c r="B31" s="40">
        <v>45342</v>
      </c>
      <c r="C31" s="2" t="s">
        <v>3</v>
      </c>
      <c r="D31" s="4">
        <v>0</v>
      </c>
      <c r="E31" s="56">
        <v>0</v>
      </c>
      <c r="F31" s="5">
        <v>0</v>
      </c>
      <c r="G31" s="4">
        <f>2720</f>
        <v>2720</v>
      </c>
      <c r="H31" s="13">
        <v>700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28">
        <f t="shared" si="0"/>
        <v>0</v>
      </c>
      <c r="U31" s="33">
        <f t="shared" si="1"/>
        <v>3420</v>
      </c>
      <c r="V31" s="31">
        <f t="shared" si="2"/>
        <v>824083.96</v>
      </c>
    </row>
    <row r="32" spans="2:28">
      <c r="B32" s="40">
        <v>45343</v>
      </c>
      <c r="C32" s="2" t="s">
        <v>4</v>
      </c>
      <c r="D32" s="4">
        <v>0</v>
      </c>
      <c r="E32" s="56">
        <v>0</v>
      </c>
      <c r="F32" s="5">
        <v>0</v>
      </c>
      <c r="G32" s="4">
        <f>950</f>
        <v>950</v>
      </c>
      <c r="H32" s="13">
        <v>700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28">
        <f t="shared" si="0"/>
        <v>0</v>
      </c>
      <c r="U32" s="33">
        <f t="shared" si="1"/>
        <v>1650</v>
      </c>
      <c r="V32" s="31">
        <f t="shared" si="2"/>
        <v>822433.96</v>
      </c>
    </row>
    <row r="33" spans="2:24" ht="18.600000000000001" thickBot="1">
      <c r="B33" s="40">
        <v>45344</v>
      </c>
      <c r="C33" s="2" t="s">
        <v>5</v>
      </c>
      <c r="D33" s="4">
        <v>0</v>
      </c>
      <c r="E33" s="56">
        <v>0</v>
      </c>
      <c r="F33" s="5">
        <v>0</v>
      </c>
      <c r="G33" s="4">
        <f>1201</f>
        <v>1201</v>
      </c>
      <c r="H33" s="13">
        <v>700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28">
        <f t="shared" si="0"/>
        <v>0</v>
      </c>
      <c r="U33" s="33">
        <f t="shared" si="1"/>
        <v>1901</v>
      </c>
      <c r="V33" s="31">
        <f t="shared" si="2"/>
        <v>820532.96</v>
      </c>
    </row>
    <row r="34" spans="2:24" ht="18.600000000000001" thickBot="1">
      <c r="B34" s="126" t="s">
        <v>15</v>
      </c>
      <c r="C34" s="142"/>
      <c r="D34" s="7">
        <f>SUM(D5:D33)</f>
        <v>232656</v>
      </c>
      <c r="E34" s="59"/>
      <c r="F34" s="8">
        <f t="shared" ref="F34:Q34" si="3">SUM(F5:F33)</f>
        <v>0</v>
      </c>
      <c r="G34" s="9">
        <f t="shared" si="3"/>
        <v>52749</v>
      </c>
      <c r="H34" s="10">
        <f t="shared" si="3"/>
        <v>14700</v>
      </c>
      <c r="I34" s="10">
        <f t="shared" si="3"/>
        <v>5591</v>
      </c>
      <c r="J34" s="10">
        <f t="shared" si="3"/>
        <v>2183</v>
      </c>
      <c r="K34" s="10">
        <f t="shared" si="3"/>
        <v>4946</v>
      </c>
      <c r="L34" s="10">
        <f t="shared" si="3"/>
        <v>3205</v>
      </c>
      <c r="M34" s="10">
        <f t="shared" si="3"/>
        <v>2420</v>
      </c>
      <c r="N34" s="10">
        <f t="shared" si="3"/>
        <v>6535</v>
      </c>
      <c r="O34" s="10">
        <f t="shared" si="3"/>
        <v>2000</v>
      </c>
      <c r="P34" s="10">
        <f t="shared" si="3"/>
        <v>2750</v>
      </c>
      <c r="Q34" s="10">
        <f t="shared" si="3"/>
        <v>0</v>
      </c>
      <c r="R34" s="59"/>
      <c r="S34" s="12">
        <f>SUM(S5:S33)</f>
        <v>184360</v>
      </c>
      <c r="T34" s="29">
        <f>SUM(D34:F34)</f>
        <v>232656</v>
      </c>
      <c r="U34" s="34">
        <f>SUM(G34:S34)</f>
        <v>281439</v>
      </c>
      <c r="V34" s="32">
        <f>T34-U34</f>
        <v>-48783</v>
      </c>
      <c r="X34" s="51">
        <f>11880*2+18200+540</f>
        <v>42500</v>
      </c>
    </row>
  </sheetData>
  <mergeCells count="7">
    <mergeCell ref="V2:V3"/>
    <mergeCell ref="B4:C4"/>
    <mergeCell ref="B34:C34"/>
    <mergeCell ref="D2:F2"/>
    <mergeCell ref="G2:S2"/>
    <mergeCell ref="T2:T3"/>
    <mergeCell ref="U2:U3"/>
  </mergeCells>
  <phoneticPr fontId="2"/>
  <conditionalFormatting sqref="G34">
    <cfRule type="expression" dxfId="8" priority="3">
      <formula>$G$34&gt;$G$4</formula>
    </cfRule>
  </conditionalFormatting>
  <conditionalFormatting sqref="H34:R34">
    <cfRule type="expression" dxfId="7" priority="6">
      <formula>H$34&gt;H$4</formula>
    </cfRule>
  </conditionalFormatting>
  <conditionalFormatting sqref="S34">
    <cfRule type="expression" dxfId="6" priority="2">
      <formula>$S$34&gt;$S$4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4E17-96D6-43F8-AB6E-0F9BCCAF4D8C}">
  <dimension ref="A1:AC36"/>
  <sheetViews>
    <sheetView workbookViewId="0">
      <pane xSplit="3" ySplit="4" topLeftCell="G21" activePane="bottomRight" state="frozen"/>
      <selection pane="topRight" activeCell="D1" sqref="D1"/>
      <selection pane="bottomLeft" activeCell="A5" sqref="A5"/>
      <selection pane="bottomRight" activeCell="W35" sqref="W35"/>
    </sheetView>
  </sheetViews>
  <sheetFormatPr defaultRowHeight="18"/>
  <cols>
    <col min="2" max="2" width="8" bestFit="1" customWidth="1"/>
    <col min="3" max="3" width="3.19921875" style="100" bestFit="1" customWidth="1"/>
    <col min="18" max="18" width="10.3984375" bestFit="1" customWidth="1"/>
    <col min="23" max="23" width="9.69921875" bestFit="1" customWidth="1"/>
    <col min="25" max="25" width="14.19921875" bestFit="1" customWidth="1"/>
    <col min="26" max="26" width="15.19921875" bestFit="1" customWidth="1"/>
    <col min="27" max="27" width="13" bestFit="1" customWidth="1"/>
    <col min="28" max="28" width="9.69921875" bestFit="1" customWidth="1"/>
  </cols>
  <sheetData>
    <row r="1" spans="1:27" ht="18.600000000000001" thickBot="1"/>
    <row r="2" spans="1:27">
      <c r="B2" s="37"/>
      <c r="C2" s="101"/>
      <c r="D2" s="143" t="s">
        <v>9</v>
      </c>
      <c r="E2" s="129"/>
      <c r="F2" s="144"/>
      <c r="G2" s="145" t="s">
        <v>14</v>
      </c>
      <c r="H2" s="146"/>
      <c r="I2" s="147"/>
      <c r="J2" s="147"/>
      <c r="K2" s="147"/>
      <c r="L2" s="147"/>
      <c r="M2" s="147"/>
      <c r="N2" s="147"/>
      <c r="O2" s="147"/>
      <c r="P2" s="148"/>
      <c r="Q2" s="148"/>
      <c r="R2" s="148"/>
      <c r="S2" s="148"/>
      <c r="T2" s="156"/>
      <c r="U2" s="157" t="s">
        <v>21</v>
      </c>
      <c r="V2" s="151" t="s">
        <v>22</v>
      </c>
      <c r="W2" s="138" t="s">
        <v>23</v>
      </c>
    </row>
    <row r="3" spans="1:27">
      <c r="B3" s="39"/>
      <c r="C3" s="102"/>
      <c r="D3" s="14" t="s">
        <v>7</v>
      </c>
      <c r="E3" s="54" t="s">
        <v>33</v>
      </c>
      <c r="F3" s="15" t="s">
        <v>8</v>
      </c>
      <c r="G3" s="16" t="s">
        <v>10</v>
      </c>
      <c r="H3" s="17" t="s">
        <v>17</v>
      </c>
      <c r="I3" s="1" t="s">
        <v>11</v>
      </c>
      <c r="J3" s="1" t="s">
        <v>12</v>
      </c>
      <c r="K3" s="1" t="s">
        <v>13</v>
      </c>
      <c r="L3" s="1" t="s">
        <v>20</v>
      </c>
      <c r="M3" s="1" t="s">
        <v>16</v>
      </c>
      <c r="N3" s="1" t="s">
        <v>24</v>
      </c>
      <c r="O3" s="1" t="s">
        <v>19</v>
      </c>
      <c r="P3" s="47" t="s">
        <v>32</v>
      </c>
      <c r="Q3" s="47" t="s">
        <v>58</v>
      </c>
      <c r="R3" s="47" t="s">
        <v>62</v>
      </c>
      <c r="S3" s="47" t="s">
        <v>33</v>
      </c>
      <c r="T3" s="18" t="s">
        <v>8</v>
      </c>
      <c r="U3" s="158"/>
      <c r="V3" s="152"/>
      <c r="W3" s="139"/>
      <c r="Y3" s="48"/>
    </row>
    <row r="4" spans="1:27" ht="18.600000000000001" thickBot="1">
      <c r="B4" s="140" t="s">
        <v>18</v>
      </c>
      <c r="C4" s="155"/>
      <c r="D4" s="20">
        <v>210000</v>
      </c>
      <c r="E4" s="55">
        <v>0</v>
      </c>
      <c r="F4" s="21">
        <v>0</v>
      </c>
      <c r="G4" s="22">
        <v>45000</v>
      </c>
      <c r="H4" s="23">
        <f>22*700</f>
        <v>15400</v>
      </c>
      <c r="I4" s="24">
        <v>5900</v>
      </c>
      <c r="J4" s="24">
        <v>2500</v>
      </c>
      <c r="K4" s="24">
        <v>0</v>
      </c>
      <c r="L4" s="24">
        <v>4000</v>
      </c>
      <c r="M4" s="24">
        <v>12400</v>
      </c>
      <c r="N4" s="24">
        <f>7700</f>
        <v>7700</v>
      </c>
      <c r="O4" s="24">
        <v>10000</v>
      </c>
      <c r="P4" s="25">
        <v>2600</v>
      </c>
      <c r="Q4" s="25">
        <f>17000-11500</f>
        <v>5500</v>
      </c>
      <c r="R4" s="25">
        <v>0</v>
      </c>
      <c r="S4" s="25">
        <v>0</v>
      </c>
      <c r="T4" s="98">
        <f>12000+15000</f>
        <v>27000</v>
      </c>
      <c r="U4" s="95">
        <f>SUM($D4:$F4)</f>
        <v>210000</v>
      </c>
      <c r="V4" s="36">
        <f>SUM($G4:$T4)</f>
        <v>138000</v>
      </c>
      <c r="W4" s="30">
        <f>U4-V4</f>
        <v>72000</v>
      </c>
      <c r="Y4" s="51"/>
    </row>
    <row r="5" spans="1:27" ht="18.600000000000001" thickTop="1">
      <c r="B5" s="40">
        <v>45345</v>
      </c>
      <c r="C5" s="104" t="s">
        <v>61</v>
      </c>
      <c r="D5" s="105">
        <v>212851</v>
      </c>
      <c r="E5" s="106">
        <v>0</v>
      </c>
      <c r="F5" s="107">
        <v>0</v>
      </c>
      <c r="G5" s="105">
        <f>2360</f>
        <v>2360</v>
      </c>
      <c r="H5" s="108">
        <f>700</f>
        <v>700</v>
      </c>
      <c r="I5" s="109">
        <v>0</v>
      </c>
      <c r="J5" s="109">
        <v>0</v>
      </c>
      <c r="K5" s="109">
        <v>0</v>
      </c>
      <c r="L5" s="109">
        <v>0</v>
      </c>
      <c r="M5" s="109">
        <v>0</v>
      </c>
      <c r="N5" s="109">
        <v>0</v>
      </c>
      <c r="O5" s="109">
        <v>0</v>
      </c>
      <c r="P5" s="109">
        <v>0</v>
      </c>
      <c r="Q5" s="109">
        <v>0</v>
      </c>
      <c r="R5" s="109">
        <v>0</v>
      </c>
      <c r="S5" s="109">
        <v>0</v>
      </c>
      <c r="T5" s="107">
        <v>0</v>
      </c>
      <c r="U5" s="96">
        <f>SUM($D5,$F5)</f>
        <v>212851</v>
      </c>
      <c r="V5" s="33">
        <f>SUM($G5:$R5,$T5)</f>
        <v>3060</v>
      </c>
      <c r="W5" s="99">
        <f>'0125_0222'!V33+SUM(U5)-SUM(V5)</f>
        <v>1030323.96</v>
      </c>
      <c r="Y5" s="51"/>
    </row>
    <row r="6" spans="1:27">
      <c r="B6" s="40">
        <v>45346</v>
      </c>
      <c r="C6" s="103" t="s">
        <v>0</v>
      </c>
      <c r="D6" s="110">
        <v>0</v>
      </c>
      <c r="E6" s="111">
        <v>0</v>
      </c>
      <c r="F6" s="112">
        <v>0</v>
      </c>
      <c r="G6" s="110">
        <f>2883+230</f>
        <v>3113</v>
      </c>
      <c r="H6" s="111">
        <v>0</v>
      </c>
      <c r="I6" s="111">
        <v>0</v>
      </c>
      <c r="J6" s="111">
        <v>0</v>
      </c>
      <c r="K6" s="111">
        <v>0</v>
      </c>
      <c r="L6" s="111">
        <f>218</f>
        <v>218</v>
      </c>
      <c r="M6" s="111">
        <f>330</f>
        <v>330</v>
      </c>
      <c r="N6" s="111">
        <v>0</v>
      </c>
      <c r="O6" s="111">
        <v>0</v>
      </c>
      <c r="P6" s="111">
        <v>0</v>
      </c>
      <c r="Q6" s="111">
        <v>0</v>
      </c>
      <c r="R6" s="111">
        <v>0</v>
      </c>
      <c r="S6" s="111">
        <v>0</v>
      </c>
      <c r="T6" s="112">
        <v>0</v>
      </c>
      <c r="U6" s="96">
        <f t="shared" ref="U6:U35" si="0">SUM($D6,$F6)</f>
        <v>0</v>
      </c>
      <c r="V6" s="33">
        <f t="shared" ref="V6:V35" si="1">SUM($G6:$R6,$T6)</f>
        <v>3661</v>
      </c>
      <c r="W6" s="31">
        <f>W5+SUM(U6)-SUM(V6)</f>
        <v>1026662.96</v>
      </c>
      <c r="Y6" s="51"/>
    </row>
    <row r="7" spans="1:27">
      <c r="B7" s="40">
        <v>45347</v>
      </c>
      <c r="C7" s="103" t="s">
        <v>1</v>
      </c>
      <c r="D7" s="110">
        <v>0</v>
      </c>
      <c r="E7" s="111">
        <v>0</v>
      </c>
      <c r="F7" s="112">
        <v>0</v>
      </c>
      <c r="G7" s="113">
        <f>2259</f>
        <v>2259</v>
      </c>
      <c r="H7" s="114">
        <v>0</v>
      </c>
      <c r="I7" s="114">
        <v>0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14">
        <v>0</v>
      </c>
      <c r="P7" s="114">
        <v>0</v>
      </c>
      <c r="Q7" s="114">
        <f>5412</f>
        <v>5412</v>
      </c>
      <c r="R7" s="114">
        <v>0</v>
      </c>
      <c r="S7" s="114">
        <v>0</v>
      </c>
      <c r="T7" s="112">
        <v>0</v>
      </c>
      <c r="U7" s="96">
        <f t="shared" si="0"/>
        <v>0</v>
      </c>
      <c r="V7" s="33">
        <f>SUM($G7:$R7,$T7)</f>
        <v>7671</v>
      </c>
      <c r="W7" s="31">
        <f>W6+SUM(U7)-SUM(V7)</f>
        <v>1018991.96</v>
      </c>
    </row>
    <row r="8" spans="1:27">
      <c r="B8" s="40">
        <v>45348</v>
      </c>
      <c r="C8" s="103" t="s">
        <v>2</v>
      </c>
      <c r="D8" s="110">
        <v>0</v>
      </c>
      <c r="E8" s="111">
        <v>0</v>
      </c>
      <c r="F8" s="112">
        <v>0</v>
      </c>
      <c r="G8" s="113">
        <f>520*20</f>
        <v>10400</v>
      </c>
      <c r="H8" s="114">
        <v>700</v>
      </c>
      <c r="I8" s="114">
        <v>0</v>
      </c>
      <c r="J8" s="114">
        <v>0</v>
      </c>
      <c r="K8" s="114">
        <v>0</v>
      </c>
      <c r="L8" s="114">
        <v>0</v>
      </c>
      <c r="M8" s="114">
        <v>0</v>
      </c>
      <c r="N8" s="114">
        <v>0</v>
      </c>
      <c r="O8" s="114">
        <v>0</v>
      </c>
      <c r="P8" s="114">
        <v>0</v>
      </c>
      <c r="Q8" s="114">
        <v>0</v>
      </c>
      <c r="R8" s="114">
        <v>0</v>
      </c>
      <c r="S8" s="114">
        <v>0</v>
      </c>
      <c r="T8" s="112">
        <v>0</v>
      </c>
      <c r="U8" s="96">
        <f t="shared" si="0"/>
        <v>0</v>
      </c>
      <c r="V8" s="33">
        <f t="shared" si="1"/>
        <v>11100</v>
      </c>
      <c r="W8" s="31">
        <f>W7+SUM(U8)-SUM(V8)</f>
        <v>1007891.96</v>
      </c>
      <c r="Z8" s="48"/>
      <c r="AA8" s="48"/>
    </row>
    <row r="9" spans="1:27">
      <c r="B9" s="40">
        <v>45349</v>
      </c>
      <c r="C9" s="103" t="s">
        <v>3</v>
      </c>
      <c r="D9" s="110">
        <v>0</v>
      </c>
      <c r="E9" s="111">
        <v>0</v>
      </c>
      <c r="F9" s="112">
        <v>0</v>
      </c>
      <c r="G9" s="113">
        <v>0</v>
      </c>
      <c r="H9" s="114">
        <v>700</v>
      </c>
      <c r="I9" s="114">
        <v>0</v>
      </c>
      <c r="J9" s="114">
        <f>3385</f>
        <v>3385</v>
      </c>
      <c r="K9" s="114">
        <v>0</v>
      </c>
      <c r="L9" s="114">
        <v>0</v>
      </c>
      <c r="M9" s="114">
        <v>0</v>
      </c>
      <c r="N9" s="114">
        <f>3556</f>
        <v>3556</v>
      </c>
      <c r="O9" s="114">
        <v>0</v>
      </c>
      <c r="P9" s="114">
        <v>0</v>
      </c>
      <c r="Q9" s="115">
        <v>0</v>
      </c>
      <c r="R9" s="114">
        <v>0</v>
      </c>
      <c r="S9" s="114">
        <v>0</v>
      </c>
      <c r="T9" s="112">
        <f>5212</f>
        <v>5212</v>
      </c>
      <c r="U9" s="96">
        <f t="shared" si="0"/>
        <v>0</v>
      </c>
      <c r="V9" s="33">
        <f t="shared" si="1"/>
        <v>12853</v>
      </c>
      <c r="W9" s="31">
        <f>W8+SUM(U9)-SUM(V9)</f>
        <v>995038.96</v>
      </c>
    </row>
    <row r="10" spans="1:27">
      <c r="B10" s="40">
        <v>45350</v>
      </c>
      <c r="C10" s="103" t="s">
        <v>4</v>
      </c>
      <c r="D10" s="110">
        <v>0</v>
      </c>
      <c r="E10" s="111">
        <v>0</v>
      </c>
      <c r="F10" s="112">
        <v>0</v>
      </c>
      <c r="G10" s="113">
        <v>0</v>
      </c>
      <c r="H10" s="114">
        <v>700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14">
        <v>0</v>
      </c>
      <c r="O10" s="114">
        <v>0</v>
      </c>
      <c r="P10" s="114">
        <v>0</v>
      </c>
      <c r="Q10" s="115">
        <v>0</v>
      </c>
      <c r="R10" s="114">
        <v>0</v>
      </c>
      <c r="S10" s="114">
        <v>0</v>
      </c>
      <c r="T10" s="112">
        <v>0</v>
      </c>
      <c r="U10" s="96">
        <f t="shared" si="0"/>
        <v>0</v>
      </c>
      <c r="V10" s="33">
        <f t="shared" si="1"/>
        <v>700</v>
      </c>
      <c r="W10" s="31">
        <f t="shared" ref="W10:W35" si="2">W9+SUM(U10)-SUM(V10)</f>
        <v>994338.96</v>
      </c>
    </row>
    <row r="11" spans="1:27">
      <c r="A11" s="51"/>
      <c r="B11" s="40">
        <v>45351</v>
      </c>
      <c r="C11" s="103" t="s">
        <v>5</v>
      </c>
      <c r="D11" s="110">
        <v>0</v>
      </c>
      <c r="E11" s="111">
        <v>0</v>
      </c>
      <c r="F11" s="112">
        <v>0</v>
      </c>
      <c r="G11" s="113">
        <v>0</v>
      </c>
      <c r="H11" s="114">
        <v>700</v>
      </c>
      <c r="I11" s="114">
        <v>0</v>
      </c>
      <c r="J11" s="114">
        <v>0</v>
      </c>
      <c r="K11" s="114">
        <v>0</v>
      </c>
      <c r="L11" s="114">
        <v>0</v>
      </c>
      <c r="M11" s="114">
        <f>6736</f>
        <v>6736</v>
      </c>
      <c r="N11" s="114">
        <v>0</v>
      </c>
      <c r="O11" s="114">
        <v>0</v>
      </c>
      <c r="P11" s="114">
        <v>0</v>
      </c>
      <c r="Q11" s="115">
        <v>0</v>
      </c>
      <c r="R11" s="114">
        <v>0</v>
      </c>
      <c r="S11" s="114">
        <v>0</v>
      </c>
      <c r="T11" s="112">
        <v>0</v>
      </c>
      <c r="U11" s="96">
        <f t="shared" si="0"/>
        <v>0</v>
      </c>
      <c r="V11" s="33">
        <f t="shared" si="1"/>
        <v>7436</v>
      </c>
      <c r="W11" s="31">
        <f t="shared" si="2"/>
        <v>986902.96</v>
      </c>
    </row>
    <row r="12" spans="1:27">
      <c r="B12" s="40">
        <v>45352</v>
      </c>
      <c r="C12" s="103" t="s">
        <v>6</v>
      </c>
      <c r="D12" s="110">
        <v>0</v>
      </c>
      <c r="E12" s="111">
        <v>0</v>
      </c>
      <c r="F12" s="112">
        <v>0</v>
      </c>
      <c r="G12" s="113">
        <f>1653</f>
        <v>1653</v>
      </c>
      <c r="H12" s="114">
        <v>700</v>
      </c>
      <c r="I12" s="114">
        <v>0</v>
      </c>
      <c r="J12" s="114">
        <v>0</v>
      </c>
      <c r="K12" s="114">
        <v>0</v>
      </c>
      <c r="L12" s="114">
        <v>0</v>
      </c>
      <c r="M12" s="114">
        <v>0</v>
      </c>
      <c r="N12" s="114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16">
        <v>0</v>
      </c>
      <c r="U12" s="96">
        <f t="shared" si="0"/>
        <v>0</v>
      </c>
      <c r="V12" s="33">
        <f t="shared" si="1"/>
        <v>2353</v>
      </c>
      <c r="W12" s="31">
        <f t="shared" si="2"/>
        <v>984549.96</v>
      </c>
    </row>
    <row r="13" spans="1:27">
      <c r="B13" s="40">
        <v>45353</v>
      </c>
      <c r="C13" s="103" t="s">
        <v>0</v>
      </c>
      <c r="D13" s="110">
        <v>0</v>
      </c>
      <c r="E13" s="111">
        <v>0</v>
      </c>
      <c r="F13" s="112">
        <v>0</v>
      </c>
      <c r="G13" s="113">
        <f>3033+242</f>
        <v>3275</v>
      </c>
      <c r="H13" s="114">
        <v>0</v>
      </c>
      <c r="I13" s="114">
        <v>0</v>
      </c>
      <c r="J13" s="114">
        <v>0</v>
      </c>
      <c r="K13" s="114">
        <v>0</v>
      </c>
      <c r="L13" s="114">
        <f>188+18</f>
        <v>206</v>
      </c>
      <c r="M13" s="114">
        <f>2393</f>
        <v>2393</v>
      </c>
      <c r="N13" s="114">
        <v>0</v>
      </c>
      <c r="O13" s="114">
        <v>0</v>
      </c>
      <c r="P13" s="114">
        <v>0</v>
      </c>
      <c r="Q13" s="114">
        <v>0</v>
      </c>
      <c r="R13" s="114">
        <v>0</v>
      </c>
      <c r="S13" s="114">
        <v>0</v>
      </c>
      <c r="T13" s="116">
        <v>0</v>
      </c>
      <c r="U13" s="96">
        <f t="shared" si="0"/>
        <v>0</v>
      </c>
      <c r="V13" s="33">
        <f t="shared" si="1"/>
        <v>5874</v>
      </c>
      <c r="W13" s="31">
        <f t="shared" si="2"/>
        <v>978675.96</v>
      </c>
    </row>
    <row r="14" spans="1:27">
      <c r="B14" s="40">
        <v>45354</v>
      </c>
      <c r="C14" s="103" t="s">
        <v>1</v>
      </c>
      <c r="D14" s="110">
        <v>0</v>
      </c>
      <c r="E14" s="111">
        <v>0</v>
      </c>
      <c r="F14" s="112">
        <v>0</v>
      </c>
      <c r="G14" s="117">
        <f>1534+113</f>
        <v>1647</v>
      </c>
      <c r="H14" s="114">
        <v>0</v>
      </c>
      <c r="I14" s="114">
        <v>0</v>
      </c>
      <c r="J14" s="114">
        <v>0</v>
      </c>
      <c r="K14" s="114">
        <v>0</v>
      </c>
      <c r="L14" s="114">
        <f>207+18</f>
        <v>225</v>
      </c>
      <c r="M14" s="114">
        <v>0</v>
      </c>
      <c r="N14" s="114">
        <v>0</v>
      </c>
      <c r="O14" s="114">
        <f>6820</f>
        <v>6820</v>
      </c>
      <c r="P14" s="114">
        <f>4400</f>
        <v>4400</v>
      </c>
      <c r="Q14" s="114">
        <v>0</v>
      </c>
      <c r="R14" s="114">
        <v>0</v>
      </c>
      <c r="S14" s="114">
        <v>0</v>
      </c>
      <c r="T14" s="116">
        <v>0</v>
      </c>
      <c r="U14" s="96">
        <f t="shared" si="0"/>
        <v>0</v>
      </c>
      <c r="V14" s="33">
        <f t="shared" si="1"/>
        <v>13092</v>
      </c>
      <c r="W14" s="31">
        <f t="shared" si="2"/>
        <v>965583.96</v>
      </c>
    </row>
    <row r="15" spans="1:27" ht="18.600000000000001" thickBot="1">
      <c r="B15" s="40">
        <v>45355</v>
      </c>
      <c r="C15" s="103" t="s">
        <v>2</v>
      </c>
      <c r="D15" s="110">
        <v>0</v>
      </c>
      <c r="E15" s="111">
        <v>0</v>
      </c>
      <c r="F15" s="112">
        <v>0</v>
      </c>
      <c r="G15" s="113">
        <v>0</v>
      </c>
      <c r="H15" s="114">
        <v>700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114">
        <v>0</v>
      </c>
      <c r="Q15" s="114">
        <v>0</v>
      </c>
      <c r="R15" s="114">
        <v>0</v>
      </c>
      <c r="S15" s="114">
        <v>0</v>
      </c>
      <c r="T15" s="116">
        <v>0</v>
      </c>
      <c r="U15" s="96">
        <f t="shared" si="0"/>
        <v>0</v>
      </c>
      <c r="V15" s="33">
        <f t="shared" si="1"/>
        <v>700</v>
      </c>
      <c r="W15" s="31">
        <f t="shared" si="2"/>
        <v>964883.96</v>
      </c>
    </row>
    <row r="16" spans="1:27">
      <c r="B16" s="40">
        <v>45356</v>
      </c>
      <c r="C16" s="103" t="s">
        <v>3</v>
      </c>
      <c r="D16" s="110">
        <v>0</v>
      </c>
      <c r="E16" s="111">
        <v>0</v>
      </c>
      <c r="F16" s="112">
        <v>0</v>
      </c>
      <c r="G16" s="113">
        <v>0</v>
      </c>
      <c r="H16" s="114">
        <v>700</v>
      </c>
      <c r="I16" s="114">
        <v>0</v>
      </c>
      <c r="J16" s="114">
        <v>0</v>
      </c>
      <c r="K16" s="114">
        <v>0</v>
      </c>
      <c r="L16" s="114">
        <v>0</v>
      </c>
      <c r="M16" s="114">
        <v>0</v>
      </c>
      <c r="N16" s="114">
        <v>0</v>
      </c>
      <c r="O16" s="114">
        <v>0</v>
      </c>
      <c r="P16" s="114">
        <v>0</v>
      </c>
      <c r="Q16" s="114">
        <v>0</v>
      </c>
      <c r="R16" s="114">
        <v>0</v>
      </c>
      <c r="S16" s="114">
        <v>0</v>
      </c>
      <c r="T16" s="116">
        <v>0</v>
      </c>
      <c r="U16" s="96">
        <f t="shared" si="0"/>
        <v>0</v>
      </c>
      <c r="V16" s="33">
        <f t="shared" si="1"/>
        <v>700</v>
      </c>
      <c r="W16" s="31">
        <f t="shared" si="2"/>
        <v>964183.96</v>
      </c>
      <c r="Y16" s="58" t="s">
        <v>29</v>
      </c>
      <c r="Z16" s="42" t="s">
        <v>25</v>
      </c>
      <c r="AA16" s="43">
        <v>881264</v>
      </c>
    </row>
    <row r="17" spans="1:29">
      <c r="B17" s="40">
        <v>45357</v>
      </c>
      <c r="C17" s="103" t="s">
        <v>4</v>
      </c>
      <c r="D17" s="110">
        <v>0</v>
      </c>
      <c r="E17" s="111">
        <v>0</v>
      </c>
      <c r="F17" s="112">
        <v>0</v>
      </c>
      <c r="G17" s="113">
        <f>1000</f>
        <v>1000</v>
      </c>
      <c r="H17" s="114">
        <v>700</v>
      </c>
      <c r="I17" s="114">
        <v>0</v>
      </c>
      <c r="J17" s="114">
        <v>0</v>
      </c>
      <c r="K17" s="114">
        <v>0</v>
      </c>
      <c r="L17" s="114">
        <v>0</v>
      </c>
      <c r="M17" s="114">
        <v>0</v>
      </c>
      <c r="N17" s="114">
        <v>0</v>
      </c>
      <c r="O17" s="114">
        <v>0</v>
      </c>
      <c r="P17" s="114">
        <v>0</v>
      </c>
      <c r="Q17" s="114">
        <v>0</v>
      </c>
      <c r="R17" s="114">
        <v>0</v>
      </c>
      <c r="S17" s="114">
        <v>0</v>
      </c>
      <c r="T17" s="116">
        <v>0</v>
      </c>
      <c r="U17" s="96">
        <f t="shared" si="0"/>
        <v>0</v>
      </c>
      <c r="V17" s="33">
        <f t="shared" si="1"/>
        <v>1700</v>
      </c>
      <c r="W17" s="31">
        <f>W16+SUM(U17)-SUM(V17)</f>
        <v>962483.96</v>
      </c>
      <c r="Y17" s="52"/>
      <c r="Z17" s="41" t="s">
        <v>34</v>
      </c>
      <c r="AA17" s="5">
        <f>2000+713</f>
        <v>2713</v>
      </c>
    </row>
    <row r="18" spans="1:29">
      <c r="A18" s="51"/>
      <c r="B18" s="40">
        <v>45358</v>
      </c>
      <c r="C18" s="103" t="s">
        <v>5</v>
      </c>
      <c r="D18" s="110">
        <v>0</v>
      </c>
      <c r="E18" s="111">
        <v>0</v>
      </c>
      <c r="F18" s="112">
        <v>0</v>
      </c>
      <c r="G18" s="113">
        <v>2360</v>
      </c>
      <c r="H18" s="114">
        <v>700</v>
      </c>
      <c r="I18" s="114">
        <v>0</v>
      </c>
      <c r="J18" s="114">
        <v>0</v>
      </c>
      <c r="K18" s="114">
        <v>0</v>
      </c>
      <c r="L18" s="114">
        <v>0</v>
      </c>
      <c r="M18" s="114">
        <v>1034</v>
      </c>
      <c r="N18" s="114">
        <v>0</v>
      </c>
      <c r="O18" s="114">
        <v>0</v>
      </c>
      <c r="P18" s="114">
        <v>0</v>
      </c>
      <c r="Q18" s="114">
        <v>0</v>
      </c>
      <c r="R18" s="114">
        <v>0</v>
      </c>
      <c r="S18" s="114">
        <v>0</v>
      </c>
      <c r="T18" s="116">
        <v>0</v>
      </c>
      <c r="U18" s="96">
        <f t="shared" si="0"/>
        <v>0</v>
      </c>
      <c r="V18" s="33">
        <f t="shared" si="1"/>
        <v>4094</v>
      </c>
      <c r="W18" s="31">
        <f t="shared" si="2"/>
        <v>958389.96</v>
      </c>
      <c r="Y18" s="52"/>
      <c r="Z18" s="41" t="s">
        <v>35</v>
      </c>
      <c r="AA18" s="5">
        <v>11</v>
      </c>
    </row>
    <row r="19" spans="1:29">
      <c r="B19" s="40">
        <v>45359</v>
      </c>
      <c r="C19" s="103" t="s">
        <v>6</v>
      </c>
      <c r="D19" s="110">
        <v>0</v>
      </c>
      <c r="E19" s="111">
        <v>0</v>
      </c>
      <c r="F19" s="112">
        <v>0</v>
      </c>
      <c r="G19" s="113">
        <v>0</v>
      </c>
      <c r="H19" s="114">
        <v>700</v>
      </c>
      <c r="I19" s="114">
        <v>0</v>
      </c>
      <c r="J19" s="114">
        <v>0</v>
      </c>
      <c r="K19" s="114">
        <v>0</v>
      </c>
      <c r="L19" s="114">
        <v>0</v>
      </c>
      <c r="M19" s="114">
        <v>0</v>
      </c>
      <c r="N19" s="114">
        <v>0</v>
      </c>
      <c r="O19" s="114">
        <v>0</v>
      </c>
      <c r="P19" s="114">
        <v>0</v>
      </c>
      <c r="Q19" s="114">
        <v>0</v>
      </c>
      <c r="R19" s="114">
        <v>0</v>
      </c>
      <c r="S19" s="114">
        <v>0</v>
      </c>
      <c r="T19" s="116">
        <v>0</v>
      </c>
      <c r="U19" s="96">
        <f t="shared" si="0"/>
        <v>0</v>
      </c>
      <c r="V19" s="33">
        <f t="shared" si="1"/>
        <v>700</v>
      </c>
      <c r="W19" s="31">
        <f t="shared" si="2"/>
        <v>957689.96</v>
      </c>
      <c r="Y19" s="52"/>
      <c r="Z19" s="41" t="s">
        <v>26</v>
      </c>
      <c r="AA19" s="5">
        <v>412</v>
      </c>
    </row>
    <row r="20" spans="1:29">
      <c r="B20" s="40">
        <v>45360</v>
      </c>
      <c r="C20" s="103" t="s">
        <v>0</v>
      </c>
      <c r="D20" s="110">
        <v>0</v>
      </c>
      <c r="E20" s="111">
        <v>0</v>
      </c>
      <c r="F20" s="112">
        <v>0</v>
      </c>
      <c r="G20" s="113">
        <f>2877+230</f>
        <v>3107</v>
      </c>
      <c r="H20" s="114">
        <v>0</v>
      </c>
      <c r="I20" s="114">
        <v>0</v>
      </c>
      <c r="J20" s="114">
        <v>0</v>
      </c>
      <c r="K20" s="114">
        <v>0</v>
      </c>
      <c r="L20" s="114">
        <f>1444+144</f>
        <v>1588</v>
      </c>
      <c r="M20" s="114">
        <v>0</v>
      </c>
      <c r="N20" s="114">
        <v>0</v>
      </c>
      <c r="O20" s="114">
        <v>0</v>
      </c>
      <c r="P20" s="114">
        <v>0</v>
      </c>
      <c r="Q20" s="114">
        <v>0</v>
      </c>
      <c r="R20" s="114">
        <v>0</v>
      </c>
      <c r="S20" s="114">
        <v>0</v>
      </c>
      <c r="T20" s="116">
        <v>0</v>
      </c>
      <c r="U20" s="96">
        <f t="shared" si="0"/>
        <v>0</v>
      </c>
      <c r="V20" s="33">
        <f t="shared" si="1"/>
        <v>4695</v>
      </c>
      <c r="W20" s="31">
        <f t="shared" si="2"/>
        <v>952994.96</v>
      </c>
      <c r="Y20" s="52"/>
      <c r="Z20" s="41" t="s">
        <v>63</v>
      </c>
      <c r="AA20" s="5"/>
    </row>
    <row r="21" spans="1:29">
      <c r="B21" s="40">
        <v>45361</v>
      </c>
      <c r="C21" s="103" t="s">
        <v>1</v>
      </c>
      <c r="D21" s="110">
        <v>0</v>
      </c>
      <c r="E21" s="111">
        <v>0</v>
      </c>
      <c r="F21" s="112">
        <v>0</v>
      </c>
      <c r="G21" s="113">
        <f>2275</f>
        <v>2275</v>
      </c>
      <c r="H21" s="114">
        <v>0</v>
      </c>
      <c r="I21" s="114">
        <v>0</v>
      </c>
      <c r="J21" s="114">
        <v>0</v>
      </c>
      <c r="K21" s="114">
        <v>0</v>
      </c>
      <c r="L21" s="114">
        <v>0</v>
      </c>
      <c r="M21" s="114">
        <v>1679</v>
      </c>
      <c r="N21" s="114">
        <f>2979+858</f>
        <v>3837</v>
      </c>
      <c r="O21" s="114">
        <v>0</v>
      </c>
      <c r="P21" s="114">
        <v>0</v>
      </c>
      <c r="Q21" s="114">
        <v>0</v>
      </c>
      <c r="R21" s="114">
        <v>0</v>
      </c>
      <c r="S21" s="114">
        <v>0</v>
      </c>
      <c r="T21" s="116">
        <f>94</f>
        <v>94</v>
      </c>
      <c r="U21" s="96">
        <f t="shared" si="0"/>
        <v>0</v>
      </c>
      <c r="V21" s="33">
        <f t="shared" si="1"/>
        <v>7885</v>
      </c>
      <c r="W21" s="31">
        <f t="shared" si="2"/>
        <v>945109.96</v>
      </c>
      <c r="Y21" s="52"/>
      <c r="Z21" s="41" t="s">
        <v>27</v>
      </c>
      <c r="AA21" s="5">
        <v>1480</v>
      </c>
    </row>
    <row r="22" spans="1:29">
      <c r="B22" s="40">
        <v>45362</v>
      </c>
      <c r="C22" s="103" t="s">
        <v>2</v>
      </c>
      <c r="D22" s="110">
        <v>0</v>
      </c>
      <c r="E22" s="111">
        <v>0</v>
      </c>
      <c r="F22" s="112">
        <v>0</v>
      </c>
      <c r="G22" s="113">
        <v>0</v>
      </c>
      <c r="H22" s="114">
        <v>700</v>
      </c>
      <c r="I22" s="114">
        <v>5886</v>
      </c>
      <c r="J22" s="114">
        <v>0</v>
      </c>
      <c r="K22" s="114">
        <v>0</v>
      </c>
      <c r="L22" s="114">
        <v>0</v>
      </c>
      <c r="M22" s="114">
        <v>0</v>
      </c>
      <c r="N22" s="114">
        <v>0</v>
      </c>
      <c r="O22" s="114">
        <v>0</v>
      </c>
      <c r="P22" s="114">
        <v>0</v>
      </c>
      <c r="Q22" s="114">
        <v>0</v>
      </c>
      <c r="R22" s="114">
        <v>0</v>
      </c>
      <c r="S22" s="114">
        <v>0</v>
      </c>
      <c r="T22" s="116">
        <v>0</v>
      </c>
      <c r="U22" s="96">
        <f t="shared" si="0"/>
        <v>0</v>
      </c>
      <c r="V22" s="33">
        <f t="shared" si="1"/>
        <v>6586</v>
      </c>
      <c r="W22" s="31">
        <f t="shared" si="2"/>
        <v>938523.96</v>
      </c>
      <c r="Y22" s="52"/>
      <c r="Z22" s="41" t="s">
        <v>28</v>
      </c>
      <c r="AA22" s="5">
        <v>27</v>
      </c>
    </row>
    <row r="23" spans="1:29" ht="18.600000000000001" thickBot="1">
      <c r="B23" s="40">
        <v>45363</v>
      </c>
      <c r="C23" s="103" t="s">
        <v>3</v>
      </c>
      <c r="D23" s="110">
        <v>0</v>
      </c>
      <c r="E23" s="111">
        <v>0</v>
      </c>
      <c r="F23" s="112">
        <v>0</v>
      </c>
      <c r="G23" s="113">
        <f>2360</f>
        <v>2360</v>
      </c>
      <c r="H23" s="114">
        <v>700</v>
      </c>
      <c r="I23" s="114">
        <v>0</v>
      </c>
      <c r="J23" s="114">
        <v>0</v>
      </c>
      <c r="K23" s="114">
        <v>0</v>
      </c>
      <c r="L23" s="114">
        <v>0</v>
      </c>
      <c r="M23" s="114">
        <v>0</v>
      </c>
      <c r="N23" s="114">
        <v>0</v>
      </c>
      <c r="O23" s="114">
        <v>0</v>
      </c>
      <c r="P23" s="114">
        <v>0</v>
      </c>
      <c r="Q23" s="114">
        <v>0</v>
      </c>
      <c r="R23" s="114">
        <v>0</v>
      </c>
      <c r="S23" s="114">
        <v>0</v>
      </c>
      <c r="T23" s="116">
        <v>0</v>
      </c>
      <c r="U23" s="96">
        <f t="shared" si="0"/>
        <v>0</v>
      </c>
      <c r="V23" s="33">
        <f t="shared" si="1"/>
        <v>3060</v>
      </c>
      <c r="W23" s="31">
        <f t="shared" si="2"/>
        <v>935463.96</v>
      </c>
      <c r="Y23" s="53"/>
      <c r="Z23" s="44" t="s">
        <v>30</v>
      </c>
      <c r="AA23" s="45">
        <v>9979</v>
      </c>
      <c r="AB23" s="51"/>
    </row>
    <row r="24" spans="1:29" ht="19.2" thickTop="1" thickBot="1">
      <c r="B24" s="40">
        <v>45364</v>
      </c>
      <c r="C24" s="103" t="s">
        <v>4</v>
      </c>
      <c r="D24" s="110">
        <v>0</v>
      </c>
      <c r="E24" s="111">
        <v>0</v>
      </c>
      <c r="F24" s="112">
        <v>0</v>
      </c>
      <c r="G24" s="113">
        <f>1089</f>
        <v>1089</v>
      </c>
      <c r="H24" s="114">
        <v>700</v>
      </c>
      <c r="I24" s="114">
        <v>0</v>
      </c>
      <c r="J24" s="114">
        <v>0</v>
      </c>
      <c r="K24" s="114">
        <v>0</v>
      </c>
      <c r="L24" s="114">
        <v>0</v>
      </c>
      <c r="M24" s="114">
        <v>0</v>
      </c>
      <c r="N24" s="114">
        <v>0</v>
      </c>
      <c r="O24" s="114">
        <v>0</v>
      </c>
      <c r="P24" s="114">
        <v>0</v>
      </c>
      <c r="Q24" s="114">
        <v>0</v>
      </c>
      <c r="R24" s="114">
        <v>0</v>
      </c>
      <c r="S24" s="114">
        <v>0</v>
      </c>
      <c r="T24" s="116">
        <f>14850+165</f>
        <v>15015</v>
      </c>
      <c r="U24" s="96">
        <f t="shared" si="0"/>
        <v>0</v>
      </c>
      <c r="V24" s="33">
        <f t="shared" si="1"/>
        <v>16804</v>
      </c>
      <c r="W24" s="31">
        <f t="shared" si="2"/>
        <v>918659.96</v>
      </c>
      <c r="Y24" s="49" t="s">
        <v>15</v>
      </c>
      <c r="Z24" s="50"/>
      <c r="AA24" s="46">
        <f>SUM(AA16:AA23)</f>
        <v>895886</v>
      </c>
      <c r="AB24" s="51"/>
    </row>
    <row r="25" spans="1:29">
      <c r="A25" s="51"/>
      <c r="B25" s="40">
        <v>45365</v>
      </c>
      <c r="C25" s="103" t="s">
        <v>5</v>
      </c>
      <c r="D25" s="110">
        <v>0</v>
      </c>
      <c r="E25" s="111">
        <v>0</v>
      </c>
      <c r="F25" s="112">
        <v>0</v>
      </c>
      <c r="G25" s="113">
        <v>0</v>
      </c>
      <c r="H25" s="114">
        <v>700</v>
      </c>
      <c r="I25" s="114">
        <v>0</v>
      </c>
      <c r="J25" s="114">
        <v>0</v>
      </c>
      <c r="K25" s="114">
        <v>0</v>
      </c>
      <c r="L25" s="114">
        <v>0</v>
      </c>
      <c r="M25" s="114">
        <v>0</v>
      </c>
      <c r="N25" s="114">
        <v>0</v>
      </c>
      <c r="O25" s="114">
        <v>0</v>
      </c>
      <c r="P25" s="114">
        <v>0</v>
      </c>
      <c r="Q25" s="114">
        <v>0</v>
      </c>
      <c r="R25" s="114">
        <v>0</v>
      </c>
      <c r="S25" s="114">
        <v>0</v>
      </c>
      <c r="T25" s="116">
        <v>0</v>
      </c>
      <c r="U25" s="96">
        <f t="shared" si="0"/>
        <v>0</v>
      </c>
      <c r="V25" s="33">
        <f t="shared" si="1"/>
        <v>700</v>
      </c>
      <c r="W25" s="31">
        <f t="shared" si="2"/>
        <v>917959.96</v>
      </c>
    </row>
    <row r="26" spans="1:29">
      <c r="B26" s="40">
        <v>45366</v>
      </c>
      <c r="C26" s="103" t="s">
        <v>6</v>
      </c>
      <c r="D26" s="110">
        <v>0</v>
      </c>
      <c r="E26" s="111">
        <v>0</v>
      </c>
      <c r="F26" s="112">
        <v>0</v>
      </c>
      <c r="G26" s="113">
        <f>616</f>
        <v>616</v>
      </c>
      <c r="H26" s="114">
        <v>700</v>
      </c>
      <c r="I26" s="114">
        <v>0</v>
      </c>
      <c r="J26" s="114">
        <v>0</v>
      </c>
      <c r="K26" s="114">
        <v>0</v>
      </c>
      <c r="L26" s="114">
        <v>0</v>
      </c>
      <c r="M26" s="114">
        <v>0</v>
      </c>
      <c r="N26" s="114">
        <v>0</v>
      </c>
      <c r="O26" s="114">
        <v>0</v>
      </c>
      <c r="P26" s="114">
        <v>0</v>
      </c>
      <c r="Q26" s="114">
        <v>0</v>
      </c>
      <c r="R26" s="114">
        <v>0</v>
      </c>
      <c r="S26" s="114">
        <v>0</v>
      </c>
      <c r="T26" s="116">
        <v>0</v>
      </c>
      <c r="U26" s="96">
        <f t="shared" si="0"/>
        <v>0</v>
      </c>
      <c r="V26" s="33">
        <f t="shared" si="1"/>
        <v>1316</v>
      </c>
      <c r="W26" s="31">
        <f t="shared" si="2"/>
        <v>916643.96</v>
      </c>
      <c r="AC26" s="51"/>
    </row>
    <row r="27" spans="1:29">
      <c r="B27" s="40">
        <v>45367</v>
      </c>
      <c r="C27" s="103" t="s">
        <v>0</v>
      </c>
      <c r="D27" s="110">
        <v>0</v>
      </c>
      <c r="E27" s="111">
        <v>0</v>
      </c>
      <c r="F27" s="112">
        <v>0</v>
      </c>
      <c r="G27" s="113">
        <f>5492-110</f>
        <v>5382</v>
      </c>
      <c r="H27" s="114">
        <v>0</v>
      </c>
      <c r="I27" s="114">
        <v>0</v>
      </c>
      <c r="J27" s="114">
        <v>0</v>
      </c>
      <c r="K27" s="114">
        <v>0</v>
      </c>
      <c r="L27" s="114">
        <v>0</v>
      </c>
      <c r="M27" s="114">
        <f>110</f>
        <v>110</v>
      </c>
      <c r="N27" s="114">
        <v>0</v>
      </c>
      <c r="O27" s="114">
        <v>0</v>
      </c>
      <c r="P27" s="114">
        <v>0</v>
      </c>
      <c r="Q27" s="114">
        <v>0</v>
      </c>
      <c r="R27" s="114">
        <v>0</v>
      </c>
      <c r="S27" s="114">
        <v>0</v>
      </c>
      <c r="T27" s="116">
        <v>0</v>
      </c>
      <c r="U27" s="96">
        <f t="shared" si="0"/>
        <v>0</v>
      </c>
      <c r="V27" s="33">
        <f t="shared" si="1"/>
        <v>5492</v>
      </c>
      <c r="W27" s="31">
        <f t="shared" si="2"/>
        <v>911151.96</v>
      </c>
    </row>
    <row r="28" spans="1:29">
      <c r="B28" s="40">
        <v>45368</v>
      </c>
      <c r="C28" s="103" t="s">
        <v>1</v>
      </c>
      <c r="D28" s="110">
        <v>0</v>
      </c>
      <c r="E28" s="111">
        <v>0</v>
      </c>
      <c r="F28" s="112">
        <v>0</v>
      </c>
      <c r="G28" s="113">
        <f>2562-599-59</f>
        <v>1904</v>
      </c>
      <c r="H28" s="114">
        <v>0</v>
      </c>
      <c r="I28" s="114">
        <v>0</v>
      </c>
      <c r="J28" s="114">
        <v>0</v>
      </c>
      <c r="K28" s="114">
        <v>0</v>
      </c>
      <c r="L28" s="114">
        <f>599+59</f>
        <v>658</v>
      </c>
      <c r="M28" s="114">
        <v>0</v>
      </c>
      <c r="N28" s="114">
        <v>0</v>
      </c>
      <c r="O28" s="114">
        <v>0</v>
      </c>
      <c r="P28" s="114">
        <v>0</v>
      </c>
      <c r="Q28" s="114">
        <v>0</v>
      </c>
      <c r="R28" s="114">
        <v>0</v>
      </c>
      <c r="S28" s="114">
        <v>0</v>
      </c>
      <c r="T28" s="116">
        <v>0</v>
      </c>
      <c r="U28" s="96">
        <f t="shared" si="0"/>
        <v>0</v>
      </c>
      <c r="V28" s="33">
        <f t="shared" si="1"/>
        <v>2562</v>
      </c>
      <c r="W28" s="31">
        <f t="shared" si="2"/>
        <v>908589.96</v>
      </c>
    </row>
    <row r="29" spans="1:29">
      <c r="B29" s="40">
        <v>45369</v>
      </c>
      <c r="C29" s="103" t="s">
        <v>2</v>
      </c>
      <c r="D29" s="110">
        <v>0</v>
      </c>
      <c r="E29" s="111">
        <v>0</v>
      </c>
      <c r="F29" s="112">
        <v>0</v>
      </c>
      <c r="G29" s="113">
        <f>1717</f>
        <v>1717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4">
        <v>0</v>
      </c>
      <c r="N29" s="114">
        <v>0</v>
      </c>
      <c r="O29" s="114">
        <v>0</v>
      </c>
      <c r="P29" s="114">
        <v>0</v>
      </c>
      <c r="Q29" s="114">
        <v>0</v>
      </c>
      <c r="R29" s="114">
        <v>0</v>
      </c>
      <c r="S29" s="114">
        <v>0</v>
      </c>
      <c r="T29" s="116">
        <f>298+4950+2971</f>
        <v>8219</v>
      </c>
      <c r="U29" s="96">
        <f t="shared" si="0"/>
        <v>0</v>
      </c>
      <c r="V29" s="33">
        <f t="shared" si="1"/>
        <v>9936</v>
      </c>
      <c r="W29" s="31">
        <f t="shared" si="2"/>
        <v>898653.96</v>
      </c>
    </row>
    <row r="30" spans="1:29">
      <c r="B30" s="40">
        <v>45370</v>
      </c>
      <c r="C30" s="103" t="s">
        <v>3</v>
      </c>
      <c r="D30" s="110">
        <v>0</v>
      </c>
      <c r="E30" s="111">
        <v>0</v>
      </c>
      <c r="F30" s="112">
        <v>0</v>
      </c>
      <c r="G30" s="113">
        <f>657</f>
        <v>657</v>
      </c>
      <c r="H30" s="114">
        <v>700</v>
      </c>
      <c r="I30" s="114">
        <v>0</v>
      </c>
      <c r="J30" s="114">
        <v>0</v>
      </c>
      <c r="K30" s="114">
        <v>0</v>
      </c>
      <c r="L30" s="114">
        <v>0</v>
      </c>
      <c r="M30" s="114">
        <v>0</v>
      </c>
      <c r="N30" s="114">
        <v>0</v>
      </c>
      <c r="O30" s="114">
        <v>0</v>
      </c>
      <c r="P30" s="114">
        <v>0</v>
      </c>
      <c r="Q30" s="114">
        <v>0</v>
      </c>
      <c r="R30" s="114">
        <v>0</v>
      </c>
      <c r="S30" s="114">
        <v>0</v>
      </c>
      <c r="T30" s="116">
        <v>0</v>
      </c>
      <c r="U30" s="96">
        <f t="shared" si="0"/>
        <v>0</v>
      </c>
      <c r="V30" s="33">
        <f t="shared" si="1"/>
        <v>1357</v>
      </c>
      <c r="W30" s="31">
        <f t="shared" si="2"/>
        <v>897296.96</v>
      </c>
    </row>
    <row r="31" spans="1:29">
      <c r="B31" s="40">
        <v>45371</v>
      </c>
      <c r="C31" s="103" t="s">
        <v>4</v>
      </c>
      <c r="D31" s="110">
        <v>0</v>
      </c>
      <c r="E31" s="111">
        <v>0</v>
      </c>
      <c r="F31" s="112">
        <v>0</v>
      </c>
      <c r="G31" s="113">
        <v>0</v>
      </c>
      <c r="H31" s="114">
        <v>700</v>
      </c>
      <c r="I31" s="114">
        <v>0</v>
      </c>
      <c r="J31" s="114">
        <v>0</v>
      </c>
      <c r="K31" s="114">
        <v>0</v>
      </c>
      <c r="L31" s="114">
        <v>0</v>
      </c>
      <c r="M31" s="114">
        <v>0</v>
      </c>
      <c r="N31" s="114">
        <v>0</v>
      </c>
      <c r="O31" s="114">
        <v>0</v>
      </c>
      <c r="P31" s="114">
        <v>0</v>
      </c>
      <c r="Q31" s="114">
        <v>0</v>
      </c>
      <c r="R31" s="114">
        <v>0</v>
      </c>
      <c r="S31" s="114">
        <v>0</v>
      </c>
      <c r="T31" s="116">
        <v>0</v>
      </c>
      <c r="U31" s="96">
        <f t="shared" si="0"/>
        <v>0</v>
      </c>
      <c r="V31" s="33">
        <f t="shared" si="1"/>
        <v>700</v>
      </c>
      <c r="W31" s="31">
        <f t="shared" si="2"/>
        <v>896596.96</v>
      </c>
    </row>
    <row r="32" spans="1:29">
      <c r="A32" s="51"/>
      <c r="B32" s="40">
        <v>45372</v>
      </c>
      <c r="C32" s="103" t="s">
        <v>5</v>
      </c>
      <c r="D32" s="110">
        <v>0</v>
      </c>
      <c r="E32" s="111">
        <v>0</v>
      </c>
      <c r="F32" s="112">
        <v>0</v>
      </c>
      <c r="G32" s="113">
        <v>0</v>
      </c>
      <c r="H32" s="114">
        <v>700</v>
      </c>
      <c r="I32" s="114">
        <v>0</v>
      </c>
      <c r="J32" s="114">
        <v>0</v>
      </c>
      <c r="K32" s="114">
        <v>0</v>
      </c>
      <c r="L32" s="114">
        <v>0</v>
      </c>
      <c r="M32" s="114">
        <v>0</v>
      </c>
      <c r="N32" s="114">
        <v>0</v>
      </c>
      <c r="O32" s="114">
        <v>0</v>
      </c>
      <c r="P32" s="114">
        <v>0</v>
      </c>
      <c r="Q32" s="114">
        <v>0</v>
      </c>
      <c r="R32" s="114">
        <v>0</v>
      </c>
      <c r="S32" s="114">
        <v>0</v>
      </c>
      <c r="T32" s="116">
        <v>0</v>
      </c>
      <c r="U32" s="96">
        <f t="shared" si="0"/>
        <v>0</v>
      </c>
      <c r="V32" s="33">
        <f t="shared" si="1"/>
        <v>700</v>
      </c>
      <c r="W32" s="31">
        <f t="shared" si="2"/>
        <v>895896.96</v>
      </c>
    </row>
    <row r="33" spans="2:23">
      <c r="B33" s="40">
        <v>45373</v>
      </c>
      <c r="C33" s="103" t="s">
        <v>6</v>
      </c>
      <c r="D33" s="110">
        <v>0</v>
      </c>
      <c r="E33" s="111">
        <v>0</v>
      </c>
      <c r="F33" s="112">
        <v>0</v>
      </c>
      <c r="G33" s="113">
        <f>1600</f>
        <v>1600</v>
      </c>
      <c r="H33" s="114">
        <v>700</v>
      </c>
      <c r="I33" s="114">
        <v>0</v>
      </c>
      <c r="J33" s="114">
        <v>0</v>
      </c>
      <c r="K33" s="114">
        <v>0</v>
      </c>
      <c r="L33" s="114">
        <v>0</v>
      </c>
      <c r="M33" s="114">
        <v>0</v>
      </c>
      <c r="N33" s="114">
        <v>0</v>
      </c>
      <c r="O33" s="114">
        <v>0</v>
      </c>
      <c r="P33" s="114">
        <v>0</v>
      </c>
      <c r="Q33" s="114">
        <v>0</v>
      </c>
      <c r="R33" s="114">
        <v>0</v>
      </c>
      <c r="S33" s="114">
        <v>0</v>
      </c>
      <c r="T33" s="116">
        <v>0</v>
      </c>
      <c r="U33" s="96">
        <f t="shared" si="0"/>
        <v>0</v>
      </c>
      <c r="V33" s="33">
        <f t="shared" si="1"/>
        <v>2300</v>
      </c>
      <c r="W33" s="31">
        <f t="shared" si="2"/>
        <v>893596.96</v>
      </c>
    </row>
    <row r="34" spans="2:23">
      <c r="B34" s="40">
        <v>45374</v>
      </c>
      <c r="C34" s="103" t="s">
        <v>0</v>
      </c>
      <c r="D34" s="110">
        <v>0</v>
      </c>
      <c r="E34" s="111">
        <v>0</v>
      </c>
      <c r="F34" s="112">
        <v>0</v>
      </c>
      <c r="G34" s="113">
        <f>2809</f>
        <v>2809</v>
      </c>
      <c r="H34" s="114">
        <v>0</v>
      </c>
      <c r="I34" s="114">
        <v>0</v>
      </c>
      <c r="J34" s="114">
        <v>0</v>
      </c>
      <c r="K34" s="114">
        <v>0</v>
      </c>
      <c r="L34" s="114">
        <v>0</v>
      </c>
      <c r="M34" s="114">
        <v>0</v>
      </c>
      <c r="N34" s="114">
        <v>0</v>
      </c>
      <c r="O34" s="114">
        <v>0</v>
      </c>
      <c r="P34" s="114">
        <v>0</v>
      </c>
      <c r="Q34" s="114">
        <v>0</v>
      </c>
      <c r="R34" s="114">
        <v>0</v>
      </c>
      <c r="S34" s="114">
        <v>0</v>
      </c>
      <c r="T34" s="116">
        <v>0</v>
      </c>
      <c r="U34" s="96">
        <f t="shared" si="0"/>
        <v>0</v>
      </c>
      <c r="V34" s="33">
        <f t="shared" si="1"/>
        <v>2809</v>
      </c>
      <c r="W34" s="31">
        <f t="shared" si="2"/>
        <v>890787.96</v>
      </c>
    </row>
    <row r="35" spans="2:23" ht="18.600000000000001" thickBot="1">
      <c r="B35" s="40">
        <v>45375</v>
      </c>
      <c r="C35" s="103" t="s">
        <v>1</v>
      </c>
      <c r="D35" s="110">
        <v>0</v>
      </c>
      <c r="E35" s="111">
        <v>0</v>
      </c>
      <c r="F35" s="112">
        <v>0</v>
      </c>
      <c r="G35" s="118">
        <f>1570</f>
        <v>1570</v>
      </c>
      <c r="H35" s="114">
        <v>0</v>
      </c>
      <c r="I35" s="114">
        <v>0</v>
      </c>
      <c r="J35" s="114">
        <v>0</v>
      </c>
      <c r="K35" s="114">
        <v>0</v>
      </c>
      <c r="L35" s="119">
        <v>0</v>
      </c>
      <c r="M35" s="119">
        <v>0</v>
      </c>
      <c r="N35" s="114">
        <v>0</v>
      </c>
      <c r="O35" s="119">
        <v>0</v>
      </c>
      <c r="P35" s="114">
        <v>0</v>
      </c>
      <c r="Q35" s="120">
        <v>0</v>
      </c>
      <c r="R35" s="120">
        <v>0</v>
      </c>
      <c r="S35" s="114">
        <v>0</v>
      </c>
      <c r="T35" s="121">
        <v>0</v>
      </c>
      <c r="U35" s="96">
        <f t="shared" si="0"/>
        <v>0</v>
      </c>
      <c r="V35" s="33">
        <f t="shared" si="1"/>
        <v>1570</v>
      </c>
      <c r="W35" s="31">
        <f t="shared" si="2"/>
        <v>889217.96</v>
      </c>
    </row>
    <row r="36" spans="2:23" ht="18.600000000000001" thickBot="1">
      <c r="B36" s="126" t="s">
        <v>15</v>
      </c>
      <c r="C36" s="142"/>
      <c r="D36" s="7">
        <f>SUM(D5:D35)</f>
        <v>212851</v>
      </c>
      <c r="E36" s="59"/>
      <c r="F36" s="8">
        <f>SUM(F5:F35)</f>
        <v>0</v>
      </c>
      <c r="G36" s="9">
        <f>SUM(G5:G35)</f>
        <v>53153</v>
      </c>
      <c r="H36" s="10">
        <f>SUM(H5:H35)</f>
        <v>14000</v>
      </c>
      <c r="I36" s="10">
        <f t="shared" ref="I36:R36" si="3">SUM(I5:I35)</f>
        <v>5886</v>
      </c>
      <c r="J36" s="10">
        <f t="shared" si="3"/>
        <v>3385</v>
      </c>
      <c r="K36" s="10">
        <f t="shared" si="3"/>
        <v>0</v>
      </c>
      <c r="L36" s="10">
        <f t="shared" si="3"/>
        <v>2895</v>
      </c>
      <c r="M36" s="10">
        <f t="shared" si="3"/>
        <v>12282</v>
      </c>
      <c r="N36" s="10">
        <f t="shared" si="3"/>
        <v>7393</v>
      </c>
      <c r="O36" s="10">
        <f t="shared" si="3"/>
        <v>6820</v>
      </c>
      <c r="P36" s="10">
        <f t="shared" si="3"/>
        <v>4400</v>
      </c>
      <c r="Q36" s="10">
        <f t="shared" si="3"/>
        <v>5412</v>
      </c>
      <c r="R36" s="10">
        <f t="shared" si="3"/>
        <v>0</v>
      </c>
      <c r="S36" s="59"/>
      <c r="T36" s="8">
        <f>SUM(T5:T35)</f>
        <v>28540</v>
      </c>
      <c r="U36" s="97">
        <f>SUM(D36,F36)</f>
        <v>212851</v>
      </c>
      <c r="V36" s="34">
        <f>SUM(G36:R36,T36)</f>
        <v>144166</v>
      </c>
      <c r="W36" s="32">
        <f>U36-V36</f>
        <v>68685</v>
      </c>
    </row>
  </sheetData>
  <mergeCells count="7">
    <mergeCell ref="W2:W3"/>
    <mergeCell ref="B4:C4"/>
    <mergeCell ref="B36:C36"/>
    <mergeCell ref="D2:F2"/>
    <mergeCell ref="G2:T2"/>
    <mergeCell ref="U2:U3"/>
    <mergeCell ref="V2:V3"/>
  </mergeCells>
  <phoneticPr fontId="2"/>
  <conditionalFormatting sqref="G36">
    <cfRule type="expression" dxfId="5" priority="3">
      <formula>$G$36&gt;$G$4</formula>
    </cfRule>
  </conditionalFormatting>
  <conditionalFormatting sqref="H36:S36">
    <cfRule type="expression" dxfId="4" priority="5">
      <formula>H$36&gt;H$4</formula>
    </cfRule>
  </conditionalFormatting>
  <conditionalFormatting sqref="T36">
    <cfRule type="expression" dxfId="3" priority="2">
      <formula>$T$36&gt;$T$4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7C4D-CB96-4B5B-8A70-5B2537F7CDF3}">
  <dimension ref="B2:S11"/>
  <sheetViews>
    <sheetView tabSelected="1" topLeftCell="B10" zoomScale="76" workbookViewId="0">
      <selection activeCell="U32" sqref="U32"/>
    </sheetView>
  </sheetViews>
  <sheetFormatPr defaultRowHeight="18"/>
  <cols>
    <col min="1" max="1" width="8.796875" style="48"/>
    <col min="2" max="2" width="11.296875" style="48" bestFit="1" customWidth="1"/>
    <col min="3" max="3" width="11.8984375" style="48" bestFit="1" customWidth="1"/>
    <col min="4" max="5" width="10" style="48" bestFit="1" customWidth="1"/>
    <col min="6" max="16" width="8.8984375" style="48" bestFit="1" customWidth="1"/>
    <col min="17" max="17" width="10.796875" style="48" bestFit="1" customWidth="1"/>
    <col min="18" max="18" width="8.8984375" style="48" bestFit="1" customWidth="1"/>
    <col min="19" max="19" width="9.796875" style="48" bestFit="1" customWidth="1"/>
    <col min="20" max="16384" width="8.796875" style="48"/>
  </cols>
  <sheetData>
    <row r="2" spans="2:19" ht="18.600000000000001" thickBot="1"/>
    <row r="3" spans="2:19" ht="18.600000000000001" thickBot="1">
      <c r="B3" s="80" t="s">
        <v>59</v>
      </c>
      <c r="C3" s="81" t="s">
        <v>60</v>
      </c>
      <c r="D3" s="86" t="s">
        <v>9</v>
      </c>
      <c r="E3" s="86" t="s">
        <v>14</v>
      </c>
      <c r="F3" s="86" t="s">
        <v>10</v>
      </c>
      <c r="G3" s="86" t="s">
        <v>17</v>
      </c>
      <c r="H3" s="86" t="s">
        <v>11</v>
      </c>
      <c r="I3" s="86" t="s">
        <v>12</v>
      </c>
      <c r="J3" s="86" t="s">
        <v>13</v>
      </c>
      <c r="K3" s="86" t="s">
        <v>20</v>
      </c>
      <c r="L3" s="86" t="s">
        <v>16</v>
      </c>
      <c r="M3" s="86" t="s">
        <v>24</v>
      </c>
      <c r="N3" s="86" t="s">
        <v>19</v>
      </c>
      <c r="O3" s="86" t="s">
        <v>32</v>
      </c>
      <c r="P3" s="86" t="s">
        <v>58</v>
      </c>
      <c r="Q3" s="86" t="s">
        <v>62</v>
      </c>
      <c r="R3" s="86" t="s">
        <v>8</v>
      </c>
      <c r="S3" s="81" t="s">
        <v>38</v>
      </c>
    </row>
    <row r="4" spans="2:19" ht="18.600000000000001" thickTop="1">
      <c r="B4" s="82">
        <v>45529</v>
      </c>
      <c r="C4" s="83">
        <v>45559</v>
      </c>
      <c r="D4" s="79">
        <v>562169</v>
      </c>
      <c r="E4" s="79">
        <v>25763.040000000001</v>
      </c>
      <c r="F4" s="79">
        <v>20012.439999999999</v>
      </c>
      <c r="G4" s="79">
        <v>3500</v>
      </c>
      <c r="H4" s="79">
        <v>0</v>
      </c>
      <c r="I4" s="79">
        <v>0</v>
      </c>
      <c r="J4" s="79">
        <v>0</v>
      </c>
      <c r="K4" s="79">
        <v>1692.6000000000001</v>
      </c>
      <c r="L4" s="79">
        <v>558</v>
      </c>
      <c r="M4" s="79">
        <v>0</v>
      </c>
      <c r="N4" s="79">
        <v>0</v>
      </c>
      <c r="O4" s="79">
        <v>0</v>
      </c>
      <c r="P4" s="79">
        <v>0</v>
      </c>
      <c r="Q4" s="79">
        <v>0</v>
      </c>
      <c r="R4" s="79">
        <v>0</v>
      </c>
      <c r="S4" s="87">
        <v>536405.96</v>
      </c>
    </row>
    <row r="5" spans="2:19">
      <c r="B5" s="82">
        <v>45560</v>
      </c>
      <c r="C5" s="83">
        <v>45589</v>
      </c>
      <c r="D5" s="79">
        <v>209405</v>
      </c>
      <c r="E5" s="79">
        <v>139546</v>
      </c>
      <c r="F5" s="79">
        <v>37669</v>
      </c>
      <c r="G5" s="79">
        <v>15400</v>
      </c>
      <c r="H5" s="79">
        <v>4117</v>
      </c>
      <c r="I5" s="79">
        <v>1794</v>
      </c>
      <c r="J5" s="79">
        <v>4922</v>
      </c>
      <c r="K5" s="79">
        <v>4548</v>
      </c>
      <c r="L5" s="79">
        <v>801</v>
      </c>
      <c r="M5" s="79">
        <v>9860</v>
      </c>
      <c r="N5" s="79">
        <v>9601</v>
      </c>
      <c r="O5" s="79">
        <v>2300</v>
      </c>
      <c r="P5" s="79">
        <v>0</v>
      </c>
      <c r="Q5" s="79">
        <v>0</v>
      </c>
      <c r="R5" s="79">
        <v>48534</v>
      </c>
      <c r="S5" s="87">
        <v>606264.96</v>
      </c>
    </row>
    <row r="6" spans="2:19">
      <c r="B6" s="82">
        <v>45590</v>
      </c>
      <c r="C6" s="83">
        <v>45619</v>
      </c>
      <c r="D6" s="79">
        <v>244174</v>
      </c>
      <c r="E6" s="79">
        <v>156351</v>
      </c>
      <c r="F6" s="79">
        <v>50718</v>
      </c>
      <c r="G6" s="79">
        <v>15400</v>
      </c>
      <c r="H6" s="79">
        <v>3896</v>
      </c>
      <c r="I6" s="79">
        <v>3252</v>
      </c>
      <c r="J6" s="79">
        <v>0</v>
      </c>
      <c r="K6" s="79">
        <v>1609</v>
      </c>
      <c r="L6" s="79">
        <v>1430</v>
      </c>
      <c r="M6" s="79">
        <v>8355</v>
      </c>
      <c r="N6" s="79">
        <v>5500</v>
      </c>
      <c r="O6" s="79">
        <v>6600</v>
      </c>
      <c r="P6" s="79">
        <v>0</v>
      </c>
      <c r="Q6" s="79">
        <v>8161</v>
      </c>
      <c r="R6" s="79">
        <v>51430</v>
      </c>
      <c r="S6" s="87">
        <v>707379.96</v>
      </c>
    </row>
    <row r="7" spans="2:19">
      <c r="B7" s="82">
        <v>45620</v>
      </c>
      <c r="C7" s="83">
        <v>45650</v>
      </c>
      <c r="D7" s="79">
        <v>536084</v>
      </c>
      <c r="E7" s="79">
        <v>137662</v>
      </c>
      <c r="F7" s="79">
        <v>46955</v>
      </c>
      <c r="G7" s="79">
        <v>14000</v>
      </c>
      <c r="H7" s="79">
        <v>4264</v>
      </c>
      <c r="I7" s="79">
        <v>2603</v>
      </c>
      <c r="J7" s="79">
        <v>4922</v>
      </c>
      <c r="K7" s="79">
        <v>1948</v>
      </c>
      <c r="L7" s="79">
        <v>0</v>
      </c>
      <c r="M7" s="79">
        <v>7932</v>
      </c>
      <c r="N7" s="79">
        <v>8030</v>
      </c>
      <c r="O7" s="79">
        <v>2300</v>
      </c>
      <c r="P7" s="79">
        <v>0</v>
      </c>
      <c r="Q7" s="79">
        <v>3679</v>
      </c>
      <c r="R7" s="79">
        <v>41029</v>
      </c>
      <c r="S7" s="87">
        <v>1105801.96</v>
      </c>
    </row>
    <row r="8" spans="2:19">
      <c r="B8" s="82">
        <v>45651</v>
      </c>
      <c r="C8" s="83">
        <v>45681</v>
      </c>
      <c r="D8" s="79">
        <v>243049</v>
      </c>
      <c r="E8" s="79">
        <v>447467</v>
      </c>
      <c r="F8" s="79">
        <v>61110</v>
      </c>
      <c r="G8" s="79">
        <v>11200</v>
      </c>
      <c r="H8" s="79">
        <v>4633</v>
      </c>
      <c r="I8" s="79">
        <v>2087</v>
      </c>
      <c r="J8" s="79">
        <v>0</v>
      </c>
      <c r="K8" s="79">
        <v>2788</v>
      </c>
      <c r="L8" s="79">
        <v>5490</v>
      </c>
      <c r="M8" s="79">
        <v>7778</v>
      </c>
      <c r="N8" s="79">
        <v>12210</v>
      </c>
      <c r="O8" s="79">
        <v>0</v>
      </c>
      <c r="P8" s="79">
        <v>0</v>
      </c>
      <c r="Q8" s="79">
        <v>0</v>
      </c>
      <c r="R8" s="79">
        <v>340171</v>
      </c>
      <c r="S8" s="87">
        <v>869315.96</v>
      </c>
    </row>
    <row r="9" spans="2:19">
      <c r="B9" s="82">
        <v>45682</v>
      </c>
      <c r="C9" s="83">
        <v>45710</v>
      </c>
      <c r="D9" s="48">
        <v>232656</v>
      </c>
      <c r="E9" s="48">
        <v>281439</v>
      </c>
      <c r="F9" s="48">
        <v>52749</v>
      </c>
      <c r="G9" s="48">
        <v>14700</v>
      </c>
      <c r="H9" s="48">
        <v>5591</v>
      </c>
      <c r="I9" s="48">
        <v>2183</v>
      </c>
      <c r="J9" s="48">
        <v>4946</v>
      </c>
      <c r="K9" s="48">
        <v>3205</v>
      </c>
      <c r="L9" s="48">
        <v>2420</v>
      </c>
      <c r="M9" s="48">
        <v>6535</v>
      </c>
      <c r="N9" s="48">
        <v>2000</v>
      </c>
      <c r="O9" s="48">
        <v>2750</v>
      </c>
      <c r="P9" s="48">
        <v>0</v>
      </c>
      <c r="Q9" s="48">
        <v>0</v>
      </c>
      <c r="R9" s="48">
        <v>184360</v>
      </c>
      <c r="S9" s="87">
        <v>820532.96</v>
      </c>
    </row>
    <row r="10" spans="2:19" ht="18.600000000000001" thickBot="1">
      <c r="B10" s="84">
        <v>45713</v>
      </c>
      <c r="C10" s="85">
        <v>45740</v>
      </c>
      <c r="D10" s="88">
        <v>212851</v>
      </c>
      <c r="E10" s="88">
        <v>144166</v>
      </c>
      <c r="F10" s="88">
        <v>53153</v>
      </c>
      <c r="G10" s="88">
        <v>14000</v>
      </c>
      <c r="H10" s="88">
        <v>5886</v>
      </c>
      <c r="I10" s="88">
        <v>3385</v>
      </c>
      <c r="J10" s="88">
        <v>0</v>
      </c>
      <c r="K10" s="88">
        <v>2895</v>
      </c>
      <c r="L10" s="88">
        <v>12282</v>
      </c>
      <c r="M10" s="88">
        <v>7393</v>
      </c>
      <c r="N10" s="88">
        <v>6820</v>
      </c>
      <c r="O10" s="88">
        <v>4400</v>
      </c>
      <c r="P10" s="88">
        <v>5412</v>
      </c>
      <c r="Q10" s="88">
        <v>0</v>
      </c>
      <c r="R10" s="88">
        <v>28540</v>
      </c>
      <c r="S10" s="89">
        <v>889217.96</v>
      </c>
    </row>
    <row r="11" spans="2:19" ht="18.600000000000001" thickBot="1">
      <c r="B11" s="90"/>
      <c r="C11" s="91" t="s">
        <v>15</v>
      </c>
      <c r="D11" s="92">
        <f>SUM(D4:D10)</f>
        <v>2240388</v>
      </c>
      <c r="E11" s="75">
        <f>SUM(E4:E10)</f>
        <v>1332394.04</v>
      </c>
      <c r="F11" s="75">
        <f t="shared" ref="F11:S11" si="0">SUM(F4:F10)</f>
        <v>322366.44</v>
      </c>
      <c r="G11" s="75">
        <f t="shared" si="0"/>
        <v>88200</v>
      </c>
      <c r="H11" s="75">
        <f t="shared" si="0"/>
        <v>28387</v>
      </c>
      <c r="I11" s="75">
        <f t="shared" si="0"/>
        <v>15304</v>
      </c>
      <c r="J11" s="75">
        <f t="shared" si="0"/>
        <v>14790</v>
      </c>
      <c r="K11" s="75">
        <f t="shared" si="0"/>
        <v>18685.599999999999</v>
      </c>
      <c r="L11" s="75">
        <f t="shared" si="0"/>
        <v>22981</v>
      </c>
      <c r="M11" s="75">
        <f t="shared" si="0"/>
        <v>47853</v>
      </c>
      <c r="N11" s="75">
        <f t="shared" si="0"/>
        <v>44161</v>
      </c>
      <c r="O11" s="75">
        <f t="shared" si="0"/>
        <v>18350</v>
      </c>
      <c r="P11" s="75">
        <f t="shared" si="0"/>
        <v>5412</v>
      </c>
      <c r="Q11" s="75">
        <f t="shared" si="0"/>
        <v>11840</v>
      </c>
      <c r="R11" s="75">
        <f t="shared" si="0"/>
        <v>694064</v>
      </c>
      <c r="S11" s="93">
        <f t="shared" si="0"/>
        <v>5534919.7199999997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0825_0924</vt:lpstr>
      <vt:lpstr>0925_1024</vt:lpstr>
      <vt:lpstr>1025_1123</vt:lpstr>
      <vt:lpstr>1124_1224</vt:lpstr>
      <vt:lpstr>1225_0124</vt:lpstr>
      <vt:lpstr>0125_0222</vt:lpstr>
      <vt:lpstr>0223_0324</vt:lpstr>
      <vt:lpstr>可視化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長見剛</dc:creator>
  <cp:lastModifiedBy>剛 長見</cp:lastModifiedBy>
  <dcterms:created xsi:type="dcterms:W3CDTF">2015-06-05T18:19:34Z</dcterms:created>
  <dcterms:modified xsi:type="dcterms:W3CDTF">2024-03-24T12:23:33Z</dcterms:modified>
</cp:coreProperties>
</file>