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iance0-my.sharepoint.com/personal/sbrooks003_defiance_edu/Documents/Documents/"/>
    </mc:Choice>
  </mc:AlternateContent>
  <xr:revisionPtr revIDLastSave="0" documentId="14_{B9823124-CBF6-4133-96F0-68C4090C09E2}" xr6:coauthVersionLast="47" xr6:coauthVersionMax="47" xr10:uidLastSave="{00000000-0000-0000-0000-000000000000}"/>
  <bookViews>
    <workbookView xWindow="-120" yWindow="-120" windowWidth="29040" windowHeight="15840" firstSheet="3" activeTab="3" xr2:uid="{46B43AC5-93FD-4B57-9909-42C2E8A7245C}"/>
  </bookViews>
  <sheets>
    <sheet name="Answer Report 1" sheetId="3" state="hidden" r:id="rId1"/>
    <sheet name="Sheet1" sheetId="1" state="hidden" r:id="rId2"/>
    <sheet name="Sheet2" sheetId="2" state="hidden" r:id="rId3"/>
    <sheet name="Student 1" sheetId="5" r:id="rId4"/>
    <sheet name="Student 2" sheetId="6" r:id="rId5"/>
    <sheet name="Student 3" sheetId="7" r:id="rId6"/>
    <sheet name="Student 4" sheetId="8" r:id="rId7"/>
  </sheets>
  <definedNames>
    <definedName name="solver_adj" localSheetId="1" hidden="1">Sheet1!$F$5:$G$8,Sheet1!$F$11:$G$14,Sheet1!$F$17:$G$20,Sheet1!$F$30:$G$33,Sheet1!$F$36:$G$39,Sheet1!$F$42:$G$45,Sheet1!$F$48:$G$51,Sheet1!$F$61:$G$63,Sheet1!$F$67:$G$69,Sheet1!$F$73:$G$75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Sheet1!$A$11:$A$14</definedName>
    <definedName name="solver_lhs10" localSheetId="1" hidden="1">Sheet1!$A$76</definedName>
    <definedName name="solver_lhs11" localSheetId="1" hidden="1">Sheet1!$F$11:$F$14</definedName>
    <definedName name="solver_lhs12" localSheetId="1" hidden="1">Sheet1!$F$11:$F$14</definedName>
    <definedName name="solver_lhs13" localSheetId="1" hidden="1">Sheet1!$F$11:$G$14</definedName>
    <definedName name="solver_lhs14" localSheetId="1" hidden="1">Sheet1!$F$17:$F$20</definedName>
    <definedName name="solver_lhs15" localSheetId="1" hidden="1">Sheet1!$F$17:$G$20</definedName>
    <definedName name="solver_lhs16" localSheetId="1" hidden="1">Sheet1!$F$30:$F$33</definedName>
    <definedName name="solver_lhs17" localSheetId="1" hidden="1">Sheet1!$F$30:$G$33</definedName>
    <definedName name="solver_lhs18" localSheetId="1" hidden="1">Sheet1!$F$30:$G$33</definedName>
    <definedName name="solver_lhs19" localSheetId="1" hidden="1">Sheet1!$F$36:$F$39</definedName>
    <definedName name="solver_lhs2" localSheetId="1" hidden="1">Sheet1!$A$17:$A$20</definedName>
    <definedName name="solver_lhs20" localSheetId="1" hidden="1">Sheet1!$F$36:$G$39</definedName>
    <definedName name="solver_lhs21" localSheetId="1" hidden="1">Sheet1!$F$36:$G$39</definedName>
    <definedName name="solver_lhs22" localSheetId="1" hidden="1">Sheet1!$F$42:$F$45</definedName>
    <definedName name="solver_lhs23" localSheetId="1" hidden="1">Sheet1!$F$42:$G$45</definedName>
    <definedName name="solver_lhs24" localSheetId="1" hidden="1">Sheet1!$F$42:$G$45</definedName>
    <definedName name="solver_lhs25" localSheetId="1" hidden="1">Sheet1!$F$48:$F$51</definedName>
    <definedName name="solver_lhs26" localSheetId="1" hidden="1">Sheet1!$F$48:$G$51</definedName>
    <definedName name="solver_lhs27" localSheetId="1" hidden="1">Sheet1!$F$48:$G$51</definedName>
    <definedName name="solver_lhs28" localSheetId="1" hidden="1">Sheet1!$F$5:$F$8</definedName>
    <definedName name="solver_lhs29" localSheetId="1" hidden="1">Sheet1!$F$5:$F$8</definedName>
    <definedName name="solver_lhs3" localSheetId="1" hidden="1">Sheet1!$A$30:$A$33</definedName>
    <definedName name="solver_lhs30" localSheetId="1" hidden="1">Sheet1!$F$5:$G$8</definedName>
    <definedName name="solver_lhs31" localSheetId="1" hidden="1">Sheet1!$F$61</definedName>
    <definedName name="solver_lhs32" localSheetId="1" hidden="1">Sheet1!$F$62</definedName>
    <definedName name="solver_lhs33" localSheetId="1" hidden="1">Sheet1!$F$63</definedName>
    <definedName name="solver_lhs34" localSheetId="1" hidden="1">Sheet1!$F$67</definedName>
    <definedName name="solver_lhs35" localSheetId="1" hidden="1">Sheet1!$F$67</definedName>
    <definedName name="solver_lhs36" localSheetId="1" hidden="1">Sheet1!$F$68</definedName>
    <definedName name="solver_lhs37" localSheetId="1" hidden="1">Sheet1!$F$69</definedName>
    <definedName name="solver_lhs38" localSheetId="1" hidden="1">Sheet1!$F$73</definedName>
    <definedName name="solver_lhs39" localSheetId="1" hidden="1">Sheet1!$F$73</definedName>
    <definedName name="solver_lhs4" localSheetId="1" hidden="1">Sheet1!$A$36:$A$39</definedName>
    <definedName name="solver_lhs40" localSheetId="1" hidden="1">Sheet1!$F$74</definedName>
    <definedName name="solver_lhs41" localSheetId="1" hidden="1">Sheet1!$F$75</definedName>
    <definedName name="solver_lhs42" localSheetId="1" hidden="1">Sheet1!$F$85</definedName>
    <definedName name="solver_lhs43" localSheetId="1" hidden="1">Sheet1!$G$61</definedName>
    <definedName name="solver_lhs44" localSheetId="1" hidden="1">Sheet1!$G$61</definedName>
    <definedName name="solver_lhs45" localSheetId="1" hidden="1">Sheet1!$G$62</definedName>
    <definedName name="solver_lhs46" localSheetId="1" hidden="1">Sheet1!$G$67</definedName>
    <definedName name="solver_lhs47" localSheetId="1" hidden="1">Sheet1!$G$68</definedName>
    <definedName name="solver_lhs48" localSheetId="1" hidden="1">Sheet1!$G$73</definedName>
    <definedName name="solver_lhs49" localSheetId="1" hidden="1">Sheet1!$G$74</definedName>
    <definedName name="solver_lhs5" localSheetId="1" hidden="1">Sheet1!$A$42:$A$45</definedName>
    <definedName name="solver_lhs50" localSheetId="1" hidden="1">Sheet1!$H$61</definedName>
    <definedName name="solver_lhs51" localSheetId="1" hidden="1">Sheet1!$H$62</definedName>
    <definedName name="solver_lhs52" localSheetId="1" hidden="1">Sheet1!$H$63</definedName>
    <definedName name="solver_lhs53" localSheetId="1" hidden="1">Sheet1!$H$67</definedName>
    <definedName name="solver_lhs54" localSheetId="1" hidden="1">Sheet1!$H$68</definedName>
    <definedName name="solver_lhs55" localSheetId="1" hidden="1">Sheet1!$H$69</definedName>
    <definedName name="solver_lhs56" localSheetId="1" hidden="1">Sheet1!$H$73</definedName>
    <definedName name="solver_lhs57" localSheetId="1" hidden="1">Sheet1!$H$74</definedName>
    <definedName name="solver_lhs58" localSheetId="1" hidden="1">Sheet1!$H$75</definedName>
    <definedName name="solver_lhs6" localSheetId="1" hidden="1">Sheet1!$A$48:$A$51</definedName>
    <definedName name="solver_lhs7" localSheetId="1" hidden="1">Sheet1!$A$5:$A$8</definedName>
    <definedName name="solver_lhs8" localSheetId="1" hidden="1">Sheet1!$A$64</definedName>
    <definedName name="solver_lhs9" localSheetId="1" hidden="1">Sheet1!$A$70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58</definedName>
    <definedName name="solver_nwt" localSheetId="1" hidden="1">1</definedName>
    <definedName name="solver_opt" localSheetId="1" hidden="1">Sheet1!$A$88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10" localSheetId="1" hidden="1">2</definedName>
    <definedName name="solver_rel11" localSheetId="1" hidden="1">1</definedName>
    <definedName name="solver_rel12" localSheetId="1" hidden="1">3</definedName>
    <definedName name="solver_rel13" localSheetId="1" hidden="1">4</definedName>
    <definedName name="solver_rel14" localSheetId="1" hidden="1">2</definedName>
    <definedName name="solver_rel15" localSheetId="1" hidden="1">4</definedName>
    <definedName name="solver_rel16" localSheetId="1" hidden="1">3</definedName>
    <definedName name="solver_rel17" localSheetId="1" hidden="1">4</definedName>
    <definedName name="solver_rel18" localSheetId="1" hidden="1">3</definedName>
    <definedName name="solver_rel19" localSheetId="1" hidden="1">3</definedName>
    <definedName name="solver_rel2" localSheetId="1" hidden="1">2</definedName>
    <definedName name="solver_rel20" localSheetId="1" hidden="1">4</definedName>
    <definedName name="solver_rel21" localSheetId="1" hidden="1">3</definedName>
    <definedName name="solver_rel22" localSheetId="1" hidden="1">3</definedName>
    <definedName name="solver_rel23" localSheetId="1" hidden="1">4</definedName>
    <definedName name="solver_rel24" localSheetId="1" hidden="1">3</definedName>
    <definedName name="solver_rel25" localSheetId="1" hidden="1">3</definedName>
    <definedName name="solver_rel26" localSheetId="1" hidden="1">4</definedName>
    <definedName name="solver_rel27" localSheetId="1" hidden="1">3</definedName>
    <definedName name="solver_rel28" localSheetId="1" hidden="1">1</definedName>
    <definedName name="solver_rel29" localSheetId="1" hidden="1">3</definedName>
    <definedName name="solver_rel3" localSheetId="1" hidden="1">2</definedName>
    <definedName name="solver_rel30" localSheetId="1" hidden="1">4</definedName>
    <definedName name="solver_rel31" localSheetId="1" hidden="1">3</definedName>
    <definedName name="solver_rel32" localSheetId="1" hidden="1">1</definedName>
    <definedName name="solver_rel33" localSheetId="1" hidden="1">3</definedName>
    <definedName name="solver_rel34" localSheetId="1" hidden="1">1</definedName>
    <definedName name="solver_rel35" localSheetId="1" hidden="1">3</definedName>
    <definedName name="solver_rel36" localSheetId="1" hidden="1">2</definedName>
    <definedName name="solver_rel37" localSheetId="1" hidden="1">3</definedName>
    <definedName name="solver_rel38" localSheetId="1" hidden="1">1</definedName>
    <definedName name="solver_rel39" localSheetId="1" hidden="1">3</definedName>
    <definedName name="solver_rel4" localSheetId="1" hidden="1">2</definedName>
    <definedName name="solver_rel40" localSheetId="1" hidden="1">2</definedName>
    <definedName name="solver_rel41" localSheetId="1" hidden="1">3</definedName>
    <definedName name="solver_rel42" localSheetId="1" hidden="1">3</definedName>
    <definedName name="solver_rel43" localSheetId="1" hidden="1">1</definedName>
    <definedName name="solver_rel44" localSheetId="1" hidden="1">3</definedName>
    <definedName name="solver_rel45" localSheetId="1" hidden="1">1</definedName>
    <definedName name="solver_rel46" localSheetId="1" hidden="1">1</definedName>
    <definedName name="solver_rel47" localSheetId="1" hidden="1">1</definedName>
    <definedName name="solver_rel48" localSheetId="1" hidden="1">1</definedName>
    <definedName name="solver_rel49" localSheetId="1" hidden="1">1</definedName>
    <definedName name="solver_rel5" localSheetId="1" hidden="1">2</definedName>
    <definedName name="solver_rel50" localSheetId="1" hidden="1">3</definedName>
    <definedName name="solver_rel51" localSheetId="1" hidden="1">3</definedName>
    <definedName name="solver_rel52" localSheetId="1" hidden="1">3</definedName>
    <definedName name="solver_rel53" localSheetId="1" hidden="1">3</definedName>
    <definedName name="solver_rel54" localSheetId="1" hidden="1">3</definedName>
    <definedName name="solver_rel55" localSheetId="1" hidden="1">3</definedName>
    <definedName name="solver_rel56" localSheetId="1" hidden="1">3</definedName>
    <definedName name="solver_rel57" localSheetId="1" hidden="1">3</definedName>
    <definedName name="solver_rel58" localSheetId="1" hidden="1">3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Sheet1!$H$11:$H$14</definedName>
    <definedName name="solver_rhs10" localSheetId="1" hidden="1">Sheet1!$H$76</definedName>
    <definedName name="solver_rhs11" localSheetId="1" hidden="1">10</definedName>
    <definedName name="solver_rhs12" localSheetId="1" hidden="1">1</definedName>
    <definedName name="solver_rhs13" localSheetId="1" hidden="1">"integer"</definedName>
    <definedName name="solver_rhs14" localSheetId="1" hidden="1">0</definedName>
    <definedName name="solver_rhs15" localSheetId="1" hidden="1">"integer"</definedName>
    <definedName name="solver_rhs16" localSheetId="1" hidden="1">Sheet1!$G$30:$G$33</definedName>
    <definedName name="solver_rhs17" localSheetId="1" hidden="1">"integer"</definedName>
    <definedName name="solver_rhs18" localSheetId="1" hidden="1">3</definedName>
    <definedName name="solver_rhs19" localSheetId="1" hidden="1">Sheet1!$G$36:$G$39</definedName>
    <definedName name="solver_rhs2" localSheetId="1" hidden="1">Sheet1!$H$17:$H$20</definedName>
    <definedName name="solver_rhs20" localSheetId="1" hidden="1">"integer"</definedName>
    <definedName name="solver_rhs21" localSheetId="1" hidden="1">3</definedName>
    <definedName name="solver_rhs22" localSheetId="1" hidden="1">Sheet1!$G$42:$G$45</definedName>
    <definedName name="solver_rhs23" localSheetId="1" hidden="1">"integer"</definedName>
    <definedName name="solver_rhs24" localSheetId="1" hidden="1">3</definedName>
    <definedName name="solver_rhs25" localSheetId="1" hidden="1">Sheet1!$G$48:$G$51</definedName>
    <definedName name="solver_rhs26" localSheetId="1" hidden="1">"integer"</definedName>
    <definedName name="solver_rhs27" localSheetId="1" hidden="1">3</definedName>
    <definedName name="solver_rhs28" localSheetId="1" hidden="1">10</definedName>
    <definedName name="solver_rhs29" localSheetId="1" hidden="1">1</definedName>
    <definedName name="solver_rhs3" localSheetId="1" hidden="1">Sheet1!$H$30:$H$33</definedName>
    <definedName name="solver_rhs30" localSheetId="1" hidden="1">"integer"</definedName>
    <definedName name="solver_rhs31" localSheetId="1" hidden="1">1</definedName>
    <definedName name="solver_rhs32" localSheetId="1" hidden="1">0.9*Sheet1!$G$62</definedName>
    <definedName name="solver_rhs33" localSheetId="1" hidden="1">1.5*Sheet1!$G$63</definedName>
    <definedName name="solver_rhs34" localSheetId="1" hidden="1">0.5*Sheet1!$G$67</definedName>
    <definedName name="solver_rhs35" localSheetId="1" hidden="1">1</definedName>
    <definedName name="solver_rhs36" localSheetId="1" hidden="1">Sheet1!$G$68</definedName>
    <definedName name="solver_rhs37" localSheetId="1" hidden="1">2*Sheet1!$G$69</definedName>
    <definedName name="solver_rhs38" localSheetId="1" hidden="1">0.5*Sheet1!$G$73</definedName>
    <definedName name="solver_rhs39" localSheetId="1" hidden="1">1</definedName>
    <definedName name="solver_rhs4" localSheetId="1" hidden="1">Sheet1!$H$36:$H$39</definedName>
    <definedName name="solver_rhs40" localSheetId="1" hidden="1">Sheet1!$G$74</definedName>
    <definedName name="solver_rhs41" localSheetId="1" hidden="1">2.5*Sheet1!$G$75</definedName>
    <definedName name="solver_rhs42" localSheetId="1" hidden="1">1.5*Sheet1!$G$85</definedName>
    <definedName name="solver_rhs43" localSheetId="1" hidden="1">Sheet1!$G$62</definedName>
    <definedName name="solver_rhs44" localSheetId="1" hidden="1">2*Sheet1!$F$61</definedName>
    <definedName name="solver_rhs45" localSheetId="1" hidden="1">Sheet1!$G$63</definedName>
    <definedName name="solver_rhs46" localSheetId="1" hidden="1">Sheet1!$G$68</definedName>
    <definedName name="solver_rhs47" localSheetId="1" hidden="1">Sheet1!$G$69</definedName>
    <definedName name="solver_rhs48" localSheetId="1" hidden="1">Sheet1!$G$74</definedName>
    <definedName name="solver_rhs49" localSheetId="1" hidden="1">Sheet1!$G$75</definedName>
    <definedName name="solver_rhs5" localSheetId="1" hidden="1">Sheet1!$H$42:$H$45</definedName>
    <definedName name="solver_rhs50" localSheetId="1" hidden="1">0.1*Sheet1!$A$64</definedName>
    <definedName name="solver_rhs51" localSheetId="1" hidden="1">3*Sheet1!$H$61</definedName>
    <definedName name="solver_rhs52" localSheetId="1" hidden="1">2*Sheet1!$H$62</definedName>
    <definedName name="solver_rhs53" localSheetId="1" hidden="1">0.05*Sheet1!$A$70</definedName>
    <definedName name="solver_rhs54" localSheetId="1" hidden="1">6*Sheet1!$H$67</definedName>
    <definedName name="solver_rhs55" localSheetId="1" hidden="1">2.1*Sheet1!$H$68</definedName>
    <definedName name="solver_rhs56" localSheetId="1" hidden="1">0.05*Sheet1!$A$76</definedName>
    <definedName name="solver_rhs57" localSheetId="1" hidden="1">5*Sheet1!$H$73</definedName>
    <definedName name="solver_rhs58" localSheetId="1" hidden="1">2.5*Sheet1!$H$74</definedName>
    <definedName name="solver_rhs6" localSheetId="1" hidden="1">Sheet1!$H$48:$H$51</definedName>
    <definedName name="solver_rhs7" localSheetId="1" hidden="1">Sheet1!$H$5:$H$8</definedName>
    <definedName name="solver_rhs8" localSheetId="1" hidden="1">Sheet1!$H$64</definedName>
    <definedName name="solver_rhs9" localSheetId="1" hidden="1">Sheet1!$H$70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640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5" l="1"/>
  <c r="G82" i="5"/>
  <c r="G85" i="8"/>
  <c r="F85" i="8"/>
  <c r="A77" i="8"/>
  <c r="A82" i="8" s="1"/>
  <c r="G75" i="8"/>
  <c r="M73" i="8" s="1"/>
  <c r="F75" i="8"/>
  <c r="N74" i="8"/>
  <c r="K74" i="8"/>
  <c r="F74" i="8"/>
  <c r="N73" i="8"/>
  <c r="K73" i="8"/>
  <c r="G73" i="8"/>
  <c r="H73" i="8" s="1"/>
  <c r="F73" i="8"/>
  <c r="N72" i="8"/>
  <c r="K72" i="8"/>
  <c r="F72" i="8"/>
  <c r="N71" i="8"/>
  <c r="N77" i="8" s="1"/>
  <c r="K71" i="8"/>
  <c r="G71" i="8"/>
  <c r="H71" i="8" s="1"/>
  <c r="F71" i="8"/>
  <c r="L69" i="8"/>
  <c r="M69" i="8" s="1"/>
  <c r="J69" i="8"/>
  <c r="K69" i="8" s="1"/>
  <c r="G69" i="8"/>
  <c r="M68" i="8" s="1"/>
  <c r="F69" i="8"/>
  <c r="H69" i="8" s="1"/>
  <c r="N68" i="8"/>
  <c r="G68" i="8"/>
  <c r="N67" i="8"/>
  <c r="M67" i="8"/>
  <c r="K67" i="8"/>
  <c r="G67" i="8"/>
  <c r="F67" i="8"/>
  <c r="H67" i="8" s="1"/>
  <c r="N66" i="8"/>
  <c r="G66" i="8"/>
  <c r="N65" i="8"/>
  <c r="M65" i="8"/>
  <c r="K65" i="8"/>
  <c r="G65" i="8"/>
  <c r="F65" i="8"/>
  <c r="H65" i="8" s="1"/>
  <c r="L63" i="8"/>
  <c r="M63" i="8" s="1"/>
  <c r="J63" i="8"/>
  <c r="K63" i="8" s="1"/>
  <c r="G63" i="8"/>
  <c r="M61" i="8" s="1"/>
  <c r="F63" i="8"/>
  <c r="N62" i="8"/>
  <c r="K62" i="8"/>
  <c r="F62" i="8"/>
  <c r="N61" i="8"/>
  <c r="K61" i="8"/>
  <c r="G61" i="8"/>
  <c r="H61" i="8" s="1"/>
  <c r="F61" i="8"/>
  <c r="N60" i="8"/>
  <c r="K60" i="8"/>
  <c r="F60" i="8"/>
  <c r="N59" i="8"/>
  <c r="J77" i="8" s="1"/>
  <c r="K59" i="8"/>
  <c r="G59" i="8"/>
  <c r="H59" i="8" s="1"/>
  <c r="F59" i="8"/>
  <c r="A52" i="8"/>
  <c r="N50" i="8"/>
  <c r="P50" i="8" s="1"/>
  <c r="M50" i="8"/>
  <c r="K50" i="8"/>
  <c r="G50" i="8"/>
  <c r="F50" i="8"/>
  <c r="H50" i="8" s="1"/>
  <c r="P49" i="8"/>
  <c r="N49" i="8"/>
  <c r="M49" i="8"/>
  <c r="K49" i="8"/>
  <c r="H49" i="8"/>
  <c r="G49" i="8"/>
  <c r="F49" i="8"/>
  <c r="N48" i="8"/>
  <c r="P48" i="8" s="1"/>
  <c r="K48" i="8"/>
  <c r="G48" i="8"/>
  <c r="M48" i="8" s="1"/>
  <c r="F48" i="8"/>
  <c r="N47" i="8"/>
  <c r="P47" i="8" s="1"/>
  <c r="M47" i="8"/>
  <c r="G47" i="8"/>
  <c r="F47" i="8"/>
  <c r="K47" i="8" s="1"/>
  <c r="M46" i="8"/>
  <c r="M45" i="8"/>
  <c r="P44" i="8"/>
  <c r="N44" i="8"/>
  <c r="K44" i="8"/>
  <c r="H44" i="8"/>
  <c r="G44" i="8"/>
  <c r="M44" i="8" s="1"/>
  <c r="F44" i="8"/>
  <c r="N43" i="8"/>
  <c r="P43" i="8" s="1"/>
  <c r="G43" i="8"/>
  <c r="M43" i="8" s="1"/>
  <c r="F43" i="8"/>
  <c r="K43" i="8" s="1"/>
  <c r="N42" i="8"/>
  <c r="P42" i="8" s="1"/>
  <c r="M42" i="8"/>
  <c r="G42" i="8"/>
  <c r="F42" i="8"/>
  <c r="K42" i="8" s="1"/>
  <c r="N41" i="8"/>
  <c r="K52" i="8" s="1"/>
  <c r="M41" i="8"/>
  <c r="K41" i="8"/>
  <c r="G41" i="8"/>
  <c r="F41" i="8"/>
  <c r="H41" i="8" s="1"/>
  <c r="N38" i="8"/>
  <c r="P38" i="8" s="1"/>
  <c r="M38" i="8"/>
  <c r="K38" i="8"/>
  <c r="G38" i="8"/>
  <c r="F38" i="8"/>
  <c r="H38" i="8" s="1"/>
  <c r="P37" i="8"/>
  <c r="N37" i="8"/>
  <c r="M37" i="8"/>
  <c r="K37" i="8"/>
  <c r="H37" i="8"/>
  <c r="G37" i="8"/>
  <c r="F37" i="8"/>
  <c r="N36" i="8"/>
  <c r="P36" i="8" s="1"/>
  <c r="K36" i="8"/>
  <c r="G36" i="8"/>
  <c r="M36" i="8" s="1"/>
  <c r="F36" i="8"/>
  <c r="N35" i="8"/>
  <c r="J52" i="8" s="1"/>
  <c r="M35" i="8"/>
  <c r="K35" i="8"/>
  <c r="G35" i="8"/>
  <c r="F35" i="8"/>
  <c r="H35" i="8" s="1"/>
  <c r="N32" i="8"/>
  <c r="P32" i="8" s="1"/>
  <c r="M32" i="8"/>
  <c r="G32" i="8"/>
  <c r="F32" i="8"/>
  <c r="K32" i="8" s="1"/>
  <c r="N31" i="8"/>
  <c r="P31" i="8" s="1"/>
  <c r="M31" i="8"/>
  <c r="K31" i="8"/>
  <c r="G31" i="8"/>
  <c r="F31" i="8"/>
  <c r="H31" i="8" s="1"/>
  <c r="P30" i="8"/>
  <c r="N30" i="8"/>
  <c r="K30" i="8"/>
  <c r="H30" i="8"/>
  <c r="G30" i="8"/>
  <c r="M30" i="8" s="1"/>
  <c r="F30" i="8"/>
  <c r="P29" i="8"/>
  <c r="N29" i="8"/>
  <c r="I52" i="8" s="1"/>
  <c r="G29" i="8"/>
  <c r="M29" i="8" s="1"/>
  <c r="F29" i="8"/>
  <c r="K29" i="8" s="1"/>
  <c r="M28" i="8"/>
  <c r="K28" i="8"/>
  <c r="K23" i="8"/>
  <c r="A23" i="8"/>
  <c r="P23" i="8" s="1"/>
  <c r="K22" i="8"/>
  <c r="P20" i="8"/>
  <c r="N20" i="8"/>
  <c r="M20" i="8"/>
  <c r="K20" i="8"/>
  <c r="H20" i="8"/>
  <c r="N19" i="8"/>
  <c r="P19" i="8" s="1"/>
  <c r="M19" i="8"/>
  <c r="K19" i="8"/>
  <c r="H19" i="8"/>
  <c r="N18" i="8"/>
  <c r="P18" i="8" s="1"/>
  <c r="M18" i="8"/>
  <c r="K18" i="8"/>
  <c r="H18" i="8"/>
  <c r="N17" i="8"/>
  <c r="N23" i="8" s="1"/>
  <c r="M17" i="8"/>
  <c r="K17" i="8"/>
  <c r="H17" i="8"/>
  <c r="N14" i="8"/>
  <c r="P14" i="8" s="1"/>
  <c r="M14" i="8"/>
  <c r="H14" i="8"/>
  <c r="G14" i="8"/>
  <c r="F14" i="8"/>
  <c r="N13" i="8"/>
  <c r="P13" i="8" s="1"/>
  <c r="G13" i="8"/>
  <c r="M13" i="8" s="1"/>
  <c r="F13" i="8"/>
  <c r="K13" i="8" s="1"/>
  <c r="N12" i="8"/>
  <c r="P12" i="8" s="1"/>
  <c r="M12" i="8"/>
  <c r="G12" i="8"/>
  <c r="F12" i="8"/>
  <c r="K12" i="8" s="1"/>
  <c r="P11" i="8"/>
  <c r="N11" i="8"/>
  <c r="M11" i="8"/>
  <c r="K11" i="8"/>
  <c r="G11" i="8"/>
  <c r="F11" i="8"/>
  <c r="H11" i="8" s="1"/>
  <c r="P8" i="8"/>
  <c r="N8" i="8"/>
  <c r="M8" i="8"/>
  <c r="K8" i="8"/>
  <c r="G8" i="8"/>
  <c r="F8" i="8"/>
  <c r="H8" i="8" s="1"/>
  <c r="P7" i="8"/>
  <c r="N7" i="8"/>
  <c r="K7" i="8"/>
  <c r="H7" i="8"/>
  <c r="G7" i="8"/>
  <c r="M7" i="8" s="1"/>
  <c r="F7" i="8"/>
  <c r="N6" i="8"/>
  <c r="P6" i="8" s="1"/>
  <c r="G6" i="8"/>
  <c r="M6" i="8" s="1"/>
  <c r="F6" i="8"/>
  <c r="K6" i="8" s="1"/>
  <c r="N5" i="8"/>
  <c r="J23" i="8" s="1"/>
  <c r="M5" i="8"/>
  <c r="G5" i="8"/>
  <c r="F5" i="8"/>
  <c r="K5" i="8" s="1"/>
  <c r="G85" i="7"/>
  <c r="F85" i="7"/>
  <c r="A77" i="7"/>
  <c r="G75" i="7"/>
  <c r="M73" i="7" s="1"/>
  <c r="F75" i="7"/>
  <c r="K73" i="7" s="1"/>
  <c r="N74" i="7"/>
  <c r="K74" i="7"/>
  <c r="N73" i="7"/>
  <c r="G73" i="7"/>
  <c r="F73" i="7"/>
  <c r="H73" i="7" s="1"/>
  <c r="N72" i="7"/>
  <c r="K72" i="7"/>
  <c r="N71" i="7"/>
  <c r="N77" i="7" s="1"/>
  <c r="G71" i="7"/>
  <c r="F71" i="7"/>
  <c r="H71" i="7" s="1"/>
  <c r="M69" i="7"/>
  <c r="L69" i="7"/>
  <c r="J69" i="7"/>
  <c r="K69" i="7" s="1"/>
  <c r="H69" i="7"/>
  <c r="G69" i="7"/>
  <c r="F69" i="7"/>
  <c r="K68" i="7" s="1"/>
  <c r="N68" i="7"/>
  <c r="M68" i="7"/>
  <c r="G68" i="7"/>
  <c r="F68" i="7"/>
  <c r="H68" i="7" s="1"/>
  <c r="N67" i="7"/>
  <c r="M67" i="7"/>
  <c r="K67" i="7"/>
  <c r="H67" i="7"/>
  <c r="G67" i="7"/>
  <c r="F67" i="7"/>
  <c r="N66" i="7"/>
  <c r="N69" i="7" s="1"/>
  <c r="P69" i="7" s="1"/>
  <c r="M66" i="7"/>
  <c r="K66" i="7"/>
  <c r="G66" i="7"/>
  <c r="F66" i="7"/>
  <c r="H66" i="7" s="1"/>
  <c r="N65" i="7"/>
  <c r="M65" i="7"/>
  <c r="K65" i="7"/>
  <c r="H65" i="7"/>
  <c r="G65" i="7"/>
  <c r="F65" i="7"/>
  <c r="L63" i="7"/>
  <c r="M63" i="7" s="1"/>
  <c r="J63" i="7"/>
  <c r="N63" i="7" s="1"/>
  <c r="P63" i="7" s="1"/>
  <c r="G63" i="7"/>
  <c r="M61" i="7" s="1"/>
  <c r="F63" i="7"/>
  <c r="K61" i="7" s="1"/>
  <c r="N62" i="7"/>
  <c r="K62" i="7"/>
  <c r="N61" i="7"/>
  <c r="G61" i="7"/>
  <c r="F61" i="7"/>
  <c r="H61" i="7" s="1"/>
  <c r="N60" i="7"/>
  <c r="K60" i="7"/>
  <c r="N59" i="7"/>
  <c r="G59" i="7"/>
  <c r="F59" i="7"/>
  <c r="H59" i="7" s="1"/>
  <c r="A52" i="7"/>
  <c r="P50" i="7"/>
  <c r="N50" i="7"/>
  <c r="K50" i="7"/>
  <c r="H50" i="7"/>
  <c r="G50" i="7"/>
  <c r="M50" i="7" s="1"/>
  <c r="F50" i="7"/>
  <c r="P49" i="7"/>
  <c r="N49" i="7"/>
  <c r="H49" i="7"/>
  <c r="G49" i="7"/>
  <c r="M49" i="7" s="1"/>
  <c r="F49" i="7"/>
  <c r="K49" i="7" s="1"/>
  <c r="N48" i="7"/>
  <c r="P48" i="7" s="1"/>
  <c r="G48" i="7"/>
  <c r="M48" i="7" s="1"/>
  <c r="F48" i="7"/>
  <c r="K48" i="7" s="1"/>
  <c r="N47" i="7"/>
  <c r="P47" i="7" s="1"/>
  <c r="M47" i="7"/>
  <c r="G47" i="7"/>
  <c r="F47" i="7"/>
  <c r="K47" i="7" s="1"/>
  <c r="M46" i="7"/>
  <c r="M45" i="7"/>
  <c r="P44" i="7"/>
  <c r="N44" i="7"/>
  <c r="K44" i="7"/>
  <c r="H44" i="7"/>
  <c r="G44" i="7"/>
  <c r="M44" i="7" s="1"/>
  <c r="F44" i="7"/>
  <c r="N43" i="7"/>
  <c r="P43" i="7" s="1"/>
  <c r="G43" i="7"/>
  <c r="M43" i="7" s="1"/>
  <c r="F43" i="7"/>
  <c r="K43" i="7" s="1"/>
  <c r="N42" i="7"/>
  <c r="P42" i="7" s="1"/>
  <c r="M42" i="7"/>
  <c r="G42" i="7"/>
  <c r="F42" i="7"/>
  <c r="K42" i="7" s="1"/>
  <c r="P41" i="7"/>
  <c r="N41" i="7"/>
  <c r="K52" i="7" s="1"/>
  <c r="M41" i="7"/>
  <c r="K41" i="7"/>
  <c r="H41" i="7"/>
  <c r="G41" i="7"/>
  <c r="F41" i="7"/>
  <c r="N38" i="7"/>
  <c r="P38" i="7" s="1"/>
  <c r="M38" i="7"/>
  <c r="K38" i="7"/>
  <c r="H38" i="7"/>
  <c r="G38" i="7"/>
  <c r="F38" i="7"/>
  <c r="P37" i="7"/>
  <c r="N37" i="7"/>
  <c r="K37" i="7"/>
  <c r="H37" i="7"/>
  <c r="G37" i="7"/>
  <c r="M37" i="7" s="1"/>
  <c r="F37" i="7"/>
  <c r="N36" i="7"/>
  <c r="P36" i="7" s="1"/>
  <c r="K36" i="7"/>
  <c r="G36" i="7"/>
  <c r="M36" i="7" s="1"/>
  <c r="F36" i="7"/>
  <c r="H36" i="7" s="1"/>
  <c r="N35" i="7"/>
  <c r="J52" i="7" s="1"/>
  <c r="M35" i="7"/>
  <c r="K35" i="7"/>
  <c r="G35" i="7"/>
  <c r="F35" i="7"/>
  <c r="H35" i="7" s="1"/>
  <c r="N32" i="7"/>
  <c r="P32" i="7" s="1"/>
  <c r="M32" i="7"/>
  <c r="G32" i="7"/>
  <c r="F32" i="7"/>
  <c r="K32" i="7" s="1"/>
  <c r="N31" i="7"/>
  <c r="P30" i="7" s="1"/>
  <c r="M31" i="7"/>
  <c r="K31" i="7"/>
  <c r="H31" i="7"/>
  <c r="G31" i="7"/>
  <c r="F31" i="7"/>
  <c r="N30" i="7"/>
  <c r="P29" i="7" s="1"/>
  <c r="K30" i="7"/>
  <c r="H30" i="7"/>
  <c r="G30" i="7"/>
  <c r="M30" i="7" s="1"/>
  <c r="F30" i="7"/>
  <c r="N29" i="7"/>
  <c r="G29" i="7"/>
  <c r="M29" i="7" s="1"/>
  <c r="F29" i="7"/>
  <c r="K29" i="7" s="1"/>
  <c r="M28" i="7"/>
  <c r="K28" i="7"/>
  <c r="K23" i="7"/>
  <c r="A23" i="7"/>
  <c r="K22" i="7"/>
  <c r="N20" i="7"/>
  <c r="P20" i="7" s="1"/>
  <c r="M20" i="7"/>
  <c r="K20" i="7"/>
  <c r="H20" i="7"/>
  <c r="N19" i="7"/>
  <c r="P19" i="7" s="1"/>
  <c r="M19" i="7"/>
  <c r="K19" i="7"/>
  <c r="H19" i="7"/>
  <c r="N18" i="7"/>
  <c r="P18" i="7" s="1"/>
  <c r="M18" i="7"/>
  <c r="K18" i="7"/>
  <c r="H18" i="7"/>
  <c r="N17" i="7"/>
  <c r="N23" i="7" s="1"/>
  <c r="M17" i="7"/>
  <c r="K17" i="7"/>
  <c r="H17" i="7"/>
  <c r="N14" i="7"/>
  <c r="P14" i="7" s="1"/>
  <c r="H14" i="7"/>
  <c r="G14" i="7"/>
  <c r="M14" i="7" s="1"/>
  <c r="F14" i="7"/>
  <c r="N13" i="7"/>
  <c r="P13" i="7" s="1"/>
  <c r="G13" i="7"/>
  <c r="M13" i="7" s="1"/>
  <c r="F13" i="7"/>
  <c r="K13" i="7" s="1"/>
  <c r="N12" i="7"/>
  <c r="P12" i="7" s="1"/>
  <c r="M12" i="7"/>
  <c r="G12" i="7"/>
  <c r="F12" i="7"/>
  <c r="K12" i="7" s="1"/>
  <c r="N11" i="7"/>
  <c r="L23" i="7" s="1"/>
  <c r="M11" i="7"/>
  <c r="K11" i="7"/>
  <c r="H11" i="7"/>
  <c r="G11" i="7"/>
  <c r="F11" i="7"/>
  <c r="N8" i="7"/>
  <c r="P8" i="7" s="1"/>
  <c r="M8" i="7"/>
  <c r="K8" i="7"/>
  <c r="H8" i="7"/>
  <c r="G8" i="7"/>
  <c r="F8" i="7"/>
  <c r="N7" i="7"/>
  <c r="P7" i="7" s="1"/>
  <c r="K7" i="7"/>
  <c r="H7" i="7"/>
  <c r="G7" i="7"/>
  <c r="M7" i="7" s="1"/>
  <c r="F7" i="7"/>
  <c r="N6" i="7"/>
  <c r="P6" i="7" s="1"/>
  <c r="G6" i="7"/>
  <c r="M6" i="7" s="1"/>
  <c r="F6" i="7"/>
  <c r="K6" i="7" s="1"/>
  <c r="N5" i="7"/>
  <c r="M5" i="7"/>
  <c r="G5" i="7"/>
  <c r="F5" i="7"/>
  <c r="K5" i="7" s="1"/>
  <c r="G85" i="6"/>
  <c r="F85" i="6"/>
  <c r="F85" i="5"/>
  <c r="F88" i="5"/>
  <c r="G85" i="5"/>
  <c r="A77" i="5"/>
  <c r="G75" i="5"/>
  <c r="M73" i="5" s="1"/>
  <c r="F75" i="5"/>
  <c r="N74" i="5"/>
  <c r="K74" i="5"/>
  <c r="F74" i="5"/>
  <c r="N73" i="5"/>
  <c r="K73" i="5"/>
  <c r="G73" i="5"/>
  <c r="H73" i="5" s="1"/>
  <c r="F73" i="5"/>
  <c r="N72" i="5"/>
  <c r="K72" i="5"/>
  <c r="F72" i="5"/>
  <c r="N71" i="5"/>
  <c r="K71" i="5"/>
  <c r="G71" i="5"/>
  <c r="H71" i="5" s="1"/>
  <c r="F71" i="5"/>
  <c r="L69" i="5"/>
  <c r="M69" i="5" s="1"/>
  <c r="J69" i="5"/>
  <c r="K69" i="5" s="1"/>
  <c r="G69" i="5"/>
  <c r="M68" i="5" s="1"/>
  <c r="F69" i="5"/>
  <c r="H69" i="5" s="1"/>
  <c r="N68" i="5"/>
  <c r="K68" i="5"/>
  <c r="G68" i="5"/>
  <c r="N67" i="5"/>
  <c r="K67" i="5"/>
  <c r="G67" i="5"/>
  <c r="F67" i="5"/>
  <c r="H67" i="5" s="1"/>
  <c r="N66" i="5"/>
  <c r="K66" i="5"/>
  <c r="G66" i="5"/>
  <c r="N65" i="5"/>
  <c r="M65" i="5"/>
  <c r="K65" i="5"/>
  <c r="G65" i="5"/>
  <c r="F65" i="5"/>
  <c r="H65" i="5" s="1"/>
  <c r="L63" i="5"/>
  <c r="M63" i="5" s="1"/>
  <c r="J63" i="5"/>
  <c r="G63" i="5"/>
  <c r="M61" i="5" s="1"/>
  <c r="F63" i="5"/>
  <c r="N62" i="5"/>
  <c r="K62" i="5"/>
  <c r="F62" i="5"/>
  <c r="N61" i="5"/>
  <c r="K61" i="5"/>
  <c r="G61" i="5"/>
  <c r="H61" i="5" s="1"/>
  <c r="F61" i="5"/>
  <c r="N60" i="5"/>
  <c r="K60" i="5"/>
  <c r="F60" i="5"/>
  <c r="N59" i="5"/>
  <c r="K59" i="5"/>
  <c r="G59" i="5"/>
  <c r="H59" i="5" s="1"/>
  <c r="F59" i="5"/>
  <c r="A52" i="5"/>
  <c r="N50" i="5"/>
  <c r="P50" i="5" s="1"/>
  <c r="K50" i="5"/>
  <c r="G50" i="5"/>
  <c r="M50" i="5" s="1"/>
  <c r="F50" i="5"/>
  <c r="H50" i="5" s="1"/>
  <c r="N49" i="5"/>
  <c r="P49" i="5" s="1"/>
  <c r="M49" i="5"/>
  <c r="H49" i="5"/>
  <c r="G49" i="5"/>
  <c r="F49" i="5"/>
  <c r="K49" i="5" s="1"/>
  <c r="N48" i="5"/>
  <c r="P48" i="5" s="1"/>
  <c r="K48" i="5"/>
  <c r="G48" i="5"/>
  <c r="M48" i="5" s="1"/>
  <c r="F48" i="5"/>
  <c r="P47" i="5"/>
  <c r="N47" i="5"/>
  <c r="M47" i="5"/>
  <c r="G47" i="5"/>
  <c r="F47" i="5"/>
  <c r="K47" i="5" s="1"/>
  <c r="M46" i="5"/>
  <c r="M45" i="5"/>
  <c r="P44" i="5"/>
  <c r="N44" i="5"/>
  <c r="M44" i="5"/>
  <c r="H44" i="5"/>
  <c r="G44" i="5"/>
  <c r="F44" i="5"/>
  <c r="K44" i="5" s="1"/>
  <c r="N43" i="5"/>
  <c r="P43" i="5" s="1"/>
  <c r="K43" i="5"/>
  <c r="G43" i="5"/>
  <c r="M43" i="5" s="1"/>
  <c r="F43" i="5"/>
  <c r="P42" i="5"/>
  <c r="N42" i="5"/>
  <c r="M42" i="5"/>
  <c r="G42" i="5"/>
  <c r="F42" i="5"/>
  <c r="K42" i="5" s="1"/>
  <c r="N41" i="5"/>
  <c r="K52" i="5" s="1"/>
  <c r="K41" i="5"/>
  <c r="G41" i="5"/>
  <c r="M41" i="5" s="1"/>
  <c r="F41" i="5"/>
  <c r="H41" i="5" s="1"/>
  <c r="N38" i="5"/>
  <c r="P38" i="5" s="1"/>
  <c r="K38" i="5"/>
  <c r="G38" i="5"/>
  <c r="M38" i="5" s="1"/>
  <c r="F38" i="5"/>
  <c r="H38" i="5" s="1"/>
  <c r="P37" i="5"/>
  <c r="N37" i="5"/>
  <c r="M37" i="5"/>
  <c r="K37" i="5"/>
  <c r="H37" i="5"/>
  <c r="G37" i="5"/>
  <c r="F37" i="5"/>
  <c r="N36" i="5"/>
  <c r="P36" i="5" s="1"/>
  <c r="K36" i="5"/>
  <c r="G36" i="5"/>
  <c r="M36" i="5" s="1"/>
  <c r="F36" i="5"/>
  <c r="P35" i="5"/>
  <c r="N35" i="5"/>
  <c r="J52" i="5" s="1"/>
  <c r="M35" i="5"/>
  <c r="K35" i="5"/>
  <c r="G35" i="5"/>
  <c r="F35" i="5"/>
  <c r="H35" i="5" s="1"/>
  <c r="P32" i="5"/>
  <c r="N32" i="5"/>
  <c r="M32" i="5"/>
  <c r="G32" i="5"/>
  <c r="F32" i="5"/>
  <c r="K32" i="5" s="1"/>
  <c r="N31" i="5"/>
  <c r="P31" i="5" s="1"/>
  <c r="K31" i="5"/>
  <c r="G31" i="5"/>
  <c r="M31" i="5" s="1"/>
  <c r="F31" i="5"/>
  <c r="H31" i="5" s="1"/>
  <c r="P30" i="5"/>
  <c r="N30" i="5"/>
  <c r="M30" i="5"/>
  <c r="H30" i="5"/>
  <c r="G30" i="5"/>
  <c r="F30" i="5"/>
  <c r="K30" i="5" s="1"/>
  <c r="P29" i="5"/>
  <c r="N29" i="5"/>
  <c r="K29" i="5"/>
  <c r="G29" i="5"/>
  <c r="M29" i="5" s="1"/>
  <c r="F29" i="5"/>
  <c r="M28" i="5"/>
  <c r="K28" i="5"/>
  <c r="K23" i="5"/>
  <c r="A23" i="5"/>
  <c r="K22" i="5"/>
  <c r="N20" i="5"/>
  <c r="P20" i="5" s="1"/>
  <c r="M20" i="5"/>
  <c r="K20" i="5"/>
  <c r="H20" i="5"/>
  <c r="N19" i="5"/>
  <c r="P19" i="5" s="1"/>
  <c r="M19" i="5"/>
  <c r="K19" i="5"/>
  <c r="H19" i="5"/>
  <c r="P18" i="5"/>
  <c r="N18" i="5"/>
  <c r="M18" i="5"/>
  <c r="K18" i="5"/>
  <c r="H18" i="5"/>
  <c r="N17" i="5"/>
  <c r="N23" i="5" s="1"/>
  <c r="M17" i="5"/>
  <c r="K17" i="5"/>
  <c r="H17" i="5"/>
  <c r="N14" i="5"/>
  <c r="P14" i="5" s="1"/>
  <c r="M14" i="5"/>
  <c r="H14" i="5"/>
  <c r="G14" i="5"/>
  <c r="F14" i="5"/>
  <c r="N13" i="5"/>
  <c r="P13" i="5" s="1"/>
  <c r="K13" i="5"/>
  <c r="G13" i="5"/>
  <c r="M13" i="5" s="1"/>
  <c r="F13" i="5"/>
  <c r="N12" i="5"/>
  <c r="P12" i="5" s="1"/>
  <c r="M12" i="5"/>
  <c r="G12" i="5"/>
  <c r="F12" i="5"/>
  <c r="K12" i="5" s="1"/>
  <c r="N11" i="5"/>
  <c r="P11" i="5" s="1"/>
  <c r="K11" i="5"/>
  <c r="G11" i="5"/>
  <c r="M11" i="5" s="1"/>
  <c r="F11" i="5"/>
  <c r="H11" i="5" s="1"/>
  <c r="N8" i="5"/>
  <c r="P8" i="5" s="1"/>
  <c r="K8" i="5"/>
  <c r="G8" i="5"/>
  <c r="M8" i="5" s="1"/>
  <c r="F8" i="5"/>
  <c r="H8" i="5" s="1"/>
  <c r="N7" i="5"/>
  <c r="P7" i="5" s="1"/>
  <c r="M7" i="5"/>
  <c r="H7" i="5"/>
  <c r="G7" i="5"/>
  <c r="F7" i="5"/>
  <c r="K7" i="5" s="1"/>
  <c r="N6" i="5"/>
  <c r="P6" i="5" s="1"/>
  <c r="K6" i="5"/>
  <c r="G6" i="5"/>
  <c r="M6" i="5" s="1"/>
  <c r="F6" i="5"/>
  <c r="N5" i="5"/>
  <c r="M5" i="5"/>
  <c r="G5" i="5"/>
  <c r="F5" i="5"/>
  <c r="K5" i="5" s="1"/>
  <c r="M69" i="6"/>
  <c r="M74" i="6"/>
  <c r="M73" i="6"/>
  <c r="M72" i="6"/>
  <c r="M68" i="6"/>
  <c r="M67" i="6"/>
  <c r="M66" i="6"/>
  <c r="M65" i="6"/>
  <c r="M71" i="6"/>
  <c r="K71" i="6"/>
  <c r="K74" i="6"/>
  <c r="K73" i="6"/>
  <c r="K72" i="6"/>
  <c r="K69" i="6"/>
  <c r="K63" i="6"/>
  <c r="K68" i="6"/>
  <c r="K67" i="6"/>
  <c r="K66" i="6"/>
  <c r="K65" i="6"/>
  <c r="K60" i="6"/>
  <c r="K61" i="6"/>
  <c r="K62" i="6"/>
  <c r="M63" i="6"/>
  <c r="M62" i="6"/>
  <c r="M61" i="6"/>
  <c r="M60" i="6"/>
  <c r="M59" i="6"/>
  <c r="K59" i="6"/>
  <c r="G60" i="6"/>
  <c r="K36" i="6"/>
  <c r="K37" i="6"/>
  <c r="K38" i="6"/>
  <c r="K35" i="6"/>
  <c r="F5" i="6"/>
  <c r="G5" i="6"/>
  <c r="N5" i="6"/>
  <c r="P5" i="6" s="1"/>
  <c r="F6" i="6"/>
  <c r="G6" i="6"/>
  <c r="M6" i="6" s="1"/>
  <c r="N6" i="6"/>
  <c r="P6" i="6" s="1"/>
  <c r="F7" i="6"/>
  <c r="H7" i="6" s="1"/>
  <c r="G7" i="6"/>
  <c r="M7" i="6" s="1"/>
  <c r="N7" i="6"/>
  <c r="P7" i="6" s="1"/>
  <c r="F8" i="6"/>
  <c r="G8" i="6"/>
  <c r="M8" i="6" s="1"/>
  <c r="N8" i="6"/>
  <c r="P8" i="6" s="1"/>
  <c r="F11" i="6"/>
  <c r="G11" i="6"/>
  <c r="M11" i="6" s="1"/>
  <c r="N11" i="6"/>
  <c r="P11" i="6" s="1"/>
  <c r="F12" i="6"/>
  <c r="K12" i="6" s="1"/>
  <c r="G12" i="6"/>
  <c r="M12" i="6" s="1"/>
  <c r="H12" i="6"/>
  <c r="N12" i="6"/>
  <c r="P12" i="6" s="1"/>
  <c r="F13" i="6"/>
  <c r="G13" i="6"/>
  <c r="M13" i="6" s="1"/>
  <c r="H13" i="6"/>
  <c r="K13" i="6"/>
  <c r="N13" i="6"/>
  <c r="P13" i="6" s="1"/>
  <c r="F14" i="6"/>
  <c r="G14" i="6"/>
  <c r="M14" i="6" s="1"/>
  <c r="N14" i="6"/>
  <c r="P14" i="6" s="1"/>
  <c r="H17" i="6"/>
  <c r="K17" i="6"/>
  <c r="M17" i="6"/>
  <c r="N17" i="6"/>
  <c r="P17" i="6" s="1"/>
  <c r="H18" i="6"/>
  <c r="K18" i="6"/>
  <c r="M18" i="6"/>
  <c r="N18" i="6"/>
  <c r="P18" i="6"/>
  <c r="H19" i="6"/>
  <c r="K19" i="6"/>
  <c r="M19" i="6"/>
  <c r="N19" i="6"/>
  <c r="P19" i="6" s="1"/>
  <c r="H20" i="6"/>
  <c r="K20" i="6"/>
  <c r="M20" i="6"/>
  <c r="N20" i="6"/>
  <c r="P20" i="6" s="1"/>
  <c r="K22" i="6"/>
  <c r="A23" i="6"/>
  <c r="A82" i="6" s="1"/>
  <c r="K23" i="6"/>
  <c r="K28" i="6"/>
  <c r="M28" i="6"/>
  <c r="F29" i="6"/>
  <c r="G29" i="6"/>
  <c r="M29" i="6" s="1"/>
  <c r="H29" i="6"/>
  <c r="K29" i="6"/>
  <c r="N29" i="6"/>
  <c r="F30" i="6"/>
  <c r="K30" i="6" s="1"/>
  <c r="G30" i="6"/>
  <c r="M30" i="6"/>
  <c r="N30" i="6"/>
  <c r="P29" i="6" s="1"/>
  <c r="F31" i="6"/>
  <c r="H31" i="6" s="1"/>
  <c r="G31" i="6"/>
  <c r="M31" i="6" s="1"/>
  <c r="N31" i="6"/>
  <c r="P31" i="6" s="1"/>
  <c r="F32" i="6"/>
  <c r="K32" i="6" s="1"/>
  <c r="G32" i="6"/>
  <c r="M32" i="6" s="1"/>
  <c r="H32" i="6"/>
  <c r="N32" i="6"/>
  <c r="P32" i="6"/>
  <c r="F35" i="6"/>
  <c r="G35" i="6"/>
  <c r="M35" i="6" s="1"/>
  <c r="H35" i="6"/>
  <c r="N35" i="6"/>
  <c r="P35" i="6" s="1"/>
  <c r="F36" i="6"/>
  <c r="G36" i="6"/>
  <c r="H36" i="6"/>
  <c r="M36" i="6"/>
  <c r="N36" i="6"/>
  <c r="P36" i="6" s="1"/>
  <c r="F37" i="6"/>
  <c r="H37" i="6" s="1"/>
  <c r="G37" i="6"/>
  <c r="M37" i="6"/>
  <c r="N37" i="6"/>
  <c r="P37" i="6" s="1"/>
  <c r="F38" i="6"/>
  <c r="H38" i="6" s="1"/>
  <c r="G38" i="6"/>
  <c r="M38" i="6" s="1"/>
  <c r="N38" i="6"/>
  <c r="P38" i="6" s="1"/>
  <c r="F41" i="6"/>
  <c r="H41" i="6" s="1"/>
  <c r="G41" i="6"/>
  <c r="M41" i="6" s="1"/>
  <c r="N41" i="6"/>
  <c r="P41" i="6" s="1"/>
  <c r="F42" i="6"/>
  <c r="G42" i="6"/>
  <c r="M42" i="6" s="1"/>
  <c r="H42" i="6"/>
  <c r="K42" i="6"/>
  <c r="N42" i="6"/>
  <c r="P42" i="6" s="1"/>
  <c r="F43" i="6"/>
  <c r="G43" i="6"/>
  <c r="H43" i="6"/>
  <c r="K43" i="6"/>
  <c r="M43" i="6"/>
  <c r="N43" i="6"/>
  <c r="P43" i="6" s="1"/>
  <c r="F44" i="6"/>
  <c r="H44" i="6" s="1"/>
  <c r="G44" i="6"/>
  <c r="M44" i="6"/>
  <c r="N44" i="6"/>
  <c r="P44" i="6" s="1"/>
  <c r="M45" i="6"/>
  <c r="M46" i="6"/>
  <c r="F47" i="6"/>
  <c r="G47" i="6"/>
  <c r="M47" i="6" s="1"/>
  <c r="H47" i="6"/>
  <c r="K47" i="6"/>
  <c r="N47" i="6"/>
  <c r="F48" i="6"/>
  <c r="G48" i="6"/>
  <c r="H48" i="6"/>
  <c r="K48" i="6"/>
  <c r="M48" i="6"/>
  <c r="N48" i="6"/>
  <c r="P48" i="6" s="1"/>
  <c r="F49" i="6"/>
  <c r="K49" i="6" s="1"/>
  <c r="G49" i="6"/>
  <c r="M49" i="6"/>
  <c r="N49" i="6"/>
  <c r="P49" i="6" s="1"/>
  <c r="F50" i="6"/>
  <c r="H50" i="6" s="1"/>
  <c r="G50" i="6"/>
  <c r="M50" i="6" s="1"/>
  <c r="N50" i="6"/>
  <c r="P50" i="6" s="1"/>
  <c r="A52" i="6"/>
  <c r="N59" i="6"/>
  <c r="F60" i="6"/>
  <c r="H60" i="6" s="1"/>
  <c r="N60" i="6"/>
  <c r="N61" i="6"/>
  <c r="F62" i="6"/>
  <c r="H62" i="6" s="1"/>
  <c r="G62" i="6"/>
  <c r="N62" i="6"/>
  <c r="F63" i="6"/>
  <c r="F59" i="6" s="1"/>
  <c r="G63" i="6"/>
  <c r="G59" i="6" s="1"/>
  <c r="H63" i="6"/>
  <c r="J63" i="6"/>
  <c r="L63" i="6"/>
  <c r="N65" i="6"/>
  <c r="N69" i="6" s="1"/>
  <c r="P69" i="6" s="1"/>
  <c r="N66" i="6"/>
  <c r="N67" i="6"/>
  <c r="N68" i="6"/>
  <c r="F69" i="6"/>
  <c r="F66" i="6" s="1"/>
  <c r="G69" i="6"/>
  <c r="G65" i="6" s="1"/>
  <c r="J69" i="6"/>
  <c r="L69" i="6"/>
  <c r="N71" i="6"/>
  <c r="F72" i="6"/>
  <c r="H72" i="6" s="1"/>
  <c r="G72" i="6"/>
  <c r="N72" i="6"/>
  <c r="N73" i="6"/>
  <c r="F74" i="6"/>
  <c r="H74" i="6" s="1"/>
  <c r="G74" i="6"/>
  <c r="N74" i="6"/>
  <c r="F75" i="6"/>
  <c r="F71" i="6" s="1"/>
  <c r="G75" i="6"/>
  <c r="G71" i="6" s="1"/>
  <c r="H75" i="6"/>
  <c r="A77" i="6"/>
  <c r="L77" i="6"/>
  <c r="K6" i="2"/>
  <c r="L18" i="2"/>
  <c r="H12" i="2"/>
  <c r="H13" i="2"/>
  <c r="H14" i="2"/>
  <c r="H15" i="2"/>
  <c r="H18" i="2"/>
  <c r="H19" i="2"/>
  <c r="H20" i="2"/>
  <c r="H21" i="2"/>
  <c r="H6" i="2"/>
  <c r="H8" i="2"/>
  <c r="H9" i="2"/>
  <c r="H7" i="2"/>
  <c r="A82" i="2"/>
  <c r="A88" i="2" s="1"/>
  <c r="G79" i="2"/>
  <c r="F79" i="2"/>
  <c r="L78" i="2"/>
  <c r="J78" i="2"/>
  <c r="J79" i="2" s="1"/>
  <c r="H78" i="2"/>
  <c r="L77" i="2"/>
  <c r="J77" i="2"/>
  <c r="H77" i="2"/>
  <c r="L76" i="2"/>
  <c r="J76" i="2"/>
  <c r="H76" i="2"/>
  <c r="G73" i="2"/>
  <c r="G88" i="2" s="1"/>
  <c r="I88" i="2" s="1"/>
  <c r="F73" i="2"/>
  <c r="L72" i="2"/>
  <c r="J72" i="2"/>
  <c r="H72" i="2"/>
  <c r="L71" i="2"/>
  <c r="J71" i="2"/>
  <c r="H71" i="2"/>
  <c r="L70" i="2"/>
  <c r="L73" i="2" s="1"/>
  <c r="J70" i="2"/>
  <c r="H70" i="2"/>
  <c r="G67" i="2"/>
  <c r="F67" i="2"/>
  <c r="H67" i="2" s="1"/>
  <c r="L66" i="2"/>
  <c r="J66" i="2"/>
  <c r="H66" i="2"/>
  <c r="L65" i="2"/>
  <c r="L67" i="2" s="1"/>
  <c r="J65" i="2"/>
  <c r="H65" i="2"/>
  <c r="L64" i="2"/>
  <c r="J64" i="2"/>
  <c r="J67" i="2" s="1"/>
  <c r="N67" i="2" s="1"/>
  <c r="H64" i="2"/>
  <c r="A56" i="2"/>
  <c r="L53" i="2"/>
  <c r="J53" i="2"/>
  <c r="N53" i="2" s="1"/>
  <c r="P53" i="2" s="1"/>
  <c r="H53" i="2"/>
  <c r="L52" i="2"/>
  <c r="J52" i="2"/>
  <c r="H52" i="2"/>
  <c r="L51" i="2"/>
  <c r="J51" i="2"/>
  <c r="H51" i="2"/>
  <c r="L50" i="2"/>
  <c r="N50" i="2" s="1"/>
  <c r="J50" i="2"/>
  <c r="H50" i="2"/>
  <c r="L47" i="2"/>
  <c r="J47" i="2"/>
  <c r="N47" i="2" s="1"/>
  <c r="P47" i="2" s="1"/>
  <c r="H47" i="2"/>
  <c r="L46" i="2"/>
  <c r="J46" i="2"/>
  <c r="H46" i="2"/>
  <c r="L45" i="2"/>
  <c r="J45" i="2"/>
  <c r="H45" i="2"/>
  <c r="L44" i="2"/>
  <c r="N44" i="2" s="1"/>
  <c r="J44" i="2"/>
  <c r="H44" i="2"/>
  <c r="L41" i="2"/>
  <c r="J41" i="2"/>
  <c r="N41" i="2" s="1"/>
  <c r="P41" i="2" s="1"/>
  <c r="H41" i="2"/>
  <c r="L40" i="2"/>
  <c r="J40" i="2"/>
  <c r="H40" i="2"/>
  <c r="L39" i="2"/>
  <c r="J39" i="2"/>
  <c r="N39" i="2" s="1"/>
  <c r="P39" i="2" s="1"/>
  <c r="H39" i="2"/>
  <c r="L38" i="2"/>
  <c r="N38" i="2" s="1"/>
  <c r="J38" i="2"/>
  <c r="H38" i="2"/>
  <c r="L35" i="2"/>
  <c r="J35" i="2"/>
  <c r="N35" i="2" s="1"/>
  <c r="P35" i="2" s="1"/>
  <c r="H35" i="2"/>
  <c r="L34" i="2"/>
  <c r="J34" i="2"/>
  <c r="H34" i="2"/>
  <c r="L33" i="2"/>
  <c r="J33" i="2"/>
  <c r="N33" i="2" s="1"/>
  <c r="P33" i="2" s="1"/>
  <c r="H33" i="2"/>
  <c r="L32" i="2"/>
  <c r="N32" i="2" s="1"/>
  <c r="J32" i="2"/>
  <c r="H32" i="2"/>
  <c r="A24" i="2"/>
  <c r="L21" i="2"/>
  <c r="N21" i="2" s="1"/>
  <c r="P21" i="2" s="1"/>
  <c r="L20" i="2"/>
  <c r="N20" i="2"/>
  <c r="P20" i="2" s="1"/>
  <c r="L19" i="2"/>
  <c r="N19" i="2" s="1"/>
  <c r="N18" i="2"/>
  <c r="L15" i="2"/>
  <c r="J15" i="2"/>
  <c r="L14" i="2"/>
  <c r="J14" i="2"/>
  <c r="L13" i="2"/>
  <c r="J13" i="2"/>
  <c r="L12" i="2"/>
  <c r="J12" i="2"/>
  <c r="N12" i="2" s="1"/>
  <c r="L9" i="2"/>
  <c r="J9" i="2"/>
  <c r="L8" i="2"/>
  <c r="J8" i="2"/>
  <c r="L7" i="2"/>
  <c r="J7" i="2"/>
  <c r="L6" i="2"/>
  <c r="H61" i="1"/>
  <c r="H62" i="1"/>
  <c r="H63" i="1"/>
  <c r="H73" i="1"/>
  <c r="H74" i="1"/>
  <c r="H75" i="1"/>
  <c r="H67" i="1"/>
  <c r="H68" i="1"/>
  <c r="H69" i="1"/>
  <c r="J61" i="1"/>
  <c r="J67" i="1"/>
  <c r="J73" i="1"/>
  <c r="K74" i="1"/>
  <c r="K75" i="1"/>
  <c r="K73" i="1"/>
  <c r="K68" i="1"/>
  <c r="K69" i="1"/>
  <c r="K67" i="1"/>
  <c r="K62" i="1"/>
  <c r="K63" i="1"/>
  <c r="K61" i="1"/>
  <c r="K70" i="1"/>
  <c r="F76" i="1"/>
  <c r="G76" i="1"/>
  <c r="G70" i="1"/>
  <c r="F70" i="1"/>
  <c r="G64" i="1"/>
  <c r="F64" i="1"/>
  <c r="K76" i="1"/>
  <c r="K64" i="1"/>
  <c r="J74" i="1"/>
  <c r="J75" i="1"/>
  <c r="J68" i="1"/>
  <c r="J69" i="1"/>
  <c r="J62" i="1"/>
  <c r="J63" i="1"/>
  <c r="J64" i="1"/>
  <c r="F85" i="1"/>
  <c r="G85" i="1"/>
  <c r="J76" i="1"/>
  <c r="J70" i="1"/>
  <c r="H64" i="1"/>
  <c r="J31" i="1"/>
  <c r="H70" i="1"/>
  <c r="H76" i="1"/>
  <c r="K6" i="1"/>
  <c r="K7" i="1"/>
  <c r="K8" i="1"/>
  <c r="K11" i="1"/>
  <c r="K12" i="1"/>
  <c r="K13" i="1"/>
  <c r="K14" i="1"/>
  <c r="K17" i="1"/>
  <c r="K18" i="1"/>
  <c r="K19" i="1"/>
  <c r="K20" i="1"/>
  <c r="L20" i="1"/>
  <c r="N20" i="1"/>
  <c r="J6" i="1"/>
  <c r="J7" i="1"/>
  <c r="J8" i="1"/>
  <c r="J11" i="1"/>
  <c r="J12" i="1"/>
  <c r="J13" i="1"/>
  <c r="J14" i="1"/>
  <c r="K5" i="1"/>
  <c r="J5" i="1"/>
  <c r="H5" i="1"/>
  <c r="H6" i="1"/>
  <c r="H7" i="1"/>
  <c r="H8" i="1"/>
  <c r="H11" i="1"/>
  <c r="H12" i="1"/>
  <c r="H13" i="1"/>
  <c r="H14" i="1"/>
  <c r="H17" i="1"/>
  <c r="H18" i="1"/>
  <c r="H19" i="1"/>
  <c r="H20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K49" i="1"/>
  <c r="K50" i="1"/>
  <c r="K51" i="1"/>
  <c r="J49" i="1"/>
  <c r="J50" i="1"/>
  <c r="J51" i="1"/>
  <c r="K48" i="1"/>
  <c r="J48" i="1"/>
  <c r="K43" i="1"/>
  <c r="K44" i="1"/>
  <c r="K45" i="1"/>
  <c r="J43" i="1"/>
  <c r="J44" i="1"/>
  <c r="J45" i="1"/>
  <c r="K42" i="1"/>
  <c r="J42" i="1"/>
  <c r="K37" i="1"/>
  <c r="K38" i="1"/>
  <c r="K39" i="1"/>
  <c r="J37" i="1"/>
  <c r="J38" i="1"/>
  <c r="J39" i="1"/>
  <c r="K36" i="1"/>
  <c r="J36" i="1"/>
  <c r="K31" i="1"/>
  <c r="K32" i="1"/>
  <c r="K33" i="1"/>
  <c r="J32" i="1"/>
  <c r="J33" i="1"/>
  <c r="K30" i="1"/>
  <c r="J30" i="1"/>
  <c r="A79" i="1"/>
  <c r="A54" i="1"/>
  <c r="A23" i="1"/>
  <c r="G88" i="1"/>
  <c r="G91" i="1"/>
  <c r="F88" i="1"/>
  <c r="F91" i="1"/>
  <c r="L31" i="1"/>
  <c r="N31" i="1"/>
  <c r="L51" i="1"/>
  <c r="N51" i="1"/>
  <c r="L48" i="1"/>
  <c r="N48" i="1"/>
  <c r="L45" i="1"/>
  <c r="N45" i="1"/>
  <c r="L43" i="1"/>
  <c r="N43" i="1"/>
  <c r="L42" i="1"/>
  <c r="N42" i="1"/>
  <c r="L39" i="1"/>
  <c r="N39" i="1"/>
  <c r="L37" i="1"/>
  <c r="N37" i="1"/>
  <c r="L36" i="1"/>
  <c r="N36" i="1"/>
  <c r="L38" i="1"/>
  <c r="N38" i="1"/>
  <c r="L44" i="1"/>
  <c r="N44" i="1"/>
  <c r="L50" i="1"/>
  <c r="N50" i="1"/>
  <c r="L49" i="1"/>
  <c r="N49" i="1"/>
  <c r="L12" i="1"/>
  <c r="N12" i="1"/>
  <c r="L6" i="1"/>
  <c r="N6" i="1"/>
  <c r="L30" i="1"/>
  <c r="N30" i="1"/>
  <c r="L5" i="1"/>
  <c r="N5" i="1"/>
  <c r="L32" i="1"/>
  <c r="N32" i="1"/>
  <c r="L18" i="1"/>
  <c r="N18" i="1"/>
  <c r="L19" i="1"/>
  <c r="N19" i="1"/>
  <c r="L17" i="1"/>
  <c r="L14" i="1"/>
  <c r="N14" i="1"/>
  <c r="L11" i="1"/>
  <c r="L13" i="1"/>
  <c r="N13" i="1"/>
  <c r="L7" i="1"/>
  <c r="N7" i="1"/>
  <c r="L8" i="1"/>
  <c r="N8" i="1"/>
  <c r="L76" i="1"/>
  <c r="N76" i="1"/>
  <c r="L70" i="1"/>
  <c r="N70" i="1"/>
  <c r="L64" i="1"/>
  <c r="N64" i="1"/>
  <c r="N17" i="1"/>
  <c r="L23" i="1"/>
  <c r="N23" i="1"/>
  <c r="J23" i="1"/>
  <c r="N11" i="1"/>
  <c r="K23" i="1"/>
  <c r="N79" i="1"/>
  <c r="A85" i="1"/>
  <c r="L33" i="1"/>
  <c r="I85" i="1"/>
  <c r="H85" i="1"/>
  <c r="I54" i="1"/>
  <c r="N33" i="1"/>
  <c r="L54" i="1"/>
  <c r="K54" i="1"/>
  <c r="J54" i="1"/>
  <c r="N54" i="1"/>
  <c r="A88" i="1"/>
  <c r="A91" i="1"/>
  <c r="N51" i="2"/>
  <c r="P51" i="2"/>
  <c r="N34" i="2"/>
  <c r="P34" i="2" s="1"/>
  <c r="N46" i="2"/>
  <c r="P46" i="2" s="1"/>
  <c r="N40" i="2"/>
  <c r="P40" i="2" s="1"/>
  <c r="J73" i="2"/>
  <c r="L79" i="2"/>
  <c r="N9" i="2"/>
  <c r="N15" i="2"/>
  <c r="P15" i="2" s="1"/>
  <c r="N45" i="2"/>
  <c r="P45" i="2"/>
  <c r="N52" i="2"/>
  <c r="P52" i="2"/>
  <c r="P18" i="2"/>
  <c r="H79" i="2"/>
  <c r="P9" i="2"/>
  <c r="H8" i="6" l="1"/>
  <c r="H5" i="6"/>
  <c r="H6" i="6"/>
  <c r="H14" i="6"/>
  <c r="H11" i="6"/>
  <c r="K6" i="6"/>
  <c r="K5" i="6"/>
  <c r="L77" i="8"/>
  <c r="P77" i="8" s="1"/>
  <c r="N69" i="8"/>
  <c r="P69" i="8" s="1"/>
  <c r="L77" i="7"/>
  <c r="J77" i="7"/>
  <c r="P77" i="7" s="1"/>
  <c r="K63" i="7"/>
  <c r="P31" i="7"/>
  <c r="I52" i="7"/>
  <c r="P11" i="7"/>
  <c r="P23" i="7"/>
  <c r="B34" i="8"/>
  <c r="B4" i="8"/>
  <c r="B40" i="8"/>
  <c r="B28" i="8"/>
  <c r="B16" i="8"/>
  <c r="B70" i="8"/>
  <c r="B58" i="8"/>
  <c r="B46" i="8"/>
  <c r="B64" i="8"/>
  <c r="B10" i="8"/>
  <c r="L52" i="8"/>
  <c r="N52" i="8" s="1"/>
  <c r="H6" i="8"/>
  <c r="P17" i="8"/>
  <c r="L23" i="8"/>
  <c r="H29" i="8"/>
  <c r="H43" i="8"/>
  <c r="H48" i="8"/>
  <c r="M62" i="8"/>
  <c r="M72" i="8"/>
  <c r="M74" i="8"/>
  <c r="H5" i="8"/>
  <c r="P5" i="8"/>
  <c r="H12" i="8"/>
  <c r="H32" i="8"/>
  <c r="P35" i="8"/>
  <c r="H42" i="8"/>
  <c r="H47" i="8"/>
  <c r="G60" i="8"/>
  <c r="H60" i="8" s="1"/>
  <c r="G62" i="8"/>
  <c r="H62" i="8" s="1"/>
  <c r="N63" i="8"/>
  <c r="P63" i="8" s="1"/>
  <c r="K66" i="8"/>
  <c r="K68" i="8"/>
  <c r="G72" i="8"/>
  <c r="H72" i="8" s="1"/>
  <c r="G74" i="8"/>
  <c r="H74" i="8" s="1"/>
  <c r="N75" i="8"/>
  <c r="P75" i="8" s="1"/>
  <c r="F82" i="8"/>
  <c r="H82" i="8" s="1"/>
  <c r="H13" i="8"/>
  <c r="H36" i="8"/>
  <c r="M60" i="8"/>
  <c r="H63" i="8"/>
  <c r="H75" i="8"/>
  <c r="P41" i="8"/>
  <c r="M59" i="8"/>
  <c r="F66" i="8"/>
  <c r="H66" i="8" s="1"/>
  <c r="M66" i="8"/>
  <c r="F68" i="8"/>
  <c r="H68" i="8" s="1"/>
  <c r="M71" i="8"/>
  <c r="L52" i="7"/>
  <c r="N52" i="7" s="1"/>
  <c r="H6" i="7"/>
  <c r="H13" i="7"/>
  <c r="P17" i="7"/>
  <c r="H29" i="7"/>
  <c r="H43" i="7"/>
  <c r="H48" i="7"/>
  <c r="F60" i="7"/>
  <c r="H60" i="7" s="1"/>
  <c r="M60" i="7"/>
  <c r="F62" i="7"/>
  <c r="M62" i="7"/>
  <c r="H63" i="7"/>
  <c r="F72" i="7"/>
  <c r="M72" i="7"/>
  <c r="F74" i="7"/>
  <c r="M74" i="7"/>
  <c r="H75" i="7"/>
  <c r="A82" i="7"/>
  <c r="H5" i="7"/>
  <c r="P5" i="7"/>
  <c r="H12" i="7"/>
  <c r="H32" i="7"/>
  <c r="P35" i="7"/>
  <c r="H42" i="7"/>
  <c r="H47" i="7"/>
  <c r="K59" i="7"/>
  <c r="G60" i="7"/>
  <c r="G82" i="7" s="1"/>
  <c r="G62" i="7"/>
  <c r="K71" i="7"/>
  <c r="G72" i="7"/>
  <c r="G74" i="7"/>
  <c r="N75" i="7"/>
  <c r="P75" i="7" s="1"/>
  <c r="J23" i="7"/>
  <c r="M59" i="7"/>
  <c r="M71" i="7"/>
  <c r="N77" i="5"/>
  <c r="N69" i="5"/>
  <c r="P69" i="5" s="1"/>
  <c r="L77" i="5"/>
  <c r="J77" i="5"/>
  <c r="I52" i="5"/>
  <c r="J23" i="5"/>
  <c r="P5" i="5"/>
  <c r="P23" i="5"/>
  <c r="H72" i="5"/>
  <c r="B34" i="5"/>
  <c r="B4" i="5"/>
  <c r="B64" i="5"/>
  <c r="B28" i="5"/>
  <c r="B10" i="5"/>
  <c r="B70" i="5"/>
  <c r="B58" i="5"/>
  <c r="B46" i="5"/>
  <c r="B40" i="5"/>
  <c r="B16" i="5"/>
  <c r="H62" i="5"/>
  <c r="L52" i="5"/>
  <c r="N52" i="5" s="1"/>
  <c r="H6" i="5"/>
  <c r="H13" i="5"/>
  <c r="P17" i="5"/>
  <c r="L23" i="5"/>
  <c r="H29" i="5"/>
  <c r="H36" i="5"/>
  <c r="H43" i="5"/>
  <c r="H48" i="5"/>
  <c r="M60" i="5"/>
  <c r="M62" i="5"/>
  <c r="H63" i="5"/>
  <c r="M67" i="5"/>
  <c r="M72" i="5"/>
  <c r="M74" i="5"/>
  <c r="H75" i="5"/>
  <c r="H5" i="5"/>
  <c r="H12" i="5"/>
  <c r="H32" i="5"/>
  <c r="H42" i="5"/>
  <c r="H47" i="5"/>
  <c r="G60" i="5"/>
  <c r="G62" i="5"/>
  <c r="N63" i="5"/>
  <c r="P63" i="5" s="1"/>
  <c r="G72" i="5"/>
  <c r="G74" i="5"/>
  <c r="H74" i="5" s="1"/>
  <c r="N75" i="5"/>
  <c r="P75" i="5" s="1"/>
  <c r="P41" i="5"/>
  <c r="M59" i="5"/>
  <c r="K63" i="5"/>
  <c r="F66" i="5"/>
  <c r="H66" i="5" s="1"/>
  <c r="M66" i="5"/>
  <c r="F68" i="5"/>
  <c r="H68" i="5" s="1"/>
  <c r="M71" i="5"/>
  <c r="J77" i="6"/>
  <c r="N63" i="6"/>
  <c r="P63" i="6" s="1"/>
  <c r="N75" i="6"/>
  <c r="P75" i="6" s="1"/>
  <c r="N77" i="6"/>
  <c r="P77" i="6" s="1"/>
  <c r="L52" i="6"/>
  <c r="P47" i="6"/>
  <c r="J52" i="6"/>
  <c r="N23" i="6"/>
  <c r="J23" i="6"/>
  <c r="H71" i="6"/>
  <c r="H59" i="6"/>
  <c r="B4" i="6"/>
  <c r="B34" i="6"/>
  <c r="B46" i="6"/>
  <c r="B58" i="6"/>
  <c r="B10" i="6"/>
  <c r="B16" i="6"/>
  <c r="B28" i="6"/>
  <c r="B40" i="6"/>
  <c r="B64" i="6"/>
  <c r="B70" i="6"/>
  <c r="K7" i="6"/>
  <c r="G67" i="6"/>
  <c r="F67" i="6"/>
  <c r="F65" i="6"/>
  <c r="K44" i="6"/>
  <c r="L23" i="6"/>
  <c r="G73" i="6"/>
  <c r="G68" i="6"/>
  <c r="G66" i="6"/>
  <c r="G61" i="6"/>
  <c r="K50" i="6"/>
  <c r="H49" i="6"/>
  <c r="K41" i="6"/>
  <c r="K31" i="6"/>
  <c r="P30" i="6"/>
  <c r="H30" i="6"/>
  <c r="K11" i="6"/>
  <c r="K8" i="6"/>
  <c r="M5" i="6"/>
  <c r="I52" i="6"/>
  <c r="F73" i="6"/>
  <c r="H69" i="6"/>
  <c r="F68" i="6"/>
  <c r="F61" i="6"/>
  <c r="K52" i="6"/>
  <c r="P23" i="6"/>
  <c r="P12" i="2"/>
  <c r="N6" i="2"/>
  <c r="J24" i="2" s="1"/>
  <c r="N8" i="2"/>
  <c r="P8" i="2" s="1"/>
  <c r="N14" i="2"/>
  <c r="P14" i="2" s="1"/>
  <c r="N7" i="2"/>
  <c r="P7" i="2" s="1"/>
  <c r="N13" i="2"/>
  <c r="P13" i="2" s="1"/>
  <c r="P38" i="2"/>
  <c r="J56" i="2"/>
  <c r="L56" i="2"/>
  <c r="P44" i="2"/>
  <c r="N56" i="2"/>
  <c r="P50" i="2"/>
  <c r="P67" i="2"/>
  <c r="F91" i="2"/>
  <c r="N79" i="2"/>
  <c r="P79" i="2" s="1"/>
  <c r="B5" i="2"/>
  <c r="B63" i="2"/>
  <c r="B17" i="2"/>
  <c r="B37" i="2"/>
  <c r="B49" i="2"/>
  <c r="B69" i="2"/>
  <c r="B43" i="2"/>
  <c r="B75" i="2"/>
  <c r="B31" i="2"/>
  <c r="B11" i="2"/>
  <c r="P6" i="2"/>
  <c r="P19" i="2"/>
  <c r="N24" i="2"/>
  <c r="I56" i="2"/>
  <c r="P32" i="2"/>
  <c r="G91" i="2"/>
  <c r="G94" i="2" s="1"/>
  <c r="N73" i="2"/>
  <c r="P73" i="2" s="1"/>
  <c r="H73" i="2"/>
  <c r="F88" i="2"/>
  <c r="H88" i="2" s="1"/>
  <c r="A85" i="8" l="1"/>
  <c r="A88" i="8" s="1"/>
  <c r="A85" i="7"/>
  <c r="A88" i="7" s="1"/>
  <c r="F88" i="8"/>
  <c r="G82" i="8"/>
  <c r="I82" i="7"/>
  <c r="G88" i="7"/>
  <c r="H74" i="7"/>
  <c r="B34" i="7"/>
  <c r="B4" i="7"/>
  <c r="B40" i="7"/>
  <c r="B10" i="7"/>
  <c r="B70" i="7"/>
  <c r="B58" i="7"/>
  <c r="B46" i="7"/>
  <c r="B28" i="7"/>
  <c r="B64" i="7"/>
  <c r="B16" i="7"/>
  <c r="H62" i="7"/>
  <c r="F82" i="7"/>
  <c r="H72" i="7"/>
  <c r="P77" i="5"/>
  <c r="A85" i="5"/>
  <c r="A88" i="5" s="1"/>
  <c r="I82" i="5"/>
  <c r="G88" i="5"/>
  <c r="F82" i="5"/>
  <c r="H60" i="5"/>
  <c r="A85" i="6"/>
  <c r="A88" i="6" s="1"/>
  <c r="H73" i="6"/>
  <c r="G82" i="6"/>
  <c r="H68" i="6"/>
  <c r="N52" i="6"/>
  <c r="H65" i="6"/>
  <c r="H61" i="6"/>
  <c r="H67" i="6"/>
  <c r="H66" i="6"/>
  <c r="F82" i="6"/>
  <c r="H82" i="6" s="1"/>
  <c r="P24" i="2"/>
  <c r="L24" i="2"/>
  <c r="B82" i="2"/>
  <c r="P82" i="2"/>
  <c r="A91" i="2"/>
  <c r="A94" i="2" s="1"/>
  <c r="P56" i="2"/>
  <c r="F94" i="2"/>
  <c r="I82" i="8" l="1"/>
  <c r="G88" i="8"/>
  <c r="H82" i="7"/>
  <c r="F88" i="7"/>
  <c r="H82" i="5"/>
  <c r="F88" i="6"/>
  <c r="G88" i="6"/>
  <c r="I82" i="6"/>
</calcChain>
</file>

<file path=xl/sharedStrings.xml><?xml version="1.0" encoding="utf-8"?>
<sst xmlns="http://schemas.openxmlformats.org/spreadsheetml/2006/main" count="1312" uniqueCount="316">
  <si>
    <t>Points</t>
  </si>
  <si>
    <t>Participation</t>
  </si>
  <si>
    <t>Mastery</t>
  </si>
  <si>
    <t>Effort</t>
  </si>
  <si>
    <t>% grade</t>
  </si>
  <si>
    <t xml:space="preserve">Written Assignments </t>
  </si>
  <si>
    <t xml:space="preserve">Points </t>
  </si>
  <si>
    <t xml:space="preserve">Effort </t>
  </si>
  <si>
    <t>% Grade</t>
  </si>
  <si>
    <t>Reading Reactions</t>
  </si>
  <si>
    <t xml:space="preserve">Paragraphs practice </t>
  </si>
  <si>
    <t>L.C Reflection</t>
  </si>
  <si>
    <t xml:space="preserve">RM practice </t>
  </si>
  <si>
    <t>Student Mas</t>
  </si>
  <si>
    <t>Student Eff</t>
  </si>
  <si>
    <t xml:space="preserve">Mastery </t>
  </si>
  <si>
    <t>Student Grade</t>
  </si>
  <si>
    <t>Overall Student Growth</t>
  </si>
  <si>
    <t xml:space="preserve">Peer Review </t>
  </si>
  <si>
    <t>Online Discussion</t>
  </si>
  <si>
    <t>In-Class</t>
  </si>
  <si>
    <t xml:space="preserve">Total Points </t>
  </si>
  <si>
    <t xml:space="preserve">Total points </t>
  </si>
  <si>
    <t>Essays</t>
  </si>
  <si>
    <t xml:space="preserve">Essay 1 </t>
  </si>
  <si>
    <t xml:space="preserve">Narrative </t>
  </si>
  <si>
    <t>Essay 2</t>
  </si>
  <si>
    <t xml:space="preserve">Summary </t>
  </si>
  <si>
    <t>Essay 3</t>
  </si>
  <si>
    <t xml:space="preserve">Position Paper </t>
  </si>
  <si>
    <t>Total Points</t>
  </si>
  <si>
    <t>Total Grade %</t>
  </si>
  <si>
    <t>X</t>
  </si>
  <si>
    <t>Total Points in Class</t>
  </si>
  <si>
    <t>Total Points Student earned</t>
  </si>
  <si>
    <t>Final Grade</t>
  </si>
  <si>
    <t>Date/Topic</t>
  </si>
  <si>
    <t>Online Grade</t>
  </si>
  <si>
    <t>Peer Grade</t>
  </si>
  <si>
    <t>In-Class Grade</t>
  </si>
  <si>
    <t>Reading Grade</t>
  </si>
  <si>
    <t>Paragr Grade</t>
  </si>
  <si>
    <t>Reflection</t>
  </si>
  <si>
    <t>RM Grade</t>
  </si>
  <si>
    <t>Total Grade</t>
  </si>
  <si>
    <t>Brainstorm</t>
  </si>
  <si>
    <t>Draft 1</t>
  </si>
  <si>
    <t>Final Draft</t>
  </si>
  <si>
    <t xml:space="preserve">Final Draft </t>
  </si>
  <si>
    <t>Overall Grade</t>
  </si>
  <si>
    <t xml:space="preserve">Total Mastery </t>
  </si>
  <si>
    <t xml:space="preserve">Total Effort </t>
  </si>
  <si>
    <t>Student Earned</t>
  </si>
  <si>
    <t xml:space="preserve">Percent Mastery </t>
  </si>
  <si>
    <t xml:space="preserve">Percent Effort </t>
  </si>
  <si>
    <t>Mastery %</t>
  </si>
  <si>
    <t>Effort %</t>
  </si>
  <si>
    <t>Microsoft Excel 16.0 Answer Report</t>
  </si>
  <si>
    <t>Worksheet: [English Class in progress(AutoRecovered).xlsx]Sheet1</t>
  </si>
  <si>
    <t>Report Created: 4/25/2023 3:25:44 PM</t>
  </si>
  <si>
    <t>Result: Solver found a solution.  All Constraints and optimality conditions are satisfied.</t>
  </si>
  <si>
    <t>Solver Engine</t>
  </si>
  <si>
    <t>Engine: GRG Nonlinear</t>
  </si>
  <si>
    <t>Solution Time: 2.235 Seconds.</t>
  </si>
  <si>
    <t>Iterations: 3 Subproblems: 8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</si>
  <si>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</si>
  <si>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</si>
  <si>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</si>
  <si>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</si>
  <si>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</si>
  <si>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</si>
  <si>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</si>
  <si>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</si>
  <si>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</si>
  <si>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</si>
  <si>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</si>
  <si>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</si>
  <si>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</si>
  <si>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</si>
  <si>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</si>
  <si>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</si>
  <si>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$A$88</t>
  </si>
  <si>
    <t>$F$5</t>
  </si>
  <si>
    <t>Date/Topic Mastery</t>
  </si>
  <si>
    <t>Contin</t>
  </si>
  <si>
    <t>$G$5</t>
  </si>
  <si>
    <t>Date/Topic Effort</t>
  </si>
  <si>
    <t>$F$6</t>
  </si>
  <si>
    <t>$G$6</t>
  </si>
  <si>
    <t>$F$7</t>
  </si>
  <si>
    <t>$G$7</t>
  </si>
  <si>
    <t>$F$8</t>
  </si>
  <si>
    <t>$G$8</t>
  </si>
  <si>
    <t>$F$11</t>
  </si>
  <si>
    <t>$G$11</t>
  </si>
  <si>
    <t>$F$12</t>
  </si>
  <si>
    <t>$G$12</t>
  </si>
  <si>
    <t>$F$13</t>
  </si>
  <si>
    <t>$G$13</t>
  </si>
  <si>
    <t>$F$14</t>
  </si>
  <si>
    <t>$G$14</t>
  </si>
  <si>
    <t>$F$17</t>
  </si>
  <si>
    <t>$G$17</t>
  </si>
  <si>
    <t>$F$18</t>
  </si>
  <si>
    <t>$G$18</t>
  </si>
  <si>
    <t>$F$19</t>
  </si>
  <si>
    <t>$G$19</t>
  </si>
  <si>
    <t>$F$20</t>
  </si>
  <si>
    <t>$G$20</t>
  </si>
  <si>
    <t>$F$30</t>
  </si>
  <si>
    <t>$G$30</t>
  </si>
  <si>
    <t xml:space="preserve">Date/Topic Effort </t>
  </si>
  <si>
    <t>$F$31</t>
  </si>
  <si>
    <t>$G$31</t>
  </si>
  <si>
    <t>$F$32</t>
  </si>
  <si>
    <t>$G$32</t>
  </si>
  <si>
    <t>$F$33</t>
  </si>
  <si>
    <t>$G$33</t>
  </si>
  <si>
    <t>$F$36</t>
  </si>
  <si>
    <t>$G$36</t>
  </si>
  <si>
    <t>$F$37</t>
  </si>
  <si>
    <t>$G$37</t>
  </si>
  <si>
    <t>$F$38</t>
  </si>
  <si>
    <t>$G$38</t>
  </si>
  <si>
    <t>$F$39</t>
  </si>
  <si>
    <t>$G$39</t>
  </si>
  <si>
    <t>$F$42</t>
  </si>
  <si>
    <t>$G$42</t>
  </si>
  <si>
    <t>$F$43</t>
  </si>
  <si>
    <t>$G$43</t>
  </si>
  <si>
    <t>$F$44</t>
  </si>
  <si>
    <t>$G$44</t>
  </si>
  <si>
    <t>$F$45</t>
  </si>
  <si>
    <t>$G$45</t>
  </si>
  <si>
    <t>$F$48</t>
  </si>
  <si>
    <t>$G$48</t>
  </si>
  <si>
    <t>$F$49</t>
  </si>
  <si>
    <t>$G$49</t>
  </si>
  <si>
    <t>$F$50</t>
  </si>
  <si>
    <t>$G$50</t>
  </si>
  <si>
    <t>$F$51</t>
  </si>
  <si>
    <t>$G$51</t>
  </si>
  <si>
    <t>$F$61</t>
  </si>
  <si>
    <t>Brainstorm Mastery</t>
  </si>
  <si>
    <t>$G$61</t>
  </si>
  <si>
    <t xml:space="preserve">Brainstorm Effort </t>
  </si>
  <si>
    <t>$F$62</t>
  </si>
  <si>
    <t>Draft 1 Mastery</t>
  </si>
  <si>
    <t>$G$62</t>
  </si>
  <si>
    <t xml:space="preserve">Draft 1 Effort </t>
  </si>
  <si>
    <t>$F$63</t>
  </si>
  <si>
    <t>Final Draft Mastery</t>
  </si>
  <si>
    <t>$G$63</t>
  </si>
  <si>
    <t xml:space="preserve">Final Draft Effort </t>
  </si>
  <si>
    <t>$F$67</t>
  </si>
  <si>
    <t>$G$67</t>
  </si>
  <si>
    <t>$F$68</t>
  </si>
  <si>
    <t>$G$68</t>
  </si>
  <si>
    <t>$F$69</t>
  </si>
  <si>
    <t>Final Draft  Mastery</t>
  </si>
  <si>
    <t>$G$69</t>
  </si>
  <si>
    <t xml:space="preserve">Final Draft  Effort </t>
  </si>
  <si>
    <t>$F$73</t>
  </si>
  <si>
    <t>$G$73</t>
  </si>
  <si>
    <t>$F$74</t>
  </si>
  <si>
    <t>$G$74</t>
  </si>
  <si>
    <t>$F$75</t>
  </si>
  <si>
    <t>$G$75</t>
  </si>
  <si>
    <t>$A$11</t>
  </si>
  <si>
    <t>$A$11=$H$11</t>
  </si>
  <si>
    <t>Binding</t>
  </si>
  <si>
    <t>$A$12</t>
  </si>
  <si>
    <t>$A$12=$H$12</t>
  </si>
  <si>
    <t>$A$13</t>
  </si>
  <si>
    <t>$A$13=$H$13</t>
  </si>
  <si>
    <t>$A$14</t>
  </si>
  <si>
    <t>$A$14=$H$14</t>
  </si>
  <si>
    <t>$A$17</t>
  </si>
  <si>
    <t>$A$17=$H$17</t>
  </si>
  <si>
    <t>$A$18</t>
  </si>
  <si>
    <t>$A$18=$H$18</t>
  </si>
  <si>
    <t>$A$19</t>
  </si>
  <si>
    <t>$A$19=$H$19</t>
  </si>
  <si>
    <t>$A$20</t>
  </si>
  <si>
    <t>$A$20=$H$20</t>
  </si>
  <si>
    <t>$A$30</t>
  </si>
  <si>
    <t>$A$30=$H$30</t>
  </si>
  <si>
    <t>$A$31</t>
  </si>
  <si>
    <t>$A$31=$H$31</t>
  </si>
  <si>
    <t>$A$32</t>
  </si>
  <si>
    <t>$A$32=$H$32</t>
  </si>
  <si>
    <t>$A$33</t>
  </si>
  <si>
    <t>$A$33=$H$33</t>
  </si>
  <si>
    <t>$A$36</t>
  </si>
  <si>
    <t>$A$36=$H$36</t>
  </si>
  <si>
    <t>$A$37</t>
  </si>
  <si>
    <t>$A$37=$H$37</t>
  </si>
  <si>
    <t>$A$38</t>
  </si>
  <si>
    <t>$A$38=$H$38</t>
  </si>
  <si>
    <t>$A$39</t>
  </si>
  <si>
    <t>$A$39=$H$39</t>
  </si>
  <si>
    <t>$A$42</t>
  </si>
  <si>
    <t>$A$42=$H$42</t>
  </si>
  <si>
    <t>$A$43</t>
  </si>
  <si>
    <t>$A$43=$H$43</t>
  </si>
  <si>
    <t>$A$44</t>
  </si>
  <si>
    <t>$A$44=$H$44</t>
  </si>
  <si>
    <t>$A$45</t>
  </si>
  <si>
    <t>$A$45=$H$45</t>
  </si>
  <si>
    <t>$A$48</t>
  </si>
  <si>
    <t>$A$48=$H$48</t>
  </si>
  <si>
    <t>$A$49</t>
  </si>
  <si>
    <t>$A$49=$H$49</t>
  </si>
  <si>
    <t>$A$50</t>
  </si>
  <si>
    <t>$A$50=$H$50</t>
  </si>
  <si>
    <t>$A$51</t>
  </si>
  <si>
    <t>$A$51=$H$51</t>
  </si>
  <si>
    <t>$A$5</t>
  </si>
  <si>
    <t>$A$5=$H$5</t>
  </si>
  <si>
    <t>$A$6</t>
  </si>
  <si>
    <t>$A$6=$H$6</t>
  </si>
  <si>
    <t>$A$7</t>
  </si>
  <si>
    <t>$A$7=$H$7</t>
  </si>
  <si>
    <t>$A$8</t>
  </si>
  <si>
    <t>$A$8=$H$8</t>
  </si>
  <si>
    <t>$A$64</t>
  </si>
  <si>
    <t>$A$64=$H$64</t>
  </si>
  <si>
    <t>$A$70</t>
  </si>
  <si>
    <t>$A$70=$H$70</t>
  </si>
  <si>
    <t>$A$76</t>
  </si>
  <si>
    <t>$A$76=$H$76</t>
  </si>
  <si>
    <t>$F$30&gt;=$G$30</t>
  </si>
  <si>
    <t>Not Binding</t>
  </si>
  <si>
    <t>$F$31&gt;=$G$31</t>
  </si>
  <si>
    <t>$F$32&gt;=$G$32</t>
  </si>
  <si>
    <t>$F$33&gt;=$G$33</t>
  </si>
  <si>
    <t>$F$36&gt;=$G$36</t>
  </si>
  <si>
    <t>$F$37&gt;=$G$37</t>
  </si>
  <si>
    <t>$F$38&gt;=$G$38</t>
  </si>
  <si>
    <t>$F$39&gt;=$G$39</t>
  </si>
  <si>
    <t>$F$42&gt;=$G$42</t>
  </si>
  <si>
    <t>$F$43&gt;=$G$43</t>
  </si>
  <si>
    <t>$F$44&gt;=$G$44</t>
  </si>
  <si>
    <t>$F$45&gt;=$G$45</t>
  </si>
  <si>
    <t>$F$48&gt;=$G$48</t>
  </si>
  <si>
    <t>$F$49&gt;=$G$49</t>
  </si>
  <si>
    <t>$F$50&gt;=$G$50</t>
  </si>
  <si>
    <t>$F$51&gt;=$G$51</t>
  </si>
  <si>
    <t>$F$62&lt;=0.9*$G$62</t>
  </si>
  <si>
    <t>$F$63&gt;=1.5*$G$63</t>
  </si>
  <si>
    <t>$F$67&lt;=$G$67</t>
  </si>
  <si>
    <t>$F$67&lt;=0.5*$F$68</t>
  </si>
  <si>
    <t>$F$68&lt;=$F$69</t>
  </si>
  <si>
    <t>$F$68=$G$68</t>
  </si>
  <si>
    <t>$F$69&gt;=$G$69</t>
  </si>
  <si>
    <t>$F$73&lt;=$F$74</t>
  </si>
  <si>
    <t>$F$73&lt;=$G$73</t>
  </si>
  <si>
    <t>$F$74&lt;=$F$75</t>
  </si>
  <si>
    <t>$F$74&gt;=$G$74</t>
  </si>
  <si>
    <t>$F$75&gt;=$G$75</t>
  </si>
  <si>
    <t>$F$85</t>
  </si>
  <si>
    <t>$F$85&gt;=1.5*$G$85</t>
  </si>
  <si>
    <t>$G$61&lt;=$G$62</t>
  </si>
  <si>
    <t>$G$61&gt;=2*$F$61</t>
  </si>
  <si>
    <t>$G$62&lt;=$G$63</t>
  </si>
  <si>
    <t>$G$67&lt;=$G$68</t>
  </si>
  <si>
    <t>$G$68&lt;=$G$69</t>
  </si>
  <si>
    <t>$G$73&lt;=$G$74</t>
  </si>
  <si>
    <t>$G$74&lt;=$G$75</t>
  </si>
  <si>
    <t>$H$62</t>
  </si>
  <si>
    <t>Draft 1 Total Grade</t>
  </si>
  <si>
    <t>$H$62&gt;=3*$H$61</t>
  </si>
  <si>
    <t>$H$63</t>
  </si>
  <si>
    <t>Final Draft Total Grade</t>
  </si>
  <si>
    <t>$H$63&gt;=2*$H$62</t>
  </si>
  <si>
    <t>$F$11&lt;=5</t>
  </si>
  <si>
    <t>$F$12&lt;=5</t>
  </si>
  <si>
    <t>$F$13&lt;=5</t>
  </si>
  <si>
    <t>$F$14&lt;=5</t>
  </si>
  <si>
    <t>$F$11&gt;=1</t>
  </si>
  <si>
    <t>$F$12&gt;=1</t>
  </si>
  <si>
    <t>$F$13&gt;=1</t>
  </si>
  <si>
    <t>$F$14&gt;=1</t>
  </si>
  <si>
    <t>$F$17=0</t>
  </si>
  <si>
    <t>$F$18=0</t>
  </si>
  <si>
    <t>$F$19=0</t>
  </si>
  <si>
    <t>$F$20=0</t>
  </si>
  <si>
    <t>$F$5&lt;=5</t>
  </si>
  <si>
    <t>$F$6&lt;=5</t>
  </si>
  <si>
    <t>$F$7&lt;=5</t>
  </si>
  <si>
    <t>$F$8&lt;=5</t>
  </si>
  <si>
    <t>$F$5&gt;=1</t>
  </si>
  <si>
    <t>$F$6&gt;=1</t>
  </si>
  <si>
    <t>$F$7&gt;=1</t>
  </si>
  <si>
    <t>$F$8&gt;=1</t>
  </si>
  <si>
    <t>$F$61&gt;=1</t>
  </si>
  <si>
    <t>$F$67&gt;=1</t>
  </si>
  <si>
    <t>$F$73&gt;=1</t>
  </si>
  <si>
    <t>$F$11:$G$14=Integer</t>
  </si>
  <si>
    <t>$F$17:$G$20=Integer</t>
  </si>
  <si>
    <t>$F$30:$G$33=Integer</t>
  </si>
  <si>
    <t>$F$36:$G$39=Integer</t>
  </si>
  <si>
    <t>$F$42:$G$45=Integer</t>
  </si>
  <si>
    <t>$F$48:$G$51=Integer</t>
  </si>
  <si>
    <t>$F$5:$G$8=Integer</t>
  </si>
  <si>
    <t>Student Mastery</t>
  </si>
  <si>
    <t>Student Effort</t>
  </si>
  <si>
    <t>Points Per Assignment</t>
  </si>
  <si>
    <t xml:space="preserve">Points Per Assignment </t>
  </si>
  <si>
    <t>Percent of Final Grade</t>
  </si>
  <si>
    <t>Assignments</t>
  </si>
  <si>
    <t>Total %</t>
  </si>
  <si>
    <t>Total Available Points</t>
  </si>
  <si>
    <t>SM Checker</t>
  </si>
  <si>
    <t>SE Checker</t>
  </si>
  <si>
    <t>Essay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</si>
</sst>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Border="1"/>
    <xf numFmtId="9" fontId="0" fillId="0" borderId="0" xfId="1" applyFont="1"/>
    <xf numFmtId="0" fontId="3" fillId="0" borderId="0" xfId="0" applyFont="1"/>
    <xf numFmtId="0" fontId="0" fillId="0" borderId="2" xfId="0" applyFill="1" applyBorder="1" applyAlignment="1"/>
    <xf numFmtId="0" fontId="4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  <xf numFmtId="1" fontId="0" fillId="0" borderId="0" xfId="0" applyNumberFormat="1"/>
    <xf numFmtId="1" fontId="0" fillId="0" borderId="4" xfId="0" applyNumberFormat="1" applyFont="1" applyBorder="1"/>
    <xf numFmtId="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7" xfId="0" applyFill="1" applyBorder="1"/>
    <xf numFmtId="9" fontId="0" fillId="2" borderId="10" xfId="1" applyFont="1" applyFill="1" applyBorder="1"/>
    <xf numFmtId="0" fontId="0" fillId="2" borderId="11" xfId="0" applyFill="1" applyBorder="1"/>
    <xf numFmtId="9" fontId="0" fillId="2" borderId="12" xfId="1" applyFont="1" applyFill="1" applyBorder="1"/>
    <xf numFmtId="1" fontId="0" fillId="2" borderId="0" xfId="0" applyNumberFormat="1" applyFill="1"/>
    <xf numFmtId="9" fontId="0" fillId="2" borderId="0" xfId="1" applyFont="1" applyFill="1"/>
    <xf numFmtId="0" fontId="0" fillId="0" borderId="0" xfId="0" applyFill="1" applyAlignment="1">
      <alignment horizontal="right"/>
    </xf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0" fontId="5" fillId="5" borderId="7" xfId="0" applyFont="1" applyFill="1" applyBorder="1"/>
    <xf numFmtId="9" fontId="5" fillId="5" borderId="10" xfId="1" applyFont="1" applyFill="1" applyBorder="1"/>
    <xf numFmtId="0" fontId="5" fillId="5" borderId="11" xfId="0" applyFont="1" applyFill="1" applyBorder="1"/>
    <xf numFmtId="9" fontId="5" fillId="5" borderId="12" xfId="1" applyFont="1" applyFill="1" applyBorder="1"/>
    <xf numFmtId="0" fontId="0" fillId="4" borderId="0" xfId="0" applyFill="1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 applyBorder="1"/>
    <xf numFmtId="0" fontId="3" fillId="4" borderId="0" xfId="0" applyFont="1" applyFill="1"/>
    <xf numFmtId="9" fontId="3" fillId="0" borderId="0" xfId="0" applyNumberFormat="1" applyFont="1"/>
    <xf numFmtId="9" fontId="3" fillId="0" borderId="0" xfId="1" applyFont="1"/>
    <xf numFmtId="0" fontId="0" fillId="0" borderId="0" xfId="0" applyFill="1"/>
    <xf numFmtId="1" fontId="0" fillId="0" borderId="0" xfId="0" applyNumberFormat="1" applyFill="1"/>
    <xf numFmtId="9" fontId="0" fillId="0" borderId="0" xfId="1" applyFont="1" applyFill="1"/>
    <xf numFmtId="9" fontId="0" fillId="0" borderId="0" xfId="1" applyNumberFormat="1" applyFont="1"/>
    <xf numFmtId="0" fontId="0" fillId="0" borderId="0" xfId="0" applyAlignment="1">
      <alignment horizontal="center"/>
    </xf>
    <xf numFmtId="1" fontId="0" fillId="4" borderId="8" xfId="0" applyNumberFormat="1" applyFill="1" applyBorder="1"/>
    <xf numFmtId="1" fontId="0" fillId="4" borderId="9" xfId="0" applyNumberFormat="1" applyFill="1" applyBorder="1"/>
    <xf numFmtId="0" fontId="0" fillId="4" borderId="0" xfId="0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36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E899D3E-4CE1-49FF-A92F-6F6F9AFCBA04}" name="Table1727" displayName="Table1727" ref="A28:P50" headerRowCount="0" totalsRowShown="0">
  <tableColumns count="16">
    <tableColumn id="1" xr3:uid="{866C7915-FE8D-4289-9B53-00E8329100C7}" name="Column1"/>
    <tableColumn id="2" xr3:uid="{A6CFF7F1-5F62-47F2-92BD-F3CB00B293F2}" name="Column2" dataDxfId="135" dataCellStyle="Percent">
      <calculatedColumnFormula>SUM(A29:A32)/A82</calculatedColumnFormula>
    </tableColumn>
    <tableColumn id="3" xr3:uid="{3F5B5579-045D-4C71-97CC-00E2760CF21A}" name="Column3" headerRowDxfId="134"/>
    <tableColumn id="4" xr3:uid="{95A37A28-E4F8-4524-80F4-DE928FE0C2A6}" name="Column4" headerRowDxfId="133"/>
    <tableColumn id="5" xr3:uid="{39F94427-5BC3-4E97-A5E0-FC5C92801D31}" name="Column5"/>
    <tableColumn id="6" xr3:uid="{089D15CB-F699-4E76-A295-CD7FB67D8E7A}" name="Column6"/>
    <tableColumn id="7" xr3:uid="{0B2B0530-0D2C-4D93-B2A5-7ADFC68F4DD6}" name="Column7"/>
    <tableColumn id="8" xr3:uid="{FA3B2BDF-2619-4915-8D08-97B0473DDE7B}" name="Column8">
      <calculatedColumnFormula>F29+G29</calculatedColumnFormula>
    </tableColumn>
    <tableColumn id="9" xr3:uid="{C55FAC33-4409-4096-96AB-EEDEEC9C9261}" name="Column9"/>
    <tableColumn id="17" xr3:uid="{7A3E05CB-DBA5-4D6A-B464-3FF0B79E084D}" name="Column16"/>
    <tableColumn id="16" xr3:uid="{E9A170CB-6656-4C48-9BAB-F6C6DB0D0934}" name="Column15" dataDxfId="132">
      <calculatedColumnFormula>IF(Table1727[[#This Row],[Column16]] &lt;= 7, " ", "Enter value less than 7")</calculatedColumnFormula>
    </tableColumn>
    <tableColumn id="10" xr3:uid="{E97290E3-25E0-4167-BCA8-E4A4ED77BFCA}" name="Column10" dataDxfId="131">
      <calculatedColumnFormula>0.85*F29</calculatedColumnFormula>
    </tableColumn>
    <tableColumn id="11" xr3:uid="{E88CDFD6-7003-465D-B8EC-C32FDBB98DA7}" name="Column11" dataDxfId="130">
      <calculatedColumnFormula>IF(Table1727[[#This Row],[Column10]] &lt;= 3, " ", "Enter value less than 3")</calculatedColumnFormula>
    </tableColumn>
    <tableColumn id="12" xr3:uid="{81EC72AE-A4C7-4067-B5F6-D1107E6F98F4}" name="Column12" dataDxfId="129">
      <calculatedColumnFormula>L29+M29</calculatedColumnFormula>
    </tableColumn>
    <tableColumn id="13" xr3:uid="{14919A63-B4D8-47FF-B7F4-F00276A54A5C}" name="Column13"/>
    <tableColumn id="14" xr3:uid="{9AA83663-2919-4E75-A43E-90E9D528327C}" name="Column14" dataDxfId="128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B0E8BE-4F02-4B7F-9934-9C6E033B570C}" name="Table28" displayName="Table28" ref="A3:P23" headerRowCount="0" headerRowDxfId="85">
  <tableColumns count="16">
    <tableColumn id="1" xr3:uid="{CF5EF882-4902-4120-A877-609F48EA5189}" name="Column1" totalsRowLabel="Total" headerRowDxfId="84"/>
    <tableColumn id="2" xr3:uid="{0DAB44C5-AD7F-49C9-AD79-490D06CF2227}" name="Column2" headerRowDxfId="83"/>
    <tableColumn id="3" xr3:uid="{20197071-824C-47D8-97D8-F53F580708E7}" name="Column3" headerRowDxfId="82"/>
    <tableColumn id="4" xr3:uid="{BC39F459-2A8F-4701-8FFA-51BEA79BF74C}" name="Column4" headerRowDxfId="81"/>
    <tableColumn id="5" xr3:uid="{6B74F071-35F1-4514-B47A-AE0846C91FCF}" name="Column5" headerRowDxfId="80"/>
    <tableColumn id="6" xr3:uid="{84C8065B-22EE-4A62-84CB-EFAA190AF3A6}" name="Column6" headerRowDxfId="79"/>
    <tableColumn id="7" xr3:uid="{A5A171BE-EA24-49A8-A97A-9E364994E55A}" name="Column7" headerRowDxfId="78"/>
    <tableColumn id="8" xr3:uid="{E65DBD63-9B5C-4C43-B18D-3B705F2C3CF7}" name="Column8" headerRowDxfId="77"/>
    <tableColumn id="9" xr3:uid="{B9E0D806-759F-4F12-9ABD-E40D5C2DD3BF}" name="Column9" headerRowDxfId="76"/>
    <tableColumn id="10" xr3:uid="{F7EB4A44-1E27-47FA-86A5-CEBE5620BE73}" name="Column10" headerRowDxfId="75"/>
    <tableColumn id="16" xr3:uid="{A02A8FA9-5507-4D74-BC52-E5EA93C5E376}" name="Column15" headerRowDxfId="74" dataDxfId="73">
      <calculatedColumnFormula>IF(Table28[[#This Row],[Column6]] &lt;= 10, " ", "Enter value less than 10")</calculatedColumnFormula>
    </tableColumn>
    <tableColumn id="11" xr3:uid="{D0884639-3466-4DAF-98BF-C23A1C9CFF1D}" name="Column11" headerRowDxfId="72"/>
    <tableColumn id="17" xr3:uid="{863A5665-927F-4F41-920D-ED79D7FF3FE3}" name="Column16" headerRowDxfId="71"/>
    <tableColumn id="12" xr3:uid="{2E49F2B6-0FA0-4662-82FD-22A0D79097A1}" name="Column12" headerRowDxfId="70"/>
    <tableColumn id="13" xr3:uid="{C543D12B-79CB-4515-94AB-CAF84311A00E}" name="Column13" headerRowDxfId="69"/>
    <tableColumn id="14" xr3:uid="{90CE0EB2-37D3-44CD-B7D7-5DC9919DBA77}" name="Column14" totalsRowFunction="count" headerRowDxfId="68"/>
  </tableColumns>
  <tableStyleInfo name="TableStyleMedium2" showFirstColumn="0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D17A1BBB-58F3-41D8-8473-29722A013BB2}" name="Table1732" displayName="Table1732" ref="A28:P50" headerRowCount="0" totalsRowShown="0">
  <tableColumns count="16">
    <tableColumn id="1" xr3:uid="{B074FFE4-6F06-4AB6-A1B3-19747FC9C3A6}" name="Column1"/>
    <tableColumn id="2" xr3:uid="{BEF3E7C8-ADD0-4007-A101-7F85AE45762D}" name="Column2" dataDxfId="67" dataCellStyle="Percent">
      <calculatedColumnFormula>SUM(A29:A32)/A82</calculatedColumnFormula>
    </tableColumn>
    <tableColumn id="3" xr3:uid="{0A7109E1-3349-4141-84C5-7C99F92923EB}" name="Column3" headerRowDxfId="66"/>
    <tableColumn id="4" xr3:uid="{CD115BD8-13F3-4210-BCC2-33DFEFF61060}" name="Column4" headerRowDxfId="65"/>
    <tableColumn id="5" xr3:uid="{0FFAFAEE-7F98-4543-9CF9-E2AC67B13F8E}" name="Column5"/>
    <tableColumn id="6" xr3:uid="{BBAB21E2-59F6-4E82-8030-6C9648A3124F}" name="Column6"/>
    <tableColumn id="7" xr3:uid="{F8052371-86B6-4DCC-BA91-251E257183A1}" name="Column7"/>
    <tableColumn id="8" xr3:uid="{64480EE8-4E4D-477B-AF55-4B173D1EA39F}" name="Column8">
      <calculatedColumnFormula>F29+G29</calculatedColumnFormula>
    </tableColumn>
    <tableColumn id="9" xr3:uid="{1E017377-D4A1-48F3-8740-636AEE68448E}" name="Column9"/>
    <tableColumn id="17" xr3:uid="{2B5C67BF-4209-469E-8898-A018A87A8521}" name="Column16"/>
    <tableColumn id="16" xr3:uid="{B84B2E15-4FD4-4D3B-9E63-FBFCA770CAB5}" name="Column15" dataDxfId="64">
      <calculatedColumnFormula>IF(Table1732[[#This Row],[Column16]] &lt;= 7, " ", "Enter value less than 7")</calculatedColumnFormula>
    </tableColumn>
    <tableColumn id="10" xr3:uid="{CD25B54F-AE8E-4587-8042-A9D119FD459E}" name="Column10" dataDxfId="63">
      <calculatedColumnFormula>0.85*F29</calculatedColumnFormula>
    </tableColumn>
    <tableColumn id="11" xr3:uid="{C00316AA-9563-4745-9A9A-753E7C40DE3B}" name="Column11" dataDxfId="62">
      <calculatedColumnFormula>IF(Table1732[[#This Row],[Column10]] &lt;= 3, " ", "Enter value less than 3")</calculatedColumnFormula>
    </tableColumn>
    <tableColumn id="12" xr3:uid="{66CF50BF-250C-4432-A90D-1C754FF4ACFD}" name="Column12" dataDxfId="61">
      <calculatedColumnFormula>L29+M29</calculatedColumnFormula>
    </tableColumn>
    <tableColumn id="13" xr3:uid="{10BB6A2B-FF80-40DF-9E4B-A99785591360}" name="Column13"/>
    <tableColumn id="14" xr3:uid="{806D15A2-8F36-43B6-8CDE-58B19F6F26F7}" name="Column14" dataDxfId="60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2F914FD-C7B1-4795-B4D8-864B5B3C6C7E}" name="Table2833" displayName="Table2833" ref="A3:P23" headerRowCount="0" headerRowDxfId="59">
  <tableColumns count="16">
    <tableColumn id="1" xr3:uid="{69838819-DE9D-46DA-8A0A-C4850EF2E038}" name="Column1" totalsRowLabel="Total" headerRowDxfId="58"/>
    <tableColumn id="2" xr3:uid="{57B38F8A-0E46-4601-950E-90917F225D06}" name="Column2" headerRowDxfId="57"/>
    <tableColumn id="3" xr3:uid="{B6D5AA0B-D1A1-4C7F-9565-1B33F0F69C13}" name="Column3" headerRowDxfId="56"/>
    <tableColumn id="4" xr3:uid="{FDB08168-D1EB-40BD-B846-3EEC34AAE952}" name="Column4" headerRowDxfId="55"/>
    <tableColumn id="5" xr3:uid="{8FDD62FB-307B-4B18-AF68-55AD55F38B1E}" name="Column5" headerRowDxfId="54"/>
    <tableColumn id="6" xr3:uid="{EBE17F73-2D23-45D1-A7C5-A5F15158B9A4}" name="Column6" headerRowDxfId="53"/>
    <tableColumn id="7" xr3:uid="{8D985F8A-B134-4C2C-8DB6-44019A33F76E}" name="Column7" headerRowDxfId="52"/>
    <tableColumn id="8" xr3:uid="{EC58C133-B100-4CB1-8CB3-749EF103333F}" name="Column8" headerRowDxfId="51"/>
    <tableColumn id="9" xr3:uid="{2F73702B-A3AB-444F-BEEC-C2BADE06FBEF}" name="Column9" headerRowDxfId="50"/>
    <tableColumn id="10" xr3:uid="{2AEB765B-9AB7-4A53-BEE2-0E3DD300150D}" name="Column10" headerRowDxfId="49"/>
    <tableColumn id="16" xr3:uid="{0DBB4AD2-A252-41D6-82FC-E578858E6127}" name="Column15" headerRowDxfId="48" dataDxfId="47">
      <calculatedColumnFormula>IF(Table2833[[#This Row],[Column6]] &lt;= 10, " ", "Enter value less than 10")</calculatedColumnFormula>
    </tableColumn>
    <tableColumn id="11" xr3:uid="{440FE1D2-92E2-4A9D-804B-9B0AF1E66D44}" name="Column11" headerRowDxfId="46"/>
    <tableColumn id="17" xr3:uid="{036BD2A7-5B51-4AF5-90BD-11AFE361AC86}" name="Column16" headerRowDxfId="45"/>
    <tableColumn id="12" xr3:uid="{AFCC3ED7-AC5F-4FDC-88F2-0C1764223337}" name="Column12" headerRowDxfId="44"/>
    <tableColumn id="13" xr3:uid="{FDAE8C0C-8203-4A75-A668-35A6C6304E72}" name="Column13" headerRowDxfId="43"/>
    <tableColumn id="14" xr3:uid="{C125A736-A186-4441-9711-869F373A3C2A}" name="Column14" totalsRowFunction="count" headerRowDxfId="42"/>
  </tableColumns>
  <tableStyleInfo name="TableStyleMedium2" showFirstColumn="0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8BC4B2D-E54E-44E6-AC4E-DE1030F4672B}" name="Table3934" displayName="Table3934" ref="A58:P77" headerRowCount="0" totalsRowShown="0">
  <tableColumns count="16">
    <tableColumn id="1" xr3:uid="{BD91748D-87E1-4991-92DB-1F8572795814}" name="Column1"/>
    <tableColumn id="2" xr3:uid="{A7404413-A378-4424-9705-94612062F998}" name="Column2" headerRowDxfId="41"/>
    <tableColumn id="3" xr3:uid="{959D243C-1BF7-4071-9FF2-9ADBBE1FAE00}" name="Column3" headerRowDxfId="40"/>
    <tableColumn id="4" xr3:uid="{C27B85EF-7DCF-4625-B4E0-2E80DE9B978A}" name="Column4" headerRowDxfId="39"/>
    <tableColumn id="5" xr3:uid="{CCEA447F-1333-4E59-8B6C-F14FF601DFE7}" name="Column5"/>
    <tableColumn id="6" xr3:uid="{4D16F589-8C35-4EDD-BE1E-7FD115681501}" name="Column6" dataDxfId="38">
      <calculatedColumnFormula>SUMPRODUCT($A$62,0.25)</calculatedColumnFormula>
    </tableColumn>
    <tableColumn id="7" xr3:uid="{BB955BAD-FBD0-4886-B936-6D02F38B18AC}" name="Column7" dataDxfId="37">
      <calculatedColumnFormula>SUMPRODUCT($A$62,0.95)</calculatedColumnFormula>
    </tableColumn>
    <tableColumn id="8" xr3:uid="{BDA5048B-AADD-4EE5-8491-FF49D0A1DB00}" name="Column8" dataDxfId="36">
      <calculatedColumnFormula>SUM(Table3934[[#This Row],[Column6]],Table3934[[#This Row],[Column7]])</calculatedColumnFormula>
    </tableColumn>
    <tableColumn id="9" xr3:uid="{4CA9642F-3138-4786-96C1-29A1F95665D5}" name="Column9"/>
    <tableColumn id="10" xr3:uid="{94EBD738-23EE-4D6C-A6D3-8FA43A018A6F}" name="Column10"/>
    <tableColumn id="11" xr3:uid="{CA78FA53-9027-497B-976E-4E9E95A5695E}" name="Column11"/>
    <tableColumn id="12" xr3:uid="{0393283F-9A55-4784-8548-75B9191039DE}" name="Column12"/>
    <tableColumn id="13" xr3:uid="{E00A8163-A849-446B-B297-3BA648D466A0}" name="Column13" dataDxfId="35">
      <calculatedColumnFormula>IF(Table3934[[#This Row],[Column12]] &lt;= Table3934[[#This Row],[Column7]], " ", "Enter value less than [@Column7]")</calculatedColumnFormula>
    </tableColumn>
    <tableColumn id="15" xr3:uid="{9F963ECE-7975-4560-91AD-EA1E8542295A}" name="Column15" dataDxfId="34">
      <calculatedColumnFormula>SUM(Table3934[[#This Row],[Column10]],Table3934[[#This Row],[Column12]])</calculatedColumnFormula>
    </tableColumn>
    <tableColumn id="16" xr3:uid="{1CE64008-7497-4759-AD97-8BF633542865}" name="Column16"/>
    <tableColumn id="14" xr3:uid="{E7BEE808-01C9-4860-AA91-BC092DDCC06D}" name="Column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915D856-A893-4186-A534-92416ECA5ADE}" name="Table41035" displayName="Table41035" ref="F81:I88" totalsRowShown="0">
  <autoFilter ref="F81:I88" xr:uid="{F915D856-A893-4186-A534-92416ECA5ADE}"/>
  <tableColumns count="4">
    <tableColumn id="1" xr3:uid="{1BDF89F4-2107-4E96-AA51-3F6BECCEAD21}" name="Total Mastery "/>
    <tableColumn id="2" xr3:uid="{18EB0670-76F9-4C1B-B5A6-C19FF61DDCB5}" name="Total Effort "/>
    <tableColumn id="3" xr3:uid="{BFBFB0FF-CC2B-4EB6-A719-55E96D3F8300}" name="Mastery %"/>
    <tableColumn id="4" xr3:uid="{1EC5CBDC-EBCF-40BB-B5C0-46E1C89C11CC}" name="Effort %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51F82EC-2303-42B9-8056-CFC6EEB0DEFB}" name="Table51136" displayName="Table51136" ref="A81:A88" totalsRowShown="0">
  <autoFilter ref="A81:A88" xr:uid="{351F82EC-2303-42B9-8056-CFC6EEB0DEFB}"/>
  <tableColumns count="1">
    <tableColumn id="1" xr3:uid="{0099E313-9AF2-4913-AE48-91ABF69FF9CE}" name="Total Points in Clas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5F64AE7-8F6F-4354-8CB2-FD2BAC931FEF}" name="Table1737" displayName="Table1737" ref="A28:P50" headerRowCount="0" totalsRowShown="0">
  <tableColumns count="16">
    <tableColumn id="1" xr3:uid="{5A2D7E5B-6061-46E6-AF78-7508A3BB5F7A}" name="Column1"/>
    <tableColumn id="2" xr3:uid="{9ADAB529-13A9-4CD0-A6C1-BBD5E2C577DA}" name="Column2" dataDxfId="33" dataCellStyle="Percent">
      <calculatedColumnFormula>SUM(A29:A32)/A82</calculatedColumnFormula>
    </tableColumn>
    <tableColumn id="3" xr3:uid="{33F30BB4-9067-4E35-A451-BAFEC19BCAC8}" name="Column3" headerRowDxfId="32"/>
    <tableColumn id="4" xr3:uid="{D29BDC13-EF85-4F31-9B63-DFADCC0914B6}" name="Column4" headerRowDxfId="31"/>
    <tableColumn id="5" xr3:uid="{43CDD112-606B-4340-83C9-C10792DAA6EF}" name="Column5"/>
    <tableColumn id="6" xr3:uid="{66FA2B0D-28DE-4062-BBCA-F9C6D4AE2349}" name="Column6"/>
    <tableColumn id="7" xr3:uid="{1D34721E-B040-4062-85DC-9B40ADCDBE94}" name="Column7"/>
    <tableColumn id="8" xr3:uid="{D5A605C5-2E7F-4C88-A826-946AAA87B424}" name="Column8">
      <calculatedColumnFormula>F29+G29</calculatedColumnFormula>
    </tableColumn>
    <tableColumn id="9" xr3:uid="{B9D120E1-5341-410F-B90E-6A2559265AB4}" name="Column9"/>
    <tableColumn id="17" xr3:uid="{D2225E94-B379-4E04-85AE-DBA89D1793DA}" name="Column16"/>
    <tableColumn id="16" xr3:uid="{E58A0779-DB01-4C46-9D7E-F8964E4BA531}" name="Column15" dataDxfId="30">
      <calculatedColumnFormula>IF(Table1737[[#This Row],[Column16]] &lt;= 7, " ", "Enter value less than 7")</calculatedColumnFormula>
    </tableColumn>
    <tableColumn id="10" xr3:uid="{B8C33684-F92F-4FDF-98F0-EF8AC617CA1D}" name="Column10" dataDxfId="29">
      <calculatedColumnFormula>0.85*F29</calculatedColumnFormula>
    </tableColumn>
    <tableColumn id="11" xr3:uid="{43EE134A-D3D0-4DC2-9A1C-5F8DC61EA7C6}" name="Column11" dataDxfId="28">
      <calculatedColumnFormula>IF(Table1737[[#This Row],[Column10]] &lt;= 3, " ", "Enter value less than 3")</calculatedColumnFormula>
    </tableColumn>
    <tableColumn id="12" xr3:uid="{3E2ADDCF-DF5C-4F45-A1A0-6C275DAD1AF5}" name="Column12" dataDxfId="27">
      <calculatedColumnFormula>L29+M29</calculatedColumnFormula>
    </tableColumn>
    <tableColumn id="13" xr3:uid="{02EA4D36-4E0F-4E3E-AC82-DF43245D91DF}" name="Column13"/>
    <tableColumn id="14" xr3:uid="{DAFDBA5C-9B2E-48E6-A1AA-DA038A686A64}" name="Column14" dataDxfId="26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6BF742D-45D7-4CAA-9418-25709469783A}" name="Table2838" displayName="Table2838" ref="A3:P23" headerRowCount="0" headerRowDxfId="25">
  <tableColumns count="16">
    <tableColumn id="1" xr3:uid="{CA32AB9A-AA37-4A85-8381-127BB9ED713E}" name="Column1" totalsRowLabel="Total" headerRowDxfId="24"/>
    <tableColumn id="2" xr3:uid="{FCC89E99-753A-483E-889A-C43584C2EC94}" name="Column2" headerRowDxfId="23"/>
    <tableColumn id="3" xr3:uid="{E6E9D1F2-137F-4DF3-B076-0DC0C410F27E}" name="Column3" headerRowDxfId="22"/>
    <tableColumn id="4" xr3:uid="{EBA7FD62-5927-425A-B697-250225F6938E}" name="Column4" headerRowDxfId="21"/>
    <tableColumn id="5" xr3:uid="{867C05ED-57FD-4B17-ACA0-0AD71EE44707}" name="Column5" headerRowDxfId="20"/>
    <tableColumn id="6" xr3:uid="{000FE7BE-10BD-4CFF-9D44-0B8AE1ED4B9A}" name="Column6" headerRowDxfId="19"/>
    <tableColumn id="7" xr3:uid="{C6A9D6F7-14F7-496B-84FF-917A0A680863}" name="Column7" headerRowDxfId="18"/>
    <tableColumn id="8" xr3:uid="{4975D2F2-43A7-42A8-A55E-5CF0945B397A}" name="Column8" headerRowDxfId="17"/>
    <tableColumn id="9" xr3:uid="{CC10CEA2-0C37-4AA3-9F1E-D4A96EE31C21}" name="Column9" headerRowDxfId="16"/>
    <tableColumn id="10" xr3:uid="{AEB1AC84-248C-4469-8A16-160D4236B081}" name="Column10" headerRowDxfId="15"/>
    <tableColumn id="16" xr3:uid="{C4939854-BB08-4FEA-BECC-2E3B66A7D837}" name="Column15" headerRowDxfId="14" dataDxfId="13">
      <calculatedColumnFormula>IF(Table2838[[#This Row],[Column6]] &lt;= 10, " ", "Enter value less than 10")</calculatedColumnFormula>
    </tableColumn>
    <tableColumn id="11" xr3:uid="{EB02D0F1-A7DA-493F-8C72-3770587709D0}" name="Column11" headerRowDxfId="12"/>
    <tableColumn id="17" xr3:uid="{7B3B499C-50FC-4A82-BDF4-64C3614BA1A6}" name="Column16" headerRowDxfId="11"/>
    <tableColumn id="12" xr3:uid="{8C826DD4-4CB1-47D9-BF7C-4F87E94EAA5A}" name="Column12" headerRowDxfId="10"/>
    <tableColumn id="13" xr3:uid="{9B5634B0-D87A-43C0-ADE5-1BBACE43514C}" name="Column13" headerRowDxfId="9"/>
    <tableColumn id="14" xr3:uid="{6600EF7E-3448-4317-91CB-E133481368DA}" name="Column14" totalsRowFunction="count" headerRowDxfId="8"/>
  </tableColumns>
  <tableStyleInfo name="TableStyleMedium2" showFirstColumn="0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320883C-5A92-4CAC-A515-8FD07562CB5F}" name="Table3939" displayName="Table3939" ref="A58:P77" headerRowCount="0" totalsRowShown="0">
  <tableColumns count="16">
    <tableColumn id="1" xr3:uid="{ABC296CD-2770-4287-BDB4-AC003E866360}" name="Column1"/>
    <tableColumn id="2" xr3:uid="{9CF69DE4-9C86-45CB-A001-7C10A3F96F9D}" name="Column2" headerRowDxfId="7"/>
    <tableColumn id="3" xr3:uid="{71C23BE2-3CD3-453B-8218-A7CB84CA9DE0}" name="Column3" headerRowDxfId="6"/>
    <tableColumn id="4" xr3:uid="{60660D36-56D8-4F53-934C-231D0CED60B3}" name="Column4" headerRowDxfId="5"/>
    <tableColumn id="5" xr3:uid="{74B3069A-24B4-4541-BAF9-D1C6CAF13DF1}" name="Column5"/>
    <tableColumn id="6" xr3:uid="{9173878E-6007-46CD-82CA-CC55B37A27C5}" name="Column6" dataDxfId="4">
      <calculatedColumnFormula>SUMPRODUCT($A$62,0.25)</calculatedColumnFormula>
    </tableColumn>
    <tableColumn id="7" xr3:uid="{EDAB06C4-1C25-4E44-A26E-A9727B116E5A}" name="Column7" dataDxfId="3">
      <calculatedColumnFormula>SUMPRODUCT($A$62,0.95)</calculatedColumnFormula>
    </tableColumn>
    <tableColumn id="8" xr3:uid="{14D13666-0532-487C-BCF6-A6CA1DD819E4}" name="Column8" dataDxfId="2">
      <calculatedColumnFormula>SUM(Table3939[[#This Row],[Column6]],Table3939[[#This Row],[Column7]])</calculatedColumnFormula>
    </tableColumn>
    <tableColumn id="9" xr3:uid="{DBA1D672-A7E1-4BE5-B3E9-0C6BF3DA227F}" name="Column9"/>
    <tableColumn id="10" xr3:uid="{063783CE-4DD3-4A67-83D6-178E3AE7977C}" name="Column10"/>
    <tableColumn id="11" xr3:uid="{5F284B13-7C17-4DAB-9AD9-FDD8B530C584}" name="Column11"/>
    <tableColumn id="12" xr3:uid="{22A845C5-8F73-4B13-ACCD-35B7C570A934}" name="Column12"/>
    <tableColumn id="13" xr3:uid="{D7B031BC-8186-48D6-933F-88202F25F6D1}" name="Column13" dataDxfId="1">
      <calculatedColumnFormula>IF(Table3939[[#This Row],[Column12]] &lt;= Table3939[[#This Row],[Column7]], " ", "Enter value less than [@Column7]")</calculatedColumnFormula>
    </tableColumn>
    <tableColumn id="15" xr3:uid="{CC9A212A-297C-4E0D-A5AD-36269C2D73C9}" name="Column15" dataDxfId="0">
      <calculatedColumnFormula>SUM(Table3939[[#This Row],[Column10]],Table3939[[#This Row],[Column12]])</calculatedColumnFormula>
    </tableColumn>
    <tableColumn id="16" xr3:uid="{380C4089-2867-44F1-96E7-DAA3B4E59F06}" name="Column16"/>
    <tableColumn id="14" xr3:uid="{3FD37EB6-7601-45BE-BFA4-4F7023DDD7AB}" name="Column1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CCA50691-3D41-4882-A9C2-45EF7498C957}" name="Table41040" displayName="Table41040" ref="F81:I88" totalsRowShown="0">
  <autoFilter ref="F81:I88" xr:uid="{CCA50691-3D41-4882-A9C2-45EF7498C957}"/>
  <tableColumns count="4">
    <tableColumn id="1" xr3:uid="{A589B107-9418-4973-89BE-9E812C4B3430}" name="Total Mastery "/>
    <tableColumn id="2" xr3:uid="{743ABCF2-16EB-4448-984E-86D1D05C810D}" name="Total Effort "/>
    <tableColumn id="3" xr3:uid="{D83D3C55-46BE-4367-A794-49B60ABCA31D}" name="Mastery %"/>
    <tableColumn id="4" xr3:uid="{251AF5BF-4A90-4E5C-88A9-9605E055E893}" name="Effort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A10DB5E-9F28-40E2-A4A1-787ECB4ED017}" name="Table2828" displayName="Table2828" ref="A3:P23" headerRowCount="0" headerRowDxfId="127">
  <tableColumns count="16">
    <tableColumn id="1" xr3:uid="{5250F6C6-375D-453B-9ACD-52369B19B6D1}" name="Column1" totalsRowLabel="Total" headerRowDxfId="126"/>
    <tableColumn id="2" xr3:uid="{4A801F82-EE4C-4175-BEC5-417C77C32C19}" name="Column2" headerRowDxfId="125"/>
    <tableColumn id="3" xr3:uid="{F6930595-BB14-4AF2-8FD3-80AB4A68AC00}" name="Column3" headerRowDxfId="124"/>
    <tableColumn id="4" xr3:uid="{4801C2CB-64C4-4C0E-AA87-55AEF0E0299F}" name="Column4" headerRowDxfId="123"/>
    <tableColumn id="5" xr3:uid="{F20E99F5-DE4E-4D0A-A539-728A32234611}" name="Column5" headerRowDxfId="122"/>
    <tableColumn id="6" xr3:uid="{98CA7975-39C4-41A5-AD2A-5ECCC3678792}" name="Column6" headerRowDxfId="121"/>
    <tableColumn id="7" xr3:uid="{9E26B7A7-635C-421D-85A6-8423275745AB}" name="Column7" headerRowDxfId="120"/>
    <tableColumn id="8" xr3:uid="{4ADAC266-09DB-47E7-995C-6B86BAB7FBC3}" name="Column8" headerRowDxfId="119"/>
    <tableColumn id="9" xr3:uid="{297F4956-4B6D-43BC-857B-0AE23594BAD6}" name="Column9" headerRowDxfId="118"/>
    <tableColumn id="10" xr3:uid="{6FDC7770-9B5E-428C-85F9-D8EAA926AC52}" name="Column10" headerRowDxfId="117"/>
    <tableColumn id="16" xr3:uid="{A52753FC-1DF1-4688-AB54-D4AEEDA1D469}" name="Column15" headerRowDxfId="116" dataDxfId="115">
      <calculatedColumnFormula>IF(Table2828[[#This Row],[Column6]] &lt;= 10, " ", "Enter value less than 10")</calculatedColumnFormula>
    </tableColumn>
    <tableColumn id="11" xr3:uid="{97BA7971-7257-4F64-8551-A6A438196D9C}" name="Column11" headerRowDxfId="114"/>
    <tableColumn id="17" xr3:uid="{EA1219E8-DCAC-4F96-9D25-31253FEB8291}" name="Column16" headerRowDxfId="113"/>
    <tableColumn id="12" xr3:uid="{E80EBC11-30CB-4EA1-88F7-E39FBA3B13E3}" name="Column12" headerRowDxfId="112"/>
    <tableColumn id="13" xr3:uid="{C878F51E-4C26-42B6-9C65-54BF49A16807}" name="Column13" headerRowDxfId="111"/>
    <tableColumn id="14" xr3:uid="{135F235D-B8CC-456F-ABF1-362820632E1E}" name="Column14" totalsRowFunction="count" headerRowDxfId="110"/>
  </tableColumns>
  <tableStyleInfo name="TableStyleMedium2" showFirstColumn="0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570828A-A063-4CBF-AB9D-02A51F63948D}" name="Table51141" displayName="Table51141" ref="A81:A88" totalsRowShown="0">
  <autoFilter ref="A81:A88" xr:uid="{D570828A-A063-4CBF-AB9D-02A51F63948D}"/>
  <tableColumns count="1">
    <tableColumn id="1" xr3:uid="{785BD765-85B0-4C4D-885E-2DFB636CB3DA}" name="Total Points in Clas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98A7ED2-3A3D-4DE9-A731-FDCA6F9F7C65}" name="Table3929" displayName="Table3929" ref="A58:P77" headerRowCount="0" totalsRowShown="0">
  <tableColumns count="16">
    <tableColumn id="1" xr3:uid="{8A8C796A-6563-4A05-BE53-1BA171CAA683}" name="Column1"/>
    <tableColumn id="2" xr3:uid="{8DAA1312-8721-4D5D-B8B2-1F42F7756D43}" name="Column2" headerRowDxfId="109"/>
    <tableColumn id="3" xr3:uid="{06AF4F1C-EFE9-4C30-BD6F-E69A4D886621}" name="Column3" headerRowDxfId="108"/>
    <tableColumn id="4" xr3:uid="{E9ED371B-18C9-4FB2-9CA9-E4D2FA05B78C}" name="Column4" headerRowDxfId="107"/>
    <tableColumn id="5" xr3:uid="{DAC00F9E-D1B0-4112-AB71-0F095B58033A}" name="Column5"/>
    <tableColumn id="6" xr3:uid="{64B6DF5C-DFD0-433E-806A-A651A5F579A5}" name="Column6" dataDxfId="106">
      <calculatedColumnFormula>SUMPRODUCT($A$62,0.25)</calculatedColumnFormula>
    </tableColumn>
    <tableColumn id="7" xr3:uid="{04685560-FD82-4D50-BE39-0AAC3F14FD47}" name="Column7" dataDxfId="105">
      <calculatedColumnFormula>SUMPRODUCT($A$62,0.95)</calculatedColumnFormula>
    </tableColumn>
    <tableColumn id="8" xr3:uid="{3FB68370-03A6-410D-829B-AC22756592F1}" name="Column8" dataDxfId="104">
      <calculatedColumnFormula>SUM(Table3929[[#This Row],[Column6]],Table3929[[#This Row],[Column7]])</calculatedColumnFormula>
    </tableColumn>
    <tableColumn id="9" xr3:uid="{A7EBD011-A722-409A-B47E-6B04C96FC100}" name="Column9"/>
    <tableColumn id="10" xr3:uid="{E99D1980-B482-4F0E-B1C0-4883E106546D}" name="Column10"/>
    <tableColumn id="11" xr3:uid="{6487A9F0-15C6-4F34-B8EC-44663D98D654}" name="Column11"/>
    <tableColumn id="12" xr3:uid="{F6A99981-3A48-4A5A-8D0B-603C4947F056}" name="Column12"/>
    <tableColumn id="13" xr3:uid="{AB1B462C-8F1B-4AEF-A6F4-2604DB9F2300}" name="Column13" dataDxfId="103">
      <calculatedColumnFormula>IF(Table3929[[#This Row],[Column12]] &lt;= Table3929[[#This Row],[Column7]], " ", "Enter value less than [@Column7]")</calculatedColumnFormula>
    </tableColumn>
    <tableColumn id="15" xr3:uid="{FB621A13-D681-47AD-A49A-0576D864DA60}" name="Column15" dataDxfId="102">
      <calculatedColumnFormula>SUM(Table3929[[#This Row],[Column10]],Table3929[[#This Row],[Column12]])</calculatedColumnFormula>
    </tableColumn>
    <tableColumn id="16" xr3:uid="{70DEBA16-745F-4470-8908-D709DE817FB7}" name="Column16"/>
    <tableColumn id="14" xr3:uid="{35799A8A-3754-4755-A4B9-32D915BED02F}" name="Column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B3ED7CE-F5CF-4B63-84EC-477EF82EEDE8}" name="Table41030" displayName="Table41030" ref="F81:I88" totalsRowShown="0">
  <autoFilter ref="F81:I88" xr:uid="{FB3ED7CE-F5CF-4B63-84EC-477EF82EEDE8}"/>
  <tableColumns count="4">
    <tableColumn id="1" xr3:uid="{8C3462F6-3198-4A78-B65F-A303E6A60AAE}" name="Total Mastery "/>
    <tableColumn id="2" xr3:uid="{B7DE2F7A-E57A-495A-B896-6C2011B7614F}" name="Total Effort "/>
    <tableColumn id="3" xr3:uid="{0327388E-F3A5-4B90-BB3F-9ECEDC883023}" name="Mastery %"/>
    <tableColumn id="4" xr3:uid="{94DD35A3-46EC-4052-A302-68DE68F2867C}" name="Effort 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858E5B6-2652-41B9-8CA2-8773CC023112}" name="Table51131" displayName="Table51131" ref="A81:A88" totalsRowShown="0">
  <autoFilter ref="A81:A88" xr:uid="{4858E5B6-2652-41B9-8CA2-8773CC023112}"/>
  <tableColumns count="1">
    <tableColumn id="1" xr3:uid="{486842B7-9694-424E-9DFA-693DCE9BFAC9}" name="Total Points in Clas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58C03A-15F6-4A40-97DF-F5E87ECE9A9E}" name="Table17" displayName="Table17" ref="A28:P50" headerRowCount="0" totalsRowShown="0">
  <tableColumns count="16">
    <tableColumn id="1" xr3:uid="{34D8EA2B-BE3C-4F14-9386-195BA0178B02}" name="Column1"/>
    <tableColumn id="2" xr3:uid="{2A9A9982-5EA8-4CD8-B1A8-3C496359CD80}" name="Column2" dataDxfId="101" dataCellStyle="Percent">
      <calculatedColumnFormula>SUM(A29:A32)/A82</calculatedColumnFormula>
    </tableColumn>
    <tableColumn id="3" xr3:uid="{50BBDAEB-E173-4A2C-9E7D-4D0D2407D515}" name="Column3" headerRowDxfId="100"/>
    <tableColumn id="4" xr3:uid="{F151FBED-CDF4-45DD-9C7A-1540F04E07EB}" name="Column4" headerRowDxfId="99"/>
    <tableColumn id="5" xr3:uid="{669B7E37-4A2E-4B98-9420-20C74357CA84}" name="Column5"/>
    <tableColumn id="6" xr3:uid="{B815C790-455A-4275-A9F2-450B774C4AF0}" name="Column6"/>
    <tableColumn id="7" xr3:uid="{1EC7C697-45AC-430F-8B5E-F6A511764404}" name="Column7"/>
    <tableColumn id="8" xr3:uid="{B54EB61E-C26B-4FBD-B20B-8D8A4BCEB415}" name="Column8">
      <calculatedColumnFormula>F29+G29</calculatedColumnFormula>
    </tableColumn>
    <tableColumn id="9" xr3:uid="{5401BA6E-6757-4022-A64D-E943941660E9}" name="Column9"/>
    <tableColumn id="17" xr3:uid="{64773455-E043-4164-8E5A-05B1B5DB6A32}" name="Column16"/>
    <tableColumn id="16" xr3:uid="{F0F380AA-FCBC-4A00-9CC3-F4BF37B619A0}" name="Column15" dataDxfId="98">
      <calculatedColumnFormula>IF(Table17[[#This Row],[Column16]] &lt;= 7, " ", "Enter value less than 7")</calculatedColumnFormula>
    </tableColumn>
    <tableColumn id="10" xr3:uid="{9B261E14-0822-46E4-85B0-5A6BCB0B66FF}" name="Column10" dataDxfId="97">
      <calculatedColumnFormula>0.85*F29</calculatedColumnFormula>
    </tableColumn>
    <tableColumn id="11" xr3:uid="{E84972C1-9CF2-41D3-8DF2-355573B26508}" name="Column11" dataDxfId="96">
      <calculatedColumnFormula>IF(Table17[[#This Row],[Column10]] &lt;= 3, " ", "Enter value less than 3")</calculatedColumnFormula>
    </tableColumn>
    <tableColumn id="12" xr3:uid="{504DF8C5-A9B4-4EE7-B535-9C6220FD52D0}" name="Column12" dataDxfId="95">
      <calculatedColumnFormula>L29+M29</calculatedColumnFormula>
    </tableColumn>
    <tableColumn id="13" xr3:uid="{A6590F10-B55C-4F92-BD1B-8C553C60EE20}" name="Column13"/>
    <tableColumn id="14" xr3:uid="{B38FFDFE-A2C3-4178-8A10-4E649FD7736C}" name="Column14" dataDxfId="94" dataCellStyle="Percent">
      <calculatedColumnFormula>N29/A29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2CCE6C8-B382-4F2E-A387-9B0B2CEE073D}" name="Table39" displayName="Table39" ref="A58:P77" headerRowCount="0" totalsRowShown="0">
  <tableColumns count="16">
    <tableColumn id="1" xr3:uid="{EE3066F1-48B2-467A-AD28-0E8648260DF5}" name="Column1"/>
    <tableColumn id="2" xr3:uid="{048CA733-7F66-4FFB-BA1B-5EF0B2DAB98E}" name="Column2" headerRowDxfId="93"/>
    <tableColumn id="3" xr3:uid="{D082B194-99BE-40BD-ACA4-19E23A61EDD6}" name="Column3" headerRowDxfId="92"/>
    <tableColumn id="4" xr3:uid="{F3214943-8036-4F54-8AB5-BC2B4404B8A9}" name="Column4" headerRowDxfId="91"/>
    <tableColumn id="5" xr3:uid="{3585CB95-8C5E-4CD3-AC99-9C9BE765E869}" name="Column5"/>
    <tableColumn id="6" xr3:uid="{78DB3136-E848-4FA4-A946-0C1696A95460}" name="Column6" dataDxfId="90">
      <calculatedColumnFormula>SUMPRODUCT($A$62,0.25)</calculatedColumnFormula>
    </tableColumn>
    <tableColumn id="7" xr3:uid="{D4AFAB27-434D-4A90-BAD2-4076969EE981}" name="Column7" dataDxfId="89">
      <calculatedColumnFormula>SUMPRODUCT($A$62,0.95)</calculatedColumnFormula>
    </tableColumn>
    <tableColumn id="8" xr3:uid="{897D1556-FD47-4A1D-981A-8D0D1321D4AD}" name="Column8" dataDxfId="88">
      <calculatedColumnFormula>SUM(Table39[[#This Row],[Column6]],Table39[[#This Row],[Column7]])</calculatedColumnFormula>
    </tableColumn>
    <tableColumn id="9" xr3:uid="{141C0039-DACA-4916-BD15-D8B96FD71642}" name="Column9"/>
    <tableColumn id="10" xr3:uid="{CA2D00E8-B570-4A26-AE6B-9205B05FEF11}" name="Column10"/>
    <tableColumn id="11" xr3:uid="{2D7A67E7-D018-4F8D-A128-676B23766E1B}" name="Column11"/>
    <tableColumn id="12" xr3:uid="{8264CD01-5EB0-4418-8151-97B9A3DCADE8}" name="Column12"/>
    <tableColumn id="13" xr3:uid="{E4E5A67C-5C14-49D5-BF74-1E62E6A0C074}" name="Column13" dataDxfId="87">
      <calculatedColumnFormula>IF(Table39[[#This Row],[Column12]] &lt;= Table39[[#This Row],[Column7]], " ", "Enter value less than [@Column7]")</calculatedColumnFormula>
    </tableColumn>
    <tableColumn id="15" xr3:uid="{0E00E133-F889-48D2-A7F3-F2C3239B5815}" name="Column15" dataDxfId="86">
      <calculatedColumnFormula>SUM(Table39[[#This Row],[Column10]],Table39[[#This Row],[Column12]])</calculatedColumnFormula>
    </tableColumn>
    <tableColumn id="16" xr3:uid="{C3F1A1DE-41DF-4EAE-8CD9-F6C1BE66ED1F}" name="Column16"/>
    <tableColumn id="14" xr3:uid="{AE73BDDB-4428-4830-84CA-84A3B786109D}" name="Column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C91024-93DD-4DF6-B8D4-7A79CDB288E4}" name="Table410" displayName="Table410" ref="F81:I88" totalsRowShown="0">
  <autoFilter ref="F81:I88" xr:uid="{1CC91024-93DD-4DF6-B8D4-7A79CDB288E4}"/>
  <tableColumns count="4">
    <tableColumn id="1" xr3:uid="{951BA872-874F-407C-AF32-0060B57A8619}" name="Total Mastery "/>
    <tableColumn id="2" xr3:uid="{E54EAAFB-DC7F-4BE7-B59E-DD21D41DE84E}" name="Total Effort "/>
    <tableColumn id="3" xr3:uid="{B2E3B857-5CA1-47EC-84AA-7EA210563C87}" name="Mastery %"/>
    <tableColumn id="4" xr3:uid="{18F3A369-63D4-4733-8ECF-05063CA5980C}" name="Effort %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0F585A-3F71-4FD2-8350-C0CB19D046CF}" name="Table511" displayName="Table511" ref="A81:A88" totalsRowShown="0">
  <autoFilter ref="A81:A88" xr:uid="{BE0F585A-3F71-4FD2-8350-C0CB19D046CF}"/>
  <tableColumns count="1">
    <tableColumn id="1" xr3:uid="{52526D36-BA78-4DEB-8A18-81BA63D65BB8}" name="Total Points in Cla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1D07-48F1-4507-98E0-2B46416F6039}">
  <dimension ref="A1:G197"/>
  <sheetViews>
    <sheetView showGridLines="0" topLeftCell="A187" workbookViewId="0"/>
  </sheetViews>
  <sheetFormatPr defaultRowHeight="15" x14ac:dyDescent="0.25"/>
  <cols>
    <col min="1" max="1" width="2.28515625" customWidth="1"/>
    <col min="2" max="2" width="19.5703125" bestFit="1" customWidth="1"/>
    <col min="3" max="3" width="26.140625" bestFit="1" customWidth="1"/>
    <col min="4" max="4" width="13.7109375" bestFit="1" customWidth="1"/>
    <col min="5" max="5" width="17" bestFit="1" customWidth="1"/>
    <col min="6" max="6" width="11.42578125" bestFit="1" customWidth="1"/>
    <col min="7" max="7" width="12" bestFit="1" customWidth="1"/>
  </cols>
  <sheetData>
    <row r="1" spans="1:5" x14ac:dyDescent="0.25">
      <c r="A1" s="5" t="s">
        <v>57</v>
      </c>
    </row>
    <row r="2" spans="1:5" x14ac:dyDescent="0.25">
      <c r="A2" s="5" t="s">
        <v>58</v>
      </c>
    </row>
    <row r="3" spans="1:5" x14ac:dyDescent="0.25">
      <c r="A3" s="5" t="s">
        <v>59</v>
      </c>
    </row>
    <row r="4" spans="1:5" x14ac:dyDescent="0.25">
      <c r="A4" s="5" t="s">
        <v>60</v>
      </c>
    </row>
    <row r="5" spans="1:5" x14ac:dyDescent="0.25">
      <c r="A5" s="5" t="s">
        <v>61</v>
      </c>
    </row>
    <row r="6" spans="1:5" x14ac:dyDescent="0.25">
      <c r="A6" s="5"/>
      <c r="B6" t="s">
        <v>62</v>
      </c>
    </row>
    <row r="7" spans="1:5" x14ac:dyDescent="0.25">
      <c r="A7" s="5"/>
      <c r="B7" t="s">
        <v>63</v>
      </c>
    </row>
    <row r="8" spans="1:5" x14ac:dyDescent="0.25">
      <c r="A8" s="5"/>
      <c r="B8" t="s">
        <v>64</v>
      </c>
    </row>
    <row r="9" spans="1:5" x14ac:dyDescent="0.25">
      <c r="A9" s="5" t="s">
        <v>65</v>
      </c>
    </row>
    <row r="10" spans="1:5" x14ac:dyDescent="0.25">
      <c r="B10" t="s">
        <v>66</v>
      </c>
    </row>
    <row r="11" spans="1:5" x14ac:dyDescent="0.25">
      <c r="B11" t="s">
        <v>67</v>
      </c>
    </row>
    <row r="12" spans="1:5" x14ac:dyDescent="0.25">
      <c r="B12" t="s">
        <v>68</v>
      </c>
    </row>
    <row r="14" spans="1:5" ht="15.75" thickBot="1" x14ac:dyDescent="0.3">
      <c r="A14" t="s">
        <v>69</v>
      </c>
    </row>
    <row r="15" spans="1:5" ht="15.75" thickBot="1" x14ac:dyDescent="0.3">
      <c r="B15" s="7" t="s">
        <v>70</v>
      </c>
      <c r="C15" s="7" t="s">
        <v>71</v>
      </c>
      <c r="D15" s="7" t="s">
        <v>72</v>
      </c>
      <c r="E15" s="7" t="s">
        <v>73</v>
      </c>
    </row>
    <row r="16" spans="1:5" ht="15.75" thickBot="1" x14ac:dyDescent="0.3">
      <c r="B16" s="6" t="s">
        <v>81</v>
      </c>
      <c r="C16" s="6" t="s">
        <v>34</v>
      </c>
      <c r="D16" s="9">
        <v>645.15438592706289</v>
      </c>
      <c r="E16" s="9">
        <v>645.15438592706289</v>
      </c>
    </row>
    <row r="19" spans="1:6" ht="15.75" thickBot="1" x14ac:dyDescent="0.3">
      <c r="A19" t="s">
        <v>74</v>
      </c>
    </row>
    <row r="20" spans="1:6" ht="15.75" thickBot="1" x14ac:dyDescent="0.3">
      <c r="B20" s="7" t="s">
        <v>70</v>
      </c>
      <c r="C20" s="7" t="s">
        <v>71</v>
      </c>
      <c r="D20" s="7" t="s">
        <v>72</v>
      </c>
      <c r="E20" s="7" t="s">
        <v>73</v>
      </c>
      <c r="F20" s="7" t="s">
        <v>75</v>
      </c>
    </row>
    <row r="21" spans="1:6" x14ac:dyDescent="0.25">
      <c r="B21" s="8" t="s">
        <v>82</v>
      </c>
      <c r="C21" s="8" t="s">
        <v>83</v>
      </c>
      <c r="D21" s="10">
        <v>5</v>
      </c>
      <c r="E21" s="10">
        <v>5</v>
      </c>
      <c r="F21" s="8" t="s">
        <v>75</v>
      </c>
    </row>
    <row r="22" spans="1:6" x14ac:dyDescent="0.25">
      <c r="B22" s="8" t="s">
        <v>85</v>
      </c>
      <c r="C22" s="8" t="s">
        <v>86</v>
      </c>
      <c r="D22" s="10">
        <v>15</v>
      </c>
      <c r="E22" s="10">
        <v>15</v>
      </c>
      <c r="F22" s="8" t="s">
        <v>75</v>
      </c>
    </row>
    <row r="23" spans="1:6" x14ac:dyDescent="0.25">
      <c r="B23" s="8" t="s">
        <v>87</v>
      </c>
      <c r="C23" s="8" t="s">
        <v>83</v>
      </c>
      <c r="D23" s="10">
        <v>5</v>
      </c>
      <c r="E23" s="10">
        <v>5</v>
      </c>
      <c r="F23" s="8" t="s">
        <v>75</v>
      </c>
    </row>
    <row r="24" spans="1:6" x14ac:dyDescent="0.25">
      <c r="B24" s="8" t="s">
        <v>88</v>
      </c>
      <c r="C24" s="8" t="s">
        <v>86</v>
      </c>
      <c r="D24" s="10">
        <v>15</v>
      </c>
      <c r="E24" s="10">
        <v>15</v>
      </c>
      <c r="F24" s="8" t="s">
        <v>75</v>
      </c>
    </row>
    <row r="25" spans="1:6" x14ac:dyDescent="0.25">
      <c r="B25" s="8" t="s">
        <v>89</v>
      </c>
      <c r="C25" s="8" t="s">
        <v>83</v>
      </c>
      <c r="D25" s="10">
        <v>5</v>
      </c>
      <c r="E25" s="10">
        <v>5</v>
      </c>
      <c r="F25" s="8" t="s">
        <v>75</v>
      </c>
    </row>
    <row r="26" spans="1:6" x14ac:dyDescent="0.25">
      <c r="B26" s="8" t="s">
        <v>90</v>
      </c>
      <c r="C26" s="8" t="s">
        <v>86</v>
      </c>
      <c r="D26" s="10">
        <v>15</v>
      </c>
      <c r="E26" s="10">
        <v>15</v>
      </c>
      <c r="F26" s="8" t="s">
        <v>75</v>
      </c>
    </row>
    <row r="27" spans="1:6" x14ac:dyDescent="0.25">
      <c r="B27" s="8" t="s">
        <v>91</v>
      </c>
      <c r="C27" s="8" t="s">
        <v>83</v>
      </c>
      <c r="D27" s="10">
        <v>5</v>
      </c>
      <c r="E27" s="10">
        <v>5</v>
      </c>
      <c r="F27" s="8" t="s">
        <v>75</v>
      </c>
    </row>
    <row r="28" spans="1:6" x14ac:dyDescent="0.25">
      <c r="B28" s="8" t="s">
        <v>92</v>
      </c>
      <c r="C28" s="8" t="s">
        <v>86</v>
      </c>
      <c r="D28" s="10">
        <v>15</v>
      </c>
      <c r="E28" s="10">
        <v>15</v>
      </c>
      <c r="F28" s="8" t="s">
        <v>75</v>
      </c>
    </row>
    <row r="29" spans="1:6" x14ac:dyDescent="0.25">
      <c r="B29" s="8" t="s">
        <v>93</v>
      </c>
      <c r="C29" s="8" t="s">
        <v>83</v>
      </c>
      <c r="D29" s="10">
        <v>5</v>
      </c>
      <c r="E29" s="10">
        <v>5</v>
      </c>
      <c r="F29" s="8" t="s">
        <v>75</v>
      </c>
    </row>
    <row r="30" spans="1:6" x14ac:dyDescent="0.25">
      <c r="B30" s="8" t="s">
        <v>94</v>
      </c>
      <c r="C30" s="8" t="s">
        <v>86</v>
      </c>
      <c r="D30" s="10">
        <v>15</v>
      </c>
      <c r="E30" s="10">
        <v>15</v>
      </c>
      <c r="F30" s="8" t="s">
        <v>75</v>
      </c>
    </row>
    <row r="31" spans="1:6" x14ac:dyDescent="0.25">
      <c r="B31" s="8" t="s">
        <v>95</v>
      </c>
      <c r="C31" s="8" t="s">
        <v>83</v>
      </c>
      <c r="D31" s="10">
        <v>5</v>
      </c>
      <c r="E31" s="10">
        <v>5</v>
      </c>
      <c r="F31" s="8" t="s">
        <v>75</v>
      </c>
    </row>
    <row r="32" spans="1:6" x14ac:dyDescent="0.25">
      <c r="B32" s="8" t="s">
        <v>96</v>
      </c>
      <c r="C32" s="8" t="s">
        <v>86</v>
      </c>
      <c r="D32" s="10">
        <v>15</v>
      </c>
      <c r="E32" s="10">
        <v>15</v>
      </c>
      <c r="F32" s="8" t="s">
        <v>75</v>
      </c>
    </row>
    <row r="33" spans="2:6" x14ac:dyDescent="0.25">
      <c r="B33" s="8" t="s">
        <v>97</v>
      </c>
      <c r="C33" s="8" t="s">
        <v>83</v>
      </c>
      <c r="D33" s="10">
        <v>5</v>
      </c>
      <c r="E33" s="10">
        <v>5</v>
      </c>
      <c r="F33" s="8" t="s">
        <v>75</v>
      </c>
    </row>
    <row r="34" spans="2:6" x14ac:dyDescent="0.25">
      <c r="B34" s="8" t="s">
        <v>98</v>
      </c>
      <c r="C34" s="8" t="s">
        <v>86</v>
      </c>
      <c r="D34" s="10">
        <v>15</v>
      </c>
      <c r="E34" s="10">
        <v>15</v>
      </c>
      <c r="F34" s="8" t="s">
        <v>75</v>
      </c>
    </row>
    <row r="35" spans="2:6" x14ac:dyDescent="0.25">
      <c r="B35" s="8" t="s">
        <v>99</v>
      </c>
      <c r="C35" s="8" t="s">
        <v>83</v>
      </c>
      <c r="D35" s="10">
        <v>5</v>
      </c>
      <c r="E35" s="10">
        <v>5</v>
      </c>
      <c r="F35" s="8" t="s">
        <v>75</v>
      </c>
    </row>
    <row r="36" spans="2:6" x14ac:dyDescent="0.25">
      <c r="B36" s="8" t="s">
        <v>100</v>
      </c>
      <c r="C36" s="8" t="s">
        <v>86</v>
      </c>
      <c r="D36" s="10">
        <v>15</v>
      </c>
      <c r="E36" s="10">
        <v>15</v>
      </c>
      <c r="F36" s="8" t="s">
        <v>75</v>
      </c>
    </row>
    <row r="37" spans="2:6" x14ac:dyDescent="0.25">
      <c r="B37" s="8" t="s">
        <v>101</v>
      </c>
      <c r="C37" s="8" t="s">
        <v>83</v>
      </c>
      <c r="D37" s="10">
        <v>0</v>
      </c>
      <c r="E37" s="10">
        <v>0</v>
      </c>
      <c r="F37" s="8" t="s">
        <v>75</v>
      </c>
    </row>
    <row r="38" spans="2:6" x14ac:dyDescent="0.25">
      <c r="B38" s="8" t="s">
        <v>102</v>
      </c>
      <c r="C38" s="8" t="s">
        <v>86</v>
      </c>
      <c r="D38" s="10">
        <v>10</v>
      </c>
      <c r="E38" s="10">
        <v>10</v>
      </c>
      <c r="F38" s="8" t="s">
        <v>75</v>
      </c>
    </row>
    <row r="39" spans="2:6" x14ac:dyDescent="0.25">
      <c r="B39" s="8" t="s">
        <v>103</v>
      </c>
      <c r="C39" s="8" t="s">
        <v>83</v>
      </c>
      <c r="D39" s="10">
        <v>0</v>
      </c>
      <c r="E39" s="10">
        <v>0</v>
      </c>
      <c r="F39" s="8" t="s">
        <v>75</v>
      </c>
    </row>
    <row r="40" spans="2:6" x14ac:dyDescent="0.25">
      <c r="B40" s="8" t="s">
        <v>104</v>
      </c>
      <c r="C40" s="8" t="s">
        <v>86</v>
      </c>
      <c r="D40" s="10">
        <v>10</v>
      </c>
      <c r="E40" s="10">
        <v>10</v>
      </c>
      <c r="F40" s="8" t="s">
        <v>75</v>
      </c>
    </row>
    <row r="41" spans="2:6" x14ac:dyDescent="0.25">
      <c r="B41" s="8" t="s">
        <v>105</v>
      </c>
      <c r="C41" s="8" t="s">
        <v>83</v>
      </c>
      <c r="D41" s="10">
        <v>0</v>
      </c>
      <c r="E41" s="10">
        <v>0</v>
      </c>
      <c r="F41" s="8" t="s">
        <v>75</v>
      </c>
    </row>
    <row r="42" spans="2:6" x14ac:dyDescent="0.25">
      <c r="B42" s="8" t="s">
        <v>106</v>
      </c>
      <c r="C42" s="8" t="s">
        <v>86</v>
      </c>
      <c r="D42" s="10">
        <v>10</v>
      </c>
      <c r="E42" s="10">
        <v>10</v>
      </c>
      <c r="F42" s="8" t="s">
        <v>75</v>
      </c>
    </row>
    <row r="43" spans="2:6" x14ac:dyDescent="0.25">
      <c r="B43" s="8" t="s">
        <v>107</v>
      </c>
      <c r="C43" s="8" t="s">
        <v>83</v>
      </c>
      <c r="D43" s="10">
        <v>0</v>
      </c>
      <c r="E43" s="10">
        <v>0</v>
      </c>
      <c r="F43" s="8" t="s">
        <v>75</v>
      </c>
    </row>
    <row r="44" spans="2:6" x14ac:dyDescent="0.25">
      <c r="B44" s="8" t="s">
        <v>108</v>
      </c>
      <c r="C44" s="8" t="s">
        <v>86</v>
      </c>
      <c r="D44" s="10">
        <v>10</v>
      </c>
      <c r="E44" s="10">
        <v>10</v>
      </c>
      <c r="F44" s="8" t="s">
        <v>75</v>
      </c>
    </row>
    <row r="45" spans="2:6" x14ac:dyDescent="0.25">
      <c r="B45" s="8" t="s">
        <v>109</v>
      </c>
      <c r="C45" s="8" t="s">
        <v>83</v>
      </c>
      <c r="D45" s="10">
        <v>15</v>
      </c>
      <c r="E45" s="10">
        <v>15</v>
      </c>
      <c r="F45" s="8" t="s">
        <v>75</v>
      </c>
    </row>
    <row r="46" spans="2:6" x14ac:dyDescent="0.25">
      <c r="B46" s="8" t="s">
        <v>110</v>
      </c>
      <c r="C46" s="8" t="s">
        <v>111</v>
      </c>
      <c r="D46" s="10">
        <v>0</v>
      </c>
      <c r="E46" s="10">
        <v>0</v>
      </c>
      <c r="F46" s="8" t="s">
        <v>75</v>
      </c>
    </row>
    <row r="47" spans="2:6" x14ac:dyDescent="0.25">
      <c r="B47" s="8" t="s">
        <v>112</v>
      </c>
      <c r="C47" s="8" t="s">
        <v>83</v>
      </c>
      <c r="D47" s="10">
        <v>15</v>
      </c>
      <c r="E47" s="10">
        <v>15</v>
      </c>
      <c r="F47" s="8" t="s">
        <v>75</v>
      </c>
    </row>
    <row r="48" spans="2:6" x14ac:dyDescent="0.25">
      <c r="B48" s="8" t="s">
        <v>113</v>
      </c>
      <c r="C48" s="8" t="s">
        <v>111</v>
      </c>
      <c r="D48" s="10">
        <v>0</v>
      </c>
      <c r="E48" s="10">
        <v>0</v>
      </c>
      <c r="F48" s="8" t="s">
        <v>75</v>
      </c>
    </row>
    <row r="49" spans="2:6" x14ac:dyDescent="0.25">
      <c r="B49" s="8" t="s">
        <v>114</v>
      </c>
      <c r="C49" s="8" t="s">
        <v>83</v>
      </c>
      <c r="D49" s="10">
        <v>15</v>
      </c>
      <c r="E49" s="10">
        <v>15</v>
      </c>
      <c r="F49" s="8" t="s">
        <v>75</v>
      </c>
    </row>
    <row r="50" spans="2:6" x14ac:dyDescent="0.25">
      <c r="B50" s="8" t="s">
        <v>115</v>
      </c>
      <c r="C50" s="8" t="s">
        <v>111</v>
      </c>
      <c r="D50" s="10">
        <v>0</v>
      </c>
      <c r="E50" s="10">
        <v>0</v>
      </c>
      <c r="F50" s="8" t="s">
        <v>75</v>
      </c>
    </row>
    <row r="51" spans="2:6" x14ac:dyDescent="0.25">
      <c r="B51" s="8" t="s">
        <v>116</v>
      </c>
      <c r="C51" s="8" t="s">
        <v>83</v>
      </c>
      <c r="D51" s="10">
        <v>15</v>
      </c>
      <c r="E51" s="10">
        <v>15</v>
      </c>
      <c r="F51" s="8" t="s">
        <v>75</v>
      </c>
    </row>
    <row r="52" spans="2:6" x14ac:dyDescent="0.25">
      <c r="B52" s="8" t="s">
        <v>117</v>
      </c>
      <c r="C52" s="8" t="s">
        <v>111</v>
      </c>
      <c r="D52" s="10">
        <v>0</v>
      </c>
      <c r="E52" s="10">
        <v>0</v>
      </c>
      <c r="F52" s="8" t="s">
        <v>75</v>
      </c>
    </row>
    <row r="53" spans="2:6" x14ac:dyDescent="0.25">
      <c r="B53" s="8" t="s">
        <v>118</v>
      </c>
      <c r="C53" s="8" t="s">
        <v>83</v>
      </c>
      <c r="D53" s="10">
        <v>8</v>
      </c>
      <c r="E53" s="10">
        <v>8</v>
      </c>
      <c r="F53" s="8" t="s">
        <v>75</v>
      </c>
    </row>
    <row r="54" spans="2:6" x14ac:dyDescent="0.25">
      <c r="B54" s="8" t="s">
        <v>119</v>
      </c>
      <c r="C54" s="8" t="s">
        <v>111</v>
      </c>
      <c r="D54" s="10">
        <v>7</v>
      </c>
      <c r="E54" s="10">
        <v>7</v>
      </c>
      <c r="F54" s="8" t="s">
        <v>75</v>
      </c>
    </row>
    <row r="55" spans="2:6" x14ac:dyDescent="0.25">
      <c r="B55" s="8" t="s">
        <v>120</v>
      </c>
      <c r="C55" s="8" t="s">
        <v>83</v>
      </c>
      <c r="D55" s="10">
        <v>8</v>
      </c>
      <c r="E55" s="10">
        <v>8</v>
      </c>
      <c r="F55" s="8" t="s">
        <v>75</v>
      </c>
    </row>
    <row r="56" spans="2:6" x14ac:dyDescent="0.25">
      <c r="B56" s="8" t="s">
        <v>121</v>
      </c>
      <c r="C56" s="8" t="s">
        <v>111</v>
      </c>
      <c r="D56" s="10">
        <v>7</v>
      </c>
      <c r="E56" s="10">
        <v>7</v>
      </c>
      <c r="F56" s="8" t="s">
        <v>75</v>
      </c>
    </row>
    <row r="57" spans="2:6" x14ac:dyDescent="0.25">
      <c r="B57" s="8" t="s">
        <v>122</v>
      </c>
      <c r="C57" s="8" t="s">
        <v>83</v>
      </c>
      <c r="D57" s="10">
        <v>8</v>
      </c>
      <c r="E57" s="10">
        <v>8</v>
      </c>
      <c r="F57" s="8" t="s">
        <v>75</v>
      </c>
    </row>
    <row r="58" spans="2:6" x14ac:dyDescent="0.25">
      <c r="B58" s="8" t="s">
        <v>123</v>
      </c>
      <c r="C58" s="8" t="s">
        <v>111</v>
      </c>
      <c r="D58" s="10">
        <v>7</v>
      </c>
      <c r="E58" s="10">
        <v>7</v>
      </c>
      <c r="F58" s="8" t="s">
        <v>75</v>
      </c>
    </row>
    <row r="59" spans="2:6" x14ac:dyDescent="0.25">
      <c r="B59" s="8" t="s">
        <v>124</v>
      </c>
      <c r="C59" s="8" t="s">
        <v>83</v>
      </c>
      <c r="D59" s="10">
        <v>8</v>
      </c>
      <c r="E59" s="10">
        <v>8</v>
      </c>
      <c r="F59" s="8" t="s">
        <v>75</v>
      </c>
    </row>
    <row r="60" spans="2:6" x14ac:dyDescent="0.25">
      <c r="B60" s="8" t="s">
        <v>125</v>
      </c>
      <c r="C60" s="8" t="s">
        <v>111</v>
      </c>
      <c r="D60" s="10">
        <v>7</v>
      </c>
      <c r="E60" s="10">
        <v>7</v>
      </c>
      <c r="F60" s="8" t="s">
        <v>75</v>
      </c>
    </row>
    <row r="61" spans="2:6" x14ac:dyDescent="0.25">
      <c r="B61" s="8" t="s">
        <v>126</v>
      </c>
      <c r="C61" s="8" t="s">
        <v>83</v>
      </c>
      <c r="D61" s="10">
        <v>5</v>
      </c>
      <c r="E61" s="10">
        <v>5</v>
      </c>
      <c r="F61" s="8" t="s">
        <v>75</v>
      </c>
    </row>
    <row r="62" spans="2:6" x14ac:dyDescent="0.25">
      <c r="B62" s="8" t="s">
        <v>127</v>
      </c>
      <c r="C62" s="8" t="s">
        <v>111</v>
      </c>
      <c r="D62" s="10">
        <v>5</v>
      </c>
      <c r="E62" s="10">
        <v>5</v>
      </c>
      <c r="F62" s="8" t="s">
        <v>75</v>
      </c>
    </row>
    <row r="63" spans="2:6" x14ac:dyDescent="0.25">
      <c r="B63" s="8" t="s">
        <v>128</v>
      </c>
      <c r="C63" s="8" t="s">
        <v>83</v>
      </c>
      <c r="D63" s="10">
        <v>5</v>
      </c>
      <c r="E63" s="10">
        <v>5</v>
      </c>
      <c r="F63" s="8" t="s">
        <v>75</v>
      </c>
    </row>
    <row r="64" spans="2:6" x14ac:dyDescent="0.25">
      <c r="B64" s="8" t="s">
        <v>129</v>
      </c>
      <c r="C64" s="8" t="s">
        <v>111</v>
      </c>
      <c r="D64" s="10">
        <v>5</v>
      </c>
      <c r="E64" s="10">
        <v>5</v>
      </c>
      <c r="F64" s="8" t="s">
        <v>75</v>
      </c>
    </row>
    <row r="65" spans="2:6" x14ac:dyDescent="0.25">
      <c r="B65" s="8" t="s">
        <v>130</v>
      </c>
      <c r="C65" s="8" t="s">
        <v>83</v>
      </c>
      <c r="D65" s="10">
        <v>5</v>
      </c>
      <c r="E65" s="10">
        <v>5</v>
      </c>
      <c r="F65" s="8" t="s">
        <v>75</v>
      </c>
    </row>
    <row r="66" spans="2:6" x14ac:dyDescent="0.25">
      <c r="B66" s="8" t="s">
        <v>131</v>
      </c>
      <c r="C66" s="8" t="s">
        <v>111</v>
      </c>
      <c r="D66" s="10">
        <v>5</v>
      </c>
      <c r="E66" s="10">
        <v>5</v>
      </c>
      <c r="F66" s="8" t="s">
        <v>75</v>
      </c>
    </row>
    <row r="67" spans="2:6" x14ac:dyDescent="0.25">
      <c r="B67" s="8" t="s">
        <v>132</v>
      </c>
      <c r="C67" s="8" t="s">
        <v>83</v>
      </c>
      <c r="D67" s="10">
        <v>5</v>
      </c>
      <c r="E67" s="10">
        <v>5</v>
      </c>
      <c r="F67" s="8" t="s">
        <v>75</v>
      </c>
    </row>
    <row r="68" spans="2:6" x14ac:dyDescent="0.25">
      <c r="B68" s="8" t="s">
        <v>133</v>
      </c>
      <c r="C68" s="8" t="s">
        <v>111</v>
      </c>
      <c r="D68" s="10">
        <v>5</v>
      </c>
      <c r="E68" s="10">
        <v>5</v>
      </c>
      <c r="F68" s="8" t="s">
        <v>75</v>
      </c>
    </row>
    <row r="69" spans="2:6" x14ac:dyDescent="0.25">
      <c r="B69" s="8" t="s">
        <v>134</v>
      </c>
      <c r="C69" s="8" t="s">
        <v>83</v>
      </c>
      <c r="D69" s="10">
        <v>10</v>
      </c>
      <c r="E69" s="10">
        <v>10</v>
      </c>
      <c r="F69" s="8" t="s">
        <v>75</v>
      </c>
    </row>
    <row r="70" spans="2:6" x14ac:dyDescent="0.25">
      <c r="B70" s="8" t="s">
        <v>135</v>
      </c>
      <c r="C70" s="8" t="s">
        <v>111</v>
      </c>
      <c r="D70" s="10">
        <v>0</v>
      </c>
      <c r="E70" s="10">
        <v>0</v>
      </c>
      <c r="F70" s="8" t="s">
        <v>75</v>
      </c>
    </row>
    <row r="71" spans="2:6" x14ac:dyDescent="0.25">
      <c r="B71" s="8" t="s">
        <v>136</v>
      </c>
      <c r="C71" s="8" t="s">
        <v>83</v>
      </c>
      <c r="D71" s="10">
        <v>10</v>
      </c>
      <c r="E71" s="10">
        <v>10</v>
      </c>
      <c r="F71" s="8" t="s">
        <v>75</v>
      </c>
    </row>
    <row r="72" spans="2:6" x14ac:dyDescent="0.25">
      <c r="B72" s="8" t="s">
        <v>137</v>
      </c>
      <c r="C72" s="8" t="s">
        <v>111</v>
      </c>
      <c r="D72" s="10">
        <v>0</v>
      </c>
      <c r="E72" s="10">
        <v>0</v>
      </c>
      <c r="F72" s="8" t="s">
        <v>75</v>
      </c>
    </row>
    <row r="73" spans="2:6" x14ac:dyDescent="0.25">
      <c r="B73" s="8" t="s">
        <v>138</v>
      </c>
      <c r="C73" s="8" t="s">
        <v>83</v>
      </c>
      <c r="D73" s="10">
        <v>10</v>
      </c>
      <c r="E73" s="10">
        <v>10</v>
      </c>
      <c r="F73" s="8" t="s">
        <v>75</v>
      </c>
    </row>
    <row r="74" spans="2:6" x14ac:dyDescent="0.25">
      <c r="B74" s="8" t="s">
        <v>139</v>
      </c>
      <c r="C74" s="8" t="s">
        <v>111</v>
      </c>
      <c r="D74" s="10">
        <v>0</v>
      </c>
      <c r="E74" s="10">
        <v>0</v>
      </c>
      <c r="F74" s="8" t="s">
        <v>75</v>
      </c>
    </row>
    <row r="75" spans="2:6" x14ac:dyDescent="0.25">
      <c r="B75" s="8" t="s">
        <v>140</v>
      </c>
      <c r="C75" s="8" t="s">
        <v>83</v>
      </c>
      <c r="D75" s="10">
        <v>10</v>
      </c>
      <c r="E75" s="10">
        <v>10</v>
      </c>
      <c r="F75" s="8" t="s">
        <v>75</v>
      </c>
    </row>
    <row r="76" spans="2:6" x14ac:dyDescent="0.25">
      <c r="B76" s="8" t="s">
        <v>141</v>
      </c>
      <c r="C76" s="8" t="s">
        <v>111</v>
      </c>
      <c r="D76" s="10">
        <v>0</v>
      </c>
      <c r="E76" s="10">
        <v>0</v>
      </c>
      <c r="F76" s="8" t="s">
        <v>75</v>
      </c>
    </row>
    <row r="77" spans="2:6" x14ac:dyDescent="0.25">
      <c r="B77" s="8" t="s">
        <v>142</v>
      </c>
      <c r="C77" s="8" t="s">
        <v>143</v>
      </c>
      <c r="D77" s="10">
        <v>1</v>
      </c>
      <c r="E77" s="10">
        <v>1</v>
      </c>
      <c r="F77" s="8" t="s">
        <v>84</v>
      </c>
    </row>
    <row r="78" spans="2:6" x14ac:dyDescent="0.25">
      <c r="B78" s="8" t="s">
        <v>144</v>
      </c>
      <c r="C78" s="8" t="s">
        <v>145</v>
      </c>
      <c r="D78" s="10">
        <v>2</v>
      </c>
      <c r="E78" s="10">
        <v>2</v>
      </c>
      <c r="F78" s="8" t="s">
        <v>84</v>
      </c>
    </row>
    <row r="79" spans="2:6" x14ac:dyDescent="0.25">
      <c r="B79" s="8" t="s">
        <v>146</v>
      </c>
      <c r="C79" s="8" t="s">
        <v>147</v>
      </c>
      <c r="D79" s="10">
        <v>4.2631578947368416</v>
      </c>
      <c r="E79" s="10">
        <v>4.2631578947368416</v>
      </c>
      <c r="F79" s="8" t="s">
        <v>84</v>
      </c>
    </row>
    <row r="80" spans="2:6" x14ac:dyDescent="0.25">
      <c r="B80" s="8" t="s">
        <v>148</v>
      </c>
      <c r="C80" s="8" t="s">
        <v>149</v>
      </c>
      <c r="D80" s="10">
        <v>4.7368421052631575</v>
      </c>
      <c r="E80" s="10">
        <v>4.7368421052631575</v>
      </c>
      <c r="F80" s="8" t="s">
        <v>84</v>
      </c>
    </row>
    <row r="81" spans="2:6" x14ac:dyDescent="0.25">
      <c r="B81" s="8" t="s">
        <v>150</v>
      </c>
      <c r="C81" s="8" t="s">
        <v>151</v>
      </c>
      <c r="D81" s="10">
        <v>103.26315789473685</v>
      </c>
      <c r="E81" s="10">
        <v>103.26315789473685</v>
      </c>
      <c r="F81" s="8" t="s">
        <v>84</v>
      </c>
    </row>
    <row r="82" spans="2:6" x14ac:dyDescent="0.25">
      <c r="B82" s="8" t="s">
        <v>152</v>
      </c>
      <c r="C82" s="8" t="s">
        <v>153</v>
      </c>
      <c r="D82" s="10">
        <v>4.7368421052631575</v>
      </c>
      <c r="E82" s="10">
        <v>4.7368421052631575</v>
      </c>
      <c r="F82" s="8" t="s">
        <v>84</v>
      </c>
    </row>
    <row r="83" spans="2:6" x14ac:dyDescent="0.25">
      <c r="B83" s="8" t="s">
        <v>154</v>
      </c>
      <c r="C83" s="8" t="s">
        <v>143</v>
      </c>
      <c r="D83" s="10">
        <v>4.1052631541840139</v>
      </c>
      <c r="E83" s="10">
        <v>4.1052631541840139</v>
      </c>
      <c r="F83" s="8" t="s">
        <v>84</v>
      </c>
    </row>
    <row r="84" spans="2:6" x14ac:dyDescent="0.25">
      <c r="B84" s="8" t="s">
        <v>155</v>
      </c>
      <c r="C84" s="8" t="s">
        <v>145</v>
      </c>
      <c r="D84" s="10">
        <v>4.1052631541840139</v>
      </c>
      <c r="E84" s="10">
        <v>4.1052631541840139</v>
      </c>
      <c r="F84" s="8" t="s">
        <v>84</v>
      </c>
    </row>
    <row r="85" spans="2:6" x14ac:dyDescent="0.25">
      <c r="B85" s="8" t="s">
        <v>156</v>
      </c>
      <c r="C85" s="8" t="s">
        <v>147</v>
      </c>
      <c r="D85" s="10">
        <v>8.2105263083680278</v>
      </c>
      <c r="E85" s="10">
        <v>8.2105263083680278</v>
      </c>
      <c r="F85" s="8" t="s">
        <v>84</v>
      </c>
    </row>
    <row r="86" spans="2:6" x14ac:dyDescent="0.25">
      <c r="B86" s="8" t="s">
        <v>157</v>
      </c>
      <c r="C86" s="8" t="s">
        <v>149</v>
      </c>
      <c r="D86" s="10">
        <v>8.2105263083680278</v>
      </c>
      <c r="E86" s="10">
        <v>8.2105263083680278</v>
      </c>
      <c r="F86" s="8" t="s">
        <v>84</v>
      </c>
    </row>
    <row r="87" spans="2:6" x14ac:dyDescent="0.25">
      <c r="B87" s="8" t="s">
        <v>158</v>
      </c>
      <c r="C87" s="8" t="s">
        <v>159</v>
      </c>
      <c r="D87" s="10">
        <v>87.15789472014383</v>
      </c>
      <c r="E87" s="10">
        <v>87.15789472014383</v>
      </c>
      <c r="F87" s="8" t="s">
        <v>84</v>
      </c>
    </row>
    <row r="88" spans="2:6" x14ac:dyDescent="0.25">
      <c r="B88" s="8" t="s">
        <v>160</v>
      </c>
      <c r="C88" s="8" t="s">
        <v>161</v>
      </c>
      <c r="D88" s="10">
        <v>8.2105263083680278</v>
      </c>
      <c r="E88" s="10">
        <v>8.2105263083680278</v>
      </c>
      <c r="F88" s="8" t="s">
        <v>84</v>
      </c>
    </row>
    <row r="89" spans="2:6" x14ac:dyDescent="0.25">
      <c r="B89" s="8" t="s">
        <v>162</v>
      </c>
      <c r="C89" s="8" t="s">
        <v>143</v>
      </c>
      <c r="D89" s="10">
        <v>26.666666666666664</v>
      </c>
      <c r="E89" s="10">
        <v>26.666666666666664</v>
      </c>
      <c r="F89" s="8" t="s">
        <v>84</v>
      </c>
    </row>
    <row r="90" spans="2:6" x14ac:dyDescent="0.25">
      <c r="B90" s="8" t="s">
        <v>163</v>
      </c>
      <c r="C90" s="8" t="s">
        <v>145</v>
      </c>
      <c r="D90" s="10">
        <v>26.666666666666664</v>
      </c>
      <c r="E90" s="10">
        <v>26.666666666666664</v>
      </c>
      <c r="F90" s="8" t="s">
        <v>84</v>
      </c>
    </row>
    <row r="91" spans="2:6" x14ac:dyDescent="0.25">
      <c r="B91" s="8" t="s">
        <v>164</v>
      </c>
      <c r="C91" s="8" t="s">
        <v>147</v>
      </c>
      <c r="D91" s="10">
        <v>26.666666666666664</v>
      </c>
      <c r="E91" s="10">
        <v>26.666666666666664</v>
      </c>
      <c r="F91" s="8" t="s">
        <v>84</v>
      </c>
    </row>
    <row r="92" spans="2:6" x14ac:dyDescent="0.25">
      <c r="B92" s="8" t="s">
        <v>165</v>
      </c>
      <c r="C92" s="8" t="s">
        <v>149</v>
      </c>
      <c r="D92" s="10">
        <v>26.666666666666664</v>
      </c>
      <c r="E92" s="10">
        <v>26.666666666666664</v>
      </c>
      <c r="F92" s="8" t="s">
        <v>84</v>
      </c>
    </row>
    <row r="93" spans="2:6" x14ac:dyDescent="0.25">
      <c r="B93" s="8" t="s">
        <v>166</v>
      </c>
      <c r="C93" s="8" t="s">
        <v>159</v>
      </c>
      <c r="D93" s="10">
        <v>26.666666666666664</v>
      </c>
      <c r="E93" s="10">
        <v>26.666666666666664</v>
      </c>
      <c r="F93" s="8" t="s">
        <v>84</v>
      </c>
    </row>
    <row r="94" spans="2:6" ht="15.75" thickBot="1" x14ac:dyDescent="0.3">
      <c r="B94" s="6" t="s">
        <v>167</v>
      </c>
      <c r="C94" s="6" t="s">
        <v>161</v>
      </c>
      <c r="D94" s="9">
        <v>26.666666666666664</v>
      </c>
      <c r="E94" s="9">
        <v>26.666666666666664</v>
      </c>
      <c r="F94" s="6" t="s">
        <v>84</v>
      </c>
    </row>
    <row r="97" spans="1:7" ht="15.75" thickBot="1" x14ac:dyDescent="0.3">
      <c r="A97" t="s">
        <v>76</v>
      </c>
    </row>
    <row r="98" spans="1:7" ht="15.75" thickBot="1" x14ac:dyDescent="0.3">
      <c r="B98" s="7" t="s">
        <v>70</v>
      </c>
      <c r="C98" s="7" t="s">
        <v>71</v>
      </c>
      <c r="D98" s="7" t="s">
        <v>77</v>
      </c>
      <c r="E98" s="7" t="s">
        <v>78</v>
      </c>
      <c r="F98" s="7" t="s">
        <v>79</v>
      </c>
      <c r="G98" s="7" t="s">
        <v>80</v>
      </c>
    </row>
    <row r="99" spans="1:7" x14ac:dyDescent="0.25">
      <c r="B99" s="8" t="s">
        <v>168</v>
      </c>
      <c r="C99" s="8" t="s">
        <v>0</v>
      </c>
      <c r="D99" s="10">
        <v>20</v>
      </c>
      <c r="E99" s="8" t="s">
        <v>169</v>
      </c>
      <c r="F99" s="8" t="s">
        <v>170</v>
      </c>
      <c r="G99" s="8">
        <v>0</v>
      </c>
    </row>
    <row r="100" spans="1:7" x14ac:dyDescent="0.25">
      <c r="B100" s="8" t="s">
        <v>171</v>
      </c>
      <c r="C100" s="8" t="s">
        <v>0</v>
      </c>
      <c r="D100" s="10">
        <v>20</v>
      </c>
      <c r="E100" s="8" t="s">
        <v>172</v>
      </c>
      <c r="F100" s="8" t="s">
        <v>170</v>
      </c>
      <c r="G100" s="8">
        <v>0</v>
      </c>
    </row>
    <row r="101" spans="1:7" x14ac:dyDescent="0.25">
      <c r="B101" s="8" t="s">
        <v>173</v>
      </c>
      <c r="C101" s="8" t="s">
        <v>0</v>
      </c>
      <c r="D101" s="10">
        <v>20</v>
      </c>
      <c r="E101" s="8" t="s">
        <v>174</v>
      </c>
      <c r="F101" s="8" t="s">
        <v>170</v>
      </c>
      <c r="G101" s="8">
        <v>0</v>
      </c>
    </row>
    <row r="102" spans="1:7" x14ac:dyDescent="0.25">
      <c r="B102" s="8" t="s">
        <v>175</v>
      </c>
      <c r="C102" s="8" t="s">
        <v>0</v>
      </c>
      <c r="D102" s="10">
        <v>20</v>
      </c>
      <c r="E102" s="8" t="s">
        <v>176</v>
      </c>
      <c r="F102" s="8" t="s">
        <v>170</v>
      </c>
      <c r="G102" s="8">
        <v>0</v>
      </c>
    </row>
    <row r="103" spans="1:7" x14ac:dyDescent="0.25">
      <c r="B103" s="8" t="s">
        <v>177</v>
      </c>
      <c r="C103" s="8" t="s">
        <v>0</v>
      </c>
      <c r="D103" s="10">
        <v>10</v>
      </c>
      <c r="E103" s="8" t="s">
        <v>178</v>
      </c>
      <c r="F103" s="8" t="s">
        <v>170</v>
      </c>
      <c r="G103" s="8">
        <v>0</v>
      </c>
    </row>
    <row r="104" spans="1:7" x14ac:dyDescent="0.25">
      <c r="B104" s="8" t="s">
        <v>179</v>
      </c>
      <c r="C104" s="8" t="s">
        <v>0</v>
      </c>
      <c r="D104" s="10">
        <v>10</v>
      </c>
      <c r="E104" s="8" t="s">
        <v>180</v>
      </c>
      <c r="F104" s="8" t="s">
        <v>170</v>
      </c>
      <c r="G104" s="8">
        <v>0</v>
      </c>
    </row>
    <row r="105" spans="1:7" x14ac:dyDescent="0.25">
      <c r="B105" s="8" t="s">
        <v>181</v>
      </c>
      <c r="C105" s="8" t="s">
        <v>0</v>
      </c>
      <c r="D105" s="10">
        <v>10</v>
      </c>
      <c r="E105" s="8" t="s">
        <v>182</v>
      </c>
      <c r="F105" s="8" t="s">
        <v>170</v>
      </c>
      <c r="G105" s="8">
        <v>0</v>
      </c>
    </row>
    <row r="106" spans="1:7" x14ac:dyDescent="0.25">
      <c r="B106" s="8" t="s">
        <v>183</v>
      </c>
      <c r="C106" s="8" t="s">
        <v>0</v>
      </c>
      <c r="D106" s="10">
        <v>10</v>
      </c>
      <c r="E106" s="8" t="s">
        <v>184</v>
      </c>
      <c r="F106" s="8" t="s">
        <v>170</v>
      </c>
      <c r="G106" s="8">
        <v>0</v>
      </c>
    </row>
    <row r="107" spans="1:7" x14ac:dyDescent="0.25">
      <c r="B107" s="8" t="s">
        <v>185</v>
      </c>
      <c r="C107" s="8" t="s">
        <v>6</v>
      </c>
      <c r="D107" s="10">
        <v>15</v>
      </c>
      <c r="E107" s="8" t="s">
        <v>186</v>
      </c>
      <c r="F107" s="8" t="s">
        <v>170</v>
      </c>
      <c r="G107" s="8">
        <v>0</v>
      </c>
    </row>
    <row r="108" spans="1:7" x14ac:dyDescent="0.25">
      <c r="B108" s="8" t="s">
        <v>187</v>
      </c>
      <c r="C108" s="8" t="s">
        <v>6</v>
      </c>
      <c r="D108" s="10">
        <v>15</v>
      </c>
      <c r="E108" s="8" t="s">
        <v>188</v>
      </c>
      <c r="F108" s="8" t="s">
        <v>170</v>
      </c>
      <c r="G108" s="8">
        <v>0</v>
      </c>
    </row>
    <row r="109" spans="1:7" x14ac:dyDescent="0.25">
      <c r="B109" s="8" t="s">
        <v>189</v>
      </c>
      <c r="C109" s="8" t="s">
        <v>6</v>
      </c>
      <c r="D109" s="10">
        <v>15</v>
      </c>
      <c r="E109" s="8" t="s">
        <v>190</v>
      </c>
      <c r="F109" s="8" t="s">
        <v>170</v>
      </c>
      <c r="G109" s="8">
        <v>0</v>
      </c>
    </row>
    <row r="110" spans="1:7" x14ac:dyDescent="0.25">
      <c r="B110" s="8" t="s">
        <v>191</v>
      </c>
      <c r="C110" s="8" t="s">
        <v>6</v>
      </c>
      <c r="D110" s="10">
        <v>15</v>
      </c>
      <c r="E110" s="8" t="s">
        <v>192</v>
      </c>
      <c r="F110" s="8" t="s">
        <v>170</v>
      </c>
      <c r="G110" s="8">
        <v>0</v>
      </c>
    </row>
    <row r="111" spans="1:7" x14ac:dyDescent="0.25">
      <c r="B111" s="8" t="s">
        <v>193</v>
      </c>
      <c r="C111" s="8" t="s">
        <v>6</v>
      </c>
      <c r="D111" s="10">
        <v>15</v>
      </c>
      <c r="E111" s="8" t="s">
        <v>194</v>
      </c>
      <c r="F111" s="8" t="s">
        <v>170</v>
      </c>
      <c r="G111" s="8">
        <v>0</v>
      </c>
    </row>
    <row r="112" spans="1:7" x14ac:dyDescent="0.25">
      <c r="B112" s="8" t="s">
        <v>195</v>
      </c>
      <c r="C112" s="8" t="s">
        <v>6</v>
      </c>
      <c r="D112" s="10">
        <v>15</v>
      </c>
      <c r="E112" s="8" t="s">
        <v>196</v>
      </c>
      <c r="F112" s="8" t="s">
        <v>170</v>
      </c>
      <c r="G112" s="8">
        <v>0</v>
      </c>
    </row>
    <row r="113" spans="2:7" x14ac:dyDescent="0.25">
      <c r="B113" s="8" t="s">
        <v>197</v>
      </c>
      <c r="C113" s="8" t="s">
        <v>6</v>
      </c>
      <c r="D113" s="10">
        <v>15</v>
      </c>
      <c r="E113" s="8" t="s">
        <v>198</v>
      </c>
      <c r="F113" s="8" t="s">
        <v>170</v>
      </c>
      <c r="G113" s="8">
        <v>0</v>
      </c>
    </row>
    <row r="114" spans="2:7" x14ac:dyDescent="0.25">
      <c r="B114" s="8" t="s">
        <v>199</v>
      </c>
      <c r="C114" s="8" t="s">
        <v>6</v>
      </c>
      <c r="D114" s="10">
        <v>15</v>
      </c>
      <c r="E114" s="8" t="s">
        <v>200</v>
      </c>
      <c r="F114" s="8" t="s">
        <v>170</v>
      </c>
      <c r="G114" s="8">
        <v>0</v>
      </c>
    </row>
    <row r="115" spans="2:7" x14ac:dyDescent="0.25">
      <c r="B115" s="8" t="s">
        <v>201</v>
      </c>
      <c r="C115" s="8" t="s">
        <v>6</v>
      </c>
      <c r="D115" s="10">
        <v>10</v>
      </c>
      <c r="E115" s="8" t="s">
        <v>202</v>
      </c>
      <c r="F115" s="8" t="s">
        <v>170</v>
      </c>
      <c r="G115" s="8">
        <v>0</v>
      </c>
    </row>
    <row r="116" spans="2:7" x14ac:dyDescent="0.25">
      <c r="B116" s="8" t="s">
        <v>203</v>
      </c>
      <c r="C116" s="8" t="s">
        <v>6</v>
      </c>
      <c r="D116" s="10">
        <v>10</v>
      </c>
      <c r="E116" s="8" t="s">
        <v>204</v>
      </c>
      <c r="F116" s="8" t="s">
        <v>170</v>
      </c>
      <c r="G116" s="8">
        <v>0</v>
      </c>
    </row>
    <row r="117" spans="2:7" x14ac:dyDescent="0.25">
      <c r="B117" s="8" t="s">
        <v>205</v>
      </c>
      <c r="C117" s="8" t="s">
        <v>6</v>
      </c>
      <c r="D117" s="10">
        <v>10</v>
      </c>
      <c r="E117" s="8" t="s">
        <v>206</v>
      </c>
      <c r="F117" s="8" t="s">
        <v>170</v>
      </c>
      <c r="G117" s="8">
        <v>0</v>
      </c>
    </row>
    <row r="118" spans="2:7" x14ac:dyDescent="0.25">
      <c r="B118" s="8" t="s">
        <v>207</v>
      </c>
      <c r="C118" s="8" t="s">
        <v>6</v>
      </c>
      <c r="D118" s="10">
        <v>10</v>
      </c>
      <c r="E118" s="8" t="s">
        <v>208</v>
      </c>
      <c r="F118" s="8" t="s">
        <v>170</v>
      </c>
      <c r="G118" s="8">
        <v>0</v>
      </c>
    </row>
    <row r="119" spans="2:7" x14ac:dyDescent="0.25">
      <c r="B119" s="8" t="s">
        <v>209</v>
      </c>
      <c r="C119" s="8" t="s">
        <v>6</v>
      </c>
      <c r="D119" s="10">
        <v>10</v>
      </c>
      <c r="E119" s="8" t="s">
        <v>210</v>
      </c>
      <c r="F119" s="8" t="s">
        <v>170</v>
      </c>
      <c r="G119" s="8">
        <v>0</v>
      </c>
    </row>
    <row r="120" spans="2:7" x14ac:dyDescent="0.25">
      <c r="B120" s="8" t="s">
        <v>211</v>
      </c>
      <c r="C120" s="8" t="s">
        <v>6</v>
      </c>
      <c r="D120" s="10">
        <v>10</v>
      </c>
      <c r="E120" s="8" t="s">
        <v>212</v>
      </c>
      <c r="F120" s="8" t="s">
        <v>170</v>
      </c>
      <c r="G120" s="8">
        <v>0</v>
      </c>
    </row>
    <row r="121" spans="2:7" x14ac:dyDescent="0.25">
      <c r="B121" s="8" t="s">
        <v>213</v>
      </c>
      <c r="C121" s="8" t="s">
        <v>6</v>
      </c>
      <c r="D121" s="10">
        <v>10</v>
      </c>
      <c r="E121" s="8" t="s">
        <v>214</v>
      </c>
      <c r="F121" s="8" t="s">
        <v>170</v>
      </c>
      <c r="G121" s="8">
        <v>0</v>
      </c>
    </row>
    <row r="122" spans="2:7" x14ac:dyDescent="0.25">
      <c r="B122" s="8" t="s">
        <v>215</v>
      </c>
      <c r="C122" s="8" t="s">
        <v>6</v>
      </c>
      <c r="D122" s="10">
        <v>10</v>
      </c>
      <c r="E122" s="8" t="s">
        <v>216</v>
      </c>
      <c r="F122" s="8" t="s">
        <v>170</v>
      </c>
      <c r="G122" s="8">
        <v>0</v>
      </c>
    </row>
    <row r="123" spans="2:7" x14ac:dyDescent="0.25">
      <c r="B123" s="8" t="s">
        <v>217</v>
      </c>
      <c r="C123" s="8" t="s">
        <v>0</v>
      </c>
      <c r="D123" s="10">
        <v>20</v>
      </c>
      <c r="E123" s="8" t="s">
        <v>218</v>
      </c>
      <c r="F123" s="8" t="s">
        <v>170</v>
      </c>
      <c r="G123" s="8">
        <v>0</v>
      </c>
    </row>
    <row r="124" spans="2:7" x14ac:dyDescent="0.25">
      <c r="B124" s="8" t="s">
        <v>219</v>
      </c>
      <c r="C124" s="8" t="s">
        <v>0</v>
      </c>
      <c r="D124" s="10">
        <v>20</v>
      </c>
      <c r="E124" s="8" t="s">
        <v>220</v>
      </c>
      <c r="F124" s="8" t="s">
        <v>170</v>
      </c>
      <c r="G124" s="8">
        <v>0</v>
      </c>
    </row>
    <row r="125" spans="2:7" x14ac:dyDescent="0.25">
      <c r="B125" s="8" t="s">
        <v>221</v>
      </c>
      <c r="C125" s="8" t="s">
        <v>0</v>
      </c>
      <c r="D125" s="10">
        <v>20</v>
      </c>
      <c r="E125" s="8" t="s">
        <v>222</v>
      </c>
      <c r="F125" s="8" t="s">
        <v>170</v>
      </c>
      <c r="G125" s="8">
        <v>0</v>
      </c>
    </row>
    <row r="126" spans="2:7" x14ac:dyDescent="0.25">
      <c r="B126" s="8" t="s">
        <v>223</v>
      </c>
      <c r="C126" s="8" t="s">
        <v>0</v>
      </c>
      <c r="D126" s="10">
        <v>20</v>
      </c>
      <c r="E126" s="8" t="s">
        <v>224</v>
      </c>
      <c r="F126" s="8" t="s">
        <v>170</v>
      </c>
      <c r="G126" s="8">
        <v>0</v>
      </c>
    </row>
    <row r="127" spans="2:7" x14ac:dyDescent="0.25">
      <c r="B127" s="8" t="s">
        <v>225</v>
      </c>
      <c r="C127" s="8" t="s">
        <v>6</v>
      </c>
      <c r="D127" s="10">
        <v>120</v>
      </c>
      <c r="E127" s="8" t="s">
        <v>226</v>
      </c>
      <c r="F127" s="8" t="s">
        <v>170</v>
      </c>
      <c r="G127" s="8">
        <v>0</v>
      </c>
    </row>
    <row r="128" spans="2:7" x14ac:dyDescent="0.25">
      <c r="B128" s="8" t="s">
        <v>227</v>
      </c>
      <c r="C128" s="8" t="s">
        <v>6</v>
      </c>
      <c r="D128" s="10">
        <v>120</v>
      </c>
      <c r="E128" s="8" t="s">
        <v>228</v>
      </c>
      <c r="F128" s="8" t="s">
        <v>170</v>
      </c>
      <c r="G128" s="8">
        <v>0</v>
      </c>
    </row>
    <row r="129" spans="2:7" x14ac:dyDescent="0.25">
      <c r="B129" s="8" t="s">
        <v>229</v>
      </c>
      <c r="C129" s="8" t="s">
        <v>6</v>
      </c>
      <c r="D129" s="10">
        <v>160</v>
      </c>
      <c r="E129" s="8" t="s">
        <v>230</v>
      </c>
      <c r="F129" s="8" t="s">
        <v>170</v>
      </c>
      <c r="G129" s="8">
        <v>0</v>
      </c>
    </row>
    <row r="130" spans="2:7" x14ac:dyDescent="0.25">
      <c r="B130" s="8" t="s">
        <v>109</v>
      </c>
      <c r="C130" s="8" t="s">
        <v>83</v>
      </c>
      <c r="D130" s="10">
        <v>15</v>
      </c>
      <c r="E130" s="8" t="s">
        <v>231</v>
      </c>
      <c r="F130" s="8" t="s">
        <v>232</v>
      </c>
      <c r="G130" s="10">
        <v>15</v>
      </c>
    </row>
    <row r="131" spans="2:7" x14ac:dyDescent="0.25">
      <c r="B131" s="8" t="s">
        <v>112</v>
      </c>
      <c r="C131" s="8" t="s">
        <v>83</v>
      </c>
      <c r="D131" s="10">
        <v>15</v>
      </c>
      <c r="E131" s="8" t="s">
        <v>233</v>
      </c>
      <c r="F131" s="8" t="s">
        <v>232</v>
      </c>
      <c r="G131" s="10">
        <v>15</v>
      </c>
    </row>
    <row r="132" spans="2:7" x14ac:dyDescent="0.25">
      <c r="B132" s="8" t="s">
        <v>114</v>
      </c>
      <c r="C132" s="8" t="s">
        <v>83</v>
      </c>
      <c r="D132" s="10">
        <v>15</v>
      </c>
      <c r="E132" s="8" t="s">
        <v>234</v>
      </c>
      <c r="F132" s="8" t="s">
        <v>232</v>
      </c>
      <c r="G132" s="10">
        <v>15</v>
      </c>
    </row>
    <row r="133" spans="2:7" x14ac:dyDescent="0.25">
      <c r="B133" s="8" t="s">
        <v>116</v>
      </c>
      <c r="C133" s="8" t="s">
        <v>83</v>
      </c>
      <c r="D133" s="10">
        <v>15</v>
      </c>
      <c r="E133" s="8" t="s">
        <v>235</v>
      </c>
      <c r="F133" s="8" t="s">
        <v>232</v>
      </c>
      <c r="G133" s="10">
        <v>15</v>
      </c>
    </row>
    <row r="134" spans="2:7" x14ac:dyDescent="0.25">
      <c r="B134" s="8" t="s">
        <v>118</v>
      </c>
      <c r="C134" s="8" t="s">
        <v>83</v>
      </c>
      <c r="D134" s="10">
        <v>8</v>
      </c>
      <c r="E134" s="8" t="s">
        <v>236</v>
      </c>
      <c r="F134" s="8" t="s">
        <v>232</v>
      </c>
      <c r="G134" s="10">
        <v>1</v>
      </c>
    </row>
    <row r="135" spans="2:7" x14ac:dyDescent="0.25">
      <c r="B135" s="8" t="s">
        <v>120</v>
      </c>
      <c r="C135" s="8" t="s">
        <v>83</v>
      </c>
      <c r="D135" s="10">
        <v>8</v>
      </c>
      <c r="E135" s="8" t="s">
        <v>237</v>
      </c>
      <c r="F135" s="8" t="s">
        <v>232</v>
      </c>
      <c r="G135" s="10">
        <v>1</v>
      </c>
    </row>
    <row r="136" spans="2:7" x14ac:dyDescent="0.25">
      <c r="B136" s="8" t="s">
        <v>122</v>
      </c>
      <c r="C136" s="8" t="s">
        <v>83</v>
      </c>
      <c r="D136" s="10">
        <v>8</v>
      </c>
      <c r="E136" s="8" t="s">
        <v>238</v>
      </c>
      <c r="F136" s="8" t="s">
        <v>232</v>
      </c>
      <c r="G136" s="10">
        <v>1</v>
      </c>
    </row>
    <row r="137" spans="2:7" x14ac:dyDescent="0.25">
      <c r="B137" s="8" t="s">
        <v>124</v>
      </c>
      <c r="C137" s="8" t="s">
        <v>83</v>
      </c>
      <c r="D137" s="10">
        <v>8</v>
      </c>
      <c r="E137" s="8" t="s">
        <v>239</v>
      </c>
      <c r="F137" s="8" t="s">
        <v>232</v>
      </c>
      <c r="G137" s="10">
        <v>1</v>
      </c>
    </row>
    <row r="138" spans="2:7" x14ac:dyDescent="0.25">
      <c r="B138" s="8" t="s">
        <v>126</v>
      </c>
      <c r="C138" s="8" t="s">
        <v>83</v>
      </c>
      <c r="D138" s="10">
        <v>5</v>
      </c>
      <c r="E138" s="8" t="s">
        <v>240</v>
      </c>
      <c r="F138" s="8" t="s">
        <v>170</v>
      </c>
      <c r="G138" s="10">
        <v>0</v>
      </c>
    </row>
    <row r="139" spans="2:7" x14ac:dyDescent="0.25">
      <c r="B139" s="8" t="s">
        <v>128</v>
      </c>
      <c r="C139" s="8" t="s">
        <v>83</v>
      </c>
      <c r="D139" s="10">
        <v>5</v>
      </c>
      <c r="E139" s="8" t="s">
        <v>241</v>
      </c>
      <c r="F139" s="8" t="s">
        <v>170</v>
      </c>
      <c r="G139" s="10">
        <v>0</v>
      </c>
    </row>
    <row r="140" spans="2:7" x14ac:dyDescent="0.25">
      <c r="B140" s="8" t="s">
        <v>130</v>
      </c>
      <c r="C140" s="8" t="s">
        <v>83</v>
      </c>
      <c r="D140" s="10">
        <v>5</v>
      </c>
      <c r="E140" s="8" t="s">
        <v>242</v>
      </c>
      <c r="F140" s="8" t="s">
        <v>170</v>
      </c>
      <c r="G140" s="10">
        <v>0</v>
      </c>
    </row>
    <row r="141" spans="2:7" x14ac:dyDescent="0.25">
      <c r="B141" s="8" t="s">
        <v>132</v>
      </c>
      <c r="C141" s="8" t="s">
        <v>83</v>
      </c>
      <c r="D141" s="10">
        <v>5</v>
      </c>
      <c r="E141" s="8" t="s">
        <v>243</v>
      </c>
      <c r="F141" s="8" t="s">
        <v>170</v>
      </c>
      <c r="G141" s="10">
        <v>0</v>
      </c>
    </row>
    <row r="142" spans="2:7" x14ac:dyDescent="0.25">
      <c r="B142" s="8" t="s">
        <v>134</v>
      </c>
      <c r="C142" s="8" t="s">
        <v>83</v>
      </c>
      <c r="D142" s="10">
        <v>10</v>
      </c>
      <c r="E142" s="8" t="s">
        <v>244</v>
      </c>
      <c r="F142" s="8" t="s">
        <v>232</v>
      </c>
      <c r="G142" s="10">
        <v>10</v>
      </c>
    </row>
    <row r="143" spans="2:7" x14ac:dyDescent="0.25">
      <c r="B143" s="8" t="s">
        <v>136</v>
      </c>
      <c r="C143" s="8" t="s">
        <v>83</v>
      </c>
      <c r="D143" s="10">
        <v>10</v>
      </c>
      <c r="E143" s="8" t="s">
        <v>245</v>
      </c>
      <c r="F143" s="8" t="s">
        <v>232</v>
      </c>
      <c r="G143" s="10">
        <v>10</v>
      </c>
    </row>
    <row r="144" spans="2:7" x14ac:dyDescent="0.25">
      <c r="B144" s="8" t="s">
        <v>138</v>
      </c>
      <c r="C144" s="8" t="s">
        <v>83</v>
      </c>
      <c r="D144" s="10">
        <v>10</v>
      </c>
      <c r="E144" s="8" t="s">
        <v>246</v>
      </c>
      <c r="F144" s="8" t="s">
        <v>232</v>
      </c>
      <c r="G144" s="10">
        <v>10</v>
      </c>
    </row>
    <row r="145" spans="2:7" x14ac:dyDescent="0.25">
      <c r="B145" s="8" t="s">
        <v>140</v>
      </c>
      <c r="C145" s="8" t="s">
        <v>83</v>
      </c>
      <c r="D145" s="10">
        <v>10</v>
      </c>
      <c r="E145" s="8" t="s">
        <v>247</v>
      </c>
      <c r="F145" s="8" t="s">
        <v>232</v>
      </c>
      <c r="G145" s="10">
        <v>10</v>
      </c>
    </row>
    <row r="146" spans="2:7" x14ac:dyDescent="0.25">
      <c r="B146" s="8" t="s">
        <v>146</v>
      </c>
      <c r="C146" s="8" t="s">
        <v>147</v>
      </c>
      <c r="D146" s="10">
        <v>4.2631578947368416</v>
      </c>
      <c r="E146" s="8" t="s">
        <v>248</v>
      </c>
      <c r="F146" s="8" t="s">
        <v>170</v>
      </c>
      <c r="G146" s="8">
        <v>0</v>
      </c>
    </row>
    <row r="147" spans="2:7" x14ac:dyDescent="0.25">
      <c r="B147" s="8" t="s">
        <v>150</v>
      </c>
      <c r="C147" s="8" t="s">
        <v>151</v>
      </c>
      <c r="D147" s="10">
        <v>103.26315789473685</v>
      </c>
      <c r="E147" s="8" t="s">
        <v>249</v>
      </c>
      <c r="F147" s="8" t="s">
        <v>232</v>
      </c>
      <c r="G147" s="10">
        <v>96.15789473684211</v>
      </c>
    </row>
    <row r="148" spans="2:7" x14ac:dyDescent="0.25">
      <c r="B148" s="8" t="s">
        <v>154</v>
      </c>
      <c r="C148" s="8" t="s">
        <v>143</v>
      </c>
      <c r="D148" s="10">
        <v>4.1052631541840139</v>
      </c>
      <c r="E148" s="8" t="s">
        <v>250</v>
      </c>
      <c r="F148" s="8" t="s">
        <v>170</v>
      </c>
      <c r="G148" s="8">
        <v>0</v>
      </c>
    </row>
    <row r="149" spans="2:7" x14ac:dyDescent="0.25">
      <c r="B149" s="8" t="s">
        <v>154</v>
      </c>
      <c r="C149" s="8" t="s">
        <v>143</v>
      </c>
      <c r="D149" s="10">
        <v>4.1052631541840139</v>
      </c>
      <c r="E149" s="8" t="s">
        <v>251</v>
      </c>
      <c r="F149" s="8" t="s">
        <v>170</v>
      </c>
      <c r="G149" s="8">
        <v>0</v>
      </c>
    </row>
    <row r="150" spans="2:7" x14ac:dyDescent="0.25">
      <c r="B150" s="8" t="s">
        <v>156</v>
      </c>
      <c r="C150" s="8" t="s">
        <v>147</v>
      </c>
      <c r="D150" s="10">
        <v>8.2105263083680278</v>
      </c>
      <c r="E150" s="8" t="s">
        <v>252</v>
      </c>
      <c r="F150" s="8" t="s">
        <v>232</v>
      </c>
      <c r="G150" s="8">
        <v>78.947368411775798</v>
      </c>
    </row>
    <row r="151" spans="2:7" x14ac:dyDescent="0.25">
      <c r="B151" s="8" t="s">
        <v>156</v>
      </c>
      <c r="C151" s="8" t="s">
        <v>147</v>
      </c>
      <c r="D151" s="10">
        <v>8.2105263083680278</v>
      </c>
      <c r="E151" s="8" t="s">
        <v>253</v>
      </c>
      <c r="F151" s="8" t="s">
        <v>170</v>
      </c>
      <c r="G151" s="8">
        <v>0</v>
      </c>
    </row>
    <row r="152" spans="2:7" x14ac:dyDescent="0.25">
      <c r="B152" s="8" t="s">
        <v>158</v>
      </c>
      <c r="C152" s="8" t="s">
        <v>159</v>
      </c>
      <c r="D152" s="10">
        <v>87.15789472014383</v>
      </c>
      <c r="E152" s="8" t="s">
        <v>254</v>
      </c>
      <c r="F152" s="8" t="s">
        <v>232</v>
      </c>
      <c r="G152" s="10">
        <v>78.947368411775798</v>
      </c>
    </row>
    <row r="153" spans="2:7" x14ac:dyDescent="0.25">
      <c r="B153" s="8" t="s">
        <v>162</v>
      </c>
      <c r="C153" s="8" t="s">
        <v>143</v>
      </c>
      <c r="D153" s="10">
        <v>26.666666666666664</v>
      </c>
      <c r="E153" s="8" t="s">
        <v>255</v>
      </c>
      <c r="F153" s="8" t="s">
        <v>170</v>
      </c>
      <c r="G153" s="8">
        <v>0</v>
      </c>
    </row>
    <row r="154" spans="2:7" x14ac:dyDescent="0.25">
      <c r="B154" s="8" t="s">
        <v>162</v>
      </c>
      <c r="C154" s="8" t="s">
        <v>143</v>
      </c>
      <c r="D154" s="10">
        <v>26.666666666666664</v>
      </c>
      <c r="E154" s="8" t="s">
        <v>256</v>
      </c>
      <c r="F154" s="8" t="s">
        <v>170</v>
      </c>
      <c r="G154" s="8">
        <v>0</v>
      </c>
    </row>
    <row r="155" spans="2:7" x14ac:dyDescent="0.25">
      <c r="B155" s="8" t="s">
        <v>164</v>
      </c>
      <c r="C155" s="8" t="s">
        <v>147</v>
      </c>
      <c r="D155" s="10">
        <v>26.666666666666664</v>
      </c>
      <c r="E155" s="8" t="s">
        <v>257</v>
      </c>
      <c r="F155" s="8" t="s">
        <v>170</v>
      </c>
      <c r="G155" s="8">
        <v>0</v>
      </c>
    </row>
    <row r="156" spans="2:7" x14ac:dyDescent="0.25">
      <c r="B156" s="8" t="s">
        <v>164</v>
      </c>
      <c r="C156" s="8" t="s">
        <v>147</v>
      </c>
      <c r="D156" s="10">
        <v>26.666666666666664</v>
      </c>
      <c r="E156" s="8" t="s">
        <v>258</v>
      </c>
      <c r="F156" s="8" t="s">
        <v>170</v>
      </c>
      <c r="G156" s="10">
        <v>0</v>
      </c>
    </row>
    <row r="157" spans="2:7" x14ac:dyDescent="0.25">
      <c r="B157" s="8" t="s">
        <v>166</v>
      </c>
      <c r="C157" s="8" t="s">
        <v>159</v>
      </c>
      <c r="D157" s="10">
        <v>26.666666666666664</v>
      </c>
      <c r="E157" s="8" t="s">
        <v>259</v>
      </c>
      <c r="F157" s="8" t="s">
        <v>170</v>
      </c>
      <c r="G157" s="10">
        <v>0</v>
      </c>
    </row>
    <row r="158" spans="2:7" x14ac:dyDescent="0.25">
      <c r="B158" s="8" t="s">
        <v>260</v>
      </c>
      <c r="C158" s="8" t="s">
        <v>50</v>
      </c>
      <c r="D158" s="10">
        <v>479.99999997216958</v>
      </c>
      <c r="E158" s="8" t="s">
        <v>261</v>
      </c>
      <c r="F158" s="8" t="s">
        <v>170</v>
      </c>
      <c r="G158" s="10">
        <v>0</v>
      </c>
    </row>
    <row r="159" spans="2:7" x14ac:dyDescent="0.25">
      <c r="B159" s="8" t="s">
        <v>144</v>
      </c>
      <c r="C159" s="8" t="s">
        <v>145</v>
      </c>
      <c r="D159" s="10">
        <v>2</v>
      </c>
      <c r="E159" s="8" t="s">
        <v>262</v>
      </c>
      <c r="F159" s="8" t="s">
        <v>232</v>
      </c>
      <c r="G159" s="8">
        <v>2.7368421052631575</v>
      </c>
    </row>
    <row r="160" spans="2:7" x14ac:dyDescent="0.25">
      <c r="B160" s="8" t="s">
        <v>144</v>
      </c>
      <c r="C160" s="8" t="s">
        <v>145</v>
      </c>
      <c r="D160" s="10">
        <v>2</v>
      </c>
      <c r="E160" s="8" t="s">
        <v>263</v>
      </c>
      <c r="F160" s="8" t="s">
        <v>170</v>
      </c>
      <c r="G160" s="10">
        <v>0</v>
      </c>
    </row>
    <row r="161" spans="2:7" x14ac:dyDescent="0.25">
      <c r="B161" s="8" t="s">
        <v>148</v>
      </c>
      <c r="C161" s="8" t="s">
        <v>149</v>
      </c>
      <c r="D161" s="10">
        <v>4.7368421052631575</v>
      </c>
      <c r="E161" s="8" t="s">
        <v>264</v>
      </c>
      <c r="F161" s="8" t="s">
        <v>170</v>
      </c>
      <c r="G161" s="8">
        <v>0</v>
      </c>
    </row>
    <row r="162" spans="2:7" x14ac:dyDescent="0.25">
      <c r="B162" s="8" t="s">
        <v>155</v>
      </c>
      <c r="C162" s="8" t="s">
        <v>145</v>
      </c>
      <c r="D162" s="10">
        <v>4.1052631541840139</v>
      </c>
      <c r="E162" s="8" t="s">
        <v>265</v>
      </c>
      <c r="F162" s="8" t="s">
        <v>232</v>
      </c>
      <c r="G162" s="8">
        <v>4.1052631541840139</v>
      </c>
    </row>
    <row r="163" spans="2:7" x14ac:dyDescent="0.25">
      <c r="B163" s="8" t="s">
        <v>157</v>
      </c>
      <c r="C163" s="8" t="s">
        <v>149</v>
      </c>
      <c r="D163" s="10">
        <v>8.2105263083680278</v>
      </c>
      <c r="E163" s="8" t="s">
        <v>266</v>
      </c>
      <c r="F163" s="8" t="s">
        <v>170</v>
      </c>
      <c r="G163" s="8">
        <v>0</v>
      </c>
    </row>
    <row r="164" spans="2:7" x14ac:dyDescent="0.25">
      <c r="B164" s="8" t="s">
        <v>163</v>
      </c>
      <c r="C164" s="8" t="s">
        <v>145</v>
      </c>
      <c r="D164" s="10">
        <v>26.666666666666664</v>
      </c>
      <c r="E164" s="8" t="s">
        <v>267</v>
      </c>
      <c r="F164" s="8" t="s">
        <v>170</v>
      </c>
      <c r="G164" s="8">
        <v>0</v>
      </c>
    </row>
    <row r="165" spans="2:7" x14ac:dyDescent="0.25">
      <c r="B165" s="8" t="s">
        <v>165</v>
      </c>
      <c r="C165" s="8" t="s">
        <v>149</v>
      </c>
      <c r="D165" s="10">
        <v>26.666666666666664</v>
      </c>
      <c r="E165" s="8" t="s">
        <v>268</v>
      </c>
      <c r="F165" s="8" t="s">
        <v>170</v>
      </c>
      <c r="G165" s="8">
        <v>0</v>
      </c>
    </row>
    <row r="166" spans="2:7" x14ac:dyDescent="0.25">
      <c r="B166" s="8" t="s">
        <v>269</v>
      </c>
      <c r="C166" s="8" t="s">
        <v>270</v>
      </c>
      <c r="D166" s="10">
        <v>9</v>
      </c>
      <c r="E166" s="8" t="s">
        <v>271</v>
      </c>
      <c r="F166" s="8" t="s">
        <v>170</v>
      </c>
      <c r="G166" s="10">
        <v>0</v>
      </c>
    </row>
    <row r="167" spans="2:7" x14ac:dyDescent="0.25">
      <c r="B167" s="8" t="s">
        <v>272</v>
      </c>
      <c r="C167" s="8" t="s">
        <v>273</v>
      </c>
      <c r="D167" s="10">
        <v>108</v>
      </c>
      <c r="E167" s="8" t="s">
        <v>274</v>
      </c>
      <c r="F167" s="8" t="s">
        <v>232</v>
      </c>
      <c r="G167" s="10">
        <v>90</v>
      </c>
    </row>
    <row r="168" spans="2:7" x14ac:dyDescent="0.25">
      <c r="B168" s="8" t="s">
        <v>93</v>
      </c>
      <c r="C168" s="8" t="s">
        <v>83</v>
      </c>
      <c r="D168" s="10">
        <v>5</v>
      </c>
      <c r="E168" s="8" t="s">
        <v>275</v>
      </c>
      <c r="F168" s="8" t="s">
        <v>170</v>
      </c>
      <c r="G168" s="8">
        <v>0</v>
      </c>
    </row>
    <row r="169" spans="2:7" x14ac:dyDescent="0.25">
      <c r="B169" s="8" t="s">
        <v>95</v>
      </c>
      <c r="C169" s="8" t="s">
        <v>83</v>
      </c>
      <c r="D169" s="10">
        <v>5</v>
      </c>
      <c r="E169" s="8" t="s">
        <v>276</v>
      </c>
      <c r="F169" s="8" t="s">
        <v>170</v>
      </c>
      <c r="G169" s="8">
        <v>0</v>
      </c>
    </row>
    <row r="170" spans="2:7" x14ac:dyDescent="0.25">
      <c r="B170" s="8" t="s">
        <v>97</v>
      </c>
      <c r="C170" s="8" t="s">
        <v>83</v>
      </c>
      <c r="D170" s="10">
        <v>5</v>
      </c>
      <c r="E170" s="8" t="s">
        <v>277</v>
      </c>
      <c r="F170" s="8" t="s">
        <v>170</v>
      </c>
      <c r="G170" s="8">
        <v>0</v>
      </c>
    </row>
    <row r="171" spans="2:7" x14ac:dyDescent="0.25">
      <c r="B171" s="8" t="s">
        <v>99</v>
      </c>
      <c r="C171" s="8" t="s">
        <v>83</v>
      </c>
      <c r="D171" s="10">
        <v>5</v>
      </c>
      <c r="E171" s="8" t="s">
        <v>278</v>
      </c>
      <c r="F171" s="8" t="s">
        <v>170</v>
      </c>
      <c r="G171" s="8">
        <v>0</v>
      </c>
    </row>
    <row r="172" spans="2:7" x14ac:dyDescent="0.25">
      <c r="B172" s="8" t="s">
        <v>93</v>
      </c>
      <c r="C172" s="8" t="s">
        <v>83</v>
      </c>
      <c r="D172" s="10">
        <v>5</v>
      </c>
      <c r="E172" s="8" t="s">
        <v>279</v>
      </c>
      <c r="F172" s="8" t="s">
        <v>232</v>
      </c>
      <c r="G172" s="10">
        <v>4</v>
      </c>
    </row>
    <row r="173" spans="2:7" x14ac:dyDescent="0.25">
      <c r="B173" s="8" t="s">
        <v>95</v>
      </c>
      <c r="C173" s="8" t="s">
        <v>83</v>
      </c>
      <c r="D173" s="10">
        <v>5</v>
      </c>
      <c r="E173" s="8" t="s">
        <v>280</v>
      </c>
      <c r="F173" s="8" t="s">
        <v>232</v>
      </c>
      <c r="G173" s="10">
        <v>4</v>
      </c>
    </row>
    <row r="174" spans="2:7" x14ac:dyDescent="0.25">
      <c r="B174" s="8" t="s">
        <v>97</v>
      </c>
      <c r="C174" s="8" t="s">
        <v>83</v>
      </c>
      <c r="D174" s="10">
        <v>5</v>
      </c>
      <c r="E174" s="8" t="s">
        <v>281</v>
      </c>
      <c r="F174" s="8" t="s">
        <v>232</v>
      </c>
      <c r="G174" s="10">
        <v>4</v>
      </c>
    </row>
    <row r="175" spans="2:7" x14ac:dyDescent="0.25">
      <c r="B175" s="8" t="s">
        <v>99</v>
      </c>
      <c r="C175" s="8" t="s">
        <v>83</v>
      </c>
      <c r="D175" s="10">
        <v>5</v>
      </c>
      <c r="E175" s="8" t="s">
        <v>282</v>
      </c>
      <c r="F175" s="8" t="s">
        <v>232</v>
      </c>
      <c r="G175" s="10">
        <v>4</v>
      </c>
    </row>
    <row r="176" spans="2:7" x14ac:dyDescent="0.25">
      <c r="B176" s="8" t="s">
        <v>101</v>
      </c>
      <c r="C176" s="8" t="s">
        <v>83</v>
      </c>
      <c r="D176" s="10">
        <v>0</v>
      </c>
      <c r="E176" s="8" t="s">
        <v>283</v>
      </c>
      <c r="F176" s="8" t="s">
        <v>170</v>
      </c>
      <c r="G176" s="8">
        <v>0</v>
      </c>
    </row>
    <row r="177" spans="2:7" x14ac:dyDescent="0.25">
      <c r="B177" s="8" t="s">
        <v>103</v>
      </c>
      <c r="C177" s="8" t="s">
        <v>83</v>
      </c>
      <c r="D177" s="10">
        <v>0</v>
      </c>
      <c r="E177" s="8" t="s">
        <v>284</v>
      </c>
      <c r="F177" s="8" t="s">
        <v>170</v>
      </c>
      <c r="G177" s="8">
        <v>0</v>
      </c>
    </row>
    <row r="178" spans="2:7" x14ac:dyDescent="0.25">
      <c r="B178" s="8" t="s">
        <v>105</v>
      </c>
      <c r="C178" s="8" t="s">
        <v>83</v>
      </c>
      <c r="D178" s="10">
        <v>0</v>
      </c>
      <c r="E178" s="8" t="s">
        <v>285</v>
      </c>
      <c r="F178" s="8" t="s">
        <v>170</v>
      </c>
      <c r="G178" s="8">
        <v>0</v>
      </c>
    </row>
    <row r="179" spans="2:7" x14ac:dyDescent="0.25">
      <c r="B179" s="8" t="s">
        <v>107</v>
      </c>
      <c r="C179" s="8" t="s">
        <v>83</v>
      </c>
      <c r="D179" s="10">
        <v>0</v>
      </c>
      <c r="E179" s="8" t="s">
        <v>286</v>
      </c>
      <c r="F179" s="8" t="s">
        <v>170</v>
      </c>
      <c r="G179" s="8">
        <v>0</v>
      </c>
    </row>
    <row r="180" spans="2:7" x14ac:dyDescent="0.25">
      <c r="B180" s="8" t="s">
        <v>82</v>
      </c>
      <c r="C180" s="8" t="s">
        <v>83</v>
      </c>
      <c r="D180" s="10">
        <v>5</v>
      </c>
      <c r="E180" s="8" t="s">
        <v>287</v>
      </c>
      <c r="F180" s="8" t="s">
        <v>170</v>
      </c>
      <c r="G180" s="8">
        <v>0</v>
      </c>
    </row>
    <row r="181" spans="2:7" x14ac:dyDescent="0.25">
      <c r="B181" s="8" t="s">
        <v>87</v>
      </c>
      <c r="C181" s="8" t="s">
        <v>83</v>
      </c>
      <c r="D181" s="10">
        <v>5</v>
      </c>
      <c r="E181" s="8" t="s">
        <v>288</v>
      </c>
      <c r="F181" s="8" t="s">
        <v>170</v>
      </c>
      <c r="G181" s="8">
        <v>0</v>
      </c>
    </row>
    <row r="182" spans="2:7" x14ac:dyDescent="0.25">
      <c r="B182" s="8" t="s">
        <v>89</v>
      </c>
      <c r="C182" s="8" t="s">
        <v>83</v>
      </c>
      <c r="D182" s="10">
        <v>5</v>
      </c>
      <c r="E182" s="8" t="s">
        <v>289</v>
      </c>
      <c r="F182" s="8" t="s">
        <v>170</v>
      </c>
      <c r="G182" s="8">
        <v>0</v>
      </c>
    </row>
    <row r="183" spans="2:7" x14ac:dyDescent="0.25">
      <c r="B183" s="8" t="s">
        <v>91</v>
      </c>
      <c r="C183" s="8" t="s">
        <v>83</v>
      </c>
      <c r="D183" s="10">
        <v>5</v>
      </c>
      <c r="E183" s="8" t="s">
        <v>290</v>
      </c>
      <c r="F183" s="8" t="s">
        <v>170</v>
      </c>
      <c r="G183" s="8">
        <v>0</v>
      </c>
    </row>
    <row r="184" spans="2:7" x14ac:dyDescent="0.25">
      <c r="B184" s="8" t="s">
        <v>82</v>
      </c>
      <c r="C184" s="8" t="s">
        <v>83</v>
      </c>
      <c r="D184" s="10">
        <v>5</v>
      </c>
      <c r="E184" s="8" t="s">
        <v>291</v>
      </c>
      <c r="F184" s="8" t="s">
        <v>232</v>
      </c>
      <c r="G184" s="10">
        <v>4</v>
      </c>
    </row>
    <row r="185" spans="2:7" x14ac:dyDescent="0.25">
      <c r="B185" s="8" t="s">
        <v>87</v>
      </c>
      <c r="C185" s="8" t="s">
        <v>83</v>
      </c>
      <c r="D185" s="10">
        <v>5</v>
      </c>
      <c r="E185" s="8" t="s">
        <v>292</v>
      </c>
      <c r="F185" s="8" t="s">
        <v>232</v>
      </c>
      <c r="G185" s="10">
        <v>4</v>
      </c>
    </row>
    <row r="186" spans="2:7" x14ac:dyDescent="0.25">
      <c r="B186" s="8" t="s">
        <v>89</v>
      </c>
      <c r="C186" s="8" t="s">
        <v>83</v>
      </c>
      <c r="D186" s="10">
        <v>5</v>
      </c>
      <c r="E186" s="8" t="s">
        <v>293</v>
      </c>
      <c r="F186" s="8" t="s">
        <v>232</v>
      </c>
      <c r="G186" s="10">
        <v>4</v>
      </c>
    </row>
    <row r="187" spans="2:7" x14ac:dyDescent="0.25">
      <c r="B187" s="8" t="s">
        <v>91</v>
      </c>
      <c r="C187" s="8" t="s">
        <v>83</v>
      </c>
      <c r="D187" s="10">
        <v>5</v>
      </c>
      <c r="E187" s="8" t="s">
        <v>294</v>
      </c>
      <c r="F187" s="8" t="s">
        <v>232</v>
      </c>
      <c r="G187" s="10">
        <v>4</v>
      </c>
    </row>
    <row r="188" spans="2:7" x14ac:dyDescent="0.25">
      <c r="B188" s="8" t="s">
        <v>142</v>
      </c>
      <c r="C188" s="8" t="s">
        <v>143</v>
      </c>
      <c r="D188" s="10">
        <v>1</v>
      </c>
      <c r="E188" s="8" t="s">
        <v>295</v>
      </c>
      <c r="F188" s="8" t="s">
        <v>170</v>
      </c>
      <c r="G188" s="10">
        <v>0</v>
      </c>
    </row>
    <row r="189" spans="2:7" x14ac:dyDescent="0.25">
      <c r="B189" s="8" t="s">
        <v>154</v>
      </c>
      <c r="C189" s="8" t="s">
        <v>143</v>
      </c>
      <c r="D189" s="10">
        <v>4.1052631541840139</v>
      </c>
      <c r="E189" s="8" t="s">
        <v>296</v>
      </c>
      <c r="F189" s="8" t="s">
        <v>232</v>
      </c>
      <c r="G189" s="10">
        <v>3.1052631541840139</v>
      </c>
    </row>
    <row r="190" spans="2:7" x14ac:dyDescent="0.25">
      <c r="B190" s="8" t="s">
        <v>162</v>
      </c>
      <c r="C190" s="8" t="s">
        <v>143</v>
      </c>
      <c r="D190" s="10">
        <v>26.666666666666664</v>
      </c>
      <c r="E190" s="8" t="s">
        <v>297</v>
      </c>
      <c r="F190" s="8" t="s">
        <v>232</v>
      </c>
      <c r="G190" s="10">
        <v>25.666666666666664</v>
      </c>
    </row>
    <row r="191" spans="2:7" x14ac:dyDescent="0.25">
      <c r="B191" s="8" t="s">
        <v>298</v>
      </c>
      <c r="C191" s="8"/>
      <c r="D191" s="8"/>
      <c r="E191" s="8"/>
      <c r="F191" s="8"/>
      <c r="G191" s="8"/>
    </row>
    <row r="192" spans="2:7" x14ac:dyDescent="0.25">
      <c r="B192" s="8" t="s">
        <v>299</v>
      </c>
      <c r="C192" s="8"/>
      <c r="D192" s="8"/>
      <c r="E192" s="8"/>
      <c r="F192" s="8"/>
      <c r="G192" s="8"/>
    </row>
    <row r="193" spans="2:7" x14ac:dyDescent="0.25">
      <c r="B193" s="8" t="s">
        <v>300</v>
      </c>
      <c r="C193" s="8"/>
      <c r="D193" s="8"/>
      <c r="E193" s="8"/>
      <c r="F193" s="8"/>
      <c r="G193" s="8"/>
    </row>
    <row r="194" spans="2:7" x14ac:dyDescent="0.25">
      <c r="B194" s="8" t="s">
        <v>301</v>
      </c>
      <c r="C194" s="8"/>
      <c r="D194" s="8"/>
      <c r="E194" s="8"/>
      <c r="F194" s="8"/>
      <c r="G194" s="8"/>
    </row>
    <row r="195" spans="2:7" x14ac:dyDescent="0.25">
      <c r="B195" s="8" t="s">
        <v>302</v>
      </c>
      <c r="C195" s="8"/>
      <c r="D195" s="8"/>
      <c r="E195" s="8"/>
      <c r="F195" s="8"/>
      <c r="G195" s="8"/>
    </row>
    <row r="196" spans="2:7" x14ac:dyDescent="0.25">
      <c r="B196" s="8" t="s">
        <v>303</v>
      </c>
      <c r="C196" s="8"/>
      <c r="D196" s="8"/>
      <c r="E196" s="8"/>
      <c r="F196" s="8"/>
      <c r="G196" s="8"/>
    </row>
    <row r="197" spans="2:7" ht="15.75" thickBot="1" x14ac:dyDescent="0.3">
      <c r="B197" s="6" t="s">
        <v>304</v>
      </c>
      <c r="C197" s="6"/>
      <c r="D197" s="6"/>
      <c r="E197" s="6"/>
      <c r="F197" s="6"/>
      <c r="G19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49D57-3DB1-451C-A3F7-1CC052FF5670}">
  <dimension ref="A1:V91"/>
  <sheetViews>
    <sheetView workbookViewId="0">
      <selection sqref="A1:XFD1048576"/>
    </sheetView>
  </sheetViews>
  <sheetFormatPr defaultRowHeight="15" x14ac:dyDescent="0.25"/>
  <cols>
    <col min="2" max="2" width="12.285156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2.7109375" bestFit="1" customWidth="1"/>
    <col min="11" max="11" width="13.7109375" bestFit="1" customWidth="1"/>
    <col min="12" max="12" width="13.85546875" bestFit="1" customWidth="1"/>
    <col min="13" max="14" width="13.28515625" bestFit="1" customWidth="1"/>
  </cols>
  <sheetData>
    <row r="1" spans="1:22" ht="26.25" x14ac:dyDescent="0.4">
      <c r="D1" s="1" t="s">
        <v>1</v>
      </c>
      <c r="S1" s="1" t="s">
        <v>17</v>
      </c>
    </row>
    <row r="3" spans="1:22" x14ac:dyDescent="0.25">
      <c r="A3" t="s">
        <v>0</v>
      </c>
      <c r="F3" t="s">
        <v>2</v>
      </c>
      <c r="G3" t="s">
        <v>3</v>
      </c>
      <c r="H3" t="s">
        <v>44</v>
      </c>
      <c r="J3" t="s">
        <v>13</v>
      </c>
      <c r="K3" t="s">
        <v>14</v>
      </c>
      <c r="L3" t="s">
        <v>16</v>
      </c>
      <c r="N3" t="s">
        <v>4</v>
      </c>
      <c r="U3" t="s">
        <v>15</v>
      </c>
      <c r="V3" t="s">
        <v>7</v>
      </c>
    </row>
    <row r="4" spans="1:22" x14ac:dyDescent="0.25">
      <c r="B4" s="2">
        <v>0.1</v>
      </c>
      <c r="C4" t="s">
        <v>19</v>
      </c>
    </row>
    <row r="5" spans="1:22" x14ac:dyDescent="0.25">
      <c r="A5">
        <v>20</v>
      </c>
      <c r="C5" t="s">
        <v>36</v>
      </c>
      <c r="F5">
        <v>10</v>
      </c>
      <c r="G5">
        <v>10</v>
      </c>
      <c r="H5">
        <f>F5+G5</f>
        <v>20</v>
      </c>
      <c r="J5">
        <f>0.8*F5</f>
        <v>8</v>
      </c>
      <c r="K5">
        <f>0.8*G5</f>
        <v>8</v>
      </c>
      <c r="L5">
        <f>J5+K5</f>
        <v>16</v>
      </c>
      <c r="N5" s="4">
        <f>L5/A5</f>
        <v>0.8</v>
      </c>
    </row>
    <row r="6" spans="1:22" x14ac:dyDescent="0.25">
      <c r="A6">
        <v>20</v>
      </c>
      <c r="C6" t="s">
        <v>36</v>
      </c>
      <c r="F6">
        <v>10</v>
      </c>
      <c r="G6">
        <v>10</v>
      </c>
      <c r="H6">
        <f>F6+G6</f>
        <v>20</v>
      </c>
      <c r="J6">
        <f t="shared" ref="J6:J14" si="0">0.8*F6</f>
        <v>8</v>
      </c>
      <c r="K6">
        <f t="shared" ref="K6:K20" si="1">0.8*G6</f>
        <v>8</v>
      </c>
      <c r="L6">
        <f>J6+K6</f>
        <v>16</v>
      </c>
      <c r="N6" s="4">
        <f>L6/A6</f>
        <v>0.8</v>
      </c>
    </row>
    <row r="7" spans="1:22" x14ac:dyDescent="0.25">
      <c r="A7">
        <v>20</v>
      </c>
      <c r="C7" t="s">
        <v>36</v>
      </c>
      <c r="F7">
        <v>10</v>
      </c>
      <c r="G7">
        <v>10</v>
      </c>
      <c r="H7">
        <f>F7+G7</f>
        <v>20</v>
      </c>
      <c r="J7">
        <f t="shared" si="0"/>
        <v>8</v>
      </c>
      <c r="K7">
        <f t="shared" si="1"/>
        <v>8</v>
      </c>
      <c r="L7">
        <f>J7+K7</f>
        <v>16</v>
      </c>
      <c r="N7" s="4">
        <f>L7/A7</f>
        <v>0.8</v>
      </c>
    </row>
    <row r="8" spans="1:22" x14ac:dyDescent="0.25">
      <c r="A8">
        <v>20</v>
      </c>
      <c r="C8" t="s">
        <v>36</v>
      </c>
      <c r="F8">
        <v>10</v>
      </c>
      <c r="G8">
        <v>10</v>
      </c>
      <c r="H8">
        <f>F8+G8</f>
        <v>20</v>
      </c>
      <c r="J8">
        <f t="shared" si="0"/>
        <v>8</v>
      </c>
      <c r="K8">
        <f t="shared" si="1"/>
        <v>8</v>
      </c>
      <c r="L8" s="3">
        <f>J8+K8</f>
        <v>16</v>
      </c>
      <c r="N8" s="4">
        <f>L8/A8</f>
        <v>0.8</v>
      </c>
    </row>
    <row r="10" spans="1:22" x14ac:dyDescent="0.25">
      <c r="B10" s="2">
        <v>0.1</v>
      </c>
      <c r="C10" t="s">
        <v>18</v>
      </c>
    </row>
    <row r="11" spans="1:22" x14ac:dyDescent="0.25">
      <c r="A11">
        <v>20</v>
      </c>
      <c r="C11" t="s">
        <v>36</v>
      </c>
      <c r="F11">
        <v>10</v>
      </c>
      <c r="G11">
        <v>10</v>
      </c>
      <c r="H11">
        <f>F11+G11</f>
        <v>20</v>
      </c>
      <c r="J11">
        <f t="shared" si="0"/>
        <v>8</v>
      </c>
      <c r="K11">
        <f t="shared" si="1"/>
        <v>8</v>
      </c>
      <c r="L11">
        <f>J11+K11</f>
        <v>16</v>
      </c>
      <c r="N11" s="4">
        <f>L11/A11</f>
        <v>0.8</v>
      </c>
    </row>
    <row r="12" spans="1:22" x14ac:dyDescent="0.25">
      <c r="A12">
        <v>20</v>
      </c>
      <c r="C12" t="s">
        <v>36</v>
      </c>
      <c r="F12">
        <v>10</v>
      </c>
      <c r="G12">
        <v>10</v>
      </c>
      <c r="H12">
        <f>F12+G12</f>
        <v>20</v>
      </c>
      <c r="J12">
        <f t="shared" si="0"/>
        <v>8</v>
      </c>
      <c r="K12">
        <f t="shared" si="1"/>
        <v>8</v>
      </c>
      <c r="L12">
        <f>J12+K12</f>
        <v>16</v>
      </c>
      <c r="N12" s="4">
        <f>L12/A12</f>
        <v>0.8</v>
      </c>
    </row>
    <row r="13" spans="1:22" x14ac:dyDescent="0.25">
      <c r="A13">
        <v>20</v>
      </c>
      <c r="C13" t="s">
        <v>36</v>
      </c>
      <c r="F13">
        <v>10</v>
      </c>
      <c r="G13">
        <v>10</v>
      </c>
      <c r="H13">
        <f>F13+G13</f>
        <v>20</v>
      </c>
      <c r="J13">
        <f t="shared" si="0"/>
        <v>8</v>
      </c>
      <c r="K13">
        <f t="shared" si="1"/>
        <v>8</v>
      </c>
      <c r="L13">
        <f>J13+K13</f>
        <v>16</v>
      </c>
      <c r="N13" s="4">
        <f>L13/A13</f>
        <v>0.8</v>
      </c>
    </row>
    <row r="14" spans="1:22" x14ac:dyDescent="0.25">
      <c r="A14">
        <v>20</v>
      </c>
      <c r="C14" t="s">
        <v>36</v>
      </c>
      <c r="F14">
        <v>10</v>
      </c>
      <c r="G14">
        <v>10</v>
      </c>
      <c r="H14">
        <f>F14+G14</f>
        <v>20</v>
      </c>
      <c r="J14">
        <f t="shared" si="0"/>
        <v>8</v>
      </c>
      <c r="K14">
        <f t="shared" si="1"/>
        <v>8</v>
      </c>
      <c r="L14" s="3">
        <f>J14+K14</f>
        <v>16</v>
      </c>
      <c r="N14" s="4">
        <f>L14/A14</f>
        <v>0.8</v>
      </c>
    </row>
    <row r="16" spans="1:22" x14ac:dyDescent="0.25">
      <c r="B16" s="2">
        <v>0.05</v>
      </c>
      <c r="C16" t="s">
        <v>20</v>
      </c>
    </row>
    <row r="17" spans="1:14" x14ac:dyDescent="0.25">
      <c r="A17">
        <v>10</v>
      </c>
      <c r="C17" t="s">
        <v>36</v>
      </c>
      <c r="F17">
        <v>0</v>
      </c>
      <c r="G17">
        <v>10</v>
      </c>
      <c r="H17">
        <f>F17+G17</f>
        <v>10</v>
      </c>
      <c r="J17" s="24" t="s">
        <v>32</v>
      </c>
      <c r="K17">
        <f t="shared" si="1"/>
        <v>8</v>
      </c>
      <c r="L17">
        <f>K17</f>
        <v>8</v>
      </c>
      <c r="N17" s="4">
        <f>L17/A17</f>
        <v>0.8</v>
      </c>
    </row>
    <row r="18" spans="1:14" x14ac:dyDescent="0.25">
      <c r="A18">
        <v>10</v>
      </c>
      <c r="C18" t="s">
        <v>36</v>
      </c>
      <c r="F18">
        <v>0</v>
      </c>
      <c r="G18">
        <v>10</v>
      </c>
      <c r="H18">
        <f>F18+G18</f>
        <v>10</v>
      </c>
      <c r="J18" s="24" t="s">
        <v>32</v>
      </c>
      <c r="K18">
        <f t="shared" si="1"/>
        <v>8</v>
      </c>
      <c r="L18">
        <f>K18</f>
        <v>8</v>
      </c>
      <c r="N18" s="4">
        <f>L18/A18</f>
        <v>0.8</v>
      </c>
    </row>
    <row r="19" spans="1:14" x14ac:dyDescent="0.25">
      <c r="A19">
        <v>10</v>
      </c>
      <c r="C19" t="s">
        <v>36</v>
      </c>
      <c r="F19">
        <v>0</v>
      </c>
      <c r="G19">
        <v>10</v>
      </c>
      <c r="H19">
        <f>F19+G19</f>
        <v>10</v>
      </c>
      <c r="J19" s="24" t="s">
        <v>32</v>
      </c>
      <c r="K19">
        <f t="shared" si="1"/>
        <v>8</v>
      </c>
      <c r="L19">
        <f>K19</f>
        <v>8</v>
      </c>
      <c r="N19" s="4">
        <f>L19/A19</f>
        <v>0.8</v>
      </c>
    </row>
    <row r="20" spans="1:14" x14ac:dyDescent="0.25">
      <c r="A20">
        <v>10</v>
      </c>
      <c r="C20" t="s">
        <v>36</v>
      </c>
      <c r="F20">
        <v>0</v>
      </c>
      <c r="G20">
        <v>10</v>
      </c>
      <c r="H20">
        <f>F20+G20</f>
        <v>10</v>
      </c>
      <c r="J20" s="24" t="s">
        <v>32</v>
      </c>
      <c r="K20">
        <f t="shared" si="1"/>
        <v>8</v>
      </c>
      <c r="L20" s="3">
        <f>K20</f>
        <v>8</v>
      </c>
      <c r="N20" s="4">
        <f>L20/A20</f>
        <v>0.8</v>
      </c>
    </row>
    <row r="21" spans="1:14" ht="15.75" thickBot="1" x14ac:dyDescent="0.3"/>
    <row r="22" spans="1:14" x14ac:dyDescent="0.25">
      <c r="A22" t="s">
        <v>21</v>
      </c>
      <c r="J22" s="14" t="s">
        <v>37</v>
      </c>
      <c r="K22" s="15" t="s">
        <v>38</v>
      </c>
      <c r="L22" s="15" t="s">
        <v>39</v>
      </c>
      <c r="M22" s="15"/>
      <c r="N22" s="18" t="s">
        <v>31</v>
      </c>
    </row>
    <row r="23" spans="1:14" ht="15.75" thickBot="1" x14ac:dyDescent="0.3">
      <c r="A23">
        <f>SUM(A5:A20)</f>
        <v>200</v>
      </c>
      <c r="J23" s="16">
        <f>SUM(L5:L8)</f>
        <v>64</v>
      </c>
      <c r="K23" s="17">
        <f>SUM(L11:L14)</f>
        <v>64</v>
      </c>
      <c r="L23" s="17">
        <f>SUM(L17:L20)</f>
        <v>32</v>
      </c>
      <c r="M23" s="17"/>
      <c r="N23" s="19">
        <f>(SUM(L5:L8)+SUM(L11:L14)+SUM(L17:L20))/A23</f>
        <v>0.8</v>
      </c>
    </row>
    <row r="26" spans="1:14" ht="26.25" x14ac:dyDescent="0.4">
      <c r="D26" s="1" t="s">
        <v>5</v>
      </c>
      <c r="F26" s="1"/>
    </row>
    <row r="27" spans="1:14" ht="15" customHeight="1" x14ac:dyDescent="0.4">
      <c r="D27" s="1"/>
      <c r="F27" s="1"/>
    </row>
    <row r="28" spans="1:14" x14ac:dyDescent="0.25">
      <c r="A28" t="s">
        <v>6</v>
      </c>
      <c r="F28" t="s">
        <v>2</v>
      </c>
      <c r="G28" t="s">
        <v>7</v>
      </c>
      <c r="H28" t="s">
        <v>44</v>
      </c>
      <c r="J28" t="s">
        <v>13</v>
      </c>
      <c r="K28" t="s">
        <v>14</v>
      </c>
      <c r="L28" t="s">
        <v>16</v>
      </c>
      <c r="N28" t="s">
        <v>8</v>
      </c>
    </row>
    <row r="29" spans="1:14" x14ac:dyDescent="0.25">
      <c r="C29" t="s">
        <v>9</v>
      </c>
    </row>
    <row r="30" spans="1:14" x14ac:dyDescent="0.25">
      <c r="A30">
        <v>15</v>
      </c>
      <c r="C30" t="s">
        <v>36</v>
      </c>
      <c r="F30">
        <v>12</v>
      </c>
      <c r="G30">
        <v>3</v>
      </c>
      <c r="H30">
        <f>F30+G30</f>
        <v>15</v>
      </c>
      <c r="J30" s="11">
        <f t="shared" ref="J30:K33" si="2">0.8*F30</f>
        <v>9.6000000000000014</v>
      </c>
      <c r="K30" s="11">
        <f t="shared" si="2"/>
        <v>2.4000000000000004</v>
      </c>
      <c r="L30" s="11">
        <f>J30+K30</f>
        <v>12.000000000000002</v>
      </c>
      <c r="N30" s="4">
        <f>L30/A30</f>
        <v>0.80000000000000016</v>
      </c>
    </row>
    <row r="31" spans="1:14" x14ac:dyDescent="0.25">
      <c r="A31">
        <v>15</v>
      </c>
      <c r="C31" t="s">
        <v>36</v>
      </c>
      <c r="F31">
        <v>12</v>
      </c>
      <c r="G31">
        <v>3</v>
      </c>
      <c r="H31">
        <f>F31+G31</f>
        <v>15</v>
      </c>
      <c r="J31" s="11">
        <f t="shared" si="2"/>
        <v>9.6000000000000014</v>
      </c>
      <c r="K31" s="11">
        <f t="shared" si="2"/>
        <v>2.4000000000000004</v>
      </c>
      <c r="L31" s="11">
        <f>J31+K31</f>
        <v>12.000000000000002</v>
      </c>
      <c r="N31" s="4">
        <f>L31/A31</f>
        <v>0.80000000000000016</v>
      </c>
    </row>
    <row r="32" spans="1:14" x14ac:dyDescent="0.25">
      <c r="A32">
        <v>15</v>
      </c>
      <c r="C32" t="s">
        <v>36</v>
      </c>
      <c r="F32">
        <v>12</v>
      </c>
      <c r="G32">
        <v>3</v>
      </c>
      <c r="H32">
        <f>F32+G32</f>
        <v>15</v>
      </c>
      <c r="J32" s="11">
        <f t="shared" si="2"/>
        <v>9.6000000000000014</v>
      </c>
      <c r="K32" s="11">
        <f t="shared" si="2"/>
        <v>2.4000000000000004</v>
      </c>
      <c r="L32" s="11">
        <f>J32+K32</f>
        <v>12.000000000000002</v>
      </c>
      <c r="N32" s="4">
        <f>L32/A32</f>
        <v>0.80000000000000016</v>
      </c>
    </row>
    <row r="33" spans="1:14" x14ac:dyDescent="0.25">
      <c r="A33">
        <v>15</v>
      </c>
      <c r="C33" t="s">
        <v>36</v>
      </c>
      <c r="F33">
        <v>12</v>
      </c>
      <c r="G33">
        <v>3</v>
      </c>
      <c r="H33">
        <f>F33+G33</f>
        <v>15</v>
      </c>
      <c r="J33" s="11">
        <f t="shared" si="2"/>
        <v>9.6000000000000014</v>
      </c>
      <c r="K33" s="11">
        <f t="shared" si="2"/>
        <v>2.4000000000000004</v>
      </c>
      <c r="L33" s="11">
        <f>SUM(J33+K33)</f>
        <v>12.000000000000002</v>
      </c>
      <c r="N33" s="4">
        <f>L33/A33</f>
        <v>0.80000000000000016</v>
      </c>
    </row>
    <row r="34" spans="1:14" x14ac:dyDescent="0.25">
      <c r="J34" s="11"/>
      <c r="K34" s="11"/>
      <c r="L34" s="11"/>
    </row>
    <row r="35" spans="1:14" x14ac:dyDescent="0.25">
      <c r="C35" t="s">
        <v>10</v>
      </c>
      <c r="J35" s="11"/>
      <c r="K35" s="11"/>
      <c r="L35" s="11"/>
    </row>
    <row r="36" spans="1:14" x14ac:dyDescent="0.25">
      <c r="A36">
        <v>15</v>
      </c>
      <c r="C36" t="s">
        <v>36</v>
      </c>
      <c r="F36">
        <v>8</v>
      </c>
      <c r="G36">
        <v>7</v>
      </c>
      <c r="H36">
        <f>F36+G36</f>
        <v>15</v>
      </c>
      <c r="J36" s="11">
        <f>0.7*F36</f>
        <v>5.6</v>
      </c>
      <c r="K36" s="11">
        <f>0.85*G36</f>
        <v>5.95</v>
      </c>
      <c r="L36" s="11">
        <f>J36+K36</f>
        <v>11.55</v>
      </c>
      <c r="N36" s="4">
        <f>L36/A36</f>
        <v>0.77</v>
      </c>
    </row>
    <row r="37" spans="1:14" x14ac:dyDescent="0.25">
      <c r="A37">
        <v>15</v>
      </c>
      <c r="C37" t="s">
        <v>36</v>
      </c>
      <c r="F37">
        <v>8</v>
      </c>
      <c r="G37">
        <v>7</v>
      </c>
      <c r="H37">
        <f>F37+G37</f>
        <v>15</v>
      </c>
      <c r="J37" s="11">
        <f>0.7*F37</f>
        <v>5.6</v>
      </c>
      <c r="K37" s="11">
        <f>0.85*G37</f>
        <v>5.95</v>
      </c>
      <c r="L37" s="11">
        <f>J37+K37</f>
        <v>11.55</v>
      </c>
      <c r="N37" s="4">
        <f>L37/A37</f>
        <v>0.77</v>
      </c>
    </row>
    <row r="38" spans="1:14" x14ac:dyDescent="0.25">
      <c r="A38">
        <v>15</v>
      </c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>
        <f>0.85*G38</f>
        <v>5.95</v>
      </c>
      <c r="L38" s="11">
        <f>J38+K38</f>
        <v>11.55</v>
      </c>
      <c r="N38" s="4">
        <f>L38/A38</f>
        <v>0.77</v>
      </c>
    </row>
    <row r="39" spans="1:14" x14ac:dyDescent="0.25">
      <c r="A39">
        <v>15</v>
      </c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>
        <f>0.85*G39</f>
        <v>5.95</v>
      </c>
      <c r="L39" s="11">
        <f>J39+K39</f>
        <v>11.55</v>
      </c>
      <c r="N39" s="4">
        <f>L39/A39</f>
        <v>0.77</v>
      </c>
    </row>
    <row r="40" spans="1:14" x14ac:dyDescent="0.25">
      <c r="J40" s="11"/>
      <c r="K40" s="11"/>
      <c r="L40" s="11"/>
      <c r="N40" s="4"/>
    </row>
    <row r="41" spans="1:14" x14ac:dyDescent="0.25">
      <c r="C41" t="s">
        <v>11</v>
      </c>
      <c r="J41" s="11"/>
      <c r="K41" s="11"/>
      <c r="L41" s="11"/>
      <c r="N41" s="4"/>
    </row>
    <row r="42" spans="1:14" x14ac:dyDescent="0.25">
      <c r="A42">
        <v>10</v>
      </c>
      <c r="C42" t="s">
        <v>36</v>
      </c>
      <c r="F42">
        <v>5</v>
      </c>
      <c r="G42">
        <v>5</v>
      </c>
      <c r="H42">
        <f>F42+G42</f>
        <v>10</v>
      </c>
      <c r="J42" s="11">
        <f>0.73*F42</f>
        <v>3.65</v>
      </c>
      <c r="K42" s="11">
        <f>0.8*G42</f>
        <v>4</v>
      </c>
      <c r="L42" s="11">
        <f>J42+K42</f>
        <v>7.65</v>
      </c>
      <c r="N42" s="4">
        <f>L42/A42</f>
        <v>0.76500000000000001</v>
      </c>
    </row>
    <row r="43" spans="1:14" x14ac:dyDescent="0.25">
      <c r="A43">
        <v>10</v>
      </c>
      <c r="C43" t="s">
        <v>36</v>
      </c>
      <c r="F43">
        <v>5</v>
      </c>
      <c r="G43">
        <v>5</v>
      </c>
      <c r="H43">
        <f>F43+G43</f>
        <v>10</v>
      </c>
      <c r="J43" s="11">
        <f>0.73*F43</f>
        <v>3.65</v>
      </c>
      <c r="K43" s="11">
        <f>0.8*G43</f>
        <v>4</v>
      </c>
      <c r="L43" s="11">
        <f>J43+K43</f>
        <v>7.65</v>
      </c>
      <c r="N43" s="4">
        <f>L43/A43</f>
        <v>0.76500000000000001</v>
      </c>
    </row>
    <row r="44" spans="1:14" x14ac:dyDescent="0.25">
      <c r="A44">
        <v>10</v>
      </c>
      <c r="C44" t="s">
        <v>36</v>
      </c>
      <c r="F44">
        <v>7</v>
      </c>
      <c r="G44">
        <v>3</v>
      </c>
      <c r="H44">
        <f>F44+G44</f>
        <v>10</v>
      </c>
      <c r="J44" s="11">
        <f>0.73*F44</f>
        <v>5.1099999999999994</v>
      </c>
      <c r="K44" s="11">
        <f>0.8*G44</f>
        <v>2.4000000000000004</v>
      </c>
      <c r="L44" s="11">
        <f>J44+K44</f>
        <v>7.51</v>
      </c>
      <c r="N44" s="4">
        <f>L44/A44</f>
        <v>0.751</v>
      </c>
    </row>
    <row r="45" spans="1:14" x14ac:dyDescent="0.25">
      <c r="A45">
        <v>10</v>
      </c>
      <c r="C45" t="s">
        <v>36</v>
      </c>
      <c r="F45">
        <v>7</v>
      </c>
      <c r="G45">
        <v>3</v>
      </c>
      <c r="H45">
        <f>F45+G45</f>
        <v>10</v>
      </c>
      <c r="J45" s="11">
        <f>0.73*F45</f>
        <v>5.1099999999999994</v>
      </c>
      <c r="K45" s="11">
        <f>0.8*G45</f>
        <v>2.4000000000000004</v>
      </c>
      <c r="L45" s="11">
        <f>J45+K45</f>
        <v>7.51</v>
      </c>
      <c r="N45" s="4">
        <f>L45/A45</f>
        <v>0.751</v>
      </c>
    </row>
    <row r="46" spans="1:14" x14ac:dyDescent="0.25">
      <c r="J46" s="11"/>
      <c r="K46" s="11"/>
      <c r="L46" s="11"/>
      <c r="N46" s="4"/>
    </row>
    <row r="47" spans="1:14" x14ac:dyDescent="0.25">
      <c r="C47" t="s">
        <v>12</v>
      </c>
      <c r="J47" s="11"/>
      <c r="K47" s="11"/>
      <c r="L47" s="11"/>
      <c r="N47" s="4"/>
    </row>
    <row r="48" spans="1:14" x14ac:dyDescent="0.25">
      <c r="A48">
        <v>10</v>
      </c>
      <c r="C48" t="s">
        <v>36</v>
      </c>
      <c r="F48">
        <v>7</v>
      </c>
      <c r="G48">
        <v>3</v>
      </c>
      <c r="H48">
        <f>F48+G48</f>
        <v>10</v>
      </c>
      <c r="J48" s="11">
        <f>0.85*F48</f>
        <v>5.95</v>
      </c>
      <c r="K48" s="11">
        <f>0.78*G48</f>
        <v>2.34</v>
      </c>
      <c r="L48" s="11">
        <f>J48+K48</f>
        <v>8.2899999999999991</v>
      </c>
      <c r="N48" s="4">
        <f>L48/A48</f>
        <v>0.82899999999999996</v>
      </c>
    </row>
    <row r="49" spans="1:14" x14ac:dyDescent="0.25">
      <c r="A49">
        <v>10</v>
      </c>
      <c r="C49" t="s">
        <v>36</v>
      </c>
      <c r="F49">
        <v>7</v>
      </c>
      <c r="G49">
        <v>3</v>
      </c>
      <c r="H49">
        <f>F49+G49</f>
        <v>10</v>
      </c>
      <c r="J49" s="11">
        <f>0.85*F49</f>
        <v>5.95</v>
      </c>
      <c r="K49" s="11">
        <f>0.78*G49</f>
        <v>2.34</v>
      </c>
      <c r="L49" s="11">
        <f>J49+K49</f>
        <v>8.2899999999999991</v>
      </c>
      <c r="N49" s="4">
        <f>L49/A49</f>
        <v>0.82899999999999996</v>
      </c>
    </row>
    <row r="50" spans="1:14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>
        <f>0.78*G50</f>
        <v>2.34</v>
      </c>
      <c r="L50" s="11">
        <f>J50+K50</f>
        <v>8.2899999999999991</v>
      </c>
      <c r="N50" s="4">
        <f>L50/A50</f>
        <v>0.82899999999999996</v>
      </c>
    </row>
    <row r="51" spans="1:14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>
        <f>0.78*G51</f>
        <v>2.34</v>
      </c>
      <c r="L51" s="11">
        <f>J51+K51</f>
        <v>8.2899999999999991</v>
      </c>
      <c r="N51" s="4">
        <f>L51/A51</f>
        <v>0.82899999999999996</v>
      </c>
    </row>
    <row r="52" spans="1:14" ht="15.75" thickBot="1" x14ac:dyDescent="0.3"/>
    <row r="53" spans="1:14" x14ac:dyDescent="0.25">
      <c r="A53" t="s">
        <v>22</v>
      </c>
      <c r="I53" s="14" t="s">
        <v>40</v>
      </c>
      <c r="J53" s="15" t="s">
        <v>41</v>
      </c>
      <c r="K53" s="15" t="s">
        <v>42</v>
      </c>
      <c r="L53" s="15" t="s">
        <v>43</v>
      </c>
      <c r="M53" s="15"/>
      <c r="N53" s="18" t="s">
        <v>31</v>
      </c>
    </row>
    <row r="54" spans="1:14" ht="15.75" thickBot="1" x14ac:dyDescent="0.3">
      <c r="A54">
        <f>SUM(A30:A51)</f>
        <v>200</v>
      </c>
      <c r="I54" s="16">
        <f>SUM(L30:L33)</f>
        <v>48.000000000000007</v>
      </c>
      <c r="J54" s="17">
        <f>SUM(L36:L39)</f>
        <v>46.2</v>
      </c>
      <c r="K54" s="17">
        <f>SUM(L42:L45)</f>
        <v>30.32</v>
      </c>
      <c r="L54" s="17">
        <f>SUM(L48:L51)</f>
        <v>33.159999999999997</v>
      </c>
      <c r="M54" s="17"/>
      <c r="N54" s="19">
        <f>SUM(I54:L54)/A54</f>
        <v>0.78839999999999999</v>
      </c>
    </row>
    <row r="57" spans="1:14" ht="26.25" x14ac:dyDescent="0.4">
      <c r="D57" s="1" t="s">
        <v>23</v>
      </c>
    </row>
    <row r="59" spans="1:14" x14ac:dyDescent="0.25">
      <c r="A59" t="s">
        <v>6</v>
      </c>
      <c r="F59" t="s">
        <v>2</v>
      </c>
      <c r="G59" t="s">
        <v>7</v>
      </c>
      <c r="H59" t="s">
        <v>44</v>
      </c>
      <c r="J59" t="s">
        <v>13</v>
      </c>
      <c r="K59" t="s">
        <v>14</v>
      </c>
      <c r="L59" t="s">
        <v>16</v>
      </c>
      <c r="N59" t="s">
        <v>8</v>
      </c>
    </row>
    <row r="60" spans="1:14" x14ac:dyDescent="0.25">
      <c r="C60" s="2">
        <v>0.15</v>
      </c>
      <c r="D60" t="s">
        <v>24</v>
      </c>
    </row>
    <row r="61" spans="1:14" x14ac:dyDescent="0.25">
      <c r="C61" s="2"/>
      <c r="D61" t="s">
        <v>45</v>
      </c>
      <c r="F61" s="11">
        <v>4</v>
      </c>
      <c r="G61" s="11">
        <v>8</v>
      </c>
      <c r="H61" s="11">
        <f t="shared" ref="H61:H63" si="3">F61+G61</f>
        <v>12</v>
      </c>
      <c r="I61" s="11"/>
      <c r="J61" s="11">
        <f>1*F61</f>
        <v>4</v>
      </c>
      <c r="K61" s="11">
        <f>0.8*G61</f>
        <v>6.4</v>
      </c>
      <c r="L61" s="11"/>
    </row>
    <row r="62" spans="1:14" x14ac:dyDescent="0.25">
      <c r="C62" s="2"/>
      <c r="D62" t="s">
        <v>46</v>
      </c>
      <c r="F62" s="11">
        <v>17.05263156583332</v>
      </c>
      <c r="G62" s="11">
        <v>18.947368434166673</v>
      </c>
      <c r="H62" s="11">
        <f t="shared" si="3"/>
        <v>35.999999999999993</v>
      </c>
      <c r="I62" s="11"/>
      <c r="J62" s="11">
        <f>0.8*F62</f>
        <v>13.642105252666656</v>
      </c>
      <c r="K62" s="11">
        <f t="shared" ref="K62:K63" si="4">0.8*G62</f>
        <v>15.157894747333339</v>
      </c>
      <c r="L62" s="11"/>
    </row>
    <row r="63" spans="1:14" x14ac:dyDescent="0.25">
      <c r="C63" s="2"/>
      <c r="D63" t="s">
        <v>47</v>
      </c>
      <c r="F63" s="12">
        <v>53.052631534478209</v>
      </c>
      <c r="G63" s="12">
        <v>18.947368465521798</v>
      </c>
      <c r="H63" s="12">
        <f t="shared" si="3"/>
        <v>72</v>
      </c>
      <c r="I63" s="11"/>
      <c r="J63" s="13">
        <f>0.8*F63</f>
        <v>42.442105227582573</v>
      </c>
      <c r="K63" s="13">
        <f t="shared" si="4"/>
        <v>15.157894772417439</v>
      </c>
      <c r="L63" s="11"/>
    </row>
    <row r="64" spans="1:14" x14ac:dyDescent="0.25">
      <c r="A64">
        <v>120</v>
      </c>
      <c r="D64" t="s">
        <v>25</v>
      </c>
      <c r="F64" s="11">
        <f>SUM(F61:F63)</f>
        <v>74.105263100311532</v>
      </c>
      <c r="G64" s="11">
        <f>SUM(G61:G63)</f>
        <v>45.894736899688468</v>
      </c>
      <c r="H64" s="11">
        <f>F64+G64</f>
        <v>120</v>
      </c>
      <c r="I64" s="11"/>
      <c r="J64" s="11">
        <f>SUM(J61:J63)</f>
        <v>60.084210480249226</v>
      </c>
      <c r="K64" s="11">
        <f>SUM(K61:K63)</f>
        <v>36.715789519750778</v>
      </c>
      <c r="L64" s="22">
        <f>J64+K64</f>
        <v>96.800000000000011</v>
      </c>
      <c r="N64" s="4">
        <f>L64/A64</f>
        <v>0.80666666666666675</v>
      </c>
    </row>
    <row r="65" spans="1:14" x14ac:dyDescent="0.25">
      <c r="F65" s="11"/>
      <c r="G65" s="11"/>
      <c r="H65" s="11"/>
      <c r="I65" s="11"/>
      <c r="J65" s="11"/>
      <c r="K65" s="11"/>
      <c r="L65" s="11"/>
    </row>
    <row r="66" spans="1:14" x14ac:dyDescent="0.25">
      <c r="C66" s="2">
        <v>0.15</v>
      </c>
      <c r="D66" t="s">
        <v>26</v>
      </c>
      <c r="F66" s="11"/>
      <c r="G66" s="11"/>
      <c r="H66" s="11"/>
      <c r="I66" s="11"/>
      <c r="J66" s="11"/>
      <c r="K66" s="11"/>
      <c r="L66" s="11"/>
    </row>
    <row r="67" spans="1:14" x14ac:dyDescent="0.25">
      <c r="C67" s="2"/>
      <c r="D67" t="s">
        <v>45</v>
      </c>
      <c r="F67" s="11">
        <v>2</v>
      </c>
      <c r="G67" s="11">
        <v>4</v>
      </c>
      <c r="H67" s="11">
        <f t="shared" ref="H67:H69" si="5">F67+G67</f>
        <v>6</v>
      </c>
      <c r="I67" s="11"/>
      <c r="J67" s="11">
        <f>1*F67</f>
        <v>2</v>
      </c>
      <c r="K67" s="11">
        <f>0.8*G67</f>
        <v>3.2</v>
      </c>
      <c r="L67" s="11"/>
    </row>
    <row r="68" spans="1:14" x14ac:dyDescent="0.25">
      <c r="C68" s="2"/>
      <c r="D68" t="s">
        <v>46</v>
      </c>
      <c r="F68" s="11">
        <v>18.000000009318711</v>
      </c>
      <c r="G68" s="11">
        <v>18.000000009318711</v>
      </c>
      <c r="H68" s="11">
        <f t="shared" si="5"/>
        <v>36.000000018637422</v>
      </c>
      <c r="I68" s="11"/>
      <c r="J68" s="11">
        <f>0.8*F68</f>
        <v>14.40000000745497</v>
      </c>
      <c r="K68" s="11">
        <f t="shared" ref="K68:K69" si="6">0.8*G68</f>
        <v>14.40000000745497</v>
      </c>
      <c r="L68" s="11"/>
    </row>
    <row r="69" spans="1:14" x14ac:dyDescent="0.25">
      <c r="C69" s="2"/>
      <c r="D69" t="s">
        <v>48</v>
      </c>
      <c r="F69" s="13">
        <v>59.999999959618926</v>
      </c>
      <c r="G69" s="13">
        <v>18.000000021743659</v>
      </c>
      <c r="H69" s="13">
        <f t="shared" si="5"/>
        <v>77.999999981362578</v>
      </c>
      <c r="I69" s="11"/>
      <c r="J69" s="13">
        <f>0.8*F69</f>
        <v>47.999999967695146</v>
      </c>
      <c r="K69" s="13">
        <f t="shared" si="6"/>
        <v>14.400000017394929</v>
      </c>
      <c r="L69" s="11"/>
    </row>
    <row r="70" spans="1:14" x14ac:dyDescent="0.25">
      <c r="A70">
        <v>120</v>
      </c>
      <c r="D70" t="s">
        <v>27</v>
      </c>
      <c r="F70" s="11">
        <f>SUM(F67:F69)</f>
        <v>79.99999996893763</v>
      </c>
      <c r="G70" s="11">
        <f>SUM(G67:G69)</f>
        <v>40.00000003106237</v>
      </c>
      <c r="H70" s="11">
        <f>F70+G70</f>
        <v>120</v>
      </c>
      <c r="I70" s="11"/>
      <c r="J70" s="11">
        <f>SUM(J67:J69)</f>
        <v>64.399999975150109</v>
      </c>
      <c r="K70" s="11">
        <f>SUM(K67:K69)</f>
        <v>32.000000024849896</v>
      </c>
      <c r="L70" s="22">
        <f>J70+K70</f>
        <v>96.4</v>
      </c>
      <c r="N70" s="4">
        <f>L70/A70</f>
        <v>0.80333333333333334</v>
      </c>
    </row>
    <row r="71" spans="1:14" x14ac:dyDescent="0.25">
      <c r="F71" s="11"/>
      <c r="G71" s="11"/>
      <c r="H71" s="11"/>
      <c r="I71" s="11"/>
      <c r="J71" s="11"/>
      <c r="K71" s="11"/>
      <c r="L71" s="11"/>
    </row>
    <row r="72" spans="1:14" x14ac:dyDescent="0.25">
      <c r="C72" s="2">
        <v>0.2</v>
      </c>
      <c r="D72" t="s">
        <v>28</v>
      </c>
      <c r="F72" s="11"/>
      <c r="G72" s="11"/>
      <c r="H72" s="11"/>
      <c r="I72" s="11"/>
      <c r="J72" s="11"/>
      <c r="K72" s="11"/>
      <c r="L72" s="11"/>
    </row>
    <row r="73" spans="1:14" x14ac:dyDescent="0.25">
      <c r="C73" s="2"/>
      <c r="D73" t="s">
        <v>45</v>
      </c>
      <c r="F73" s="11">
        <v>2.712074299068052</v>
      </c>
      <c r="G73" s="11">
        <v>5.4241485981361039</v>
      </c>
      <c r="H73" s="11">
        <f t="shared" ref="H73:H75" si="7">F73+G73</f>
        <v>8.1362228972041564</v>
      </c>
      <c r="I73" s="11"/>
      <c r="J73" s="11">
        <f>1*F73</f>
        <v>2.712074299068052</v>
      </c>
      <c r="K73" s="11">
        <f>0.8*G73</f>
        <v>4.339318878508883</v>
      </c>
      <c r="L73" s="11"/>
    </row>
    <row r="74" spans="1:14" x14ac:dyDescent="0.25">
      <c r="C74" s="2"/>
      <c r="D74" t="s">
        <v>46</v>
      </c>
      <c r="F74" s="11">
        <v>20.340557234890873</v>
      </c>
      <c r="G74" s="11">
        <v>20.340557234890873</v>
      </c>
      <c r="H74" s="11">
        <f t="shared" si="7"/>
        <v>40.681114469781747</v>
      </c>
      <c r="I74" s="11"/>
      <c r="J74" s="11">
        <f>0.8*F74</f>
        <v>16.272445787912698</v>
      </c>
      <c r="K74" s="11">
        <f t="shared" ref="K74:K75" si="8">0.8*G74</f>
        <v>16.272445787912698</v>
      </c>
      <c r="L74" s="11"/>
    </row>
    <row r="75" spans="1:14" x14ac:dyDescent="0.25">
      <c r="C75" s="2"/>
      <c r="D75" t="s">
        <v>48</v>
      </c>
      <c r="F75" s="13">
        <v>90.842105394063466</v>
      </c>
      <c r="G75" s="13">
        <v>20.340557234890873</v>
      </c>
      <c r="H75" s="13">
        <f t="shared" si="7"/>
        <v>111.18266262895435</v>
      </c>
      <c r="I75" s="11"/>
      <c r="J75" s="13">
        <f>0.8*F75</f>
        <v>72.673684315250782</v>
      </c>
      <c r="K75" s="13">
        <f t="shared" si="8"/>
        <v>16.272445787912698</v>
      </c>
      <c r="L75" s="11"/>
    </row>
    <row r="76" spans="1:14" x14ac:dyDescent="0.25">
      <c r="A76">
        <v>160</v>
      </c>
      <c r="D76" t="s">
        <v>29</v>
      </c>
      <c r="F76" s="11">
        <f>SUM(F73:F75)</f>
        <v>113.8947369280224</v>
      </c>
      <c r="G76" s="11">
        <f>SUM(G73:G75)</f>
        <v>46.105263067917846</v>
      </c>
      <c r="H76" s="11">
        <f>F76+G76</f>
        <v>159.99999999594024</v>
      </c>
      <c r="I76" s="11"/>
      <c r="J76" s="11">
        <f>SUM(J73:J75)</f>
        <v>91.658204402231533</v>
      </c>
      <c r="K76" s="11">
        <f>SUM(K73:K75)</f>
        <v>36.88421045433428</v>
      </c>
      <c r="L76" s="22">
        <f>J76+K76</f>
        <v>128.54241485656581</v>
      </c>
      <c r="N76" s="4">
        <f>L76/A76</f>
        <v>0.80339009285353635</v>
      </c>
    </row>
    <row r="77" spans="1:14" ht="15.75" thickBot="1" x14ac:dyDescent="0.3"/>
    <row r="78" spans="1:14" x14ac:dyDescent="0.25">
      <c r="A78" t="s">
        <v>30</v>
      </c>
      <c r="N78" s="20" t="s">
        <v>31</v>
      </c>
    </row>
    <row r="79" spans="1:14" ht="15.75" thickBot="1" x14ac:dyDescent="0.3">
      <c r="A79">
        <f>SUM(A64:A76)</f>
        <v>400</v>
      </c>
      <c r="N79" s="21">
        <f>(L64+L70+L76)/A79</f>
        <v>0.80435603714141446</v>
      </c>
    </row>
    <row r="82" spans="1:9" ht="26.25" x14ac:dyDescent="0.4">
      <c r="A82" s="1" t="s">
        <v>49</v>
      </c>
    </row>
    <row r="84" spans="1:9" x14ac:dyDescent="0.25">
      <c r="A84" t="s">
        <v>33</v>
      </c>
      <c r="F84" t="s">
        <v>50</v>
      </c>
      <c r="G84" t="s">
        <v>51</v>
      </c>
      <c r="H84" t="s">
        <v>55</v>
      </c>
      <c r="I84" t="s">
        <v>56</v>
      </c>
    </row>
    <row r="85" spans="1:9" x14ac:dyDescent="0.25">
      <c r="A85">
        <f>A79+A54+A23</f>
        <v>800</v>
      </c>
      <c r="F85" s="11">
        <f>SUM(F76,F70,F64,F51,F50,F49,F48,F45,F44,F43,F42,F39,F38,F37,F36,F33,F32,F31,F30,F20,F19,F18,F17,F14,F13,F12,F11,F8,F7,F6,F5)</f>
        <v>479.99999999727152</v>
      </c>
      <c r="G85" s="11">
        <f>SUM(G76,G70,G64,G51,G50,G49,G48,G45,G44,G43,G42,G39,G38,G37,G36,G33,G32,G31,G30,G20,G19,G18,G17,G14,G13,G12,G11,G8,G7,G6,G5)</f>
        <v>319.99999999866867</v>
      </c>
      <c r="H85" s="4">
        <f>F85/A85</f>
        <v>0.59999999999658937</v>
      </c>
      <c r="I85" s="4">
        <f>G85/A85</f>
        <v>0.39999999999833585</v>
      </c>
    </row>
    <row r="87" spans="1:9" x14ac:dyDescent="0.25">
      <c r="A87" t="s">
        <v>34</v>
      </c>
      <c r="F87" t="s">
        <v>52</v>
      </c>
      <c r="G87" t="s">
        <v>52</v>
      </c>
    </row>
    <row r="88" spans="1:9" x14ac:dyDescent="0.25">
      <c r="A88" s="22">
        <f>SUM(J23:L23)+SUM(I54:L54)+SUM(L64:L76)</f>
        <v>639.42241485656587</v>
      </c>
      <c r="F88" s="11">
        <f>SUM(J76,J70,J64,J51,J50,J49,J48,J45,J44,J43,J42,J39,J38,J37,J36,J33,J32,J31,J30,J20,J19,J18,J17,J14,J13,J12,J11,J8,J7,J6,J5)</f>
        <v>382.26241485763103</v>
      </c>
      <c r="G88" s="11">
        <f>SUM(K76,K70,K64,K51,K50,K49,K48,K45,K44,K43,K42,K39,K38,K37,K36,K33,K32,K31,K30,K20,K19,K18,K17,K14,K13,K12,K11,K8,K7,K6,K5)</f>
        <v>257.15999999893495</v>
      </c>
    </row>
    <row r="90" spans="1:9" x14ac:dyDescent="0.25">
      <c r="A90" t="s">
        <v>35</v>
      </c>
      <c r="F90" t="s">
        <v>53</v>
      </c>
      <c r="G90" t="s">
        <v>54</v>
      </c>
    </row>
    <row r="91" spans="1:9" x14ac:dyDescent="0.25">
      <c r="A91" s="23">
        <f>A88/A85</f>
        <v>0.79927801857070735</v>
      </c>
      <c r="F91" s="4">
        <f>F88/F85</f>
        <v>0.79638003095792487</v>
      </c>
      <c r="G91" s="4">
        <f>G88/G85</f>
        <v>0.80362500000001513</v>
      </c>
    </row>
  </sheetData>
  <sortState xmlns:xlrd2="http://schemas.microsoft.com/office/spreadsheetml/2017/richdata2" ref="F91:G91">
    <sortCondition descending="1" ref="F91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2DCA1-EFEB-46B6-804D-E04E69382EBC}">
  <dimension ref="A1:U94"/>
  <sheetViews>
    <sheetView workbookViewId="0">
      <selection activeCell="F67" sqref="F67"/>
    </sheetView>
  </sheetViews>
  <sheetFormatPr defaultRowHeight="15" x14ac:dyDescent="0.25"/>
  <cols>
    <col min="1" max="1" width="21.140625" bestFit="1" customWidth="1"/>
    <col min="2" max="2" width="20.85546875" bestFit="1" customWidth="1"/>
    <col min="3" max="3" width="14.42578125" bestFit="1" customWidth="1"/>
    <col min="6" max="6" width="16" bestFit="1" customWidth="1"/>
    <col min="7" max="7" width="14.7109375" bestFit="1" customWidth="1"/>
    <col min="8" max="8" width="11.140625" bestFit="1" customWidth="1"/>
    <col min="9" max="9" width="14" bestFit="1" customWidth="1"/>
    <col min="10" max="10" width="15.7109375" bestFit="1" customWidth="1"/>
    <col min="11" max="11" width="22.5703125" bestFit="1" customWidth="1"/>
    <col min="12" max="12" width="13.7109375" bestFit="1" customWidth="1"/>
    <col min="13" max="13" width="13.7109375" customWidth="1"/>
    <col min="14" max="14" width="13.85546875" bestFit="1" customWidth="1"/>
    <col min="15" max="16" width="13.28515625" bestFit="1" customWidth="1"/>
  </cols>
  <sheetData>
    <row r="1" spans="1:21" ht="26.25" x14ac:dyDescent="0.4">
      <c r="A1" s="48" t="s">
        <v>1</v>
      </c>
      <c r="B1" s="48"/>
      <c r="C1" s="48"/>
      <c r="D1" s="48"/>
      <c r="E1" s="48"/>
      <c r="F1" s="48"/>
      <c r="G1" s="48"/>
      <c r="H1" s="48"/>
      <c r="U1" s="1"/>
    </row>
    <row r="3" spans="1:21" x14ac:dyDescent="0.25">
      <c r="F3" s="47" t="s">
        <v>312</v>
      </c>
      <c r="G3" s="47"/>
    </row>
    <row r="4" spans="1:21" x14ac:dyDescent="0.25">
      <c r="A4" s="33" t="s">
        <v>307</v>
      </c>
      <c r="B4" s="33" t="s">
        <v>309</v>
      </c>
      <c r="C4" s="33" t="s">
        <v>310</v>
      </c>
      <c r="D4" s="33"/>
      <c r="E4" s="33"/>
      <c r="F4" s="33" t="s">
        <v>2</v>
      </c>
      <c r="G4" s="33" t="s">
        <v>3</v>
      </c>
      <c r="H4" s="33" t="s">
        <v>44</v>
      </c>
      <c r="I4" s="33"/>
      <c r="J4" s="33" t="s">
        <v>305</v>
      </c>
      <c r="K4" s="33"/>
      <c r="L4" s="33" t="s">
        <v>306</v>
      </c>
      <c r="M4" s="33"/>
      <c r="N4" s="33" t="s">
        <v>16</v>
      </c>
      <c r="O4" s="33"/>
      <c r="P4" s="33" t="s">
        <v>4</v>
      </c>
    </row>
    <row r="5" spans="1:21" x14ac:dyDescent="0.25">
      <c r="B5" s="35">
        <f>SUM(A6:A9)/A88</f>
        <v>0.1</v>
      </c>
      <c r="C5" s="49" t="s">
        <v>19</v>
      </c>
      <c r="D5" s="49"/>
    </row>
    <row r="6" spans="1:21" x14ac:dyDescent="0.25">
      <c r="A6">
        <v>20</v>
      </c>
      <c r="B6" s="35"/>
      <c r="C6" t="s">
        <v>36</v>
      </c>
      <c r="F6">
        <v>10</v>
      </c>
      <c r="G6">
        <v>10</v>
      </c>
      <c r="H6">
        <f>SUM(F6+G6)</f>
        <v>20</v>
      </c>
      <c r="J6">
        <v>11</v>
      </c>
      <c r="K6" t="str">
        <f>IF(J6&lt;=F6," "," Enter value less than F6")</f>
        <v xml:space="preserve"> Enter value less than F6</v>
      </c>
      <c r="L6">
        <f>0.8*G6</f>
        <v>8</v>
      </c>
      <c r="N6">
        <f>SUM(J6+L6)</f>
        <v>19</v>
      </c>
      <c r="P6" s="4">
        <f>N6/A6</f>
        <v>0.95</v>
      </c>
    </row>
    <row r="7" spans="1:21" x14ac:dyDescent="0.25">
      <c r="A7">
        <v>20</v>
      </c>
      <c r="B7" s="35"/>
      <c r="C7" t="s">
        <v>36</v>
      </c>
      <c r="F7">
        <v>10</v>
      </c>
      <c r="G7">
        <v>10</v>
      </c>
      <c r="H7">
        <f>SUM(F7+G7)</f>
        <v>20</v>
      </c>
      <c r="J7">
        <f t="shared" ref="J7:J15" si="0">0.8*F7</f>
        <v>8</v>
      </c>
      <c r="L7">
        <f>0.8*G7</f>
        <v>8</v>
      </c>
      <c r="N7">
        <f t="shared" ref="N7:N9" si="1">SUM(J7+L7)</f>
        <v>16</v>
      </c>
      <c r="P7" s="4">
        <f>N7/A7</f>
        <v>0.8</v>
      </c>
    </row>
    <row r="8" spans="1:21" x14ac:dyDescent="0.25">
      <c r="A8">
        <v>20</v>
      </c>
      <c r="B8" s="35"/>
      <c r="C8" t="s">
        <v>36</v>
      </c>
      <c r="F8">
        <v>10</v>
      </c>
      <c r="G8">
        <v>10</v>
      </c>
      <c r="H8">
        <f t="shared" ref="H8:H21" si="2">SUM(F8+G8)</f>
        <v>20</v>
      </c>
      <c r="J8">
        <f t="shared" si="0"/>
        <v>8</v>
      </c>
      <c r="L8">
        <f>0.8*G8</f>
        <v>8</v>
      </c>
      <c r="N8">
        <f t="shared" si="1"/>
        <v>16</v>
      </c>
      <c r="P8" s="4">
        <f>N8/A8</f>
        <v>0.8</v>
      </c>
    </row>
    <row r="9" spans="1:21" x14ac:dyDescent="0.25">
      <c r="A9">
        <v>20</v>
      </c>
      <c r="B9" s="35"/>
      <c r="C9" t="s">
        <v>36</v>
      </c>
      <c r="F9">
        <v>10</v>
      </c>
      <c r="G9">
        <v>10</v>
      </c>
      <c r="H9">
        <f t="shared" si="2"/>
        <v>20</v>
      </c>
      <c r="J9">
        <f t="shared" si="0"/>
        <v>8</v>
      </c>
      <c r="L9">
        <f>0.8*G9</f>
        <v>8</v>
      </c>
      <c r="N9">
        <f t="shared" si="1"/>
        <v>16</v>
      </c>
      <c r="P9" s="4">
        <f>N9/A9</f>
        <v>0.8</v>
      </c>
    </row>
    <row r="10" spans="1:21" x14ac:dyDescent="0.25">
      <c r="B10" s="35"/>
    </row>
    <row r="11" spans="1:21" x14ac:dyDescent="0.25">
      <c r="B11" s="35">
        <f>SUM(A12:A15)/A88</f>
        <v>0.1</v>
      </c>
      <c r="C11" s="49" t="s">
        <v>18</v>
      </c>
      <c r="D11" s="49"/>
    </row>
    <row r="12" spans="1:21" x14ac:dyDescent="0.25">
      <c r="A12">
        <v>20</v>
      </c>
      <c r="B12" s="35"/>
      <c r="C12" t="s">
        <v>36</v>
      </c>
      <c r="F12">
        <v>10</v>
      </c>
      <c r="G12">
        <v>10</v>
      </c>
      <c r="H12">
        <f t="shared" si="2"/>
        <v>20</v>
      </c>
      <c r="J12">
        <f t="shared" si="0"/>
        <v>8</v>
      </c>
      <c r="L12">
        <f>0.8*G12</f>
        <v>8</v>
      </c>
      <c r="N12">
        <f>SUM(J12+L12)</f>
        <v>16</v>
      </c>
      <c r="P12" s="4">
        <f>N12/A12</f>
        <v>0.8</v>
      </c>
    </row>
    <row r="13" spans="1:21" x14ac:dyDescent="0.25">
      <c r="A13">
        <v>20</v>
      </c>
      <c r="B13" s="35"/>
      <c r="C13" t="s">
        <v>36</v>
      </c>
      <c r="F13">
        <v>10</v>
      </c>
      <c r="G13">
        <v>10</v>
      </c>
      <c r="H13">
        <f t="shared" si="2"/>
        <v>20</v>
      </c>
      <c r="J13">
        <f t="shared" si="0"/>
        <v>8</v>
      </c>
      <c r="L13">
        <f>0.8*G13</f>
        <v>8</v>
      </c>
      <c r="N13">
        <f t="shared" ref="N13:N15" si="3">SUM(J13+L13)</f>
        <v>16</v>
      </c>
      <c r="P13" s="4">
        <f>N13/A13</f>
        <v>0.8</v>
      </c>
    </row>
    <row r="14" spans="1:21" x14ac:dyDescent="0.25">
      <c r="A14">
        <v>20</v>
      </c>
      <c r="B14" s="35"/>
      <c r="C14" t="s">
        <v>36</v>
      </c>
      <c r="F14">
        <v>10</v>
      </c>
      <c r="G14">
        <v>10</v>
      </c>
      <c r="H14">
        <f t="shared" si="2"/>
        <v>20</v>
      </c>
      <c r="J14">
        <f t="shared" si="0"/>
        <v>8</v>
      </c>
      <c r="L14">
        <f>0.8*G14</f>
        <v>8</v>
      </c>
      <c r="N14">
        <f t="shared" si="3"/>
        <v>16</v>
      </c>
      <c r="P14" s="4">
        <f>N14/A14</f>
        <v>0.8</v>
      </c>
    </row>
    <row r="15" spans="1:21" x14ac:dyDescent="0.25">
      <c r="A15">
        <v>20</v>
      </c>
      <c r="B15" s="35"/>
      <c r="C15" t="s">
        <v>36</v>
      </c>
      <c r="F15">
        <v>10</v>
      </c>
      <c r="G15">
        <v>10</v>
      </c>
      <c r="H15">
        <f t="shared" si="2"/>
        <v>20</v>
      </c>
      <c r="J15">
        <f t="shared" si="0"/>
        <v>8</v>
      </c>
      <c r="L15">
        <f>0.8*G15</f>
        <v>8</v>
      </c>
      <c r="N15">
        <f t="shared" si="3"/>
        <v>16</v>
      </c>
      <c r="P15" s="4">
        <f>N15/A15</f>
        <v>0.8</v>
      </c>
    </row>
    <row r="16" spans="1:21" x14ac:dyDescent="0.25">
      <c r="B16" s="35"/>
    </row>
    <row r="17" spans="1:16" x14ac:dyDescent="0.25">
      <c r="B17" s="35">
        <f>SUM(A18:A21)/A88</f>
        <v>0.05</v>
      </c>
      <c r="C17" s="49" t="s">
        <v>20</v>
      </c>
      <c r="D17" s="49"/>
    </row>
    <row r="18" spans="1:16" x14ac:dyDescent="0.25">
      <c r="A18">
        <v>10</v>
      </c>
      <c r="C18" t="s">
        <v>36</v>
      </c>
      <c r="F18">
        <v>0</v>
      </c>
      <c r="G18">
        <v>10</v>
      </c>
      <c r="H18">
        <f t="shared" si="2"/>
        <v>10</v>
      </c>
      <c r="J18" s="24" t="s">
        <v>32</v>
      </c>
      <c r="K18" s="24"/>
      <c r="L18">
        <f>0.8*G18</f>
        <v>8</v>
      </c>
      <c r="N18">
        <f>L18</f>
        <v>8</v>
      </c>
      <c r="P18" s="4">
        <f>N18/A18</f>
        <v>0.8</v>
      </c>
    </row>
    <row r="19" spans="1:16" x14ac:dyDescent="0.25">
      <c r="A19">
        <v>10</v>
      </c>
      <c r="C19" t="s">
        <v>36</v>
      </c>
      <c r="F19">
        <v>0</v>
      </c>
      <c r="G19">
        <v>10</v>
      </c>
      <c r="H19">
        <f t="shared" si="2"/>
        <v>10</v>
      </c>
      <c r="J19" s="24" t="s">
        <v>32</v>
      </c>
      <c r="K19" s="24"/>
      <c r="L19">
        <f>0.8*G19</f>
        <v>8</v>
      </c>
      <c r="N19">
        <f>L19</f>
        <v>8</v>
      </c>
      <c r="P19" s="4">
        <f>N19/A19</f>
        <v>0.8</v>
      </c>
    </row>
    <row r="20" spans="1:16" x14ac:dyDescent="0.25">
      <c r="A20">
        <v>10</v>
      </c>
      <c r="C20" t="s">
        <v>36</v>
      </c>
      <c r="F20">
        <v>0</v>
      </c>
      <c r="G20">
        <v>10</v>
      </c>
      <c r="H20">
        <f t="shared" si="2"/>
        <v>10</v>
      </c>
      <c r="J20" s="24" t="s">
        <v>32</v>
      </c>
      <c r="K20" s="24"/>
      <c r="L20">
        <f>0.8*G20</f>
        <v>8</v>
      </c>
      <c r="N20">
        <f>L20</f>
        <v>8</v>
      </c>
      <c r="P20" s="4">
        <f>N20/A20</f>
        <v>0.8</v>
      </c>
    </row>
    <row r="21" spans="1:16" x14ac:dyDescent="0.25">
      <c r="A21">
        <v>10</v>
      </c>
      <c r="C21" t="s">
        <v>36</v>
      </c>
      <c r="F21">
        <v>0</v>
      </c>
      <c r="G21">
        <v>10</v>
      </c>
      <c r="H21">
        <f t="shared" si="2"/>
        <v>10</v>
      </c>
      <c r="J21" s="24" t="s">
        <v>32</v>
      </c>
      <c r="K21" s="24"/>
      <c r="L21">
        <f>0.8*G21</f>
        <v>8</v>
      </c>
      <c r="N21" s="3">
        <f>L21</f>
        <v>8</v>
      </c>
      <c r="P21" s="4">
        <f>N21/A21</f>
        <v>0.8</v>
      </c>
    </row>
    <row r="22" spans="1:16" ht="15.75" thickBot="1" x14ac:dyDescent="0.3"/>
    <row r="23" spans="1:16" x14ac:dyDescent="0.25">
      <c r="A23" t="s">
        <v>21</v>
      </c>
      <c r="J23" s="25" t="s">
        <v>37</v>
      </c>
      <c r="K23" s="26"/>
      <c r="L23" s="26" t="s">
        <v>38</v>
      </c>
      <c r="M23" s="26"/>
      <c r="N23" s="26" t="s">
        <v>39</v>
      </c>
      <c r="O23" s="26"/>
      <c r="P23" s="29" t="s">
        <v>31</v>
      </c>
    </row>
    <row r="24" spans="1:16" ht="15.75" thickBot="1" x14ac:dyDescent="0.3">
      <c r="A24">
        <f>SUM(A6:A21)</f>
        <v>200</v>
      </c>
      <c r="J24" s="27">
        <f>SUM(N6:N9)</f>
        <v>67</v>
      </c>
      <c r="K24" s="28"/>
      <c r="L24" s="28">
        <f>SUM(N12:N15)</f>
        <v>64</v>
      </c>
      <c r="M24" s="28"/>
      <c r="N24" s="28">
        <f>SUM(N18:N21)</f>
        <v>32</v>
      </c>
      <c r="O24" s="28"/>
      <c r="P24" s="30">
        <f>(SUM(N6:N9)+SUM(N12:N15)+SUM(N18:N21))/A24</f>
        <v>0.81499999999999995</v>
      </c>
    </row>
    <row r="27" spans="1:16" ht="26.25" x14ac:dyDescent="0.4">
      <c r="A27" s="48" t="s">
        <v>5</v>
      </c>
      <c r="B27" s="48"/>
      <c r="C27" s="48"/>
      <c r="D27" s="48"/>
      <c r="E27" s="48"/>
      <c r="F27" s="48"/>
      <c r="G27" s="48"/>
      <c r="H27" s="48"/>
    </row>
    <row r="28" spans="1:16" ht="15" customHeight="1" x14ac:dyDescent="0.4">
      <c r="D28" s="1"/>
      <c r="F28" s="1"/>
    </row>
    <row r="29" spans="1:16" ht="15" customHeight="1" x14ac:dyDescent="0.4">
      <c r="D29" s="1"/>
      <c r="F29" s="47" t="s">
        <v>312</v>
      </c>
      <c r="G29" s="47"/>
    </row>
    <row r="30" spans="1:16" x14ac:dyDescent="0.25">
      <c r="A30" s="33" t="s">
        <v>307</v>
      </c>
      <c r="B30" s="33" t="s">
        <v>309</v>
      </c>
      <c r="C30" s="33"/>
      <c r="D30" s="33"/>
      <c r="E30" s="33"/>
      <c r="F30" s="33" t="s">
        <v>2</v>
      </c>
      <c r="G30" s="33" t="s">
        <v>7</v>
      </c>
      <c r="H30" s="33" t="s">
        <v>44</v>
      </c>
      <c r="I30" s="33"/>
      <c r="J30" s="33" t="s">
        <v>305</v>
      </c>
      <c r="K30" s="33"/>
      <c r="L30" s="33" t="s">
        <v>306</v>
      </c>
      <c r="M30" s="33"/>
      <c r="N30" s="33" t="s">
        <v>16</v>
      </c>
      <c r="O30" s="33"/>
      <c r="P30" s="33" t="s">
        <v>8</v>
      </c>
    </row>
    <row r="31" spans="1:16" x14ac:dyDescent="0.25">
      <c r="B31" s="34">
        <f>SUM(A32:A35)/A88</f>
        <v>7.4999999999999997E-2</v>
      </c>
      <c r="C31" s="49" t="s">
        <v>9</v>
      </c>
      <c r="D31" s="49"/>
    </row>
    <row r="32" spans="1:16" x14ac:dyDescent="0.25">
      <c r="A32">
        <v>15</v>
      </c>
      <c r="B32" s="4"/>
      <c r="C32" t="s">
        <v>36</v>
      </c>
      <c r="F32">
        <v>12</v>
      </c>
      <c r="G32">
        <v>3</v>
      </c>
      <c r="H32">
        <f>F32+G32</f>
        <v>15</v>
      </c>
      <c r="J32" s="11">
        <f t="shared" ref="J32:J35" si="4">0.8*F32</f>
        <v>9.6000000000000014</v>
      </c>
      <c r="K32" s="11"/>
      <c r="L32" s="11">
        <f>0.8*G32</f>
        <v>2.4000000000000004</v>
      </c>
      <c r="M32" s="11"/>
      <c r="N32" s="11">
        <f>J32+L32</f>
        <v>12.000000000000002</v>
      </c>
      <c r="P32" s="4">
        <f>N32/A32</f>
        <v>0.80000000000000016</v>
      </c>
    </row>
    <row r="33" spans="1:16" x14ac:dyDescent="0.25">
      <c r="A33">
        <v>15</v>
      </c>
      <c r="B33" s="4"/>
      <c r="C33" t="s">
        <v>36</v>
      </c>
      <c r="F33">
        <v>12</v>
      </c>
      <c r="G33">
        <v>3</v>
      </c>
      <c r="H33">
        <f>F33+G33</f>
        <v>15</v>
      </c>
      <c r="J33" s="11">
        <f t="shared" si="4"/>
        <v>9.6000000000000014</v>
      </c>
      <c r="K33" s="11"/>
      <c r="L33" s="11">
        <f>0.8*G33</f>
        <v>2.4000000000000004</v>
      </c>
      <c r="M33" s="11"/>
      <c r="N33" s="11">
        <f>J33+L33</f>
        <v>12.000000000000002</v>
      </c>
      <c r="P33" s="4">
        <f>N33/A33</f>
        <v>0.80000000000000016</v>
      </c>
    </row>
    <row r="34" spans="1:16" x14ac:dyDescent="0.25">
      <c r="A34">
        <v>15</v>
      </c>
      <c r="B34" s="4"/>
      <c r="C34" t="s">
        <v>36</v>
      </c>
      <c r="F34">
        <v>12</v>
      </c>
      <c r="G34">
        <v>3</v>
      </c>
      <c r="H34">
        <f>F34+G34</f>
        <v>15</v>
      </c>
      <c r="J34" s="11">
        <f t="shared" si="4"/>
        <v>9.6000000000000014</v>
      </c>
      <c r="K34" s="11"/>
      <c r="L34" s="11">
        <f>0.8*G34</f>
        <v>2.4000000000000004</v>
      </c>
      <c r="M34" s="11"/>
      <c r="N34" s="11">
        <f>J34+L34</f>
        <v>12.000000000000002</v>
      </c>
      <c r="P34" s="4">
        <f>N34/A34</f>
        <v>0.80000000000000016</v>
      </c>
    </row>
    <row r="35" spans="1:16" x14ac:dyDescent="0.25">
      <c r="A35">
        <v>15</v>
      </c>
      <c r="B35" s="4"/>
      <c r="C35" t="s">
        <v>36</v>
      </c>
      <c r="F35">
        <v>12</v>
      </c>
      <c r="G35">
        <v>3</v>
      </c>
      <c r="H35">
        <f>F35+G35</f>
        <v>15</v>
      </c>
      <c r="J35" s="11">
        <f t="shared" si="4"/>
        <v>9.6000000000000014</v>
      </c>
      <c r="K35" s="11"/>
      <c r="L35" s="11">
        <f>0.8*G35</f>
        <v>2.4000000000000004</v>
      </c>
      <c r="M35" s="11"/>
      <c r="N35" s="11">
        <f>SUM(J35+L35)</f>
        <v>12.000000000000002</v>
      </c>
      <c r="P35" s="4">
        <f>N35/A35</f>
        <v>0.80000000000000016</v>
      </c>
    </row>
    <row r="36" spans="1:16" x14ac:dyDescent="0.25">
      <c r="B36" s="4"/>
      <c r="J36" s="11"/>
      <c r="K36" s="11"/>
      <c r="L36" s="11"/>
      <c r="M36" s="11"/>
      <c r="N36" s="11"/>
    </row>
    <row r="37" spans="1:16" x14ac:dyDescent="0.25">
      <c r="B37" s="34">
        <f>SUM(A38:A41)/A88</f>
        <v>7.4999999999999997E-2</v>
      </c>
      <c r="C37" s="49" t="s">
        <v>10</v>
      </c>
      <c r="D37" s="49"/>
      <c r="J37" s="11"/>
      <c r="K37" s="11"/>
      <c r="L37" s="11"/>
      <c r="M37" s="11"/>
      <c r="N37" s="11"/>
    </row>
    <row r="38" spans="1:16" x14ac:dyDescent="0.25">
      <c r="A38">
        <v>15</v>
      </c>
      <c r="B38" s="4"/>
      <c r="C38" t="s">
        <v>36</v>
      </c>
      <c r="F38">
        <v>8</v>
      </c>
      <c r="G38">
        <v>7</v>
      </c>
      <c r="H38">
        <f>F38+G38</f>
        <v>15</v>
      </c>
      <c r="J38" s="11">
        <f>0.7*F38</f>
        <v>5.6</v>
      </c>
      <c r="K38" s="11"/>
      <c r="L38" s="11">
        <f>0.85*G38</f>
        <v>5.95</v>
      </c>
      <c r="M38" s="11"/>
      <c r="N38" s="11">
        <f>J38+L38</f>
        <v>11.55</v>
      </c>
      <c r="P38" s="4">
        <f>N38/A38</f>
        <v>0.77</v>
      </c>
    </row>
    <row r="39" spans="1:16" x14ac:dyDescent="0.25">
      <c r="A39">
        <v>15</v>
      </c>
      <c r="B39" s="4"/>
      <c r="C39" t="s">
        <v>36</v>
      </c>
      <c r="F39">
        <v>8</v>
      </c>
      <c r="G39">
        <v>7</v>
      </c>
      <c r="H39">
        <f>F39+G39</f>
        <v>15</v>
      </c>
      <c r="J39" s="11">
        <f>0.7*F39</f>
        <v>5.6</v>
      </c>
      <c r="K39" s="11"/>
      <c r="L39" s="11">
        <f>0.85*G39</f>
        <v>5.95</v>
      </c>
      <c r="M39" s="11"/>
      <c r="N39" s="11">
        <f>J39+L39</f>
        <v>11.55</v>
      </c>
      <c r="P39" s="4">
        <f>N39/A39</f>
        <v>0.77</v>
      </c>
    </row>
    <row r="40" spans="1:16" x14ac:dyDescent="0.25">
      <c r="A40">
        <v>15</v>
      </c>
      <c r="B40" s="4"/>
      <c r="C40" t="s">
        <v>36</v>
      </c>
      <c r="F40">
        <v>8</v>
      </c>
      <c r="G40">
        <v>7</v>
      </c>
      <c r="H40">
        <f>F40+G40</f>
        <v>15</v>
      </c>
      <c r="J40" s="11">
        <f>0.7*F40</f>
        <v>5.6</v>
      </c>
      <c r="K40" s="11"/>
      <c r="L40" s="11">
        <f>0.85*G40</f>
        <v>5.95</v>
      </c>
      <c r="M40" s="11"/>
      <c r="N40" s="11">
        <f>J40+L40</f>
        <v>11.55</v>
      </c>
      <c r="P40" s="4">
        <f>N40/A40</f>
        <v>0.77</v>
      </c>
    </row>
    <row r="41" spans="1:16" x14ac:dyDescent="0.25">
      <c r="A41">
        <v>15</v>
      </c>
      <c r="B41" s="4"/>
      <c r="C41" t="s">
        <v>36</v>
      </c>
      <c r="F41">
        <v>8</v>
      </c>
      <c r="G41">
        <v>7</v>
      </c>
      <c r="H41">
        <f>F41+G41</f>
        <v>15</v>
      </c>
      <c r="J41" s="11">
        <f>0.7*F41</f>
        <v>5.6</v>
      </c>
      <c r="K41" s="11"/>
      <c r="L41" s="11">
        <f>0.85*G41</f>
        <v>5.95</v>
      </c>
      <c r="M41" s="11"/>
      <c r="N41" s="11">
        <f>J41+L41</f>
        <v>11.55</v>
      </c>
      <c r="P41" s="4">
        <f>N41/A41</f>
        <v>0.77</v>
      </c>
    </row>
    <row r="42" spans="1:16" x14ac:dyDescent="0.25">
      <c r="B42" s="4"/>
      <c r="J42" s="11"/>
      <c r="K42" s="11"/>
      <c r="L42" s="11"/>
      <c r="M42" s="11"/>
      <c r="N42" s="11"/>
      <c r="P42" s="4"/>
    </row>
    <row r="43" spans="1:16" x14ac:dyDescent="0.25">
      <c r="B43" s="34">
        <f>SUM(A44:A47)/A88</f>
        <v>0.05</v>
      </c>
      <c r="C43" s="49" t="s">
        <v>11</v>
      </c>
      <c r="D43" s="49"/>
      <c r="J43" s="11"/>
      <c r="K43" s="11"/>
      <c r="L43" s="11"/>
      <c r="M43" s="11"/>
      <c r="N43" s="11"/>
      <c r="P43" s="4"/>
    </row>
    <row r="44" spans="1:16" x14ac:dyDescent="0.25">
      <c r="A44">
        <v>10</v>
      </c>
      <c r="B44" s="34"/>
      <c r="C44" t="s">
        <v>36</v>
      </c>
      <c r="F44">
        <v>5</v>
      </c>
      <c r="G44">
        <v>5</v>
      </c>
      <c r="H44">
        <f>F44+G44</f>
        <v>10</v>
      </c>
      <c r="J44" s="11">
        <f>0.73*F44</f>
        <v>3.65</v>
      </c>
      <c r="K44" s="11"/>
      <c r="L44" s="11">
        <f>0.8*G44</f>
        <v>4</v>
      </c>
      <c r="M44" s="11"/>
      <c r="N44" s="11">
        <f>J44+L44</f>
        <v>7.65</v>
      </c>
      <c r="P44" s="4">
        <f>N44/A44</f>
        <v>0.76500000000000001</v>
      </c>
    </row>
    <row r="45" spans="1:16" x14ac:dyDescent="0.25">
      <c r="A45">
        <v>10</v>
      </c>
      <c r="B45" s="34"/>
      <c r="C45" t="s">
        <v>36</v>
      </c>
      <c r="F45">
        <v>5</v>
      </c>
      <c r="G45">
        <v>5</v>
      </c>
      <c r="H45">
        <f>F45+G45</f>
        <v>10</v>
      </c>
      <c r="J45" s="11">
        <f>0.73*F45</f>
        <v>3.65</v>
      </c>
      <c r="K45" s="11"/>
      <c r="L45" s="11">
        <f>0.8*G45</f>
        <v>4</v>
      </c>
      <c r="M45" s="11"/>
      <c r="N45" s="11">
        <f>J45+L45</f>
        <v>7.65</v>
      </c>
      <c r="P45" s="4">
        <f>N45/A45</f>
        <v>0.76500000000000001</v>
      </c>
    </row>
    <row r="46" spans="1:16" x14ac:dyDescent="0.25">
      <c r="A46">
        <v>10</v>
      </c>
      <c r="B46" s="34"/>
      <c r="C46" t="s">
        <v>36</v>
      </c>
      <c r="F46">
        <v>7</v>
      </c>
      <c r="G46">
        <v>3</v>
      </c>
      <c r="H46">
        <f>F46+G46</f>
        <v>10</v>
      </c>
      <c r="J46" s="11">
        <f>0.73*F46</f>
        <v>5.1099999999999994</v>
      </c>
      <c r="K46" s="11"/>
      <c r="L46" s="11">
        <f>0.8*G46</f>
        <v>2.4000000000000004</v>
      </c>
      <c r="M46" s="11"/>
      <c r="N46" s="11">
        <f>J46+L46</f>
        <v>7.51</v>
      </c>
      <c r="P46" s="4">
        <f>N46/A46</f>
        <v>0.751</v>
      </c>
    </row>
    <row r="47" spans="1:16" x14ac:dyDescent="0.25">
      <c r="A47">
        <v>10</v>
      </c>
      <c r="B47" s="34"/>
      <c r="C47" t="s">
        <v>36</v>
      </c>
      <c r="F47">
        <v>7</v>
      </c>
      <c r="G47">
        <v>3</v>
      </c>
      <c r="H47">
        <f>F47+G47</f>
        <v>10</v>
      </c>
      <c r="J47" s="11">
        <f>0.73*F47</f>
        <v>5.1099999999999994</v>
      </c>
      <c r="K47" s="11"/>
      <c r="L47" s="11">
        <f>0.8*G47</f>
        <v>2.4000000000000004</v>
      </c>
      <c r="M47" s="11"/>
      <c r="N47" s="11">
        <f>J47+L47</f>
        <v>7.51</v>
      </c>
      <c r="P47" s="4">
        <f>N47/A47</f>
        <v>0.751</v>
      </c>
    </row>
    <row r="48" spans="1:16" x14ac:dyDescent="0.25">
      <c r="B48" s="34"/>
      <c r="J48" s="11"/>
      <c r="K48" s="11"/>
      <c r="L48" s="11"/>
      <c r="M48" s="11"/>
      <c r="N48" s="11"/>
      <c r="P48" s="4"/>
    </row>
    <row r="49" spans="1:16" x14ac:dyDescent="0.25">
      <c r="B49" s="34">
        <f>SUM(A50:A53)/A88</f>
        <v>0.05</v>
      </c>
      <c r="C49" s="49" t="s">
        <v>12</v>
      </c>
      <c r="D49" s="49"/>
      <c r="J49" s="11"/>
      <c r="K49" s="11"/>
      <c r="L49" s="11"/>
      <c r="M49" s="11"/>
      <c r="N49" s="11"/>
      <c r="P49" s="4"/>
    </row>
    <row r="50" spans="1:16" x14ac:dyDescent="0.25">
      <c r="A50">
        <v>10</v>
      </c>
      <c r="C50" t="s">
        <v>36</v>
      </c>
      <c r="F50">
        <v>7</v>
      </c>
      <c r="G50">
        <v>3</v>
      </c>
      <c r="H50">
        <f>F50+G50</f>
        <v>10</v>
      </c>
      <c r="J50" s="11">
        <f>0.85*F50</f>
        <v>5.95</v>
      </c>
      <c r="K50" s="11"/>
      <c r="L50" s="11">
        <f>0.78*G50</f>
        <v>2.34</v>
      </c>
      <c r="M50" s="11"/>
      <c r="N50" s="11">
        <f>J50+L50</f>
        <v>8.2899999999999991</v>
      </c>
      <c r="P50" s="4">
        <f>N50/A50</f>
        <v>0.82899999999999996</v>
      </c>
    </row>
    <row r="51" spans="1:16" x14ac:dyDescent="0.25">
      <c r="A51">
        <v>10</v>
      </c>
      <c r="C51" t="s">
        <v>36</v>
      </c>
      <c r="F51">
        <v>7</v>
      </c>
      <c r="G51">
        <v>3</v>
      </c>
      <c r="H51">
        <f>F51+G51</f>
        <v>10</v>
      </c>
      <c r="J51" s="11">
        <f>0.85*F51</f>
        <v>5.95</v>
      </c>
      <c r="K51" s="11"/>
      <c r="L51" s="11">
        <f>0.78*G51</f>
        <v>2.34</v>
      </c>
      <c r="M51" s="11"/>
      <c r="N51" s="11">
        <f>J51+L51</f>
        <v>8.2899999999999991</v>
      </c>
      <c r="P51" s="4">
        <f>N51/A51</f>
        <v>0.82899999999999996</v>
      </c>
    </row>
    <row r="52" spans="1:16" x14ac:dyDescent="0.25">
      <c r="A52">
        <v>10</v>
      </c>
      <c r="C52" t="s">
        <v>36</v>
      </c>
      <c r="F52">
        <v>7</v>
      </c>
      <c r="G52">
        <v>3</v>
      </c>
      <c r="H52">
        <f>F52+G52</f>
        <v>10</v>
      </c>
      <c r="J52" s="11">
        <f>0.85*F52</f>
        <v>5.95</v>
      </c>
      <c r="K52" s="11"/>
      <c r="L52" s="11">
        <f>0.78*G52</f>
        <v>2.34</v>
      </c>
      <c r="M52" s="11"/>
      <c r="N52" s="11">
        <f>J52+L52</f>
        <v>8.2899999999999991</v>
      </c>
      <c r="P52" s="4">
        <f>N52/A52</f>
        <v>0.82899999999999996</v>
      </c>
    </row>
    <row r="53" spans="1:16" x14ac:dyDescent="0.25">
      <c r="A53">
        <v>10</v>
      </c>
      <c r="C53" t="s">
        <v>36</v>
      </c>
      <c r="F53">
        <v>7</v>
      </c>
      <c r="G53">
        <v>3</v>
      </c>
      <c r="H53">
        <f>F53+G53</f>
        <v>10</v>
      </c>
      <c r="J53" s="11">
        <f>0.85*F53</f>
        <v>5.95</v>
      </c>
      <c r="K53" s="11"/>
      <c r="L53" s="11">
        <f>0.78*G53</f>
        <v>2.34</v>
      </c>
      <c r="M53" s="11"/>
      <c r="N53" s="11">
        <f>J53+L53</f>
        <v>8.2899999999999991</v>
      </c>
      <c r="P53" s="4">
        <f>N53/A53</f>
        <v>0.82899999999999996</v>
      </c>
    </row>
    <row r="54" spans="1:16" ht="15.75" thickBot="1" x14ac:dyDescent="0.3"/>
    <row r="55" spans="1:16" x14ac:dyDescent="0.25">
      <c r="A55" t="s">
        <v>22</v>
      </c>
      <c r="I55" s="25" t="s">
        <v>40</v>
      </c>
      <c r="J55" s="26" t="s">
        <v>41</v>
      </c>
      <c r="K55" s="26"/>
      <c r="L55" s="26" t="s">
        <v>42</v>
      </c>
      <c r="M55" s="26"/>
      <c r="N55" s="26" t="s">
        <v>43</v>
      </c>
      <c r="O55" s="26"/>
      <c r="P55" s="29" t="s">
        <v>31</v>
      </c>
    </row>
    <row r="56" spans="1:16" ht="15.75" thickBot="1" x14ac:dyDescent="0.3">
      <c r="A56">
        <f>SUM(A32:A53)</f>
        <v>200</v>
      </c>
      <c r="I56" s="27">
        <f>SUM(N32:N35)</f>
        <v>48.000000000000007</v>
      </c>
      <c r="J56" s="28">
        <f>SUM(N38:N41)</f>
        <v>46.2</v>
      </c>
      <c r="K56" s="28"/>
      <c r="L56" s="28">
        <f>SUM(N44:N47)</f>
        <v>30.32</v>
      </c>
      <c r="M56" s="28"/>
      <c r="N56" s="28">
        <f>SUM(N50:N53)</f>
        <v>33.159999999999997</v>
      </c>
      <c r="O56" s="28"/>
      <c r="P56" s="30">
        <f>SUM(I56:N56)/A56</f>
        <v>0.78839999999999999</v>
      </c>
    </row>
    <row r="58" spans="1:16" x14ac:dyDescent="0.25">
      <c r="A58" s="48" t="s">
        <v>23</v>
      </c>
      <c r="B58" s="48"/>
      <c r="C58" s="48"/>
      <c r="D58" s="48"/>
      <c r="E58" s="48"/>
      <c r="F58" s="48"/>
      <c r="G58" s="48"/>
      <c r="H58" s="48"/>
    </row>
    <row r="59" spans="1:16" ht="15" customHeight="1" x14ac:dyDescent="0.25">
      <c r="A59" s="48"/>
      <c r="B59" s="48"/>
      <c r="C59" s="48"/>
      <c r="D59" s="48"/>
      <c r="E59" s="48"/>
      <c r="F59" s="48"/>
      <c r="G59" s="48"/>
      <c r="H59" s="48"/>
    </row>
    <row r="61" spans="1:16" x14ac:dyDescent="0.25">
      <c r="F61" s="47" t="s">
        <v>312</v>
      </c>
      <c r="G61" s="47"/>
    </row>
    <row r="62" spans="1:16" x14ac:dyDescent="0.25">
      <c r="A62" s="33" t="s">
        <v>308</v>
      </c>
      <c r="B62" s="33" t="s">
        <v>309</v>
      </c>
      <c r="C62" s="33"/>
      <c r="D62" s="33"/>
      <c r="E62" s="33"/>
      <c r="F62" s="33" t="s">
        <v>2</v>
      </c>
      <c r="G62" s="33" t="s">
        <v>7</v>
      </c>
      <c r="H62" s="33" t="s">
        <v>44</v>
      </c>
      <c r="I62" s="33"/>
      <c r="J62" s="33" t="s">
        <v>305</v>
      </c>
      <c r="K62" s="33"/>
      <c r="L62" s="33" t="s">
        <v>306</v>
      </c>
      <c r="M62" s="33"/>
      <c r="N62" s="33" t="s">
        <v>16</v>
      </c>
      <c r="O62" s="33"/>
      <c r="P62" s="33" t="s">
        <v>8</v>
      </c>
    </row>
    <row r="63" spans="1:16" x14ac:dyDescent="0.25">
      <c r="B63" s="35">
        <f>SUM(A67)/A88</f>
        <v>0.15</v>
      </c>
      <c r="C63" s="49" t="s">
        <v>24</v>
      </c>
      <c r="D63" s="49"/>
    </row>
    <row r="64" spans="1:16" x14ac:dyDescent="0.25">
      <c r="B64" s="35"/>
      <c r="C64" t="s">
        <v>45</v>
      </c>
      <c r="F64" s="11">
        <v>4</v>
      </c>
      <c r="G64" s="11">
        <v>8</v>
      </c>
      <c r="H64" s="11">
        <f t="shared" ref="H64:H66" si="5">F64+G64</f>
        <v>12</v>
      </c>
      <c r="I64" s="11"/>
      <c r="J64" s="11">
        <f>1*F64</f>
        <v>4</v>
      </c>
      <c r="K64" s="11"/>
      <c r="L64" s="11">
        <f>0.8*G64</f>
        <v>6.4</v>
      </c>
      <c r="M64" s="11"/>
      <c r="N64" s="11"/>
    </row>
    <row r="65" spans="1:16" x14ac:dyDescent="0.25">
      <c r="B65" s="35"/>
      <c r="C65" t="s">
        <v>46</v>
      </c>
      <c r="F65" s="11">
        <v>17.05263156583332</v>
      </c>
      <c r="G65" s="11">
        <v>18.947368434166673</v>
      </c>
      <c r="H65" s="11">
        <f t="shared" si="5"/>
        <v>35.999999999999993</v>
      </c>
      <c r="I65" s="11"/>
      <c r="J65" s="11">
        <f>0.8*F65</f>
        <v>13.642105252666656</v>
      </c>
      <c r="K65" s="11"/>
      <c r="L65" s="11">
        <f t="shared" ref="L65:L66" si="6">0.8*G65</f>
        <v>15.157894747333339</v>
      </c>
      <c r="M65" s="11"/>
      <c r="N65" s="11"/>
    </row>
    <row r="66" spans="1:16" x14ac:dyDescent="0.25">
      <c r="B66" s="35"/>
      <c r="C66" t="s">
        <v>47</v>
      </c>
      <c r="F66" s="12">
        <v>53.052631534478209</v>
      </c>
      <c r="G66" s="12">
        <v>18.947368465521798</v>
      </c>
      <c r="H66" s="12">
        <f t="shared" si="5"/>
        <v>72</v>
      </c>
      <c r="I66" s="11"/>
      <c r="J66" s="13">
        <f>0.8*F66</f>
        <v>42.442105227582573</v>
      </c>
      <c r="K66" s="13"/>
      <c r="L66" s="13">
        <f t="shared" si="6"/>
        <v>15.157894772417439</v>
      </c>
      <c r="M66" s="36"/>
      <c r="N66" s="11"/>
    </row>
    <row r="67" spans="1:16" x14ac:dyDescent="0.25">
      <c r="A67">
        <v>120</v>
      </c>
      <c r="B67" s="35"/>
      <c r="C67" t="s">
        <v>25</v>
      </c>
      <c r="F67" s="11">
        <f>SUM(F64:F66)</f>
        <v>74.105263100311532</v>
      </c>
      <c r="G67" s="11">
        <f>SUM(G64:G66)</f>
        <v>45.894736899688468</v>
      </c>
      <c r="H67" s="11">
        <f>F67+G67</f>
        <v>120</v>
      </c>
      <c r="I67" s="11"/>
      <c r="J67" s="11">
        <f>SUM(J64:J66)</f>
        <v>60.084210480249226</v>
      </c>
      <c r="K67" s="11"/>
      <c r="L67" s="11">
        <f>SUM(L64:L66)</f>
        <v>36.715789519750778</v>
      </c>
      <c r="M67" s="11"/>
      <c r="N67" s="22">
        <f>J67+L67</f>
        <v>96.800000000000011</v>
      </c>
      <c r="P67" s="4">
        <f>N67/A67</f>
        <v>0.80666666666666675</v>
      </c>
    </row>
    <row r="68" spans="1:16" x14ac:dyDescent="0.25">
      <c r="B68" s="35"/>
      <c r="F68" s="11"/>
      <c r="G68" s="11"/>
      <c r="H68" s="11"/>
      <c r="I68" s="11"/>
      <c r="J68" s="11"/>
      <c r="K68" s="11"/>
      <c r="L68" s="11"/>
      <c r="M68" s="11"/>
      <c r="N68" s="11"/>
    </row>
    <row r="69" spans="1:16" x14ac:dyDescent="0.25">
      <c r="B69" s="35">
        <f>SUM(A73)/A88</f>
        <v>0.15</v>
      </c>
      <c r="C69" s="49" t="s">
        <v>26</v>
      </c>
      <c r="D69" s="49"/>
      <c r="F69" s="11"/>
      <c r="G69" s="11"/>
      <c r="H69" s="11"/>
      <c r="I69" s="11"/>
      <c r="J69" s="11"/>
      <c r="K69" s="11"/>
      <c r="L69" s="11"/>
      <c r="M69" s="11"/>
      <c r="N69" s="11"/>
    </row>
    <row r="70" spans="1:16" x14ac:dyDescent="0.25">
      <c r="B70" s="35"/>
      <c r="C70" t="s">
        <v>45</v>
      </c>
      <c r="F70" s="11">
        <v>2</v>
      </c>
      <c r="G70" s="11">
        <v>4</v>
      </c>
      <c r="H70" s="11">
        <f t="shared" ref="H70:H72" si="7">F70+G70</f>
        <v>6</v>
      </c>
      <c r="I70" s="11"/>
      <c r="J70" s="11">
        <f>1*F70</f>
        <v>2</v>
      </c>
      <c r="K70" s="11"/>
      <c r="L70" s="11">
        <f>0.8*G70</f>
        <v>3.2</v>
      </c>
      <c r="M70" s="11"/>
      <c r="N70" s="11"/>
    </row>
    <row r="71" spans="1:16" x14ac:dyDescent="0.25">
      <c r="B71" s="35"/>
      <c r="C71" t="s">
        <v>46</v>
      </c>
      <c r="F71" s="11">
        <v>18.000000009318711</v>
      </c>
      <c r="G71" s="11">
        <v>18.000000009318711</v>
      </c>
      <c r="H71" s="11">
        <f t="shared" si="7"/>
        <v>36.000000018637422</v>
      </c>
      <c r="I71" s="11"/>
      <c r="J71" s="11">
        <f>0.8*F71</f>
        <v>14.40000000745497</v>
      </c>
      <c r="K71" s="11"/>
      <c r="L71" s="11">
        <f t="shared" ref="L71:L72" si="8">0.8*G71</f>
        <v>14.40000000745497</v>
      </c>
      <c r="M71" s="11"/>
      <c r="N71" s="11"/>
    </row>
    <row r="72" spans="1:16" x14ac:dyDescent="0.25">
      <c r="B72" s="35"/>
      <c r="C72" t="s">
        <v>48</v>
      </c>
      <c r="F72" s="13">
        <v>59.999999959618926</v>
      </c>
      <c r="G72" s="13">
        <v>18.000000021743659</v>
      </c>
      <c r="H72" s="13">
        <f t="shared" si="7"/>
        <v>77.999999981362578</v>
      </c>
      <c r="I72" s="11"/>
      <c r="J72" s="13">
        <f>0.8*F72</f>
        <v>47.999999967695146</v>
      </c>
      <c r="K72" s="13"/>
      <c r="L72" s="13">
        <f t="shared" si="8"/>
        <v>14.400000017394929</v>
      </c>
      <c r="M72" s="36"/>
      <c r="N72" s="11"/>
    </row>
    <row r="73" spans="1:16" x14ac:dyDescent="0.25">
      <c r="A73">
        <v>120</v>
      </c>
      <c r="B73" s="35"/>
      <c r="C73" t="s">
        <v>27</v>
      </c>
      <c r="F73" s="11">
        <f>SUM(F70:F72)</f>
        <v>79.99999996893763</v>
      </c>
      <c r="G73" s="11">
        <f>SUM(G70:G72)</f>
        <v>40.00000003106237</v>
      </c>
      <c r="H73" s="11">
        <f>F73+G73</f>
        <v>120</v>
      </c>
      <c r="I73" s="11"/>
      <c r="J73" s="11">
        <f>SUM(J70:J72)</f>
        <v>64.399999975150109</v>
      </c>
      <c r="K73" s="11"/>
      <c r="L73" s="11">
        <f>SUM(L70:L72)</f>
        <v>32.000000024849896</v>
      </c>
      <c r="M73" s="11"/>
      <c r="N73" s="22">
        <f>J73+L73</f>
        <v>96.4</v>
      </c>
      <c r="P73" s="4">
        <f>N73/A73</f>
        <v>0.80333333333333334</v>
      </c>
    </row>
    <row r="74" spans="1:16" x14ac:dyDescent="0.25">
      <c r="B74" s="35"/>
      <c r="F74" s="11"/>
      <c r="G74" s="11"/>
      <c r="H74" s="11"/>
      <c r="I74" s="11"/>
      <c r="J74" s="11"/>
      <c r="K74" s="11"/>
      <c r="L74" s="11"/>
      <c r="M74" s="11"/>
      <c r="N74" s="11"/>
    </row>
    <row r="75" spans="1:16" x14ac:dyDescent="0.25">
      <c r="B75" s="35">
        <f>SUM(A79)/A88</f>
        <v>0.2</v>
      </c>
      <c r="C75" s="49" t="s">
        <v>28</v>
      </c>
      <c r="D75" s="49"/>
      <c r="F75" s="11"/>
      <c r="G75" s="11"/>
      <c r="H75" s="11"/>
      <c r="I75" s="11"/>
      <c r="J75" s="11"/>
      <c r="K75" s="11"/>
      <c r="L75" s="11"/>
      <c r="M75" s="11"/>
      <c r="N75" s="11"/>
    </row>
    <row r="76" spans="1:16" x14ac:dyDescent="0.25">
      <c r="B76" s="35"/>
      <c r="C76" t="s">
        <v>45</v>
      </c>
      <c r="F76" s="11">
        <v>2.712074299068052</v>
      </c>
      <c r="G76" s="11">
        <v>5.4241485981361039</v>
      </c>
      <c r="H76" s="11">
        <f t="shared" ref="H76:H78" si="9">F76+G76</f>
        <v>8.1362228972041564</v>
      </c>
      <c r="I76" s="11"/>
      <c r="J76" s="11">
        <f>1*F76</f>
        <v>2.712074299068052</v>
      </c>
      <c r="K76" s="11"/>
      <c r="L76" s="11">
        <f>0.8*G76</f>
        <v>4.339318878508883</v>
      </c>
      <c r="M76" s="11"/>
      <c r="N76" s="11"/>
    </row>
    <row r="77" spans="1:16" x14ac:dyDescent="0.25">
      <c r="B77" s="2"/>
      <c r="C77" t="s">
        <v>46</v>
      </c>
      <c r="F77" s="11">
        <v>20.340557234890873</v>
      </c>
      <c r="G77" s="11">
        <v>20.340557234890873</v>
      </c>
      <c r="H77" s="11">
        <f t="shared" si="9"/>
        <v>40.681114469781747</v>
      </c>
      <c r="I77" s="11"/>
      <c r="J77" s="11">
        <f>0.8*F77</f>
        <v>16.272445787912698</v>
      </c>
      <c r="K77" s="11"/>
      <c r="L77" s="11">
        <f t="shared" ref="L77:L78" si="10">0.8*G77</f>
        <v>16.272445787912698</v>
      </c>
      <c r="M77" s="11"/>
      <c r="N77" s="11"/>
    </row>
    <row r="78" spans="1:16" x14ac:dyDescent="0.25">
      <c r="B78" s="2"/>
      <c r="C78" t="s">
        <v>48</v>
      </c>
      <c r="F78" s="13">
        <v>90.842105394063466</v>
      </c>
      <c r="G78" s="13">
        <v>20.340557234890873</v>
      </c>
      <c r="H78" s="13">
        <f t="shared" si="9"/>
        <v>111.18266262895435</v>
      </c>
      <c r="I78" s="11"/>
      <c r="J78" s="13">
        <f>0.8*F78</f>
        <v>72.673684315250782</v>
      </c>
      <c r="K78" s="13"/>
      <c r="L78" s="13">
        <f t="shared" si="10"/>
        <v>16.272445787912698</v>
      </c>
      <c r="M78" s="36"/>
      <c r="N78" s="11"/>
    </row>
    <row r="79" spans="1:16" x14ac:dyDescent="0.25">
      <c r="A79">
        <v>160</v>
      </c>
      <c r="C79" t="s">
        <v>29</v>
      </c>
      <c r="F79" s="11">
        <f>SUM(F76:F78)</f>
        <v>113.8947369280224</v>
      </c>
      <c r="G79" s="11">
        <f>SUM(G76:G78)</f>
        <v>46.105263067917846</v>
      </c>
      <c r="H79" s="11">
        <f>F79+G79</f>
        <v>159.99999999594024</v>
      </c>
      <c r="I79" s="11"/>
      <c r="J79" s="11">
        <f>SUM(J76:J78)</f>
        <v>91.658204402231533</v>
      </c>
      <c r="K79" s="11"/>
      <c r="L79" s="11">
        <f>SUM(L76:L78)</f>
        <v>36.88421045433428</v>
      </c>
      <c r="M79" s="11"/>
      <c r="N79" s="22">
        <f>J79+L79</f>
        <v>128.54241485656581</v>
      </c>
      <c r="P79" s="4">
        <f>N79/A79</f>
        <v>0.80339009285353635</v>
      </c>
    </row>
    <row r="80" spans="1:16" ht="15.75" thickBot="1" x14ac:dyDescent="0.3"/>
    <row r="81" spans="1:16" x14ac:dyDescent="0.25">
      <c r="A81" t="s">
        <v>30</v>
      </c>
      <c r="B81" t="s">
        <v>311</v>
      </c>
      <c r="P81" s="31" t="s">
        <v>31</v>
      </c>
    </row>
    <row r="82" spans="1:16" ht="15.75" thickBot="1" x14ac:dyDescent="0.3">
      <c r="A82">
        <f>SUM(A67:A79)</f>
        <v>400</v>
      </c>
      <c r="B82" s="2">
        <f>SUM(B63,B69,B75,B49,B43,B37,B31,B17,B11,B5,)</f>
        <v>1</v>
      </c>
      <c r="P82" s="32">
        <f>(N67+N73+N79)/A82</f>
        <v>0.80435603714141446</v>
      </c>
    </row>
    <row r="85" spans="1:16" ht="26.25" x14ac:dyDescent="0.4">
      <c r="A85" s="50" t="s">
        <v>49</v>
      </c>
      <c r="B85" s="50"/>
    </row>
    <row r="87" spans="1:16" x14ac:dyDescent="0.25">
      <c r="A87" t="s">
        <v>33</v>
      </c>
      <c r="F87" t="s">
        <v>50</v>
      </c>
      <c r="G87" t="s">
        <v>51</v>
      </c>
      <c r="H87" t="s">
        <v>55</v>
      </c>
      <c r="I87" t="s">
        <v>56</v>
      </c>
    </row>
    <row r="88" spans="1:16" x14ac:dyDescent="0.25">
      <c r="A88">
        <f>A82+A56+A24</f>
        <v>800</v>
      </c>
      <c r="F88" s="11">
        <f>SUM(F79,F73,F67,F53,F52,F51,F50,F47,F46,F45,F44,F41,F40,F39,F38,F35,F34,F33,F32,F21,F20,F19,F18,F15,F14,F13,F12,F9,F8,F7,F6)</f>
        <v>479.99999999727152</v>
      </c>
      <c r="G88" s="11">
        <f>SUM(G79,G73,G67,G53,G52,G51,G50,G47,G46,G45,G44,G41,G40,G39,G38,G35,G34,G33,G32,G21,G20,G19,G18,G15,G14,G13,G12,G9,G8,G7,G6)</f>
        <v>319.99999999866867</v>
      </c>
      <c r="H88" s="4">
        <f>F88/A88</f>
        <v>0.59999999999658937</v>
      </c>
      <c r="I88" s="4">
        <f>G88/A88</f>
        <v>0.39999999999833585</v>
      </c>
    </row>
    <row r="90" spans="1:16" x14ac:dyDescent="0.25">
      <c r="A90" t="s">
        <v>34</v>
      </c>
      <c r="F90" t="s">
        <v>52</v>
      </c>
      <c r="G90" t="s">
        <v>52</v>
      </c>
    </row>
    <row r="91" spans="1:16" x14ac:dyDescent="0.25">
      <c r="A91" s="22">
        <f>SUM(J24:N24)+SUM(I56:N56)+SUM(N67:N79)</f>
        <v>642.42241485656587</v>
      </c>
      <c r="F91" s="11">
        <f>SUM(J79,J73,J67,J53,J52,J51,J50,J47,J46,J45,J44,J41,J40,J39,J38,J35,J34,J33,J32,J21,J20,J19,J18,J15,J14,J13,J12,J9,J8,J7,J6)</f>
        <v>385.26241485763103</v>
      </c>
      <c r="G91" s="11">
        <f>SUM(L79,L73,L67,L53,L52,L51,L50,L47,L46,L45,L44,L41,L40,L39,L38,L35,L34,L33,L32,L21,L20,L19,L18,L15,L14,L13,L12,L9,L8,L7,L6)</f>
        <v>257.15999999893495</v>
      </c>
    </row>
    <row r="93" spans="1:16" x14ac:dyDescent="0.25">
      <c r="A93" t="s">
        <v>35</v>
      </c>
      <c r="F93" t="s">
        <v>53</v>
      </c>
      <c r="G93" t="s">
        <v>54</v>
      </c>
    </row>
    <row r="94" spans="1:16" x14ac:dyDescent="0.25">
      <c r="A94" s="23">
        <f>A91/A88</f>
        <v>0.80302801857070738</v>
      </c>
      <c r="F94" s="4">
        <f>F91/F88</f>
        <v>0.80263003095796037</v>
      </c>
      <c r="G94" s="4">
        <f>G91/G88</f>
        <v>0.80362500000001513</v>
      </c>
    </row>
  </sheetData>
  <mergeCells count="17">
    <mergeCell ref="A85:B85"/>
    <mergeCell ref="C49:D49"/>
    <mergeCell ref="C63:D63"/>
    <mergeCell ref="C69:D69"/>
    <mergeCell ref="C75:D75"/>
    <mergeCell ref="F3:G3"/>
    <mergeCell ref="F29:G29"/>
    <mergeCell ref="F61:G61"/>
    <mergeCell ref="A1:H1"/>
    <mergeCell ref="A27:H27"/>
    <mergeCell ref="A58:H59"/>
    <mergeCell ref="C5:D5"/>
    <mergeCell ref="C11:D11"/>
    <mergeCell ref="C17:D17"/>
    <mergeCell ref="C31:D31"/>
    <mergeCell ref="C37:D37"/>
    <mergeCell ref="C43:D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6864-AFF8-47F9-986A-25C74258EB05}">
  <dimension ref="A1:S88"/>
  <sheetViews>
    <sheetView tabSelected="1" zoomScaleNormal="100" workbookViewId="0">
      <selection activeCell="C6" sqref="C6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48" t="s">
        <v>1</v>
      </c>
      <c r="B1" s="48"/>
      <c r="C1" s="48"/>
      <c r="D1" s="48"/>
      <c r="E1" s="48"/>
      <c r="F1" s="48"/>
      <c r="G1" s="48"/>
      <c r="H1" s="48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SUMPRODUCT(Table2828[[#This Row],[Column1]],0.5)</f>
        <v>10</v>
      </c>
      <c r="G5" s="11">
        <f>SUMPRODUCT(Table2828[[#This Row],[Column1]],0.5)</f>
        <v>10</v>
      </c>
      <c r="H5">
        <f>SUM(F5+G5)</f>
        <v>20</v>
      </c>
      <c r="J5">
        <v>10</v>
      </c>
      <c r="K5" t="str">
        <f>IF(Table2828[[#This Row],[Column10]] &lt;= Table2828[[#This Row],[Column6]], " ", "Enter value less than [@Column6]")</f>
        <v xml:space="preserve"> </v>
      </c>
      <c r="L5">
        <v>10</v>
      </c>
      <c r="M5" t="str">
        <f>IF(Table2828[[#This Row],[Column11]] &lt;= Table2828[[#This Row],[Column7]], " ", "Enter value less than [@Column7]")</f>
        <v xml:space="preserve"> </v>
      </c>
      <c r="N5">
        <f>SUM(J5+L5)</f>
        <v>20</v>
      </c>
      <c r="P5" s="4">
        <f>N5/A5</f>
        <v>1</v>
      </c>
    </row>
    <row r="6" spans="1:19" x14ac:dyDescent="0.25">
      <c r="A6">
        <v>20</v>
      </c>
      <c r="C6" t="s">
        <v>36</v>
      </c>
      <c r="F6" s="11">
        <f>SUMPRODUCT(Table2828[[#This Row],[Column1]],0.5)</f>
        <v>10</v>
      </c>
      <c r="G6" s="11">
        <f>SUMPRODUCT(Table2828[[#This Row],[Column1]],0.5)</f>
        <v>10</v>
      </c>
      <c r="H6">
        <f>SUM(F6+G6)</f>
        <v>20</v>
      </c>
      <c r="J6">
        <v>10</v>
      </c>
      <c r="K6" t="str">
        <f>IF(Table2828[[#This Row],[Column10]] &lt;= Table2828[[#This Row],[Column6]], " ", "Enter value less than [@Column6]")</f>
        <v xml:space="preserve"> </v>
      </c>
      <c r="L6">
        <v>10</v>
      </c>
      <c r="M6" t="str">
        <f>IF(Table2828[[#This Row],[Column11]] &lt;= Table2828[[#This Row],[Column7]], " ", "Enter value less than [@Column7]")</f>
        <v xml:space="preserve"> </v>
      </c>
      <c r="N6">
        <f>SUM(J6+L6)</f>
        <v>20</v>
      </c>
      <c r="P6" s="4">
        <f>N6/A6</f>
        <v>1</v>
      </c>
    </row>
    <row r="7" spans="1:19" x14ac:dyDescent="0.25">
      <c r="A7">
        <v>20</v>
      </c>
      <c r="C7" t="s">
        <v>36</v>
      </c>
      <c r="F7" s="11">
        <f>SUMPRODUCT(Table2828[[#This Row],[Column1]],0.5)</f>
        <v>10</v>
      </c>
      <c r="G7" s="11">
        <f>SUMPRODUCT(Table2828[[#This Row],[Column1]],0.5)</f>
        <v>10</v>
      </c>
      <c r="H7">
        <f>SUM(F7+G7)</f>
        <v>20</v>
      </c>
      <c r="J7">
        <v>10</v>
      </c>
      <c r="K7" t="str">
        <f>IF(Table2828[[#This Row],[Column10]] &lt;= Table2828[[#This Row],[Column6]], " ", "Enter value less than [@Column6]")</f>
        <v xml:space="preserve"> </v>
      </c>
      <c r="L7">
        <v>10</v>
      </c>
      <c r="M7" t="str">
        <f>IF(Table2828[[#This Row],[Column11]] &lt;= Table2828[[#This Row],[Column7]], " ", "Enter value less than [@Column7]")</f>
        <v xml:space="preserve"> </v>
      </c>
      <c r="N7">
        <f>SUM(J7+L7)</f>
        <v>20</v>
      </c>
      <c r="P7" s="4">
        <f>N7/A7</f>
        <v>1</v>
      </c>
    </row>
    <row r="8" spans="1:19" x14ac:dyDescent="0.25">
      <c r="A8">
        <v>20</v>
      </c>
      <c r="C8" t="s">
        <v>36</v>
      </c>
      <c r="F8" s="11">
        <f>SUMPRODUCT(Table2828[[#This Row],[Column1]],0.5)</f>
        <v>10</v>
      </c>
      <c r="G8" s="11">
        <f>SUMPRODUCT(Table2828[[#This Row],[Column1]],0.5)</f>
        <v>10</v>
      </c>
      <c r="H8">
        <f>SUM(F8+G8)</f>
        <v>20</v>
      </c>
      <c r="J8">
        <v>10</v>
      </c>
      <c r="K8" t="str">
        <f>IF(Table2828[[#This Row],[Column10]] &lt;= Table2828[[#This Row],[Column6]], " ", "Enter value less than [@Column6]")</f>
        <v xml:space="preserve"> </v>
      </c>
      <c r="L8">
        <v>10</v>
      </c>
      <c r="M8" t="str">
        <f>IF(Table2828[[#This Row],[Column11]] &lt;= Table2828[[#This Row],[Column7]], " ", "Enter value less than [@Column7]")</f>
        <v xml:space="preserve"> </v>
      </c>
      <c r="N8">
        <f>SUM(J8+L8)</f>
        <v>20</v>
      </c>
      <c r="P8" s="4">
        <f>N8/A8</f>
        <v>1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SUMPRODUCT(Table2828[[#This Row],[Column1]],0.5)</f>
        <v>10</v>
      </c>
      <c r="G11" s="11">
        <f>SUMPRODUCT(Table2828[[#This Row],[Column1]],0.5)</f>
        <v>10</v>
      </c>
      <c r="H11">
        <f>SUM(F11+G11)</f>
        <v>20</v>
      </c>
      <c r="J11">
        <v>10</v>
      </c>
      <c r="K11" t="str">
        <f>IF(Table2828[[#This Row],[Column10]] &lt;= Table2828[[#This Row],[Column6]], " ", "Enter value less than [@Column6]")</f>
        <v xml:space="preserve"> </v>
      </c>
      <c r="L11">
        <v>10</v>
      </c>
      <c r="M11" t="str">
        <f>IF(Table2828[[#This Row],[Column11]] &lt;= Table2828[[#This Row],[Column7]], " ", "Enter value less than [@Column7]")</f>
        <v xml:space="preserve"> </v>
      </c>
      <c r="N11">
        <f>SUM(J11+L11)</f>
        <v>20</v>
      </c>
      <c r="P11" s="4">
        <f>N11/A11</f>
        <v>1</v>
      </c>
    </row>
    <row r="12" spans="1:19" x14ac:dyDescent="0.25">
      <c r="A12">
        <v>20</v>
      </c>
      <c r="C12" t="s">
        <v>36</v>
      </c>
      <c r="F12" s="11">
        <f>SUMPRODUCT(Table2828[[#This Row],[Column1]],0.5)</f>
        <v>10</v>
      </c>
      <c r="G12" s="11">
        <f>SUMPRODUCT(Table2828[[#This Row],[Column1]],0.5)</f>
        <v>10</v>
      </c>
      <c r="H12">
        <f>SUM(F12+G12)</f>
        <v>20</v>
      </c>
      <c r="J12">
        <v>10</v>
      </c>
      <c r="K12" t="str">
        <f>IF(Table2828[[#This Row],[Column6]] &lt;= 10, " ", "Enter value less than 10")</f>
        <v xml:space="preserve"> </v>
      </c>
      <c r="L12">
        <v>10</v>
      </c>
      <c r="M12" t="str">
        <f>IF(Table2828[[#This Row],[Column11]] &lt;= Table2828[[#This Row],[Column7]], " ", "Enter value less than [@Column7]")</f>
        <v xml:space="preserve"> </v>
      </c>
      <c r="N12">
        <f>SUM(J12+L12)</f>
        <v>20</v>
      </c>
      <c r="P12" s="4">
        <f>N12/A12</f>
        <v>1</v>
      </c>
    </row>
    <row r="13" spans="1:19" x14ac:dyDescent="0.25">
      <c r="A13">
        <v>20</v>
      </c>
      <c r="C13" t="s">
        <v>36</v>
      </c>
      <c r="F13" s="11">
        <f>SUMPRODUCT(Table2828[[#This Row],[Column1]],0.5)</f>
        <v>10</v>
      </c>
      <c r="G13" s="11">
        <f>SUMPRODUCT(Table2828[[#This Row],[Column1]],0.5)</f>
        <v>10</v>
      </c>
      <c r="H13">
        <f>SUM(F13+G13)</f>
        <v>20</v>
      </c>
      <c r="J13">
        <v>10</v>
      </c>
      <c r="K13" t="str">
        <f>IF(Table2828[[#This Row],[Column6]] &lt;= 10, " ", "Enter value less than 10")</f>
        <v xml:space="preserve"> </v>
      </c>
      <c r="L13">
        <v>10</v>
      </c>
      <c r="M13" t="str">
        <f>IF(Table2828[[#This Row],[Column11]] &lt;= Table2828[[#This Row],[Column7]], " ", "Enter value less than [@Column7]")</f>
        <v xml:space="preserve"> </v>
      </c>
      <c r="N13">
        <f>SUM(J13+L13)</f>
        <v>20</v>
      </c>
      <c r="P13" s="4">
        <f>N13/A13</f>
        <v>1</v>
      </c>
    </row>
    <row r="14" spans="1:19" x14ac:dyDescent="0.25">
      <c r="A14">
        <v>20</v>
      </c>
      <c r="C14" t="s">
        <v>36</v>
      </c>
      <c r="F14" s="11">
        <f>SUMPRODUCT(Table2828[[#This Row],[Column1]],0.5)</f>
        <v>10</v>
      </c>
      <c r="G14" s="11">
        <f>SUMPRODUCT(Table2828[[#This Row],[Column1]],0.5)</f>
        <v>10</v>
      </c>
      <c r="H14">
        <f>SUM(F14+G14)</f>
        <v>20</v>
      </c>
      <c r="J14">
        <v>10</v>
      </c>
      <c r="L14">
        <v>10</v>
      </c>
      <c r="M14" t="str">
        <f>IF(Table2828[[#This Row],[Column11]] &lt;= Table2828[[#This Row],[Column7]], " ", "Enter value less than [@Column7]")</f>
        <v xml:space="preserve"> </v>
      </c>
      <c r="N14">
        <f>SUM(J14+L14)</f>
        <v>20</v>
      </c>
      <c r="P14" s="4">
        <f>N14/A14</f>
        <v>1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IF(Table2828[[#This Row],[Column10]] &lt;= Table2828[[#This Row],[Column6]], " ", "Enter value less than [@Column6]")</f>
        <v xml:space="preserve"> </v>
      </c>
      <c r="L17">
        <v>10</v>
      </c>
      <c r="M17" t="str">
        <f>IF(Table2828[[#This Row],[Column11]] &lt;= Table2828[[#This Row],[Column7]], " ", "Enter value less than [@Column7]")</f>
        <v xml:space="preserve"> </v>
      </c>
      <c r="N17">
        <f>L17</f>
        <v>10</v>
      </c>
      <c r="P17" s="4">
        <f>N17/A17</f>
        <v>1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IF(Table2828[[#This Row],[Column10]] &lt;= Table2828[[#This Row],[Column6]], " ", "Enter value less than [@Column6]")</f>
        <v xml:space="preserve"> </v>
      </c>
      <c r="L18">
        <v>10</v>
      </c>
      <c r="M18" t="str">
        <f>IF(Table2828[[#This Row],[Column11]] &lt;= Table2828[[#This Row],[Column7]], " ", "Enter value less than [@Column7]")</f>
        <v xml:space="preserve"> </v>
      </c>
      <c r="N18">
        <f>L18</f>
        <v>10</v>
      </c>
      <c r="P18" s="4">
        <f>N18/A18</f>
        <v>1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IF(Table2828[[#This Row],[Column10]] &lt;= Table2828[[#This Row],[Column6]], " ", "Enter value less than [@Column6]")</f>
        <v xml:space="preserve"> </v>
      </c>
      <c r="L19">
        <v>10</v>
      </c>
      <c r="M19" t="str">
        <f>IF(Table2828[[#This Row],[Column11]] &lt;= Table2828[[#This Row],[Column7]], " ", "Enter value less than [@Column7]")</f>
        <v xml:space="preserve"> </v>
      </c>
      <c r="N19">
        <f>L19</f>
        <v>10</v>
      </c>
      <c r="P19" s="4">
        <f>N19/A19</f>
        <v>1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IF(Table2828[[#This Row],[Column10]] &lt;= Table2828[[#This Row],[Column6]], " ", "Enter value less than [@Column6]")</f>
        <v xml:space="preserve"> </v>
      </c>
      <c r="L20">
        <v>10</v>
      </c>
      <c r="M20" t="str">
        <f>IF(Table2828[[#This Row],[Column11]] &lt;= Table2828[[#This Row],[Column7]], " ", "Enter value less than [@Column7]")</f>
        <v xml:space="preserve"> </v>
      </c>
      <c r="N20" s="3">
        <f>L20</f>
        <v>10</v>
      </c>
      <c r="P20" s="4">
        <f>N20/A20</f>
        <v>1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IF(Table2828[[#This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80</v>
      </c>
      <c r="K23" s="28" t="str">
        <f>IF(Table2828[[#This Row],[Column6]] &lt;= 10, " ", "Enter value less than 10")</f>
        <v xml:space="preserve"> </v>
      </c>
      <c r="L23" s="28">
        <f>SUM(N11:N14)</f>
        <v>80</v>
      </c>
      <c r="M23" s="28"/>
      <c r="N23" s="28">
        <f>SUM(N17:N20)</f>
        <v>40</v>
      </c>
      <c r="O23" s="28"/>
      <c r="P23" s="30">
        <f>(SUM(N5:N8)+SUM(N11:N14)+SUM(N17:N20))/A23</f>
        <v>1</v>
      </c>
    </row>
    <row r="25" spans="1:17" ht="26.25" x14ac:dyDescent="0.4">
      <c r="A25" s="48" t="s">
        <v>5</v>
      </c>
      <c r="B25" s="48"/>
      <c r="C25" s="48"/>
      <c r="D25" s="48"/>
      <c r="E25" s="48"/>
      <c r="F25" s="48"/>
      <c r="G25" s="48"/>
      <c r="H25" s="48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IF(Table1727[[#This Row],[Column16]] &lt;= 7, " ", "Enter value less than 7")</f>
        <v xml:space="preserve"> </v>
      </c>
      <c r="M28" t="str">
        <f>IF(Table1727[[#This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SUMPRODUCT(Table1727[[#This Row],[Column1]],0.8)</f>
        <v>12</v>
      </c>
      <c r="G29">
        <f>SUMPRODUCT(Table1727[[#This Row],[Column1]],0.2)</f>
        <v>3</v>
      </c>
      <c r="H29">
        <f>SUM(F29+G29)</f>
        <v>15</v>
      </c>
      <c r="J29">
        <v>12</v>
      </c>
      <c r="K29" t="str">
        <f>IF(Table1727[[#This Row],[Column16]] &lt;= Table1727[[#This Row],[Column6]], " ", "Enter value less than [@Column6]")</f>
        <v xml:space="preserve"> </v>
      </c>
      <c r="L29">
        <v>3</v>
      </c>
      <c r="M29" t="str">
        <f>IF(Table1727[[#This Row],[Column10]] &lt;= Table1727[[#This Row],[Column7]], " ", "Enter value less than [@Column7]")</f>
        <v xml:space="preserve"> </v>
      </c>
      <c r="N29" s="11">
        <f>SUM(Table1727[[#This Row],[Column16]]+Table1727[[#This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SUMPRODUCT(Table1727[[#This Row],[Column1]],0.8)</f>
        <v>12</v>
      </c>
      <c r="G30">
        <f>SUMPRODUCT(Table1727[[#This Row],[Column1]],0.2)</f>
        <v>3</v>
      </c>
      <c r="H30">
        <f t="shared" ref="H30:H32" si="1">SUM(F30+G30)</f>
        <v>15</v>
      </c>
      <c r="J30">
        <v>8</v>
      </c>
      <c r="K30" t="str">
        <f>IF(Table1727[[#This Row],[Column16]] &lt;= Table1727[[#This Row],[Column6]], " ", "Enter value less than [@Column6]")</f>
        <v xml:space="preserve"> </v>
      </c>
      <c r="L30">
        <v>3</v>
      </c>
      <c r="M30" t="str">
        <f>IF(Table1727[[#This Row],[Column10]] &lt;= Table1727[[#This Row],[Column7]], " ", "Enter value less than [@Column7]")</f>
        <v xml:space="preserve"> </v>
      </c>
      <c r="N30" s="11">
        <f>SUM(Table1727[[#This Row],[Column16]]+Table1727[[#This Row],[Column10]])</f>
        <v>11</v>
      </c>
      <c r="P30" s="39">
        <f>N31/A31</f>
        <v>0.8666666666666667</v>
      </c>
    </row>
    <row r="31" spans="1:17" x14ac:dyDescent="0.25">
      <c r="A31">
        <v>15</v>
      </c>
      <c r="B31" s="34"/>
      <c r="C31" t="s">
        <v>36</v>
      </c>
      <c r="F31">
        <f>SUMPRODUCT(Table1727[[#This Row],[Column1]],0.8)</f>
        <v>12</v>
      </c>
      <c r="G31">
        <f>SUMPRODUCT(Table1727[[#This Row],[Column1]],0.2)</f>
        <v>3</v>
      </c>
      <c r="H31">
        <f t="shared" si="1"/>
        <v>15</v>
      </c>
      <c r="J31">
        <v>10</v>
      </c>
      <c r="K31" t="str">
        <f>IF(Table1727[[#This Row],[Column16]] &lt;= Table1727[[#This Row],[Column6]], " ", "Enter value less than [@Column6]")</f>
        <v xml:space="preserve"> </v>
      </c>
      <c r="L31">
        <v>3</v>
      </c>
      <c r="M31" t="str">
        <f>IF(Table1727[[#This Row],[Column10]] &lt;= Table1727[[#This Row],[Column7]], " ", "Enter value less than [@Column7]")</f>
        <v xml:space="preserve"> </v>
      </c>
      <c r="N31" s="11">
        <f>SUM(Table1727[[#This Row],[Column16]]+Table1727[[#This Row],[Column10]])</f>
        <v>13</v>
      </c>
      <c r="P31" s="39">
        <f>N31/A31</f>
        <v>0.8666666666666667</v>
      </c>
    </row>
    <row r="32" spans="1:17" x14ac:dyDescent="0.25">
      <c r="A32">
        <v>15</v>
      </c>
      <c r="B32" s="34"/>
      <c r="C32" t="s">
        <v>36</v>
      </c>
      <c r="F32">
        <f>SUMPRODUCT(Table1727[[#This Row],[Column1]],0.8)</f>
        <v>12</v>
      </c>
      <c r="G32">
        <f>SUMPRODUCT(Table1727[[#This Row],[Column1]],0.2)</f>
        <v>3</v>
      </c>
      <c r="H32">
        <f t="shared" si="1"/>
        <v>15</v>
      </c>
      <c r="J32">
        <v>8</v>
      </c>
      <c r="K32" t="str">
        <f>IF(Table1727[[#This Row],[Column16]] &lt;= Table1727[[#This Row],[Column6]], " ", "Enter value less than [@Column6]")</f>
        <v xml:space="preserve"> </v>
      </c>
      <c r="L32">
        <v>3</v>
      </c>
      <c r="M32" t="str">
        <f>IF(Table1727[[#This Row],[Column10]] &lt;= Table1727[[#This Row],[Column7]], " ", "Enter value less than [@Column7]")</f>
        <v xml:space="preserve"> </v>
      </c>
      <c r="N32" s="11">
        <f>SUM(Table1727[[#This Row],[Column16]]+Table1727[[#This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SUMPRODUCT(Table1727[[#This Row],[Column1]],0.53)</f>
        <v>7.95</v>
      </c>
      <c r="G35" s="11">
        <f>SUMPRODUCT(Table1727[[#This Row],[Column1]],0.47)</f>
        <v>7.05</v>
      </c>
      <c r="H35">
        <f>F35+G35</f>
        <v>15</v>
      </c>
      <c r="J35">
        <v>8</v>
      </c>
      <c r="K35" t="str">
        <f>IF(Table1727[[#This Row],[Column16]] &lt;= SUMPRODUCT(Table1727[[#This Row],[Column1]],0.54), " ", "Enter value less than [@Column6]")</f>
        <v xml:space="preserve"> </v>
      </c>
      <c r="L35">
        <v>7</v>
      </c>
      <c r="M35" t="str">
        <f>IF(Table1727[[#This Row],[Column10]] &lt;= Table1727[[#This Row],[Column7]], " ", "Enter value less than [@Column7]")</f>
        <v xml:space="preserve"> </v>
      </c>
      <c r="N35" s="11">
        <f>SUM(Table1727[[#This Row],[Column16]]+Table1727[[#This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SUMPRODUCT(Table1727[[#This Row],[Column1]],0.53)</f>
        <v>7.95</v>
      </c>
      <c r="G36" s="11">
        <f>SUMPRODUCT(Table1727[[#This Row],[Column1]],0.47)</f>
        <v>7.05</v>
      </c>
      <c r="H36">
        <f>F36+G36</f>
        <v>15</v>
      </c>
      <c r="J36">
        <v>8</v>
      </c>
      <c r="K36" t="str">
        <f>IF(Table1727[[#This Row],[Column16]] &lt;= SUMPRODUCT(Table1727[[#This Row],[Column1]],0.54), " ", "Enter value less than [@Column6]")</f>
        <v xml:space="preserve"> </v>
      </c>
      <c r="L36">
        <v>7</v>
      </c>
      <c r="M36" t="str">
        <f>IF(Table1727[[#This Row],[Column10]] &lt;= Table1727[[#This Row],[Column7]], " ", "Enter value less than [@Column7]")</f>
        <v xml:space="preserve"> </v>
      </c>
      <c r="N36" s="11">
        <f>SUM(Table1727[[#This Row],[Column16]]+Table1727[[#This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SUMPRODUCT(Table1727[[#This Row],[Column1]],0.53)</f>
        <v>7.95</v>
      </c>
      <c r="G37" s="11">
        <f>SUMPRODUCT(Table1727[[#This Row],[Column1]],0.47)</f>
        <v>7.05</v>
      </c>
      <c r="H37">
        <f>F37+G37</f>
        <v>15</v>
      </c>
      <c r="J37">
        <v>8</v>
      </c>
      <c r="K37" t="str">
        <f>IF(Table1727[[#This Row],[Column16]] &lt;= SUMPRODUCT(Table1727[[#This Row],[Column1]],0.54), " ", "Enter value less than [@Column6]")</f>
        <v xml:space="preserve"> </v>
      </c>
      <c r="L37">
        <v>7</v>
      </c>
      <c r="M37" t="str">
        <f>IF(Table1727[[#This Row],[Column10]] &lt;= Table1727[[#This Row],[Column7]], " ", "Enter value less than [@Column7]")</f>
        <v xml:space="preserve"> </v>
      </c>
      <c r="N37" s="11">
        <f>SUM(Table1727[[#This Row],[Column16]]+Table1727[[#This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SUMPRODUCT(Table1727[[#This Row],[Column1]],0.53)</f>
        <v>7.95</v>
      </c>
      <c r="G38" s="11">
        <f>SUMPRODUCT(Table1727[[#This Row],[Column1]],0.47)</f>
        <v>7.05</v>
      </c>
      <c r="H38">
        <f>F38+G38</f>
        <v>15</v>
      </c>
      <c r="J38">
        <v>8</v>
      </c>
      <c r="K38" t="str">
        <f>IF(Table1727[[#This Row],[Column16]] &lt;= SUMPRODUCT(Table1727[[#This Row],[Column1]],0.54), " ", "Enter value less than [@Column6]")</f>
        <v xml:space="preserve"> </v>
      </c>
      <c r="L38">
        <v>7</v>
      </c>
      <c r="M38" t="str">
        <f>IF(Table1727[[#This Row],[Column10]] &lt;= Table1727[[#This Row],[Column7]], " ", "Enter value less than [@Column7]")</f>
        <v xml:space="preserve"> </v>
      </c>
      <c r="N38" s="11">
        <f>SUM(Table1727[[#This Row],[Column16]]+Table1727[[#This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SUMPRODUCT(Table1727[[#This Row],[Column1]],0.5)</f>
        <v>5</v>
      </c>
      <c r="G41">
        <f>SUMPRODUCT(Table1727[[#This Row],[Column1]],0.5)</f>
        <v>5</v>
      </c>
      <c r="H41">
        <f>F41+G41</f>
        <v>10</v>
      </c>
      <c r="J41">
        <v>5</v>
      </c>
      <c r="K41" t="str">
        <f>IF(Table1727[[#This Row],[Column16]] &lt;= Table1727[[#This Row],[Column6]], " ", "Enter value less than [@Column6]")</f>
        <v xml:space="preserve"> </v>
      </c>
      <c r="L41">
        <v>3</v>
      </c>
      <c r="M41" t="str">
        <f>IF(Table1727[[#This Row],[Column10]] &lt;= Table1727[[#This Row],[Column7]], " ", "Enter value less than [@Column7]")</f>
        <v xml:space="preserve"> </v>
      </c>
      <c r="N41" s="11">
        <f>SUM(Table1727[[#This Row],[Column16]]+Table1727[[#This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SUMPRODUCT(Table1727[[#This Row],[Column1]],0.5)</f>
        <v>5</v>
      </c>
      <c r="G42">
        <f>SUMPRODUCT(Table1727[[#This Row],[Column1]],0.5)</f>
        <v>5</v>
      </c>
      <c r="H42">
        <f>F42+G42</f>
        <v>10</v>
      </c>
      <c r="J42">
        <v>5</v>
      </c>
      <c r="K42" t="str">
        <f>IF(Table1727[[#This Row],[Column16]] &lt;= Table1727[[#This Row],[Column6]], " ", "Enter value less than [@Column6]")</f>
        <v xml:space="preserve"> </v>
      </c>
      <c r="L42">
        <v>3</v>
      </c>
      <c r="M42" t="str">
        <f>IF(Table1727[[#This Row],[Column10]] &lt;= Table1727[[#This Row],[Column7]], " ", "Enter value less than [@Column7]")</f>
        <v xml:space="preserve"> </v>
      </c>
      <c r="N42" s="11">
        <f>SUM(Table1727[[#This Row],[Column16]]+Table1727[[#This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SUMPRODUCT(Table1727[[#This Row],[Column1]],0.7)</f>
        <v>7</v>
      </c>
      <c r="G43">
        <f>SUMPRODUCT(Table1727[[#This Row],[Column1]],0.3)</f>
        <v>3</v>
      </c>
      <c r="H43">
        <f>F43+G43</f>
        <v>10</v>
      </c>
      <c r="J43">
        <v>5</v>
      </c>
      <c r="K43" t="str">
        <f>IF(Table1727[[#This Row],[Column16]] &lt;= Table1727[[#This Row],[Column6]], " ", "Enter value less than [@Column6]")</f>
        <v xml:space="preserve"> </v>
      </c>
      <c r="L43">
        <v>3</v>
      </c>
      <c r="M43" t="str">
        <f>IF(Table1727[[#This Row],[Column10]] &lt;= Table1727[[#This Row],[Column7]], " ", "Enter value less than [@Column7]")</f>
        <v xml:space="preserve"> </v>
      </c>
      <c r="N43" s="11">
        <f>SUM(Table1727[[#This Row],[Column16]]+Table1727[[#This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SUMPRODUCT(Table1727[[#This Row],[Column1]],0.7)</f>
        <v>7</v>
      </c>
      <c r="G44">
        <f>SUMPRODUCT(Table1727[[#This Row],[Column1]],0.3)</f>
        <v>3</v>
      </c>
      <c r="H44">
        <f>F44+G44</f>
        <v>10</v>
      </c>
      <c r="J44">
        <v>5</v>
      </c>
      <c r="K44" t="str">
        <f>IF(Table1727[[#This Row],[Column16]] &lt;= Table1727[[#This Row],[Column6]], " ", "Enter value less than [@Column6]")</f>
        <v xml:space="preserve"> </v>
      </c>
      <c r="L44">
        <v>3</v>
      </c>
      <c r="M44" t="str">
        <f>IF(Table1727[[#This Row],[Column10]] &lt;= Table1727[[#This Row],[Column7]], " ", "Enter value less than [@Column7]")</f>
        <v xml:space="preserve"> </v>
      </c>
      <c r="N44" s="11">
        <f>SUM(Table1727[[#This Row],[Column16]]+Table1727[[#This Row],[Column10]])</f>
        <v>8</v>
      </c>
      <c r="P44" s="39">
        <f>N44/A44</f>
        <v>0.8</v>
      </c>
    </row>
    <row r="45" spans="1:16" x14ac:dyDescent="0.25">
      <c r="B45" s="43"/>
      <c r="M45" t="str">
        <f>IF(Table1727[[#This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IF(Table1727[[#This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SUMPRODUCT(Table1727[[#This Row],[Column1]],0.7)</f>
        <v>7</v>
      </c>
      <c r="G47">
        <f>SUMPRODUCT(Table1727[[#This Row],[Column1]],0.3)</f>
        <v>3</v>
      </c>
      <c r="H47">
        <f>F47+G47</f>
        <v>10</v>
      </c>
      <c r="J47">
        <v>7</v>
      </c>
      <c r="K47" t="str">
        <f>IF(Table1727[[#This Row],[Column16]] &lt;= Table1727[[#This Row],[Column6]], " ", "Enter value less than [@Column6]")</f>
        <v xml:space="preserve"> </v>
      </c>
      <c r="L47">
        <v>3</v>
      </c>
      <c r="M47" t="str">
        <f>IF(Table1727[[#This Row],[Column10]] &lt;= Table1727[[#This Row],[Column7]], " ", "Enter value less than [@Column7]")</f>
        <v xml:space="preserve"> </v>
      </c>
      <c r="N47" s="11">
        <f>SUM(Table1727[[#This Row],[Column16]],Table1727[[#This Row],[Column10]])</f>
        <v>10</v>
      </c>
      <c r="P47" s="39">
        <f>N47/A47</f>
        <v>1</v>
      </c>
    </row>
    <row r="48" spans="1:16" x14ac:dyDescent="0.25">
      <c r="A48">
        <v>10</v>
      </c>
      <c r="B48" s="34"/>
      <c r="C48" t="s">
        <v>36</v>
      </c>
      <c r="F48">
        <f>SUMPRODUCT(Table1727[[#This Row],[Column1]],0.7)</f>
        <v>7</v>
      </c>
      <c r="G48">
        <f>SUMPRODUCT(Table1727[[#This Row],[Column1]],0.3)</f>
        <v>3</v>
      </c>
      <c r="H48">
        <f>F48+G48</f>
        <v>10</v>
      </c>
      <c r="J48">
        <v>7</v>
      </c>
      <c r="K48" t="str">
        <f>IF(Table1727[[#This Row],[Column16]] &lt;= Table1727[[#This Row],[Column6]], " ", "Enter value less than [@Column6]")</f>
        <v xml:space="preserve"> </v>
      </c>
      <c r="L48">
        <v>3</v>
      </c>
      <c r="M48" t="str">
        <f>IF(Table1727[[#This Row],[Column10]] &lt;= Table1727[[#This Row],[Column7]], " ", "Enter value less than [@Column7]")</f>
        <v xml:space="preserve"> </v>
      </c>
      <c r="N48" s="11">
        <f>SUM(Table1727[[#This Row],[Column16]],Table1727[[#This Row],[Column10]])</f>
        <v>10</v>
      </c>
      <c r="P48" s="39">
        <f>N48/A48</f>
        <v>1</v>
      </c>
    </row>
    <row r="49" spans="1:16" x14ac:dyDescent="0.25">
      <c r="A49">
        <v>10</v>
      </c>
      <c r="B49" s="34"/>
      <c r="C49" t="s">
        <v>36</v>
      </c>
      <c r="F49">
        <f>SUMPRODUCT(Table1727[[#This Row],[Column1]],0.7)</f>
        <v>7</v>
      </c>
      <c r="G49">
        <f>SUMPRODUCT(Table1727[[#This Row],[Column1]],0.3)</f>
        <v>3</v>
      </c>
      <c r="H49">
        <f>F49+G49</f>
        <v>10</v>
      </c>
      <c r="J49">
        <v>7</v>
      </c>
      <c r="K49" t="str">
        <f>IF(Table1727[[#This Row],[Column16]] &lt;= Table1727[[#This Row],[Column6]], " ", "Enter value less than [@Column6]")</f>
        <v xml:space="preserve"> </v>
      </c>
      <c r="L49">
        <v>3</v>
      </c>
      <c r="M49" t="str">
        <f>IF(Table1727[[#This Row],[Column10]] &lt;= Table1727[[#This Row],[Column7]], " ", "Enter value less than [@Column7]")</f>
        <v xml:space="preserve"> </v>
      </c>
      <c r="N49" s="11">
        <f>SUM(Table1727[[#This Row],[Column16]],Table1727[[#This Row],[Column10]])</f>
        <v>10</v>
      </c>
      <c r="P49" s="39">
        <f>N49/A49</f>
        <v>1</v>
      </c>
    </row>
    <row r="50" spans="1:16" ht="15.75" thickBot="1" x14ac:dyDescent="0.3">
      <c r="A50">
        <v>10</v>
      </c>
      <c r="B50" s="34"/>
      <c r="C50" t="s">
        <v>36</v>
      </c>
      <c r="F50">
        <f>SUMPRODUCT(Table1727[[#This Row],[Column1]],0.7)</f>
        <v>7</v>
      </c>
      <c r="G50">
        <f>SUMPRODUCT(Table1727[[#This Row],[Column1]],0.3)</f>
        <v>3</v>
      </c>
      <c r="H50">
        <f>F50+G50</f>
        <v>10</v>
      </c>
      <c r="J50">
        <v>7</v>
      </c>
      <c r="K50" t="str">
        <f>IF(Table1727[[#This Row],[Column16]] &lt;= Table1727[[#This Row],[Column6]], " ", "Enter value less than [@Column6]")</f>
        <v xml:space="preserve"> </v>
      </c>
      <c r="L50">
        <v>3</v>
      </c>
      <c r="M50" t="str">
        <f>IF(Table1727[[#This Row],[Column10]] &lt;= Table1727[[#This Row],[Column7]], " ", "Enter value less than [@Column7]")</f>
        <v xml:space="preserve"> </v>
      </c>
      <c r="N50" s="11">
        <f>SUM(Table1727[[#This Row],[Column16]],Table1727[[#This Row],[Column10]])</f>
        <v>10</v>
      </c>
      <c r="P50" s="39">
        <f>N50/A50</f>
        <v>1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50</v>
      </c>
      <c r="J52" s="46">
        <f>SUM(N35:N38)</f>
        <v>60</v>
      </c>
      <c r="K52" s="46">
        <f>SUM(N41:N44)</f>
        <v>32</v>
      </c>
      <c r="L52" s="46">
        <f>SUM(N47:N50)</f>
        <v>40</v>
      </c>
      <c r="M52" s="28"/>
      <c r="N52" s="30">
        <f>SUM(I52:L52)/A52</f>
        <v>0.91</v>
      </c>
    </row>
    <row r="54" spans="1:16" ht="15" customHeight="1" x14ac:dyDescent="0.25">
      <c r="A54" s="48" t="s">
        <v>23</v>
      </c>
      <c r="B54" s="48"/>
      <c r="C54" s="48"/>
      <c r="D54" s="48"/>
      <c r="E54" s="48"/>
      <c r="F54" s="48"/>
      <c r="G54" s="48"/>
      <c r="H54" s="48"/>
    </row>
    <row r="55" spans="1:16" ht="15" customHeight="1" x14ac:dyDescent="0.25">
      <c r="A55" s="48"/>
      <c r="B55" s="48"/>
      <c r="C55" s="48"/>
      <c r="D55" s="48"/>
      <c r="E55" s="48"/>
      <c r="F55" s="48"/>
      <c r="G55" s="48"/>
      <c r="H55" s="48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SUM(Table3929[[#This Row],[Column6]],Table3929[[#This Row],[Column7]])</f>
        <v>22.800000000000004</v>
      </c>
      <c r="I59" s="36"/>
      <c r="J59" s="36">
        <v>4</v>
      </c>
      <c r="K59" s="36" t="str">
        <f>IF(Table3929[[#This Row],[Column10]] &lt;= SUMPRODUCT($F$63,0.06), " ", "Enter value less than [@Column6]")</f>
        <v xml:space="preserve"> </v>
      </c>
      <c r="L59">
        <v>18</v>
      </c>
      <c r="M59" s="36" t="str">
        <f>IF(Table3929[[#This Row],[Column12]] &lt;= SUMPRODUCT($G$63,0.46), " ", "Enter value less than [@Column6]")</f>
        <v xml:space="preserve"> </v>
      </c>
      <c r="N59">
        <f>SUM(Table3929[[#This Row],[Column10]],Table3929[[#This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SUM(Table3929[[#This Row],[Column6]],Table3929[[#This Row],[Column7]])</f>
        <v>24.6</v>
      </c>
      <c r="I60" s="36"/>
      <c r="J60" s="36">
        <v>7</v>
      </c>
      <c r="K60" s="36" t="str">
        <f>IF(Table3929[[#This Row],[Column10]] &lt;= SUMPRODUCT($F$63,0.11), " ", "Enter value less than [@Column6]")</f>
        <v xml:space="preserve"> </v>
      </c>
      <c r="L60">
        <v>17</v>
      </c>
      <c r="M60" s="36" t="str">
        <f>IF(Table3929[[#This Row],[Column12]] &lt;= SUMPRODUCT($G$63,0.41), " ", "Enter value less than [@Column6]")</f>
        <v xml:space="preserve"> </v>
      </c>
      <c r="N60">
        <f>SUM(Table3929[[#This Row],[Column10]],Table3929[[#This Row],[Column12]])</f>
        <v>24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SUM(Table3929[[#This Row],[Column6]],Table3929[[#This Row],[Column7]])</f>
        <v>37.200000000000003</v>
      </c>
      <c r="I61" s="36"/>
      <c r="J61" s="36">
        <v>34</v>
      </c>
      <c r="K61" s="36" t="str">
        <f>IF(Table3929[[#This Row],[Column10]] &lt;= SUMPRODUCT($F$63,0.46), " ", "Enter value less than [@Column6]")</f>
        <v xml:space="preserve"> </v>
      </c>
      <c r="L61">
        <v>2</v>
      </c>
      <c r="M61" s="36" t="str">
        <f>IF(Table3929[[#This Row],[Column12]] &lt;= SUMPRODUCT($G$63,0.06), " ", "Enter value less than [@Column6]")</f>
        <v xml:space="preserve"> </v>
      </c>
      <c r="N61">
        <f>SUM(Table3929[[#This Row],[Column10]],Table3929[[#This Row],[Column12]])</f>
        <v>36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SUM(Table3929[[#This Row],[Column6]],Table3929[[#This Row],[Column7]])</f>
        <v>35.400000000000006</v>
      </c>
      <c r="I62" s="36"/>
      <c r="J62" s="36">
        <v>29</v>
      </c>
      <c r="K62" s="36" t="str">
        <f>IF(Table3929[[#This Row],[Column10]] &lt;= SUMPRODUCT($F$63,0.41), " ", "Enter value less than [@Column6]")</f>
        <v xml:space="preserve"> </v>
      </c>
      <c r="L62">
        <v>4</v>
      </c>
      <c r="M62" s="36" t="str">
        <f>IF(Table3929[[#This Row],[Column12]] &lt;= SUMPRODUCT($G$63,0.11), " ", "Enter value less than [@Column6]")</f>
        <v xml:space="preserve"> </v>
      </c>
      <c r="N62">
        <f>SUM(Table3929[[#This Row],[Column10]],Table3929[[#This Row],[Column12]])</f>
        <v>33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SUM(Table3929[[#This Row],[Column6]],Table3929[[#This Row],[Column7]])</f>
        <v>120</v>
      </c>
      <c r="I63" s="36"/>
      <c r="J63" s="36">
        <f>SUM(J59:J62)</f>
        <v>74</v>
      </c>
      <c r="K63" s="36" t="str">
        <f>IF(Table3929[[#This Row],[Column10]] &lt;= SUMPRODUCT($A$62,0.66), " ", "Enter value less than [@Column6]")</f>
        <v xml:space="preserve"> </v>
      </c>
      <c r="L63">
        <f>SUM(L59:L62)</f>
        <v>41</v>
      </c>
      <c r="M63" s="36" t="str">
        <f>IF(Table3929[[#This Row],[Column12]] &lt;= SUMPRODUCT($A$68,0.36), " ", "Enter value less than [@Column6]")</f>
        <v xml:space="preserve"> </v>
      </c>
      <c r="N63">
        <f>SUM(Table3929[[#This Row],[Column10]],Table3929[[#This Row],[Column12]])</f>
        <v>115</v>
      </c>
      <c r="P63" s="4">
        <f>N63/$A$62</f>
        <v>0.95833333333333337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SUM(Table3929[[#This Row],[Column6]],Table3929[[#This Row],[Column7]])</f>
        <v>22.800000000000004</v>
      </c>
      <c r="I65" s="36"/>
      <c r="J65" s="36">
        <v>3</v>
      </c>
      <c r="K65" s="36" t="str">
        <f>IF(Table3929[[#This Row],[Column10]] &lt;= SUMPRODUCT($F$69,0.06), " ", "Enter value less than [@Column6]")</f>
        <v xml:space="preserve"> </v>
      </c>
      <c r="L65">
        <v>15</v>
      </c>
      <c r="M65" s="36" t="str">
        <f>IF(Table3929[[#This Row],[Column12]] &lt;= SUMPRODUCT($G$69,0.46), " ", "Enter value less than [@Column6]")</f>
        <v xml:space="preserve"> </v>
      </c>
      <c r="N65">
        <f>SUM(Table3929[[#This Row],[Column10]],Table3929[[#This Row],[Column12]])</f>
        <v>18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SUM(Table3929[[#This Row],[Column6]],Table3929[[#This Row],[Column7]])</f>
        <v>24.6</v>
      </c>
      <c r="I66" s="36"/>
      <c r="J66" s="36">
        <v>6</v>
      </c>
      <c r="K66" s="36" t="str">
        <f>IF(Table3929[[#This Row],[Column10]] &lt;= SUMPRODUCT($F$69,0.1), " ", "Enter value less than [@Column6]")</f>
        <v xml:space="preserve"> </v>
      </c>
      <c r="L66">
        <v>12</v>
      </c>
      <c r="M66" s="36" t="str">
        <f>IF(Table3929[[#This Row],[Column12]] &lt;= SUMPRODUCT($G$69,0.41), " ", "Enter value less than [@Column6]")</f>
        <v xml:space="preserve"> </v>
      </c>
      <c r="N66">
        <f>SUM(Table3929[[#This Row],[Column10]],Table3929[[#This Row],[Column12]])</f>
        <v>18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SUM(Table3929[[#This Row],[Column6]],Table3929[[#This Row],[Column7]])</f>
        <v>37.200000000000003</v>
      </c>
      <c r="I67" s="36"/>
      <c r="J67" s="36">
        <v>32</v>
      </c>
      <c r="K67" s="36" t="str">
        <f>IF(Table3929[[#This Row],[Column10]] &lt;= SUMPRODUCT($F$69,0.46), " ", "Enter value less than [@Column6]")</f>
        <v xml:space="preserve"> </v>
      </c>
      <c r="L67">
        <v>1</v>
      </c>
      <c r="M67" s="36" t="str">
        <f>IF(Table3929[[#This Row],[Column12]] &lt;= SUMPRODUCT($G$69,0.06), " ", "Enter value less than [@Column6]")</f>
        <v xml:space="preserve"> </v>
      </c>
      <c r="N67">
        <f>SUM(Table3929[[#This Row],[Column10]],Table3929[[#This Row],[Column12]])</f>
        <v>33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SUM(Table3929[[#This Row],[Column6]],Table3929[[#This Row],[Column7]])</f>
        <v>35.400000000000006</v>
      </c>
      <c r="I68" s="36"/>
      <c r="J68" s="36">
        <v>28</v>
      </c>
      <c r="K68" s="36" t="str">
        <f>IF(Table3929[[#This Row],[Column10]] &lt;= SUMPRODUCT($F$69,0.41), " ", "Enter value less than [@Column6]")</f>
        <v xml:space="preserve"> </v>
      </c>
      <c r="L68">
        <v>3</v>
      </c>
      <c r="M68" s="36" t="str">
        <f>IF(Table3929[[#This Row],[Column12]] &lt;= SUMPRODUCT($G$69,0.11), " ", "Enter value less than [@Column6]")</f>
        <v xml:space="preserve"> </v>
      </c>
      <c r="N68">
        <f>SUM(Table3929[[#This Row],[Column10]],Table3929[[#This Row],[Column12]])</f>
        <v>31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SUM(Table3929[[#This Row],[Column6]],Table3929[[#This Row],[Column7]])</f>
        <v>120</v>
      </c>
      <c r="I69" s="36"/>
      <c r="J69" s="36">
        <f>SUM(J65:J68)</f>
        <v>69</v>
      </c>
      <c r="K69" s="36" t="str">
        <f>IF(Table3929[[#This Row],[Column10]] &lt;= SUMPRODUCT($A$68,0.66), " ", "Enter value less than [@Column6]")</f>
        <v xml:space="preserve"> </v>
      </c>
      <c r="L69">
        <f>SUM(L65:L68)</f>
        <v>31</v>
      </c>
      <c r="M69" s="36" t="str">
        <f>IF(Table3929[[#This Row],[Column12]] &lt;= SUMPRODUCT($A$68,0.36), " ", "Enter value less than [@Column6]")</f>
        <v xml:space="preserve"> </v>
      </c>
      <c r="N69">
        <f>SUM(N65:N68)</f>
        <v>100</v>
      </c>
      <c r="P69" s="4">
        <f>N69/$A$68</f>
        <v>0.83333333333333337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SUM(Table3929[[#This Row],[Column6]],Table3929[[#This Row],[Column7]])</f>
        <v>30.4</v>
      </c>
      <c r="I71" s="36"/>
      <c r="J71" s="36">
        <v>5</v>
      </c>
      <c r="K71" s="36" t="str">
        <f>IF(Table3929[[#This Row],[Column10]] &lt;= SUMPRODUCT($F$75,0.06), " ", "Enter value less than [@Column6]")</f>
        <v xml:space="preserve"> </v>
      </c>
      <c r="L71">
        <v>22</v>
      </c>
      <c r="M71" s="36" t="str">
        <f>IF(Table3929[[#This Row],[Column12]] &lt;= SUMPRODUCT($G$75,0.46), " ", "Enter value less than [@Column6]")</f>
        <v xml:space="preserve"> </v>
      </c>
      <c r="N71">
        <f>SUM(Table3929[[#This Row],[Column10]],Table3929[[#This Row],[Column12]])</f>
        <v>27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SUM(Table3929[[#This Row],[Column6]],Table3929[[#This Row],[Column7]])</f>
        <v>32.800000000000004</v>
      </c>
      <c r="I72" s="36"/>
      <c r="J72" s="36">
        <v>8</v>
      </c>
      <c r="K72" s="36" t="str">
        <f>IF(Table3929[[#This Row],[Column10]] &lt;= SUMPRODUCT($F$75,0.11), " ", "Enter value less than [@Column6]")</f>
        <v xml:space="preserve"> </v>
      </c>
      <c r="L72">
        <v>17</v>
      </c>
      <c r="M72" s="36" t="str">
        <f>IF(Table3929[[#This Row],[Column12]] &lt;= SUMPRODUCT($G$75,0.41), " ", "Enter value less than [@Column6]")</f>
        <v xml:space="preserve"> </v>
      </c>
      <c r="N72">
        <f>SUM(Table3929[[#This Row],[Column10]],Table3929[[#This Row],[Column12]])</f>
        <v>25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SUM(Table3929[[#This Row],[Column6]],Table3929[[#This Row],[Column7]])</f>
        <v>49.6</v>
      </c>
      <c r="I73" s="36"/>
      <c r="J73" s="36">
        <v>42</v>
      </c>
      <c r="K73" s="36" t="str">
        <f>IF(Table3929[[#This Row],[Column10]] &lt;= SUMPRODUCT($F$75,0.46), " ", "Enter value less than [@Column6]")</f>
        <v xml:space="preserve"> </v>
      </c>
      <c r="L73">
        <v>3</v>
      </c>
      <c r="M73" s="36" t="str">
        <f>IF(Table3929[[#This Row],[Column12]] &lt;= SUMPRODUCT($G$75,0.06), " ", "Enter value less than [@Column6]")</f>
        <v xml:space="preserve"> </v>
      </c>
      <c r="N73">
        <f>SUM(Table3929[[#This Row],[Column10]],Table3929[[#This Row],[Column12]])</f>
        <v>45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SUM(Table3929[[#This Row],[Column6]],Table3929[[#This Row],[Column7]])</f>
        <v>47.2</v>
      </c>
      <c r="I74" s="36"/>
      <c r="J74" s="36">
        <v>35</v>
      </c>
      <c r="K74" s="36" t="str">
        <f>IF(Table3929[[#This Row],[Column10]] &lt;= SUMPRODUCT($F$75,0.41), " ", "Enter value less than [@Column6]")</f>
        <v xml:space="preserve"> </v>
      </c>
      <c r="L74">
        <v>5</v>
      </c>
      <c r="M74" s="36" t="str">
        <f>IF(Table3929[[#This Row],[Column12]] &lt;= SUMPRODUCT($G$75,0.11), " ", "Enter value less than [@Column6]")</f>
        <v xml:space="preserve"> </v>
      </c>
      <c r="N74">
        <f>SUM(Table3929[[#This Row],[Column10]],Table3929[[#This Row],[Column12]])</f>
        <v>40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SUM(Table3929[[#This Row],[Column6]],Table3929[[#This Row],[Column7]])</f>
        <v>160</v>
      </c>
      <c r="K75" s="36"/>
      <c r="L75" s="40"/>
      <c r="N75">
        <f>SUM(N71:N74)</f>
        <v>137</v>
      </c>
      <c r="P75" s="4">
        <f>N75/$A$74</f>
        <v>0.85624999999999996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115</v>
      </c>
      <c r="K77" s="28"/>
      <c r="L77" s="28">
        <f>SUM(N65:N68)</f>
        <v>100</v>
      </c>
      <c r="M77" s="28"/>
      <c r="N77" s="28">
        <f>SUM(N71:N74)</f>
        <v>137</v>
      </c>
      <c r="O77" s="28"/>
      <c r="P77" s="32">
        <f>SUM(Table3929[[#This Row],[Column10]:[Column15]])/A77</f>
        <v>0.88</v>
      </c>
    </row>
    <row r="79" spans="1:16" ht="26.25" x14ac:dyDescent="0.4">
      <c r="A79" s="48" t="s">
        <v>49</v>
      </c>
      <c r="B79" s="48"/>
      <c r="C79" s="48"/>
      <c r="D79" s="48"/>
      <c r="E79" s="48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734</v>
      </c>
      <c r="F85" s="11">
        <f>SUM(J5:J8,J11:J14,J17:J20,J29:J32,J35:J38,J41:J44,J47:J50,J59:J62,J65:J68,J71:J74)</f>
        <v>431</v>
      </c>
      <c r="G85" s="11">
        <f>SUM(L5:L8,L11:L14,L17:L20,L29:L32,L35:L38,L41:L44,L47:L50,L59:L62,L65:L68,L71:L74)</f>
        <v>303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0.91749999999999998</v>
      </c>
      <c r="F88" s="4">
        <f>F85/F82</f>
        <v>0.91352267910131424</v>
      </c>
      <c r="G88" s="4">
        <f>G85/G82</f>
        <v>0.92321755027422292</v>
      </c>
    </row>
  </sheetData>
  <mergeCells count="4">
    <mergeCell ref="A79:E79"/>
    <mergeCell ref="A1:H1"/>
    <mergeCell ref="A25:H25"/>
    <mergeCell ref="A54:H55"/>
  </mergeCells>
  <conditionalFormatting sqref="A23:N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{906DC3A1-B3FA-4102-9D95-9DE562A61B85}</x14:id>
        </ext>
      </extLst>
    </cfRule>
  </conditionalFormatting>
  <conditionalFormatting sqref="A52:L5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{F1F67B85-244A-4AB0-B86D-B4D5DDB5BC89}</x14:id>
        </ext>
      </extLst>
    </cfRule>
  </conditionalFormatting>
  <conditionalFormatting sqref="A77:N7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{A1471BCC-44B1-4DA6-92E7-7A5C036740F0}</x14:id>
        </ext>
      </extLst>
    </cfRule>
  </conditionalFormatting>
  <conditionalFormatting sqref="F82:F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{B8B1DC9D-A866-414E-9D1F-FDB8E92D39E3}</x14:id>
        </ext>
      </extLst>
    </cfRule>
  </conditionalFormatting>
  <conditionalFormatting sqref="G82:G8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{243F6E94-3110-47D8-BA76-C62EC1358747}</x14:id>
        </ext>
      </extLst>
    </cfRule>
  </conditionalFormatting>
  <conditionalFormatting sqref="A82:A8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{DE3EFEC2-6112-439A-896A-0F6FD91D961A}</x14:id>
        </ext>
      </extLst>
    </cfRule>
  </conditionalFormatting>
  <pageMargins left="0.7" right="0.7" top="0.75" bottom="0.75" header="0.3" footer="0.3"/>
  <pageSetup orientation="portrait" horizontalDpi="0" verticalDpi="0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6DC3A1-B3FA-4102-9D95-9DE562A61B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A23:N23</xm:sqref>
        </x14:conditionalFormatting>
        <x14:conditionalFormatting xmlns:xm="http://schemas.microsoft.com/office/excel/2006/main">
          <x14:cfRule type="dataBar" id="{F1F67B85-244A-4AB0-B86D-B4D5DDB5B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A52:L52</xm:sqref>
        </x14:conditionalFormatting>
        <x14:conditionalFormatting xmlns:xm="http://schemas.microsoft.com/office/excel/2006/main">
          <x14:cfRule type="dataBar" id="{A1471BCC-44B1-4DA6-92E7-7A5C03674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A77:N77</xm:sqref>
        </x14:conditionalFormatting>
        <x14:conditionalFormatting xmlns:xm="http://schemas.microsoft.com/office/excel/2006/main">
          <x14:cfRule type="dataBar" id="{B8B1DC9D-A866-414E-9D1F-FDB8E92D3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F82:F85</xm:sqref>
        </x14:conditionalFormatting>
        <x14:conditionalFormatting xmlns:xm="http://schemas.microsoft.com/office/excel/2006/main">
          <x14:cfRule type="dataBar" id="{243F6E94-3110-47D8-BA76-C62EC13587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G82:G85</xm:sqref>
        </x14:conditionalFormatting>
        <x14:conditionalFormatting xmlns:xm="http://schemas.microsoft.com/office/excel/2006/main">
          <x14:cfRule type="dataBar" id="{DE3EFEC2-6112-439A-896A-0F6FD91D96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A82:A85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A25E-3164-43A6-9F9E-D9532BCEA591}">
  <dimension ref="A1:S88"/>
  <sheetViews>
    <sheetView workbookViewId="0">
      <selection activeCell="H13" sqref="H13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48" t="s">
        <v>1</v>
      </c>
      <c r="B1" s="48"/>
      <c r="C1" s="48"/>
      <c r="D1" s="48"/>
      <c r="E1" s="48"/>
      <c r="F1" s="48"/>
      <c r="G1" s="48"/>
      <c r="H1" s="48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SUMPRODUCT(Table28[[#This Row],[Column1]],0.5)</f>
        <v>10</v>
      </c>
      <c r="G5" s="11">
        <f>SUMPRODUCT(Table28[[#This Row],[Column1]],0.5)</f>
        <v>10</v>
      </c>
      <c r="H5">
        <f>SUM(F5+G5)</f>
        <v>20</v>
      </c>
      <c r="J5">
        <v>8</v>
      </c>
      <c r="K5" t="str">
        <f>IF(Table28[[#This Row],[Column10]] &lt;= Table28[[#This Row],[Column6]], " ", "Enter value less than [@Column6]")</f>
        <v xml:space="preserve"> </v>
      </c>
      <c r="L5">
        <v>8</v>
      </c>
      <c r="M5" t="str">
        <f>IF(Table28[[#This Row],[Column11]] &lt;= Table28[[#This Row],[Column7]], " ", "Enter value less than [@Column7]")</f>
        <v xml:space="preserve"> </v>
      </c>
      <c r="N5">
        <f>SUM(J5+L5)</f>
        <v>16</v>
      </c>
      <c r="P5" s="4">
        <f>N5/A5</f>
        <v>0.8</v>
      </c>
    </row>
    <row r="6" spans="1:19" x14ac:dyDescent="0.25">
      <c r="A6">
        <v>20</v>
      </c>
      <c r="C6" t="s">
        <v>36</v>
      </c>
      <c r="F6" s="11">
        <f>SUMPRODUCT(Table28[[#This Row],[Column1]],0.5)</f>
        <v>10</v>
      </c>
      <c r="G6" s="11">
        <f>SUMPRODUCT(Table28[[#This Row],[Column1]],0.5)</f>
        <v>10</v>
      </c>
      <c r="H6">
        <f>SUM(F6+G6)</f>
        <v>20</v>
      </c>
      <c r="J6">
        <v>8</v>
      </c>
      <c r="K6" t="str">
        <f>IF(Table28[[#This Row],[Column10]] &lt;= Table28[[#This Row],[Column6]], " ", "Enter value less than [@Column6]")</f>
        <v xml:space="preserve"> </v>
      </c>
      <c r="L6">
        <v>8</v>
      </c>
      <c r="M6" t="str">
        <f>IF(Table28[[#This Row],[Column11]] &lt;= Table28[[#This Row],[Column7]], " ", "Enter value less than [@Column7]")</f>
        <v xml:space="preserve"> </v>
      </c>
      <c r="N6">
        <f>SUM(J6+L6)</f>
        <v>16</v>
      </c>
      <c r="P6" s="4">
        <f>N6/A6</f>
        <v>0.8</v>
      </c>
    </row>
    <row r="7" spans="1:19" x14ac:dyDescent="0.25">
      <c r="A7">
        <v>20</v>
      </c>
      <c r="C7" t="s">
        <v>36</v>
      </c>
      <c r="F7" s="11">
        <f>SUMPRODUCT(Table28[[#This Row],[Column1]],0.5)</f>
        <v>10</v>
      </c>
      <c r="G7" s="11">
        <f>SUMPRODUCT(Table28[[#This Row],[Column1]],0.5)</f>
        <v>10</v>
      </c>
      <c r="H7">
        <f>SUM(F7+G7)</f>
        <v>20</v>
      </c>
      <c r="J7">
        <v>8</v>
      </c>
      <c r="K7" t="str">
        <f>IF(Table28[[#This Row],[Column10]] &lt;= Table28[[#This Row],[Column6]], " ", "Enter value less than [@Column6]")</f>
        <v xml:space="preserve"> </v>
      </c>
      <c r="L7">
        <v>8</v>
      </c>
      <c r="M7" t="str">
        <f>IF(Table28[[#This Row],[Column11]] &lt;= Table28[[#This Row],[Column7]], " ", "Enter value less than [@Column7]")</f>
        <v xml:space="preserve"> </v>
      </c>
      <c r="N7">
        <f>SUM(J7+L7)</f>
        <v>16</v>
      </c>
      <c r="P7" s="4">
        <f>N7/A7</f>
        <v>0.8</v>
      </c>
    </row>
    <row r="8" spans="1:19" x14ac:dyDescent="0.25">
      <c r="A8">
        <v>20</v>
      </c>
      <c r="C8" t="s">
        <v>36</v>
      </c>
      <c r="F8" s="11">
        <f>SUMPRODUCT(Table28[[#This Row],[Column1]],0.5)</f>
        <v>10</v>
      </c>
      <c r="G8" s="11">
        <f>SUMPRODUCT(Table28[[#This Row],[Column1]],0.5)</f>
        <v>10</v>
      </c>
      <c r="H8">
        <f>SUM(F8+G8)</f>
        <v>20</v>
      </c>
      <c r="J8">
        <v>8</v>
      </c>
      <c r="K8" t="str">
        <f>IF(Table28[[#This Row],[Column10]] &lt;= Table28[[#This Row],[Column6]], " ", "Enter value less than [@Column6]")</f>
        <v xml:space="preserve"> </v>
      </c>
      <c r="L8">
        <v>8</v>
      </c>
      <c r="M8" t="str">
        <f>IF(Table28[[#This Row],[Column11]] &lt;= Table28[[#This Row],[Column7]], " ", "Enter value less than [@Column7]")</f>
        <v xml:space="preserve"> </v>
      </c>
      <c r="N8">
        <f>SUM(J8+L8)</f>
        <v>16</v>
      </c>
      <c r="P8" s="4">
        <f>N8/A8</f>
        <v>0.8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SUMPRODUCT(Table28[[#This Row],[Column1]],0.5)</f>
        <v>10</v>
      </c>
      <c r="G11" s="11">
        <f>SUMPRODUCT(Table28[[#This Row],[Column1]],0.5)</f>
        <v>10</v>
      </c>
      <c r="H11">
        <f>SUM(F11+G11)</f>
        <v>20</v>
      </c>
      <c r="J11">
        <v>8</v>
      </c>
      <c r="K11" t="str">
        <f>IF(Table28[[#This Row],[Column10]] &lt;= Table28[[#This Row],[Column6]], " ", "Enter value less than [@Column6]")</f>
        <v xml:space="preserve"> </v>
      </c>
      <c r="L11">
        <v>8</v>
      </c>
      <c r="M11" t="str">
        <f>IF(Table28[[#This Row],[Column11]] &lt;= Table28[[#This Row],[Column7]], " ", "Enter value less than [@Column7]")</f>
        <v xml:space="preserve"> </v>
      </c>
      <c r="N11">
        <f>SUM(J11+L11)</f>
        <v>16</v>
      </c>
      <c r="P11" s="4">
        <f>N11/A11</f>
        <v>0.8</v>
      </c>
    </row>
    <row r="12" spans="1:19" x14ac:dyDescent="0.25">
      <c r="A12">
        <v>20</v>
      </c>
      <c r="C12" t="s">
        <v>36</v>
      </c>
      <c r="F12" s="11">
        <f>SUMPRODUCT(Table28[[#This Row],[Column1]],0.5)</f>
        <v>10</v>
      </c>
      <c r="G12" s="11">
        <f>SUMPRODUCT(Table28[[#This Row],[Column1]],0.5)</f>
        <v>10</v>
      </c>
      <c r="H12">
        <f>SUM(F12+G12)</f>
        <v>20</v>
      </c>
      <c r="J12">
        <v>8</v>
      </c>
      <c r="K12" t="str">
        <f>IF(Table28[[#This Row],[Column6]] &lt;= 10, " ", "Enter value less than 10")</f>
        <v xml:space="preserve"> </v>
      </c>
      <c r="L12">
        <v>8</v>
      </c>
      <c r="M12" t="str">
        <f>IF(Table28[[#This Row],[Column11]] &lt;= Table28[[#This Row],[Column7]], " ", "Enter value less than [@Column7]")</f>
        <v xml:space="preserve"> </v>
      </c>
      <c r="N12">
        <f>SUM(J12+L12)</f>
        <v>16</v>
      </c>
      <c r="P12" s="4">
        <f>N12/A12</f>
        <v>0.8</v>
      </c>
    </row>
    <row r="13" spans="1:19" x14ac:dyDescent="0.25">
      <c r="A13">
        <v>20</v>
      </c>
      <c r="C13" t="s">
        <v>36</v>
      </c>
      <c r="F13" s="11">
        <f>SUMPRODUCT(Table28[[#This Row],[Column1]],0.5)</f>
        <v>10</v>
      </c>
      <c r="G13" s="11">
        <f>SUMPRODUCT(Table28[[#This Row],[Column1]],0.5)</f>
        <v>10</v>
      </c>
      <c r="H13">
        <f>SUM(F13+G13)</f>
        <v>20</v>
      </c>
      <c r="J13">
        <v>8</v>
      </c>
      <c r="K13" t="str">
        <f>IF(Table28[[#This Row],[Column6]] &lt;= 10, " ", "Enter value less than 10")</f>
        <v xml:space="preserve"> </v>
      </c>
      <c r="L13">
        <v>8</v>
      </c>
      <c r="M13" t="str">
        <f>IF(Table28[[#This Row],[Column11]] &lt;= Table28[[#This Row],[Column7]], " ", "Enter value less than [@Column7]")</f>
        <v xml:space="preserve"> </v>
      </c>
      <c r="N13">
        <f>SUM(J13+L13)</f>
        <v>16</v>
      </c>
      <c r="P13" s="4">
        <f>N13/A13</f>
        <v>0.8</v>
      </c>
    </row>
    <row r="14" spans="1:19" x14ac:dyDescent="0.25">
      <c r="A14">
        <v>20</v>
      </c>
      <c r="C14" t="s">
        <v>36</v>
      </c>
      <c r="F14" s="11">
        <f>SUMPRODUCT(Table28[[#This Row],[Column1]],0.5)</f>
        <v>10</v>
      </c>
      <c r="G14" s="11">
        <f>SUMPRODUCT(Table28[[#This Row],[Column1]],0.5)</f>
        <v>10</v>
      </c>
      <c r="H14">
        <f>SUM(F14+G14)</f>
        <v>20</v>
      </c>
      <c r="J14">
        <v>8</v>
      </c>
      <c r="L14">
        <v>8</v>
      </c>
      <c r="M14" t="str">
        <f>IF(Table28[[#This Row],[Column11]] &lt;= Table28[[#This Row],[Column7]], " ", "Enter value less than [@Column7]")</f>
        <v xml:space="preserve"> </v>
      </c>
      <c r="N14">
        <f>SUM(J14+L14)</f>
        <v>16</v>
      </c>
      <c r="P14" s="4">
        <f>N14/A14</f>
        <v>0.8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IF(Table28[[#This Row],[Column10]] &lt;= Table28[[#This Row],[Column6]], " ", "Enter value less than [@Column6]")</f>
        <v xml:space="preserve"> </v>
      </c>
      <c r="L17">
        <v>8</v>
      </c>
      <c r="M17" t="str">
        <f>IF(Table28[[#This Row],[Column11]] &lt;= Table28[[#This Row],[Column7]], " ", "Enter value less than [@Column7]")</f>
        <v xml:space="preserve"> </v>
      </c>
      <c r="N17">
        <f>L17</f>
        <v>8</v>
      </c>
      <c r="P17" s="4">
        <f>N17/A17</f>
        <v>0.8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IF(Table28[[#This Row],[Column10]] &lt;= Table28[[#This Row],[Column6]], " ", "Enter value less than [@Column6]")</f>
        <v xml:space="preserve"> </v>
      </c>
      <c r="L18">
        <v>8</v>
      </c>
      <c r="M18" t="str">
        <f>IF(Table28[[#This Row],[Column11]] &lt;= Table28[[#This Row],[Column7]], " ", "Enter value less than [@Column7]")</f>
        <v xml:space="preserve"> </v>
      </c>
      <c r="N18">
        <f>L18</f>
        <v>8</v>
      </c>
      <c r="P18" s="4">
        <f>N18/A18</f>
        <v>0.8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IF(Table28[[#This Row],[Column10]] &lt;= Table28[[#This Row],[Column6]], " ", "Enter value less than [@Column6]")</f>
        <v xml:space="preserve"> </v>
      </c>
      <c r="L19">
        <v>8</v>
      </c>
      <c r="M19" t="str">
        <f>IF(Table28[[#This Row],[Column11]] &lt;= Table28[[#This Row],[Column7]], " ", "Enter value less than [@Column7]")</f>
        <v xml:space="preserve"> </v>
      </c>
      <c r="N19">
        <f>L19</f>
        <v>8</v>
      </c>
      <c r="P19" s="4">
        <f>N19/A19</f>
        <v>0.8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IF(Table28[[#This Row],[Column10]] &lt;= Table28[[#This Row],[Column6]], " ", "Enter value less than [@Column6]")</f>
        <v xml:space="preserve"> </v>
      </c>
      <c r="L20">
        <v>8</v>
      </c>
      <c r="M20" t="str">
        <f>IF(Table28[[#This Row],[Column11]] &lt;= Table28[[#This Row],[Column7]], " ", "Enter value less than [@Column7]")</f>
        <v xml:space="preserve"> </v>
      </c>
      <c r="N20" s="3">
        <f>L20</f>
        <v>8</v>
      </c>
      <c r="P20" s="4">
        <f>N20/A20</f>
        <v>0.8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64</v>
      </c>
      <c r="K23" s="28" t="str">
        <f>IF(Table28[[#This Row],[Column6]] &lt;= 10, " ", "Enter value less than 10")</f>
        <v xml:space="preserve"> </v>
      </c>
      <c r="L23" s="28">
        <f>SUM(N11:N14)</f>
        <v>64</v>
      </c>
      <c r="M23" s="28"/>
      <c r="N23" s="28">
        <f>SUM(N17:N20)</f>
        <v>32</v>
      </c>
      <c r="O23" s="28"/>
      <c r="P23" s="30">
        <f>(SUM(N5:N8)+SUM(N11:N14)+SUM(N17:N20))/A23</f>
        <v>0.8</v>
      </c>
    </row>
    <row r="25" spans="1:17" ht="26.25" x14ac:dyDescent="0.4">
      <c r="A25" s="48" t="s">
        <v>5</v>
      </c>
      <c r="B25" s="48"/>
      <c r="C25" s="48"/>
      <c r="D25" s="48"/>
      <c r="E25" s="48"/>
      <c r="F25" s="48"/>
      <c r="G25" s="48"/>
      <c r="H25" s="48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IF(Table17[[#This Row],[Column16]] &lt;= 7, " ", "Enter value less than 7")</f>
        <v xml:space="preserve"> </v>
      </c>
      <c r="M28" t="str">
        <f>IF(Table17[[#This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SUMPRODUCT(Table17[[#This Row],[Column1]],0.8)</f>
        <v>12</v>
      </c>
      <c r="G29">
        <f>SUMPRODUCT(Table17[[#This Row],[Column1]],0.2)</f>
        <v>3</v>
      </c>
      <c r="H29">
        <f>SUM(F29+G29)</f>
        <v>15</v>
      </c>
      <c r="J29">
        <v>12</v>
      </c>
      <c r="K29" t="str">
        <f>IF(Table17[[#This Row],[Column16]] &lt;= Table17[[#This Row],[Column6]], " ", "Enter value less than [@Column6]")</f>
        <v xml:space="preserve"> </v>
      </c>
      <c r="L29">
        <v>3</v>
      </c>
      <c r="M29" t="str">
        <f>IF(Table17[[#This Row],[Column10]] &lt;= Table17[[#This Row],[Column7]], " ", "Enter value less than [@Column7]")</f>
        <v xml:space="preserve"> </v>
      </c>
      <c r="N29" s="11">
        <f>SUM(Table17[[#This Row],[Column16]]+Table17[[#This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SUMPRODUCT(Table17[[#This Row],[Column1]],0.8)</f>
        <v>12</v>
      </c>
      <c r="G30">
        <f>SUMPRODUCT(Table17[[#This Row],[Column1]],0.2)</f>
        <v>3</v>
      </c>
      <c r="H30">
        <f t="shared" ref="H30:H32" si="1">SUM(F30+G30)</f>
        <v>15</v>
      </c>
      <c r="J30">
        <v>8</v>
      </c>
      <c r="K30" t="str">
        <f>IF(Table17[[#This Row],[Column16]] &lt;= Table17[[#This Row],[Column6]], " ", "Enter value less than [@Column6]")</f>
        <v xml:space="preserve"> </v>
      </c>
      <c r="L30">
        <v>3</v>
      </c>
      <c r="M30" t="str">
        <f>IF(Table17[[#This Row],[Column10]] &lt;= Table17[[#This Row],[Column7]], " ", "Enter value less than [@Column7]")</f>
        <v xml:space="preserve"> </v>
      </c>
      <c r="N30" s="11">
        <f>SUM(Table17[[#This Row],[Column16]]+Table17[[#This Row],[Column10]])</f>
        <v>11</v>
      </c>
      <c r="P30" s="39">
        <f>N31/A31</f>
        <v>0.73333333333333328</v>
      </c>
    </row>
    <row r="31" spans="1:17" x14ac:dyDescent="0.25">
      <c r="A31">
        <v>15</v>
      </c>
      <c r="B31" s="34"/>
      <c r="C31" t="s">
        <v>36</v>
      </c>
      <c r="F31">
        <f>SUMPRODUCT(Table17[[#This Row],[Column1]],0.8)</f>
        <v>12</v>
      </c>
      <c r="G31">
        <f>SUMPRODUCT(Table17[[#This Row],[Column1]],0.2)</f>
        <v>3</v>
      </c>
      <c r="H31">
        <f t="shared" si="1"/>
        <v>15</v>
      </c>
      <c r="J31">
        <v>8</v>
      </c>
      <c r="K31" t="str">
        <f>IF(Table17[[#This Row],[Column16]] &lt;= Table17[[#This Row],[Column6]], " ", "Enter value less than [@Column6]")</f>
        <v xml:space="preserve"> </v>
      </c>
      <c r="L31">
        <v>3</v>
      </c>
      <c r="M31" t="str">
        <f>IF(Table17[[#This Row],[Column10]] &lt;= Table17[[#This Row],[Column7]], " ", "Enter value less than [@Column7]")</f>
        <v xml:space="preserve"> </v>
      </c>
      <c r="N31" s="11">
        <f>SUM(Table17[[#This Row],[Column16]]+Table17[[#This Row],[Column10]])</f>
        <v>11</v>
      </c>
      <c r="P31" s="39">
        <f>N31/A31</f>
        <v>0.73333333333333328</v>
      </c>
    </row>
    <row r="32" spans="1:17" x14ac:dyDescent="0.25">
      <c r="A32">
        <v>15</v>
      </c>
      <c r="B32" s="34"/>
      <c r="C32" t="s">
        <v>36</v>
      </c>
      <c r="F32">
        <f>SUMPRODUCT(Table17[[#This Row],[Column1]],0.8)</f>
        <v>12</v>
      </c>
      <c r="G32">
        <f>SUMPRODUCT(Table17[[#This Row],[Column1]],0.2)</f>
        <v>3</v>
      </c>
      <c r="H32">
        <f t="shared" si="1"/>
        <v>15</v>
      </c>
      <c r="J32">
        <v>8</v>
      </c>
      <c r="K32" t="str">
        <f>IF(Table17[[#This Row],[Column16]] &lt;= Table17[[#This Row],[Column6]], " ", "Enter value less than [@Column6]")</f>
        <v xml:space="preserve"> </v>
      </c>
      <c r="L32">
        <v>3</v>
      </c>
      <c r="M32" t="str">
        <f>IF(Table17[[#This Row],[Column10]] &lt;= Table17[[#This Row],[Column7]], " ", "Enter value less than [@Column7]")</f>
        <v xml:space="preserve"> </v>
      </c>
      <c r="N32" s="11">
        <f>SUM(Table17[[#This Row],[Column16]]+Table17[[#This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SUMPRODUCT(Table17[[#This Row],[Column1]],0.53)</f>
        <v>7.95</v>
      </c>
      <c r="G35" s="11">
        <f>SUMPRODUCT(Table17[[#This Row],[Column1]],0.47)</f>
        <v>7.05</v>
      </c>
      <c r="H35">
        <f>F35+G35</f>
        <v>15</v>
      </c>
      <c r="J35">
        <v>8</v>
      </c>
      <c r="K35" t="str">
        <f>IF(Table17[[#This Row],[Column16]] &lt;= SUMPRODUCT(Table17[[#This Row],[Column1]],0.54), " ", "Enter value less than [@Column6]")</f>
        <v xml:space="preserve"> </v>
      </c>
      <c r="L35">
        <v>7</v>
      </c>
      <c r="M35" t="str">
        <f>IF(Table17[[#This Row],[Column10]] &lt;= Table17[[#This Row],[Column7]], " ", "Enter value less than [@Column7]")</f>
        <v xml:space="preserve"> </v>
      </c>
      <c r="N35" s="11">
        <f>SUM(Table17[[#This Row],[Column16]]+Table17[[#This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SUMPRODUCT(Table17[[#This Row],[Column1]],0.53)</f>
        <v>7.95</v>
      </c>
      <c r="G36" s="11">
        <f>SUMPRODUCT(Table17[[#This Row],[Column1]],0.47)</f>
        <v>7.05</v>
      </c>
      <c r="H36">
        <f>F36+G36</f>
        <v>15</v>
      </c>
      <c r="J36">
        <v>8</v>
      </c>
      <c r="K36" t="str">
        <f>IF(Table17[[#This Row],[Column16]] &lt;= SUMPRODUCT(Table17[[#This Row],[Column1]],0.54), " ", "Enter value less than [@Column6]")</f>
        <v xml:space="preserve"> </v>
      </c>
      <c r="L36">
        <v>7</v>
      </c>
      <c r="M36" t="str">
        <f>IF(Table17[[#This Row],[Column10]] &lt;= Table17[[#This Row],[Column7]], " ", "Enter value less than [@Column7]")</f>
        <v xml:space="preserve"> </v>
      </c>
      <c r="N36" s="11">
        <f>SUM(Table17[[#This Row],[Column16]]+Table17[[#This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SUMPRODUCT(Table17[[#This Row],[Column1]],0.53)</f>
        <v>7.95</v>
      </c>
      <c r="G37" s="11">
        <f>SUMPRODUCT(Table17[[#This Row],[Column1]],0.47)</f>
        <v>7.05</v>
      </c>
      <c r="H37">
        <f>F37+G37</f>
        <v>15</v>
      </c>
      <c r="J37">
        <v>8</v>
      </c>
      <c r="K37" t="str">
        <f>IF(Table17[[#This Row],[Column16]] &lt;= SUMPRODUCT(Table17[[#This Row],[Column1]],0.54), " ", "Enter value less than [@Column6]")</f>
        <v xml:space="preserve"> </v>
      </c>
      <c r="L37">
        <v>7</v>
      </c>
      <c r="M37" t="str">
        <f>IF(Table17[[#This Row],[Column10]] &lt;= Table17[[#This Row],[Column7]], " ", "Enter value less than [@Column7]")</f>
        <v xml:space="preserve"> </v>
      </c>
      <c r="N37" s="11">
        <f>SUM(Table17[[#This Row],[Column16]]+Table17[[#This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SUMPRODUCT(Table17[[#This Row],[Column1]],0.53)</f>
        <v>7.95</v>
      </c>
      <c r="G38" s="11">
        <f>SUMPRODUCT(Table17[[#This Row],[Column1]],0.47)</f>
        <v>7.05</v>
      </c>
      <c r="H38">
        <f>F38+G38</f>
        <v>15</v>
      </c>
      <c r="J38">
        <v>8</v>
      </c>
      <c r="K38" t="str">
        <f>IF(Table17[[#This Row],[Column16]] &lt;= SUMPRODUCT(Table17[[#This Row],[Column1]],0.54), " ", "Enter value less than [@Column6]")</f>
        <v xml:space="preserve"> </v>
      </c>
      <c r="L38">
        <v>7</v>
      </c>
      <c r="M38" t="str">
        <f>IF(Table17[[#This Row],[Column10]] &lt;= Table17[[#This Row],[Column7]], " ", "Enter value less than [@Column7]")</f>
        <v xml:space="preserve"> </v>
      </c>
      <c r="N38" s="11">
        <f>SUM(Table17[[#This Row],[Column16]]+Table17[[#This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SUMPRODUCT(Table17[[#This Row],[Column1]],0.5)</f>
        <v>5</v>
      </c>
      <c r="G41">
        <f>SUMPRODUCT(Table17[[#This Row],[Column1]],0.5)</f>
        <v>5</v>
      </c>
      <c r="H41">
        <f>F41+G41</f>
        <v>10</v>
      </c>
      <c r="J41">
        <v>5</v>
      </c>
      <c r="K41" t="str">
        <f>IF(Table17[[#This Row],[Column16]] &lt;= Table17[[#This Row],[Column6]], " ", "Enter value less than [@Column6]")</f>
        <v xml:space="preserve"> </v>
      </c>
      <c r="L41">
        <v>3</v>
      </c>
      <c r="M41" t="str">
        <f>IF(Table17[[#This Row],[Column10]] &lt;= Table17[[#This Row],[Column7]], " ", "Enter value less than [@Column7]")</f>
        <v xml:space="preserve"> </v>
      </c>
      <c r="N41" s="11">
        <f>SUM(Table17[[#This Row],[Column16]]+Table17[[#This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SUMPRODUCT(Table17[[#This Row],[Column1]],0.5)</f>
        <v>5</v>
      </c>
      <c r="G42">
        <f>SUMPRODUCT(Table17[[#This Row],[Column1]],0.5)</f>
        <v>5</v>
      </c>
      <c r="H42">
        <f>F42+G42</f>
        <v>10</v>
      </c>
      <c r="J42">
        <v>5</v>
      </c>
      <c r="K42" t="str">
        <f>IF(Table17[[#This Row],[Column16]] &lt;= Table17[[#This Row],[Column6]], " ", "Enter value less than [@Column6]")</f>
        <v xml:space="preserve"> </v>
      </c>
      <c r="L42">
        <v>3</v>
      </c>
      <c r="M42" t="str">
        <f>IF(Table17[[#This Row],[Column10]] &lt;= Table17[[#This Row],[Column7]], " ", "Enter value less than [@Column7]")</f>
        <v xml:space="preserve"> </v>
      </c>
      <c r="N42" s="11">
        <f>SUM(Table17[[#This Row],[Column16]]+Table17[[#This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SUMPRODUCT(Table17[[#This Row],[Column1]],0.7)</f>
        <v>7</v>
      </c>
      <c r="G43">
        <f>SUMPRODUCT(Table17[[#This Row],[Column1]],0.3)</f>
        <v>3</v>
      </c>
      <c r="H43">
        <f>F43+G43</f>
        <v>10</v>
      </c>
      <c r="J43">
        <v>5</v>
      </c>
      <c r="K43" t="str">
        <f>IF(Table17[[#This Row],[Column16]] &lt;= Table17[[#This Row],[Column6]], " ", "Enter value less than [@Column6]")</f>
        <v xml:space="preserve"> </v>
      </c>
      <c r="L43">
        <v>3</v>
      </c>
      <c r="M43" t="str">
        <f>IF(Table17[[#This Row],[Column10]] &lt;= Table17[[#This Row],[Column7]], " ", "Enter value less than [@Column7]")</f>
        <v xml:space="preserve"> </v>
      </c>
      <c r="N43" s="11">
        <f>SUM(Table17[[#This Row],[Column16]]+Table17[[#This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SUMPRODUCT(Table17[[#This Row],[Column1]],0.7)</f>
        <v>7</v>
      </c>
      <c r="G44">
        <f>SUMPRODUCT(Table17[[#This Row],[Column1]],0.3)</f>
        <v>3</v>
      </c>
      <c r="H44">
        <f>F44+G44</f>
        <v>10</v>
      </c>
      <c r="J44">
        <v>5</v>
      </c>
      <c r="K44" t="str">
        <f>IF(Table17[[#This Row],[Column16]] &lt;= Table17[[#This Row],[Column6]], " ", "Enter value less than [@Column6]")</f>
        <v xml:space="preserve"> </v>
      </c>
      <c r="L44">
        <v>3</v>
      </c>
      <c r="M44" t="str">
        <f>IF(Table17[[#This Row],[Column10]] &lt;= Table17[[#This Row],[Column7]], " ", "Enter value less than [@Column7]")</f>
        <v xml:space="preserve"> </v>
      </c>
      <c r="N44" s="11">
        <f>SUM(Table17[[#This Row],[Column16]]+Table17[[#This Row],[Column10]])</f>
        <v>8</v>
      </c>
      <c r="P44" s="39">
        <f>N44/A44</f>
        <v>0.8</v>
      </c>
    </row>
    <row r="45" spans="1:16" x14ac:dyDescent="0.25">
      <c r="B45" s="43"/>
      <c r="M45" t="str">
        <f>IF(Table17[[#This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SUMPRODUCT(Table17[[#This Row],[Column1]],0.7)</f>
        <v>7</v>
      </c>
      <c r="G47">
        <f>SUMPRODUCT(Table17[[#This Row],[Column1]],0.3)</f>
        <v>3</v>
      </c>
      <c r="H47">
        <f>F47+G47</f>
        <v>10</v>
      </c>
      <c r="J47">
        <v>5</v>
      </c>
      <c r="K47" t="str">
        <f>IF(Table17[[#This Row],[Column16]] &lt;= Table17[[#This Row],[Column6]], " ", "Enter value less than [@Column6]")</f>
        <v xml:space="preserve"> </v>
      </c>
      <c r="L47">
        <v>3</v>
      </c>
      <c r="M47" t="str">
        <f>IF(Table17[[#This Row],[Column10]] &lt;= Table17[[#This Row],[Column7]], " ", "Enter value less than [@Column7]")</f>
        <v xml:space="preserve"> </v>
      </c>
      <c r="N47" s="11">
        <f>SUM(Table17[[#This Row],[Column16]],Table17[[#This Row],[Column10]])</f>
        <v>8</v>
      </c>
      <c r="P47" s="39">
        <f>N47/A47</f>
        <v>0.8</v>
      </c>
    </row>
    <row r="48" spans="1:16" x14ac:dyDescent="0.25">
      <c r="A48">
        <v>10</v>
      </c>
      <c r="B48" s="34"/>
      <c r="C48" t="s">
        <v>36</v>
      </c>
      <c r="F48">
        <f>SUMPRODUCT(Table17[[#This Row],[Column1]],0.7)</f>
        <v>7</v>
      </c>
      <c r="G48">
        <f>SUMPRODUCT(Table17[[#This Row],[Column1]],0.3)</f>
        <v>3</v>
      </c>
      <c r="H48">
        <f>F48+G48</f>
        <v>10</v>
      </c>
      <c r="J48">
        <v>5</v>
      </c>
      <c r="K48" t="str">
        <f>IF(Table17[[#This Row],[Column16]] &lt;= Table17[[#This Row],[Column6]], " ", "Enter value less than [@Column6]")</f>
        <v xml:space="preserve"> </v>
      </c>
      <c r="L48">
        <v>3</v>
      </c>
      <c r="M48" t="str">
        <f>IF(Table17[[#This Row],[Column10]] &lt;= Table17[[#This Row],[Column7]], " ", "Enter value less than [@Column7]")</f>
        <v xml:space="preserve"> </v>
      </c>
      <c r="N48" s="11">
        <f>SUM(Table17[[#This Row],[Column16]],Table17[[#This Row],[Column10]])</f>
        <v>8</v>
      </c>
      <c r="P48" s="39">
        <f>N48/A48</f>
        <v>0.8</v>
      </c>
    </row>
    <row r="49" spans="1:16" x14ac:dyDescent="0.25">
      <c r="A49">
        <v>10</v>
      </c>
      <c r="B49" s="34"/>
      <c r="C49" t="s">
        <v>36</v>
      </c>
      <c r="F49">
        <f>SUMPRODUCT(Table17[[#This Row],[Column1]],0.7)</f>
        <v>7</v>
      </c>
      <c r="G49">
        <f>SUMPRODUCT(Table17[[#This Row],[Column1]],0.3)</f>
        <v>3</v>
      </c>
      <c r="H49">
        <f>F49+G49</f>
        <v>10</v>
      </c>
      <c r="J49">
        <v>5</v>
      </c>
      <c r="K49" t="str">
        <f>IF(Table17[[#This Row],[Column16]] &lt;= Table17[[#This Row],[Column6]], " ", "Enter value less than [@Column6]")</f>
        <v xml:space="preserve"> </v>
      </c>
      <c r="L49">
        <v>3</v>
      </c>
      <c r="M49" t="str">
        <f>IF(Table17[[#This Row],[Column10]] &lt;= Table17[[#This Row],[Column7]], " ", "Enter value less than [@Column7]")</f>
        <v xml:space="preserve"> </v>
      </c>
      <c r="N49" s="11">
        <f>SUM(Table17[[#This Row],[Column16]],Table17[[#This Row],[Column10]])</f>
        <v>8</v>
      </c>
      <c r="P49" s="39">
        <f>N49/A49</f>
        <v>0.8</v>
      </c>
    </row>
    <row r="50" spans="1:16" ht="15.75" thickBot="1" x14ac:dyDescent="0.3">
      <c r="A50">
        <v>10</v>
      </c>
      <c r="B50" s="34"/>
      <c r="C50" t="s">
        <v>36</v>
      </c>
      <c r="F50">
        <f>SUMPRODUCT(Table17[[#This Row],[Column1]],0.7)</f>
        <v>7</v>
      </c>
      <c r="G50">
        <f>SUMPRODUCT(Table17[[#This Row],[Column1]],0.3)</f>
        <v>3</v>
      </c>
      <c r="H50">
        <f>F50+G50</f>
        <v>10</v>
      </c>
      <c r="J50">
        <v>5</v>
      </c>
      <c r="K50" t="str">
        <f>IF(Table17[[#This Row],[Column16]] &lt;= Table17[[#This Row],[Column6]], " ", "Enter value less than [@Column6]")</f>
        <v xml:space="preserve"> </v>
      </c>
      <c r="L50">
        <v>3</v>
      </c>
      <c r="M50" t="str">
        <f>IF(Table17[[#This Row],[Column10]] &lt;= Table17[[#This Row],[Column7]], " ", "Enter value less than [@Column7]")</f>
        <v xml:space="preserve"> </v>
      </c>
      <c r="N50" s="11">
        <f>SUM(Table17[[#This Row],[Column16]],Table17[[#This Row],[Column10]])</f>
        <v>8</v>
      </c>
      <c r="P50" s="39">
        <f>N50/A50</f>
        <v>0.8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48</v>
      </c>
      <c r="J52" s="46">
        <f>SUM(N35:N38)</f>
        <v>60</v>
      </c>
      <c r="K52" s="46">
        <f>SUM(N41:N44)</f>
        <v>32</v>
      </c>
      <c r="L52" s="46">
        <f>SUM(N47:N50)</f>
        <v>32</v>
      </c>
      <c r="M52" s="28"/>
      <c r="N52" s="30">
        <f>SUM(I52:L52)/A52</f>
        <v>0.86</v>
      </c>
    </row>
    <row r="54" spans="1:16" ht="15" customHeight="1" x14ac:dyDescent="0.25">
      <c r="A54" s="48" t="s">
        <v>23</v>
      </c>
      <c r="B54" s="48"/>
      <c r="C54" s="48"/>
      <c r="D54" s="48"/>
      <c r="E54" s="48"/>
      <c r="F54" s="48"/>
      <c r="G54" s="48"/>
      <c r="H54" s="48"/>
    </row>
    <row r="55" spans="1:16" ht="15" customHeight="1" x14ac:dyDescent="0.25">
      <c r="A55" s="48"/>
      <c r="B55" s="48"/>
      <c r="C55" s="48"/>
      <c r="D55" s="48"/>
      <c r="E55" s="48"/>
      <c r="F55" s="48"/>
      <c r="G55" s="48"/>
      <c r="H55" s="48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SUM(Table39[[#This Row],[Column6]],Table39[[#This Row],[Column7]])</f>
        <v>22.800000000000004</v>
      </c>
      <c r="I59" s="36"/>
      <c r="J59" s="36">
        <v>4</v>
      </c>
      <c r="K59" s="36" t="str">
        <f>IF(Table39[[#This Row],[Column10]] &lt;= SUMPRODUCT($F$63,0.06), " ", "Enter value less than [@Column6]")</f>
        <v xml:space="preserve"> </v>
      </c>
      <c r="L59">
        <v>18</v>
      </c>
      <c r="M59" s="36" t="str">
        <f>IF(Table39[[#This Row],[Column12]] &lt;= SUMPRODUCT($G$63,0.46), " ", "Enter value less than [@Column6]")</f>
        <v xml:space="preserve"> </v>
      </c>
      <c r="N59">
        <f>SUM(Table39[[#This Row],[Column10]],Table39[[#This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SUM(Table39[[#This Row],[Column6]],Table39[[#This Row],[Column7]])</f>
        <v>24.6</v>
      </c>
      <c r="I60" s="36"/>
      <c r="J60" s="36">
        <v>5</v>
      </c>
      <c r="K60" s="36" t="str">
        <f>IF(Table39[[#This Row],[Column10]] &lt;= SUMPRODUCT($F$63,0.11), " ", "Enter value less than [@Column6]")</f>
        <v xml:space="preserve"> </v>
      </c>
      <c r="L60">
        <v>17</v>
      </c>
      <c r="M60" s="36" t="str">
        <f>IF(Table39[[#This Row],[Column12]] &lt;= SUMPRODUCT($G$63,0.41), " ", "Enter value less than [@Column6]")</f>
        <v xml:space="preserve"> </v>
      </c>
      <c r="N60">
        <f>SUM(Table39[[#This Row],[Column10]],Table39[[#This Row],[Column12]])</f>
        <v>22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SUM(Table39[[#This Row],[Column6]],Table39[[#This Row],[Column7]])</f>
        <v>37.200000000000003</v>
      </c>
      <c r="I61" s="36"/>
      <c r="J61" s="36">
        <v>5</v>
      </c>
      <c r="K61" s="36" t="str">
        <f>IF(Table39[[#This Row],[Column10]] &lt;= SUMPRODUCT($F$63,0.46), " ", "Enter value less than [@Column6]")</f>
        <v xml:space="preserve"> </v>
      </c>
      <c r="L61">
        <v>2</v>
      </c>
      <c r="M61" s="36" t="str">
        <f>IF(Table39[[#This Row],[Column12]] &lt;= SUMPRODUCT($G$63,0.06), " ", "Enter value less than [@Column6]")</f>
        <v xml:space="preserve"> </v>
      </c>
      <c r="N61">
        <f>SUM(Table39[[#This Row],[Column10]],Table39[[#This Row],[Column12]])</f>
        <v>7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SUM(Table39[[#This Row],[Column6]],Table39[[#This Row],[Column7]])</f>
        <v>35.400000000000006</v>
      </c>
      <c r="I62" s="36"/>
      <c r="J62" s="36">
        <v>5</v>
      </c>
      <c r="K62" s="36" t="str">
        <f>IF(Table39[[#This Row],[Column10]] &lt;= SUMPRODUCT($F$63,0.41), " ", "Enter value less than [@Column6]")</f>
        <v xml:space="preserve"> </v>
      </c>
      <c r="L62">
        <v>4</v>
      </c>
      <c r="M62" s="36" t="str">
        <f>IF(Table39[[#This Row],[Column12]] &lt;= SUMPRODUCT($G$63,0.11), " ", "Enter value less than [@Column6]")</f>
        <v xml:space="preserve"> </v>
      </c>
      <c r="N62">
        <f>SUM(Table39[[#This Row],[Column10]],Table39[[#This Row],[Column12]])</f>
        <v>9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SUM(Table39[[#This Row],[Column6]],Table39[[#This Row],[Column7]])</f>
        <v>120</v>
      </c>
      <c r="I63" s="36"/>
      <c r="J63" s="36">
        <f>SUM(J59:J62)</f>
        <v>19</v>
      </c>
      <c r="K63" s="36" t="str">
        <f>IF(Table39[[#This Row],[Column10]] &lt;= SUMPRODUCT($A$62,0.66), " ", "Enter value less than [@Column6]")</f>
        <v xml:space="preserve"> </v>
      </c>
      <c r="L63">
        <f>SUM(L59:L62)</f>
        <v>41</v>
      </c>
      <c r="M63" s="36" t="str">
        <f>IF(Table39[[#This Row],[Column12]] &lt;= SUMPRODUCT($A$68,0.36), " ", "Enter value less than [@Column6]")</f>
        <v xml:space="preserve"> </v>
      </c>
      <c r="N63">
        <f>SUM(Table39[[#This Row],[Column10]],Table39[[#This Row],[Column12]])</f>
        <v>60</v>
      </c>
      <c r="P63" s="4">
        <f>N63/$A$62</f>
        <v>0.5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SUM(Table39[[#This Row],[Column6]],Table39[[#This Row],[Column7]])</f>
        <v>22.800000000000004</v>
      </c>
      <c r="I65" s="36"/>
      <c r="J65" s="36">
        <v>5</v>
      </c>
      <c r="K65" s="36" t="str">
        <f>IF(Table39[[#This Row],[Column10]] &lt;= SUMPRODUCT($F$69,0.06), " ", "Enter value less than [@Column6]")</f>
        <v>Enter value less than [@Column6]</v>
      </c>
      <c r="L65">
        <v>5</v>
      </c>
      <c r="M65" s="36" t="str">
        <f>IF(Table39[[#This Row],[Column12]] &lt;= SUMPRODUCT($G$69,0.46), " ", "Enter value less than [@Column6]")</f>
        <v xml:space="preserve"> </v>
      </c>
      <c r="N65">
        <f>SUM(Table39[[#This Row],[Column10]],Table39[[#This Row],[Column12]])</f>
        <v>10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SUM(Table39[[#This Row],[Column6]],Table39[[#This Row],[Column7]])</f>
        <v>24.6</v>
      </c>
      <c r="I66" s="36"/>
      <c r="J66" s="36">
        <v>5</v>
      </c>
      <c r="K66" s="36" t="str">
        <f>IF(Table39[[#This Row],[Column10]] &lt;= SUMPRODUCT($F$69,0.1), " ", "Enter value less than [@Column6]")</f>
        <v xml:space="preserve"> </v>
      </c>
      <c r="L66">
        <v>5</v>
      </c>
      <c r="M66" s="36" t="str">
        <f>IF(Table39[[#This Row],[Column12]] &lt;= SUMPRODUCT($G$69,0.41), " ", "Enter value less than [@Column6]")</f>
        <v xml:space="preserve"> </v>
      </c>
      <c r="N66">
        <f>SUM(Table39[[#This Row],[Column10]],Table39[[#This Row],[Column12]])</f>
        <v>10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SUM(Table39[[#This Row],[Column6]],Table39[[#This Row],[Column7]])</f>
        <v>37.200000000000003</v>
      </c>
      <c r="I67" s="36"/>
      <c r="J67" s="36">
        <v>5</v>
      </c>
      <c r="K67" s="36" t="str">
        <f>IF(Table39[[#This Row],[Column10]] &lt;= SUMPRODUCT($F$69,0.46), " ", "Enter value less than [@Column6]")</f>
        <v xml:space="preserve"> </v>
      </c>
      <c r="L67">
        <v>5</v>
      </c>
      <c r="M67" s="36" t="str">
        <f>IF(Table39[[#This Row],[Column12]] &lt;= SUMPRODUCT($G$69,0.06), " ", "Enter value less than [@Column6]")</f>
        <v>Enter value less than [@Column6]</v>
      </c>
      <c r="N67">
        <f>SUM(Table39[[#This Row],[Column10]],Table39[[#This Row],[Column12]])</f>
        <v>10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SUM(Table39[[#This Row],[Column6]],Table39[[#This Row],[Column7]])</f>
        <v>35.400000000000006</v>
      </c>
      <c r="I68" s="36"/>
      <c r="J68" s="36">
        <v>5</v>
      </c>
      <c r="K68" s="36" t="str">
        <f>IF(Table39[[#This Row],[Column10]] &lt;= SUMPRODUCT($F$69,0.41), " ", "Enter value less than [@Column6]")</f>
        <v xml:space="preserve"> </v>
      </c>
      <c r="L68">
        <v>5</v>
      </c>
      <c r="M68" s="36" t="str">
        <f>IF(Table39[[#This Row],[Column12]] &lt;= SUMPRODUCT($G$69,0.11), " ", "Enter value less than [@Column6]")</f>
        <v>Enter value less than [@Column6]</v>
      </c>
      <c r="N68">
        <f>SUM(Table39[[#This Row],[Column10]],Table39[[#This Row],[Column12]])</f>
        <v>10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SUM(Table39[[#This Row],[Column6]],Table39[[#This Row],[Column7]])</f>
        <v>120</v>
      </c>
      <c r="I69" s="36"/>
      <c r="J69" s="36">
        <f>SUM(J65:J68)</f>
        <v>20</v>
      </c>
      <c r="K69" s="36" t="str">
        <f>IF(Table39[[#This Row],[Column10]] &lt;= SUMPRODUCT($A$68,0.66), " ", "Enter value less than [@Column6]")</f>
        <v xml:space="preserve"> </v>
      </c>
      <c r="L69">
        <f>SUM(L65:L68)</f>
        <v>20</v>
      </c>
      <c r="M69" s="36" t="str">
        <f>IF(Table39[[#This Row],[Column12]] &lt;= SUMPRODUCT($A$68,0.36), " ", "Enter value less than [@Column6]")</f>
        <v xml:space="preserve"> </v>
      </c>
      <c r="N69">
        <f>SUM(N65:N68)</f>
        <v>40</v>
      </c>
      <c r="P69" s="4">
        <f>N69/$A$68</f>
        <v>0.33333333333333331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SUM(Table39[[#This Row],[Column6]],Table39[[#This Row],[Column7]])</f>
        <v>30.4</v>
      </c>
      <c r="I71" s="36"/>
      <c r="J71" s="36">
        <v>5</v>
      </c>
      <c r="K71" s="36" t="str">
        <f>IF(Table39[[#This Row],[Column10]] &lt;= SUMPRODUCT($F$75,0.06), " ", "Enter value less than [@Column6]")</f>
        <v xml:space="preserve"> </v>
      </c>
      <c r="L71">
        <v>3</v>
      </c>
      <c r="M71" s="36" t="str">
        <f>IF(Table39[[#This Row],[Column12]] &lt;= SUMPRODUCT($G$75,0.46), " ", "Enter value less than [@Column6]")</f>
        <v xml:space="preserve"> </v>
      </c>
      <c r="N71">
        <f>SUM(Table39[[#This Row],[Column10]],Table39[[#This Row],[Column12]])</f>
        <v>8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SUM(Table39[[#This Row],[Column6]],Table39[[#This Row],[Column7]])</f>
        <v>32.800000000000004</v>
      </c>
      <c r="I72" s="36"/>
      <c r="J72" s="36">
        <v>8</v>
      </c>
      <c r="K72" s="36" t="str">
        <f>IF(Table39[[#This Row],[Column10]] &lt;= SUMPRODUCT($F$75,0.11), " ", "Enter value less than [@Column6]")</f>
        <v xml:space="preserve"> </v>
      </c>
      <c r="L72">
        <v>3</v>
      </c>
      <c r="M72" s="36" t="str">
        <f>IF(Table39[[#This Row],[Column12]] &lt;= SUMPRODUCT($G$75,0.41), " ", "Enter value less than [@Column6]")</f>
        <v xml:space="preserve"> </v>
      </c>
      <c r="N72">
        <f>SUM(Table39[[#This Row],[Column10]],Table39[[#This Row],[Column12]])</f>
        <v>11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SUM(Table39[[#This Row],[Column6]],Table39[[#This Row],[Column7]])</f>
        <v>49.6</v>
      </c>
      <c r="I73" s="36"/>
      <c r="J73" s="36">
        <v>34</v>
      </c>
      <c r="K73" s="36" t="str">
        <f>IF(Table39[[#This Row],[Column10]] &lt;= SUMPRODUCT($F$75,0.46), " ", "Enter value less than [@Column6]")</f>
        <v xml:space="preserve"> </v>
      </c>
      <c r="L73">
        <v>3</v>
      </c>
      <c r="M73" s="36" t="str">
        <f>IF(Table39[[#This Row],[Column12]] &lt;= SUMPRODUCT($G$75,0.06), " ", "Enter value less than [@Column6]")</f>
        <v xml:space="preserve"> </v>
      </c>
      <c r="N73">
        <f>SUM(Table39[[#This Row],[Column10]],Table39[[#This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SUM(Table39[[#This Row],[Column6]],Table39[[#This Row],[Column7]])</f>
        <v>47.2</v>
      </c>
      <c r="I74" s="36"/>
      <c r="J74" s="36">
        <v>23</v>
      </c>
      <c r="K74" s="36" t="str">
        <f>IF(Table39[[#This Row],[Column10]] &lt;= SUMPRODUCT($F$75,0.41), " ", "Enter value less than [@Column6]")</f>
        <v xml:space="preserve"> </v>
      </c>
      <c r="L74">
        <v>3</v>
      </c>
      <c r="M74" s="36" t="str">
        <f>IF(Table39[[#This Row],[Column12]] &lt;= SUMPRODUCT($G$75,0.11), " ", "Enter value less than [@Column6]")</f>
        <v xml:space="preserve"> </v>
      </c>
      <c r="N74">
        <f>SUM(Table39[[#This Row],[Column10]],Table39[[#This Row],[Column12]])</f>
        <v>26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SUM(Table39[[#This Row],[Column6]],Table39[[#This Row],[Column7]])</f>
        <v>160</v>
      </c>
      <c r="K75" s="36"/>
      <c r="L75" s="40"/>
      <c r="N75">
        <f>SUM(N71:N74)</f>
        <v>82</v>
      </c>
      <c r="P75" s="4">
        <f>N75/$A$74</f>
        <v>0.51249999999999996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60</v>
      </c>
      <c r="K77" s="28"/>
      <c r="L77" s="28">
        <f>SUM(N65:N68)</f>
        <v>40</v>
      </c>
      <c r="M77" s="28"/>
      <c r="N77" s="28">
        <f>SUM(N71:N74)</f>
        <v>82</v>
      </c>
      <c r="O77" s="28"/>
      <c r="P77" s="32">
        <f>SUM(Table39[[#This Row],[Column10]:[Column15]])/A77</f>
        <v>0.45500000000000002</v>
      </c>
    </row>
    <row r="79" spans="1:16" ht="26.25" x14ac:dyDescent="0.4">
      <c r="A79" s="48" t="s">
        <v>49</v>
      </c>
      <c r="B79" s="48"/>
      <c r="C79" s="48"/>
      <c r="D79" s="48"/>
      <c r="E79" s="48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514</v>
      </c>
      <c r="F85" s="11">
        <f>SUM(J5:J8,J11:J14,J17:J20,J29:J32,J35:J38,J41:J44,J47:J50,J59:J62,J65:J68,J71:J74)</f>
        <v>281</v>
      </c>
      <c r="G85" s="11">
        <f>SUM(L5:L8,L11:L14,L17:L20,L29:L32,L35:L38,L41:L44,L47:L50,L59:L62,L65:L68,L71:L74)</f>
        <v>233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0.64249999999999996</v>
      </c>
      <c r="F88" s="4">
        <f>F85/F82</f>
        <v>0.59559135226791016</v>
      </c>
      <c r="G88" s="4">
        <f>G85/G82</f>
        <v>0.70993296770262027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85CC-2D62-4806-B030-F61BA2FD49A0}">
  <dimension ref="A1:S88"/>
  <sheetViews>
    <sheetView topLeftCell="A67" workbookViewId="0">
      <selection activeCell="L69" sqref="L69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48" t="s">
        <v>1</v>
      </c>
      <c r="B1" s="48"/>
      <c r="C1" s="48"/>
      <c r="D1" s="48"/>
      <c r="E1" s="48"/>
      <c r="F1" s="48"/>
      <c r="G1" s="48"/>
      <c r="H1" s="48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SUMPRODUCT(Table2833[[#This Row],[Column1]],0.5)</f>
        <v>10</v>
      </c>
      <c r="G5" s="11">
        <f>SUMPRODUCT(Table2833[[#This Row],[Column1]],0.5)</f>
        <v>10</v>
      </c>
      <c r="H5">
        <f>SUM(F5+G5)</f>
        <v>20</v>
      </c>
      <c r="J5">
        <v>5</v>
      </c>
      <c r="K5" t="str">
        <f>IF(Table2833[[#This Row],[Column10]] &lt;= Table2833[[#This Row],[Column6]], " ", "Enter value less than [@Column6]")</f>
        <v xml:space="preserve"> </v>
      </c>
      <c r="L5">
        <v>5</v>
      </c>
      <c r="M5" t="str">
        <f>IF(Table2833[[#This Row],[Column11]] &lt;= Table2833[[#This Row],[Column7]], " ", "Enter value less than [@Column7]")</f>
        <v xml:space="preserve"> </v>
      </c>
      <c r="N5">
        <f>SUM(J5+L5)</f>
        <v>10</v>
      </c>
      <c r="P5" s="4">
        <f>N5/A5</f>
        <v>0.5</v>
      </c>
    </row>
    <row r="6" spans="1:19" x14ac:dyDescent="0.25">
      <c r="A6">
        <v>20</v>
      </c>
      <c r="C6" t="s">
        <v>36</v>
      </c>
      <c r="F6" s="11">
        <f>SUMPRODUCT(Table2833[[#This Row],[Column1]],0.5)</f>
        <v>10</v>
      </c>
      <c r="G6" s="11">
        <f>SUMPRODUCT(Table2833[[#This Row],[Column1]],0.5)</f>
        <v>10</v>
      </c>
      <c r="H6">
        <f>SUM(F6+G6)</f>
        <v>20</v>
      </c>
      <c r="J6">
        <v>5</v>
      </c>
      <c r="K6" t="str">
        <f>IF(Table2833[[#This Row],[Column10]] &lt;= Table2833[[#This Row],[Column6]], " ", "Enter value less than [@Column6]")</f>
        <v xml:space="preserve"> </v>
      </c>
      <c r="L6">
        <v>5</v>
      </c>
      <c r="M6" t="str">
        <f>IF(Table2833[[#This Row],[Column11]] &lt;= Table2833[[#This Row],[Column7]], " ", "Enter value less than [@Column7]")</f>
        <v xml:space="preserve"> </v>
      </c>
      <c r="N6">
        <f>SUM(J6+L6)</f>
        <v>10</v>
      </c>
      <c r="P6" s="4">
        <f>N6/A6</f>
        <v>0.5</v>
      </c>
    </row>
    <row r="7" spans="1:19" x14ac:dyDescent="0.25">
      <c r="A7">
        <v>20</v>
      </c>
      <c r="C7" t="s">
        <v>36</v>
      </c>
      <c r="F7" s="11">
        <f>SUMPRODUCT(Table2833[[#This Row],[Column1]],0.5)</f>
        <v>10</v>
      </c>
      <c r="G7" s="11">
        <f>SUMPRODUCT(Table2833[[#This Row],[Column1]],0.5)</f>
        <v>10</v>
      </c>
      <c r="H7">
        <f>SUM(F7+G7)</f>
        <v>20</v>
      </c>
      <c r="J7">
        <v>5</v>
      </c>
      <c r="K7" t="str">
        <f>IF(Table2833[[#This Row],[Column10]] &lt;= Table2833[[#This Row],[Column6]], " ", "Enter value less than [@Column6]")</f>
        <v xml:space="preserve"> </v>
      </c>
      <c r="L7">
        <v>5</v>
      </c>
      <c r="M7" t="str">
        <f>IF(Table2833[[#This Row],[Column11]] &lt;= Table2833[[#This Row],[Column7]], " ", "Enter value less than [@Column7]")</f>
        <v xml:space="preserve"> </v>
      </c>
      <c r="N7">
        <f>SUM(J7+L7)</f>
        <v>10</v>
      </c>
      <c r="P7" s="4">
        <f>N7/A7</f>
        <v>0.5</v>
      </c>
    </row>
    <row r="8" spans="1:19" x14ac:dyDescent="0.25">
      <c r="A8">
        <v>20</v>
      </c>
      <c r="C8" t="s">
        <v>36</v>
      </c>
      <c r="F8" s="11">
        <f>SUMPRODUCT(Table2833[[#This Row],[Column1]],0.5)</f>
        <v>10</v>
      </c>
      <c r="G8" s="11">
        <f>SUMPRODUCT(Table2833[[#This Row],[Column1]],0.5)</f>
        <v>10</v>
      </c>
      <c r="H8">
        <f>SUM(F8+G8)</f>
        <v>20</v>
      </c>
      <c r="J8">
        <v>5</v>
      </c>
      <c r="K8" t="str">
        <f>IF(Table2833[[#This Row],[Column10]] &lt;= Table2833[[#This Row],[Column6]], " ", "Enter value less than [@Column6]")</f>
        <v xml:space="preserve"> </v>
      </c>
      <c r="L8">
        <v>5</v>
      </c>
      <c r="M8" t="str">
        <f>IF(Table2833[[#This Row],[Column11]] &lt;= Table2833[[#This Row],[Column7]], " ", "Enter value less than [@Column7]")</f>
        <v xml:space="preserve"> </v>
      </c>
      <c r="N8">
        <f>SUM(J8+L8)</f>
        <v>10</v>
      </c>
      <c r="P8" s="4">
        <f>N8/A8</f>
        <v>0.5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SUMPRODUCT(Table2833[[#This Row],[Column1]],0.5)</f>
        <v>10</v>
      </c>
      <c r="G11" s="11">
        <f>SUMPRODUCT(Table2833[[#This Row],[Column1]],0.5)</f>
        <v>10</v>
      </c>
      <c r="H11">
        <f>SUM(F11+G11)</f>
        <v>20</v>
      </c>
      <c r="J11">
        <v>5</v>
      </c>
      <c r="K11" t="str">
        <f>IF(Table2833[[#This Row],[Column10]] &lt;= Table2833[[#This Row],[Column6]], " ", "Enter value less than [@Column6]")</f>
        <v xml:space="preserve"> </v>
      </c>
      <c r="L11">
        <v>5</v>
      </c>
      <c r="M11" t="str">
        <f>IF(Table2833[[#This Row],[Column11]] &lt;= Table2833[[#This Row],[Column7]], " ", "Enter value less than [@Column7]")</f>
        <v xml:space="preserve"> </v>
      </c>
      <c r="N11">
        <f>SUM(J11+L11)</f>
        <v>10</v>
      </c>
      <c r="P11" s="4">
        <f>N11/A11</f>
        <v>0.5</v>
      </c>
    </row>
    <row r="12" spans="1:19" x14ac:dyDescent="0.25">
      <c r="A12">
        <v>20</v>
      </c>
      <c r="C12" t="s">
        <v>36</v>
      </c>
      <c r="F12" s="11">
        <f>SUMPRODUCT(Table2833[[#This Row],[Column1]],0.5)</f>
        <v>10</v>
      </c>
      <c r="G12" s="11">
        <f>SUMPRODUCT(Table2833[[#This Row],[Column1]],0.5)</f>
        <v>10</v>
      </c>
      <c r="H12">
        <f>SUM(F12+G12)</f>
        <v>20</v>
      </c>
      <c r="J12">
        <v>5</v>
      </c>
      <c r="K12" t="str">
        <f>IF(Table2833[[#This Row],[Column6]] &lt;= 10, " ", "Enter value less than 10")</f>
        <v xml:space="preserve"> </v>
      </c>
      <c r="L12">
        <v>5</v>
      </c>
      <c r="M12" t="str">
        <f>IF(Table2833[[#This Row],[Column11]] &lt;= Table2833[[#This Row],[Column7]], " ", "Enter value less than [@Column7]")</f>
        <v xml:space="preserve"> </v>
      </c>
      <c r="N12">
        <f>SUM(J12+L12)</f>
        <v>10</v>
      </c>
      <c r="P12" s="4">
        <f>N12/A12</f>
        <v>0.5</v>
      </c>
    </row>
    <row r="13" spans="1:19" x14ac:dyDescent="0.25">
      <c r="A13">
        <v>20</v>
      </c>
      <c r="C13" t="s">
        <v>36</v>
      </c>
      <c r="F13" s="11">
        <f>SUMPRODUCT(Table2833[[#This Row],[Column1]],0.5)</f>
        <v>10</v>
      </c>
      <c r="G13" s="11">
        <f>SUMPRODUCT(Table2833[[#This Row],[Column1]],0.5)</f>
        <v>10</v>
      </c>
      <c r="H13">
        <f>SUM(F13+G13)</f>
        <v>20</v>
      </c>
      <c r="J13">
        <v>5</v>
      </c>
      <c r="K13" t="str">
        <f>IF(Table2833[[#This Row],[Column6]] &lt;= 10, " ", "Enter value less than 10")</f>
        <v xml:space="preserve"> </v>
      </c>
      <c r="L13">
        <v>5</v>
      </c>
      <c r="M13" t="str">
        <f>IF(Table2833[[#This Row],[Column11]] &lt;= Table2833[[#This Row],[Column7]], " ", "Enter value less than [@Column7]")</f>
        <v xml:space="preserve"> </v>
      </c>
      <c r="N13">
        <f>SUM(J13+L13)</f>
        <v>10</v>
      </c>
      <c r="P13" s="4">
        <f>N13/A13</f>
        <v>0.5</v>
      </c>
    </row>
    <row r="14" spans="1:19" x14ac:dyDescent="0.25">
      <c r="A14">
        <v>20</v>
      </c>
      <c r="C14" t="s">
        <v>36</v>
      </c>
      <c r="F14" s="11">
        <f>SUMPRODUCT(Table2833[[#This Row],[Column1]],0.5)</f>
        <v>10</v>
      </c>
      <c r="G14" s="11">
        <f>SUMPRODUCT(Table2833[[#This Row],[Column1]],0.5)</f>
        <v>10</v>
      </c>
      <c r="H14">
        <f>SUM(F14+G14)</f>
        <v>20</v>
      </c>
      <c r="J14">
        <v>5</v>
      </c>
      <c r="L14">
        <v>5</v>
      </c>
      <c r="M14" t="str">
        <f>IF(Table2833[[#This Row],[Column11]] &lt;= Table2833[[#This Row],[Column7]], " ", "Enter value less than [@Column7]")</f>
        <v xml:space="preserve"> </v>
      </c>
      <c r="N14">
        <f>SUM(J14+L14)</f>
        <v>10</v>
      </c>
      <c r="P14" s="4">
        <f>N14/A14</f>
        <v>0.5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IF(Table2833[[#This Row],[Column10]] &lt;= Table2833[[#This Row],[Column6]], " ", "Enter value less than [@Column6]")</f>
        <v xml:space="preserve"> </v>
      </c>
      <c r="L17">
        <v>5</v>
      </c>
      <c r="M17" t="str">
        <f>IF(Table2833[[#This Row],[Column11]] &lt;= Table2833[[#This Row],[Column7]], " ", "Enter value less than [@Column7]")</f>
        <v xml:space="preserve"> </v>
      </c>
      <c r="N17">
        <f>L17</f>
        <v>5</v>
      </c>
      <c r="P17" s="4">
        <f>N17/A17</f>
        <v>0.5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IF(Table2833[[#This Row],[Column10]] &lt;= Table2833[[#This Row],[Column6]], " ", "Enter value less than [@Column6]")</f>
        <v xml:space="preserve"> </v>
      </c>
      <c r="L18">
        <v>5</v>
      </c>
      <c r="M18" t="str">
        <f>IF(Table2833[[#This Row],[Column11]] &lt;= Table2833[[#This Row],[Column7]], " ", "Enter value less than [@Column7]")</f>
        <v xml:space="preserve"> </v>
      </c>
      <c r="N18">
        <f>L18</f>
        <v>5</v>
      </c>
      <c r="P18" s="4">
        <f>N18/A18</f>
        <v>0.5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IF(Table2833[[#This Row],[Column10]] &lt;= Table2833[[#This Row],[Column6]], " ", "Enter value less than [@Column6]")</f>
        <v xml:space="preserve"> </v>
      </c>
      <c r="L19">
        <v>5</v>
      </c>
      <c r="M19" t="str">
        <f>IF(Table2833[[#This Row],[Column11]] &lt;= Table2833[[#This Row],[Column7]], " ", "Enter value less than [@Column7]")</f>
        <v xml:space="preserve"> </v>
      </c>
      <c r="N19">
        <f>L19</f>
        <v>5</v>
      </c>
      <c r="P19" s="4">
        <f>N19/A19</f>
        <v>0.5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IF(Table2833[[#This Row],[Column10]] &lt;= Table2833[[#This Row],[Column6]], " ", "Enter value less than [@Column6]")</f>
        <v xml:space="preserve"> </v>
      </c>
      <c r="L20">
        <v>5</v>
      </c>
      <c r="M20" t="str">
        <f>IF(Table2833[[#This Row],[Column11]] &lt;= Table2833[[#This Row],[Column7]], " ", "Enter value less than [@Column7]")</f>
        <v xml:space="preserve"> </v>
      </c>
      <c r="N20" s="3">
        <f>L20</f>
        <v>5</v>
      </c>
      <c r="P20" s="4">
        <f>N20/A20</f>
        <v>0.5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IF(Table2833[[#This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40</v>
      </c>
      <c r="K23" s="28" t="str">
        <f>IF(Table2833[[#This Row],[Column6]] &lt;= 10, " ", "Enter value less than 10")</f>
        <v xml:space="preserve"> </v>
      </c>
      <c r="L23" s="28">
        <f>SUM(N11:N14)</f>
        <v>40</v>
      </c>
      <c r="M23" s="28"/>
      <c r="N23" s="28">
        <f>SUM(N17:N20)</f>
        <v>20</v>
      </c>
      <c r="O23" s="28"/>
      <c r="P23" s="30">
        <f>(SUM(N5:N8)+SUM(N11:N14)+SUM(N17:N20))/A23</f>
        <v>0.5</v>
      </c>
    </row>
    <row r="25" spans="1:17" ht="26.25" x14ac:dyDescent="0.4">
      <c r="A25" s="48" t="s">
        <v>5</v>
      </c>
      <c r="B25" s="48"/>
      <c r="C25" s="48"/>
      <c r="D25" s="48"/>
      <c r="E25" s="48"/>
      <c r="F25" s="48"/>
      <c r="G25" s="48"/>
      <c r="H25" s="48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IF(Table1732[[#This Row],[Column16]] &lt;= 7, " ", "Enter value less than 7")</f>
        <v xml:space="preserve"> </v>
      </c>
      <c r="M28" t="str">
        <f>IF(Table1732[[#This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SUMPRODUCT(Table1732[[#This Row],[Column1]],0.8)</f>
        <v>12</v>
      </c>
      <c r="G29">
        <f>SUMPRODUCT(Table1732[[#This Row],[Column1]],0.2)</f>
        <v>3</v>
      </c>
      <c r="H29">
        <f>SUM(F29+G29)</f>
        <v>15</v>
      </c>
      <c r="J29">
        <v>12</v>
      </c>
      <c r="K29" t="str">
        <f>IF(Table1732[[#This Row],[Column16]] &lt;= Table1732[[#This Row],[Column6]], " ", "Enter value less than [@Column6]")</f>
        <v xml:space="preserve"> </v>
      </c>
      <c r="L29">
        <v>2</v>
      </c>
      <c r="M29" t="str">
        <f>IF(Table1732[[#This Row],[Column10]] &lt;= Table1732[[#This Row],[Column7]], " ", "Enter value less than [@Column7]")</f>
        <v xml:space="preserve"> </v>
      </c>
      <c r="N29" s="11">
        <f>SUM(Table1732[[#This Row],[Column16]]+Table1732[[#This Row],[Column10]])</f>
        <v>14</v>
      </c>
      <c r="P29" s="39">
        <f>N30/A30</f>
        <v>0.6</v>
      </c>
    </row>
    <row r="30" spans="1:17" x14ac:dyDescent="0.25">
      <c r="A30">
        <v>15</v>
      </c>
      <c r="B30" s="34"/>
      <c r="C30" t="s">
        <v>36</v>
      </c>
      <c r="F30">
        <f>SUMPRODUCT(Table1732[[#This Row],[Column1]],0.8)</f>
        <v>12</v>
      </c>
      <c r="G30">
        <f>SUMPRODUCT(Table1732[[#This Row],[Column1]],0.2)</f>
        <v>3</v>
      </c>
      <c r="H30">
        <f t="shared" ref="H30:H32" si="1">SUM(F30+G30)</f>
        <v>15</v>
      </c>
      <c r="J30">
        <v>7</v>
      </c>
      <c r="K30" t="str">
        <f>IF(Table1732[[#This Row],[Column16]] &lt;= Table1732[[#This Row],[Column6]], " ", "Enter value less than [@Column6]")</f>
        <v xml:space="preserve"> </v>
      </c>
      <c r="L30">
        <v>2</v>
      </c>
      <c r="M30" t="str">
        <f>IF(Table1732[[#This Row],[Column10]] &lt;= Table1732[[#This Row],[Column7]], " ", "Enter value less than [@Column7]")</f>
        <v xml:space="preserve"> </v>
      </c>
      <c r="N30" s="11">
        <f>SUM(Table1732[[#This Row],[Column16]]+Table1732[[#This Row],[Column10]])</f>
        <v>9</v>
      </c>
      <c r="P30" s="39">
        <f>N31/A31</f>
        <v>0.6</v>
      </c>
    </row>
    <row r="31" spans="1:17" x14ac:dyDescent="0.25">
      <c r="A31">
        <v>15</v>
      </c>
      <c r="B31" s="34"/>
      <c r="C31" t="s">
        <v>36</v>
      </c>
      <c r="F31">
        <f>SUMPRODUCT(Table1732[[#This Row],[Column1]],0.8)</f>
        <v>12</v>
      </c>
      <c r="G31">
        <f>SUMPRODUCT(Table1732[[#This Row],[Column1]],0.2)</f>
        <v>3</v>
      </c>
      <c r="H31">
        <f t="shared" si="1"/>
        <v>15</v>
      </c>
      <c r="J31">
        <v>7</v>
      </c>
      <c r="K31" t="str">
        <f>IF(Table1732[[#This Row],[Column16]] &lt;= Table1732[[#This Row],[Column6]], " ", "Enter value less than [@Column6]")</f>
        <v xml:space="preserve"> </v>
      </c>
      <c r="L31">
        <v>2</v>
      </c>
      <c r="M31" t="str">
        <f>IF(Table1732[[#This Row],[Column10]] &lt;= Table1732[[#This Row],[Column7]], " ", "Enter value less than [@Column7]")</f>
        <v xml:space="preserve"> </v>
      </c>
      <c r="N31" s="11">
        <f>SUM(Table1732[[#This Row],[Column16]]+Table1732[[#This Row],[Column10]])</f>
        <v>9</v>
      </c>
      <c r="P31" s="39">
        <f>N31/A31</f>
        <v>0.6</v>
      </c>
    </row>
    <row r="32" spans="1:17" x14ac:dyDescent="0.25">
      <c r="A32">
        <v>15</v>
      </c>
      <c r="B32" s="34"/>
      <c r="C32" t="s">
        <v>36</v>
      </c>
      <c r="F32">
        <f>SUMPRODUCT(Table1732[[#This Row],[Column1]],0.8)</f>
        <v>12</v>
      </c>
      <c r="G32">
        <f>SUMPRODUCT(Table1732[[#This Row],[Column1]],0.2)</f>
        <v>3</v>
      </c>
      <c r="H32">
        <f t="shared" si="1"/>
        <v>15</v>
      </c>
      <c r="J32">
        <v>7</v>
      </c>
      <c r="K32" t="str">
        <f>IF(Table1732[[#This Row],[Column16]] &lt;= Table1732[[#This Row],[Column6]], " ", "Enter value less than [@Column6]")</f>
        <v xml:space="preserve"> </v>
      </c>
      <c r="L32">
        <v>2</v>
      </c>
      <c r="M32" t="str">
        <f>IF(Table1732[[#This Row],[Column10]] &lt;= Table1732[[#This Row],[Column7]], " ", "Enter value less than [@Column7]")</f>
        <v xml:space="preserve"> </v>
      </c>
      <c r="N32" s="11">
        <f>SUM(Table1732[[#This Row],[Column16]]+Table1732[[#This Row],[Column10]])</f>
        <v>9</v>
      </c>
      <c r="P32" s="39">
        <f>N32/A32</f>
        <v>0.6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SUMPRODUCT(Table1732[[#This Row],[Column1]],0.53)</f>
        <v>7.95</v>
      </c>
      <c r="G35" s="11">
        <f>SUMPRODUCT(Table1732[[#This Row],[Column1]],0.47)</f>
        <v>7.05</v>
      </c>
      <c r="H35">
        <f>F35+G35</f>
        <v>15</v>
      </c>
      <c r="J35">
        <v>7</v>
      </c>
      <c r="K35" t="str">
        <f>IF(Table1732[[#This Row],[Column16]] &lt;= SUMPRODUCT(Table1732[[#This Row],[Column1]],0.54), " ", "Enter value less than [@Column6]")</f>
        <v xml:space="preserve"> </v>
      </c>
      <c r="L35">
        <v>5</v>
      </c>
      <c r="M35" t="str">
        <f>IF(Table1732[[#This Row],[Column10]] &lt;= Table1732[[#This Row],[Column7]], " ", "Enter value less than [@Column7]")</f>
        <v xml:space="preserve"> </v>
      </c>
      <c r="N35" s="11">
        <f>SUM(Table1732[[#This Row],[Column16]]+Table1732[[#This Row],[Column10]])</f>
        <v>12</v>
      </c>
      <c r="P35" s="39">
        <f>N35/A35</f>
        <v>0.8</v>
      </c>
    </row>
    <row r="36" spans="1:16" x14ac:dyDescent="0.25">
      <c r="A36">
        <v>15</v>
      </c>
      <c r="B36" s="34"/>
      <c r="C36" t="s">
        <v>36</v>
      </c>
      <c r="F36" s="11">
        <f>SUMPRODUCT(Table1732[[#This Row],[Column1]],0.53)</f>
        <v>7.95</v>
      </c>
      <c r="G36" s="11">
        <f>SUMPRODUCT(Table1732[[#This Row],[Column1]],0.47)</f>
        <v>7.05</v>
      </c>
      <c r="H36">
        <f>F36+G36</f>
        <v>15</v>
      </c>
      <c r="J36">
        <v>7</v>
      </c>
      <c r="K36" t="str">
        <f>IF(Table1732[[#This Row],[Column16]] &lt;= SUMPRODUCT(Table1732[[#This Row],[Column1]],0.54), " ", "Enter value less than [@Column6]")</f>
        <v xml:space="preserve"> </v>
      </c>
      <c r="L36">
        <v>5</v>
      </c>
      <c r="M36" t="str">
        <f>IF(Table1732[[#This Row],[Column10]] &lt;= Table1732[[#This Row],[Column7]], " ", "Enter value less than [@Column7]")</f>
        <v xml:space="preserve"> </v>
      </c>
      <c r="N36" s="11">
        <f>SUM(Table1732[[#This Row],[Column16]]+Table1732[[#This Row],[Column10]])</f>
        <v>12</v>
      </c>
      <c r="P36" s="39">
        <f>N36/A36</f>
        <v>0.8</v>
      </c>
    </row>
    <row r="37" spans="1:16" x14ac:dyDescent="0.25">
      <c r="A37">
        <v>15</v>
      </c>
      <c r="B37" s="34"/>
      <c r="C37" t="s">
        <v>36</v>
      </c>
      <c r="F37" s="11">
        <f>SUMPRODUCT(Table1732[[#This Row],[Column1]],0.53)</f>
        <v>7.95</v>
      </c>
      <c r="G37" s="11">
        <f>SUMPRODUCT(Table1732[[#This Row],[Column1]],0.47)</f>
        <v>7.05</v>
      </c>
      <c r="H37">
        <f>F37+G37</f>
        <v>15</v>
      </c>
      <c r="J37">
        <v>7</v>
      </c>
      <c r="K37" t="str">
        <f>IF(Table1732[[#This Row],[Column16]] &lt;= SUMPRODUCT(Table1732[[#This Row],[Column1]],0.54), " ", "Enter value less than [@Column6]")</f>
        <v xml:space="preserve"> </v>
      </c>
      <c r="L37">
        <v>5</v>
      </c>
      <c r="M37" t="str">
        <f>IF(Table1732[[#This Row],[Column10]] &lt;= Table1732[[#This Row],[Column7]], " ", "Enter value less than [@Column7]")</f>
        <v xml:space="preserve"> </v>
      </c>
      <c r="N37" s="11">
        <f>SUM(Table1732[[#This Row],[Column16]]+Table1732[[#This Row],[Column10]])</f>
        <v>12</v>
      </c>
      <c r="P37" s="39">
        <f>N37/A37</f>
        <v>0.8</v>
      </c>
    </row>
    <row r="38" spans="1:16" x14ac:dyDescent="0.25">
      <c r="A38">
        <v>15</v>
      </c>
      <c r="B38" s="34"/>
      <c r="C38" t="s">
        <v>36</v>
      </c>
      <c r="F38" s="11">
        <f>SUMPRODUCT(Table1732[[#This Row],[Column1]],0.53)</f>
        <v>7.95</v>
      </c>
      <c r="G38" s="11">
        <f>SUMPRODUCT(Table1732[[#This Row],[Column1]],0.47)</f>
        <v>7.05</v>
      </c>
      <c r="H38">
        <f>F38+G38</f>
        <v>15</v>
      </c>
      <c r="J38">
        <v>7</v>
      </c>
      <c r="K38" t="str">
        <f>IF(Table1732[[#This Row],[Column16]] &lt;= SUMPRODUCT(Table1732[[#This Row],[Column1]],0.54), " ", "Enter value less than [@Column6]")</f>
        <v xml:space="preserve"> </v>
      </c>
      <c r="L38">
        <v>5</v>
      </c>
      <c r="M38" t="str">
        <f>IF(Table1732[[#This Row],[Column10]] &lt;= Table1732[[#This Row],[Column7]], " ", "Enter value less than [@Column7]")</f>
        <v xml:space="preserve"> </v>
      </c>
      <c r="N38" s="11">
        <f>SUM(Table1732[[#This Row],[Column16]]+Table1732[[#This Row],[Column10]])</f>
        <v>12</v>
      </c>
      <c r="P38" s="39">
        <f>N38/A38</f>
        <v>0.8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SUMPRODUCT(Table1732[[#This Row],[Column1]],0.5)</f>
        <v>5</v>
      </c>
      <c r="G41">
        <f>SUMPRODUCT(Table1732[[#This Row],[Column1]],0.5)</f>
        <v>5</v>
      </c>
      <c r="H41">
        <f>F41+G41</f>
        <v>10</v>
      </c>
      <c r="J41">
        <v>5</v>
      </c>
      <c r="K41" t="str">
        <f>IF(Table1732[[#This Row],[Column16]] &lt;= Table1732[[#This Row],[Column6]], " ", "Enter value less than [@Column6]")</f>
        <v xml:space="preserve"> </v>
      </c>
      <c r="L41">
        <v>3</v>
      </c>
      <c r="M41" t="str">
        <f>IF(Table1732[[#This Row],[Column10]] &lt;= Table1732[[#This Row],[Column7]], " ", "Enter value less than [@Column7]")</f>
        <v xml:space="preserve"> </v>
      </c>
      <c r="N41" s="11">
        <f>SUM(Table1732[[#This Row],[Column16]]+Table1732[[#This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SUMPRODUCT(Table1732[[#This Row],[Column1]],0.5)</f>
        <v>5</v>
      </c>
      <c r="G42">
        <f>SUMPRODUCT(Table1732[[#This Row],[Column1]],0.5)</f>
        <v>5</v>
      </c>
      <c r="H42">
        <f>F42+G42</f>
        <v>10</v>
      </c>
      <c r="J42">
        <v>5</v>
      </c>
      <c r="K42" t="str">
        <f>IF(Table1732[[#This Row],[Column16]] &lt;= Table1732[[#This Row],[Column6]], " ", "Enter value less than [@Column6]")</f>
        <v xml:space="preserve"> </v>
      </c>
      <c r="L42">
        <v>3</v>
      </c>
      <c r="M42" t="str">
        <f>IF(Table1732[[#This Row],[Column10]] &lt;= Table1732[[#This Row],[Column7]], " ", "Enter value less than [@Column7]")</f>
        <v xml:space="preserve"> </v>
      </c>
      <c r="N42" s="11">
        <f>SUM(Table1732[[#This Row],[Column16]]+Table1732[[#This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SUMPRODUCT(Table1732[[#This Row],[Column1]],0.7)</f>
        <v>7</v>
      </c>
      <c r="G43">
        <f>SUMPRODUCT(Table1732[[#This Row],[Column1]],0.3)</f>
        <v>3</v>
      </c>
      <c r="H43">
        <f>F43+G43</f>
        <v>10</v>
      </c>
      <c r="J43">
        <v>7</v>
      </c>
      <c r="K43" t="str">
        <f>IF(Table1732[[#This Row],[Column16]] &lt;= Table1732[[#This Row],[Column6]], " ", "Enter value less than [@Column6]")</f>
        <v xml:space="preserve"> </v>
      </c>
      <c r="L43">
        <v>3</v>
      </c>
      <c r="M43" t="str">
        <f>IF(Table1732[[#This Row],[Column10]] &lt;= Table1732[[#This Row],[Column7]], " ", "Enter value less than [@Column7]")</f>
        <v xml:space="preserve"> </v>
      </c>
      <c r="N43" s="11">
        <f>SUM(Table1732[[#This Row],[Column16]]+Table1732[[#This Row],[Column10]])</f>
        <v>10</v>
      </c>
      <c r="P43" s="39">
        <f>N43/A43</f>
        <v>1</v>
      </c>
    </row>
    <row r="44" spans="1:16" x14ac:dyDescent="0.25">
      <c r="A44">
        <v>10</v>
      </c>
      <c r="B44" s="43"/>
      <c r="C44" t="s">
        <v>36</v>
      </c>
      <c r="F44">
        <f>SUMPRODUCT(Table1732[[#This Row],[Column1]],0.7)</f>
        <v>7</v>
      </c>
      <c r="G44">
        <f>SUMPRODUCT(Table1732[[#This Row],[Column1]],0.3)</f>
        <v>3</v>
      </c>
      <c r="H44">
        <f>F44+G44</f>
        <v>10</v>
      </c>
      <c r="J44">
        <v>7</v>
      </c>
      <c r="K44" t="str">
        <f>IF(Table1732[[#This Row],[Column16]] &lt;= Table1732[[#This Row],[Column6]], " ", "Enter value less than [@Column6]")</f>
        <v xml:space="preserve"> </v>
      </c>
      <c r="L44">
        <v>3</v>
      </c>
      <c r="M44" t="str">
        <f>IF(Table1732[[#This Row],[Column10]] &lt;= Table1732[[#This Row],[Column7]], " ", "Enter value less than [@Column7]")</f>
        <v xml:space="preserve"> </v>
      </c>
      <c r="N44" s="11">
        <f>SUM(Table1732[[#This Row],[Column16]]+Table1732[[#This Row],[Column10]])</f>
        <v>10</v>
      </c>
      <c r="P44" s="39">
        <f>N44/A44</f>
        <v>1</v>
      </c>
    </row>
    <row r="45" spans="1:16" x14ac:dyDescent="0.25">
      <c r="B45" s="43"/>
      <c r="M45" t="str">
        <f>IF(Table1732[[#This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IF(Table1732[[#This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SUMPRODUCT(Table1732[[#This Row],[Column1]],0.7)</f>
        <v>7</v>
      </c>
      <c r="G47">
        <f>SUMPRODUCT(Table1732[[#This Row],[Column1]],0.3)</f>
        <v>3</v>
      </c>
      <c r="H47">
        <f>F47+G47</f>
        <v>10</v>
      </c>
      <c r="J47">
        <v>5</v>
      </c>
      <c r="K47" t="str">
        <f>IF(Table1732[[#This Row],[Column16]] &lt;= Table1732[[#This Row],[Column6]], " ", "Enter value less than [@Column6]")</f>
        <v xml:space="preserve"> </v>
      </c>
      <c r="L47">
        <v>2</v>
      </c>
      <c r="M47" t="str">
        <f>IF(Table1732[[#This Row],[Column10]] &lt;= Table1732[[#This Row],[Column7]], " ", "Enter value less than [@Column7]")</f>
        <v xml:space="preserve"> </v>
      </c>
      <c r="N47" s="11">
        <f>SUM(Table1732[[#This Row],[Column16]],Table1732[[#This Row],[Column10]])</f>
        <v>7</v>
      </c>
      <c r="P47" s="39">
        <f>N47/A47</f>
        <v>0.7</v>
      </c>
    </row>
    <row r="48" spans="1:16" x14ac:dyDescent="0.25">
      <c r="A48">
        <v>10</v>
      </c>
      <c r="B48" s="34"/>
      <c r="C48" t="s">
        <v>36</v>
      </c>
      <c r="F48">
        <f>SUMPRODUCT(Table1732[[#This Row],[Column1]],0.7)</f>
        <v>7</v>
      </c>
      <c r="G48">
        <f>SUMPRODUCT(Table1732[[#This Row],[Column1]],0.3)</f>
        <v>3</v>
      </c>
      <c r="H48">
        <f>F48+G48</f>
        <v>10</v>
      </c>
      <c r="J48">
        <v>5</v>
      </c>
      <c r="K48" t="str">
        <f>IF(Table1732[[#This Row],[Column16]] &lt;= Table1732[[#This Row],[Column6]], " ", "Enter value less than [@Column6]")</f>
        <v xml:space="preserve"> </v>
      </c>
      <c r="L48">
        <v>2</v>
      </c>
      <c r="M48" t="str">
        <f>IF(Table1732[[#This Row],[Column10]] &lt;= Table1732[[#This Row],[Column7]], " ", "Enter value less than [@Column7]")</f>
        <v xml:space="preserve"> </v>
      </c>
      <c r="N48" s="11">
        <f>SUM(Table1732[[#This Row],[Column16]],Table1732[[#This Row],[Column10]])</f>
        <v>7</v>
      </c>
      <c r="P48" s="39">
        <f>N48/A48</f>
        <v>0.7</v>
      </c>
    </row>
    <row r="49" spans="1:16" x14ac:dyDescent="0.25">
      <c r="A49">
        <v>10</v>
      </c>
      <c r="B49" s="34"/>
      <c r="C49" t="s">
        <v>36</v>
      </c>
      <c r="F49">
        <f>SUMPRODUCT(Table1732[[#This Row],[Column1]],0.7)</f>
        <v>7</v>
      </c>
      <c r="G49">
        <f>SUMPRODUCT(Table1732[[#This Row],[Column1]],0.3)</f>
        <v>3</v>
      </c>
      <c r="H49">
        <f>F49+G49</f>
        <v>10</v>
      </c>
      <c r="J49">
        <v>5</v>
      </c>
      <c r="K49" t="str">
        <f>IF(Table1732[[#This Row],[Column16]] &lt;= Table1732[[#This Row],[Column6]], " ", "Enter value less than [@Column6]")</f>
        <v xml:space="preserve"> </v>
      </c>
      <c r="L49">
        <v>2</v>
      </c>
      <c r="M49" t="str">
        <f>IF(Table1732[[#This Row],[Column10]] &lt;= Table1732[[#This Row],[Column7]], " ", "Enter value less than [@Column7]")</f>
        <v xml:space="preserve"> </v>
      </c>
      <c r="N49" s="11">
        <f>SUM(Table1732[[#This Row],[Column16]],Table1732[[#This Row],[Column10]])</f>
        <v>7</v>
      </c>
      <c r="P49" s="39">
        <f>N49/A49</f>
        <v>0.7</v>
      </c>
    </row>
    <row r="50" spans="1:16" ht="15.75" thickBot="1" x14ac:dyDescent="0.3">
      <c r="A50">
        <v>10</v>
      </c>
      <c r="B50" s="34"/>
      <c r="C50" t="s">
        <v>36</v>
      </c>
      <c r="F50">
        <f>SUMPRODUCT(Table1732[[#This Row],[Column1]],0.7)</f>
        <v>7</v>
      </c>
      <c r="G50">
        <f>SUMPRODUCT(Table1732[[#This Row],[Column1]],0.3)</f>
        <v>3</v>
      </c>
      <c r="H50">
        <f>F50+G50</f>
        <v>10</v>
      </c>
      <c r="J50">
        <v>5</v>
      </c>
      <c r="K50" t="str">
        <f>IF(Table1732[[#This Row],[Column16]] &lt;= Table1732[[#This Row],[Column6]], " ", "Enter value less than [@Column6]")</f>
        <v xml:space="preserve"> </v>
      </c>
      <c r="L50">
        <v>2</v>
      </c>
      <c r="M50" t="str">
        <f>IF(Table1732[[#This Row],[Column10]] &lt;= Table1732[[#This Row],[Column7]], " ", "Enter value less than [@Column7]")</f>
        <v xml:space="preserve"> </v>
      </c>
      <c r="N50" s="11">
        <f>SUM(Table1732[[#This Row],[Column16]],Table1732[[#This Row],[Column10]])</f>
        <v>7</v>
      </c>
      <c r="P50" s="39">
        <f>N50/A50</f>
        <v>0.7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41</v>
      </c>
      <c r="J52" s="46">
        <f>SUM(N35:N38)</f>
        <v>48</v>
      </c>
      <c r="K52" s="46">
        <f>SUM(N41:N44)</f>
        <v>36</v>
      </c>
      <c r="L52" s="46">
        <f>SUM(N47:N50)</f>
        <v>28</v>
      </c>
      <c r="M52" s="28"/>
      <c r="N52" s="30">
        <f>SUM(I52:L52)/A52</f>
        <v>0.76500000000000001</v>
      </c>
    </row>
    <row r="54" spans="1:16" ht="15" customHeight="1" x14ac:dyDescent="0.25">
      <c r="A54" s="48" t="s">
        <v>23</v>
      </c>
      <c r="B54" s="48"/>
      <c r="C54" s="48"/>
      <c r="D54" s="48"/>
      <c r="E54" s="48"/>
      <c r="F54" s="48"/>
      <c r="G54" s="48"/>
      <c r="H54" s="48"/>
    </row>
    <row r="55" spans="1:16" ht="15" customHeight="1" x14ac:dyDescent="0.25">
      <c r="A55" s="48"/>
      <c r="B55" s="48"/>
      <c r="C55" s="48"/>
      <c r="D55" s="48"/>
      <c r="E55" s="48"/>
      <c r="F55" s="48"/>
      <c r="G55" s="48"/>
      <c r="H55" s="48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SUM(Table3934[[#This Row],[Column6]],Table3934[[#This Row],[Column7]])</f>
        <v>22.800000000000004</v>
      </c>
      <c r="I59" s="36"/>
      <c r="J59" s="36">
        <v>4</v>
      </c>
      <c r="K59" s="36" t="str">
        <f>IF(Table3934[[#This Row],[Column10]] &lt;= SUMPRODUCT($F$63,0.06), " ", "Enter value less than [@Column6]")</f>
        <v xml:space="preserve"> </v>
      </c>
      <c r="L59">
        <v>8</v>
      </c>
      <c r="M59" s="36" t="str">
        <f>IF(Table3934[[#This Row],[Column12]] &lt;= SUMPRODUCT($G$63,0.46), " ", "Enter value less than [@Column6]")</f>
        <v xml:space="preserve"> </v>
      </c>
      <c r="N59">
        <f>SUM(Table3934[[#This Row],[Column10]],Table3934[[#This Row],[Column12]])</f>
        <v>12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SUM(Table3934[[#This Row],[Column6]],Table3934[[#This Row],[Column7]])</f>
        <v>24.6</v>
      </c>
      <c r="I60" s="36"/>
      <c r="J60" s="36">
        <v>5</v>
      </c>
      <c r="K60" s="36" t="str">
        <f>IF(Table3934[[#This Row],[Column10]] &lt;= SUMPRODUCT($F$63,0.11), " ", "Enter value less than [@Column6]")</f>
        <v xml:space="preserve"> </v>
      </c>
      <c r="L60">
        <v>7</v>
      </c>
      <c r="M60" s="36" t="str">
        <f>IF(Table3934[[#This Row],[Column12]] &lt;= SUMPRODUCT($G$63,0.41), " ", "Enter value less than [@Column6]")</f>
        <v xml:space="preserve"> </v>
      </c>
      <c r="N60">
        <f>SUM(Table3934[[#This Row],[Column10]],Table3934[[#This Row],[Column12]])</f>
        <v>12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SUM(Table3934[[#This Row],[Column6]],Table3934[[#This Row],[Column7]])</f>
        <v>37.200000000000003</v>
      </c>
      <c r="I61" s="36"/>
      <c r="J61" s="36">
        <v>35</v>
      </c>
      <c r="K61" s="36" t="str">
        <f>IF(Table3934[[#This Row],[Column10]] &lt;= SUMPRODUCT($F$63,0.46), " ", "Enter value less than [@Column6]")</f>
        <v xml:space="preserve"> </v>
      </c>
      <c r="L61">
        <v>2</v>
      </c>
      <c r="M61" s="36" t="str">
        <f>IF(Table3934[[#This Row],[Column12]] &lt;= SUMPRODUCT($G$63,0.06), " ", "Enter value less than [@Column6]")</f>
        <v xml:space="preserve"> </v>
      </c>
      <c r="N61">
        <f>SUM(Table3934[[#This Row],[Column10]],Table3934[[#This Row],[Column12]])</f>
        <v>37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SUM(Table3934[[#This Row],[Column6]],Table3934[[#This Row],[Column7]])</f>
        <v>35.400000000000006</v>
      </c>
      <c r="I62" s="36"/>
      <c r="J62" s="36">
        <v>5</v>
      </c>
      <c r="K62" s="36" t="str">
        <f>IF(Table3934[[#This Row],[Column10]] &lt;= SUMPRODUCT($F$63,0.41), " ", "Enter value less than [@Column6]")</f>
        <v xml:space="preserve"> </v>
      </c>
      <c r="L62">
        <v>4</v>
      </c>
      <c r="M62" s="36" t="str">
        <f>IF(Table3934[[#This Row],[Column12]] &lt;= SUMPRODUCT($G$63,0.11), " ", "Enter value less than [@Column6]")</f>
        <v xml:space="preserve"> </v>
      </c>
      <c r="N62">
        <f>SUM(Table3934[[#This Row],[Column10]],Table3934[[#This Row],[Column12]])</f>
        <v>9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SUM(Table3934[[#This Row],[Column6]],Table3934[[#This Row],[Column7]])</f>
        <v>120</v>
      </c>
      <c r="I63" s="36"/>
      <c r="J63" s="36">
        <f>SUM(J59:J62)</f>
        <v>49</v>
      </c>
      <c r="K63" s="36" t="str">
        <f>IF(Table3934[[#This Row],[Column10]] &lt;= SUMPRODUCT($A$62,0.66), " ", "Enter value less than [@Column6]")</f>
        <v xml:space="preserve"> </v>
      </c>
      <c r="L63">
        <f>SUM(L59:L62)</f>
        <v>21</v>
      </c>
      <c r="M63" s="36" t="str">
        <f>IF(Table3934[[#This Row],[Column12]] &lt;= SUMPRODUCT($A$68,0.36), " ", "Enter value less than [@Column6]")</f>
        <v xml:space="preserve"> </v>
      </c>
      <c r="N63">
        <f>SUM(Table3934[[#This Row],[Column10]],Table3934[[#This Row],[Column12]])</f>
        <v>70</v>
      </c>
      <c r="P63" s="4">
        <f>N63/$A$62</f>
        <v>0.58333333333333337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SUM(Table3934[[#This Row],[Column6]],Table3934[[#This Row],[Column7]])</f>
        <v>22.800000000000004</v>
      </c>
      <c r="I65" s="36"/>
      <c r="J65" s="36">
        <v>2</v>
      </c>
      <c r="K65" s="36" t="str">
        <f>IF(Table3934[[#This Row],[Column10]] &lt;= SUMPRODUCT($F$69,0.06), " ", "Enter value less than [@Column6]")</f>
        <v xml:space="preserve"> </v>
      </c>
      <c r="L65">
        <v>5</v>
      </c>
      <c r="M65" s="36" t="str">
        <f>IF(Table3934[[#This Row],[Column12]] &lt;= SUMPRODUCT($G$69,0.46), " ", "Enter value less than [@Column6]")</f>
        <v xml:space="preserve"> </v>
      </c>
      <c r="N65">
        <f>SUM(Table3934[[#This Row],[Column10]],Table3934[[#This Row],[Column12]])</f>
        <v>7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SUM(Table3934[[#This Row],[Column6]],Table3934[[#This Row],[Column7]])</f>
        <v>24.6</v>
      </c>
      <c r="I66" s="36"/>
      <c r="J66" s="36">
        <v>5</v>
      </c>
      <c r="K66" s="36" t="str">
        <f>IF(Table3934[[#This Row],[Column10]] &lt;= SUMPRODUCT($F$69,0.1), " ", "Enter value less than [@Column6]")</f>
        <v xml:space="preserve"> </v>
      </c>
      <c r="L66">
        <v>5</v>
      </c>
      <c r="M66" s="36" t="str">
        <f>IF(Table3934[[#This Row],[Column12]] &lt;= SUMPRODUCT($G$69,0.41), " ", "Enter value less than [@Column6]")</f>
        <v xml:space="preserve"> </v>
      </c>
      <c r="N66">
        <f>SUM(Table3934[[#This Row],[Column10]],Table3934[[#This Row],[Column12]])</f>
        <v>10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SUM(Table3934[[#This Row],[Column6]],Table3934[[#This Row],[Column7]])</f>
        <v>37.200000000000003</v>
      </c>
      <c r="I67" s="36"/>
      <c r="J67" s="36">
        <v>5</v>
      </c>
      <c r="K67" s="36" t="str">
        <f>IF(Table3934[[#This Row],[Column10]] &lt;= SUMPRODUCT($F$69,0.46), " ", "Enter value less than [@Column6]")</f>
        <v xml:space="preserve"> </v>
      </c>
      <c r="L67">
        <v>1</v>
      </c>
      <c r="M67" s="36" t="str">
        <f>IF(Table3934[[#This Row],[Column12]] &lt;= SUMPRODUCT($G$69,0.06), " ", "Enter value less than [@Column6]")</f>
        <v xml:space="preserve"> </v>
      </c>
      <c r="N67">
        <f>SUM(Table3934[[#This Row],[Column10]],Table3934[[#This Row],[Column12]])</f>
        <v>6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SUM(Table3934[[#This Row],[Column6]],Table3934[[#This Row],[Column7]])</f>
        <v>35.400000000000006</v>
      </c>
      <c r="I68" s="36"/>
      <c r="J68" s="36">
        <v>5</v>
      </c>
      <c r="K68" s="36" t="str">
        <f>IF(Table3934[[#This Row],[Column10]] &lt;= SUMPRODUCT($F$69,0.41), " ", "Enter value less than [@Column6]")</f>
        <v xml:space="preserve"> </v>
      </c>
      <c r="L68">
        <v>3</v>
      </c>
      <c r="M68" s="36" t="str">
        <f>IF(Table3934[[#This Row],[Column12]] &lt;= SUMPRODUCT($G$69,0.11), " ", "Enter value less than [@Column6]")</f>
        <v xml:space="preserve"> </v>
      </c>
      <c r="N68">
        <f>SUM(Table3934[[#This Row],[Column10]],Table3934[[#This Row],[Column12]])</f>
        <v>8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SUM(Table3934[[#This Row],[Column6]],Table3934[[#This Row],[Column7]])</f>
        <v>120</v>
      </c>
      <c r="I69" s="36"/>
      <c r="J69" s="36">
        <f>SUM(J65:J68)</f>
        <v>17</v>
      </c>
      <c r="K69" s="36" t="str">
        <f>IF(Table3934[[#This Row],[Column10]] &lt;= SUMPRODUCT($A$68,0.66), " ", "Enter value less than [@Column6]")</f>
        <v xml:space="preserve"> </v>
      </c>
      <c r="L69">
        <f>SUM(L65:L68)</f>
        <v>14</v>
      </c>
      <c r="M69" s="36" t="str">
        <f>IF(Table3934[[#This Row],[Column12]] &lt;= SUMPRODUCT($A$68,0.36), " ", "Enter value less than [@Column6]")</f>
        <v xml:space="preserve"> </v>
      </c>
      <c r="N69">
        <f>SUM(N65:N68)</f>
        <v>31</v>
      </c>
      <c r="P69" s="4">
        <f>N69/$A$68</f>
        <v>0.25833333333333336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SUM(Table3934[[#This Row],[Column6]],Table3934[[#This Row],[Column7]])</f>
        <v>30.4</v>
      </c>
      <c r="I71" s="36"/>
      <c r="J71" s="36">
        <v>5</v>
      </c>
      <c r="K71" s="36" t="str">
        <f>IF(Table3934[[#This Row],[Column10]] &lt;= SUMPRODUCT($F$75,0.06), " ", "Enter value less than [@Column6]")</f>
        <v xml:space="preserve"> </v>
      </c>
      <c r="L71">
        <v>3</v>
      </c>
      <c r="M71" s="36" t="str">
        <f>IF(Table3934[[#This Row],[Column12]] &lt;= SUMPRODUCT($G$75,0.46), " ", "Enter value less than [@Column6]")</f>
        <v xml:space="preserve"> </v>
      </c>
      <c r="N71">
        <f>SUM(Table3934[[#This Row],[Column10]],Table3934[[#This Row],[Column12]])</f>
        <v>8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SUM(Table3934[[#This Row],[Column6]],Table3934[[#This Row],[Column7]])</f>
        <v>32.800000000000004</v>
      </c>
      <c r="I72" s="36"/>
      <c r="J72" s="36">
        <v>8</v>
      </c>
      <c r="K72" s="36" t="str">
        <f>IF(Table3934[[#This Row],[Column10]] &lt;= SUMPRODUCT($F$75,0.11), " ", "Enter value less than [@Column6]")</f>
        <v xml:space="preserve"> </v>
      </c>
      <c r="L72">
        <v>3</v>
      </c>
      <c r="M72" s="36" t="str">
        <f>IF(Table3934[[#This Row],[Column12]] &lt;= SUMPRODUCT($G$75,0.41), " ", "Enter value less than [@Column6]")</f>
        <v xml:space="preserve"> </v>
      </c>
      <c r="N72">
        <f>SUM(Table3934[[#This Row],[Column10]],Table3934[[#This Row],[Column12]])</f>
        <v>11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SUM(Table3934[[#This Row],[Column6]],Table3934[[#This Row],[Column7]])</f>
        <v>49.6</v>
      </c>
      <c r="I73" s="36"/>
      <c r="J73" s="36">
        <v>34</v>
      </c>
      <c r="K73" s="36" t="str">
        <f>IF(Table3934[[#This Row],[Column10]] &lt;= SUMPRODUCT($F$75,0.46), " ", "Enter value less than [@Column6]")</f>
        <v xml:space="preserve"> </v>
      </c>
      <c r="L73">
        <v>3</v>
      </c>
      <c r="M73" s="36" t="str">
        <f>IF(Table3934[[#This Row],[Column12]] &lt;= SUMPRODUCT($G$75,0.06), " ", "Enter value less than [@Column6]")</f>
        <v xml:space="preserve"> </v>
      </c>
      <c r="N73">
        <f>SUM(Table3934[[#This Row],[Column10]],Table3934[[#This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SUM(Table3934[[#This Row],[Column6]],Table3934[[#This Row],[Column7]])</f>
        <v>47.2</v>
      </c>
      <c r="I74" s="36"/>
      <c r="J74" s="36">
        <v>23</v>
      </c>
      <c r="K74" s="36" t="str">
        <f>IF(Table3934[[#This Row],[Column10]] &lt;= SUMPRODUCT($F$75,0.41), " ", "Enter value less than [@Column6]")</f>
        <v xml:space="preserve"> </v>
      </c>
      <c r="L74">
        <v>3</v>
      </c>
      <c r="M74" s="36" t="str">
        <f>IF(Table3934[[#This Row],[Column12]] &lt;= SUMPRODUCT($G$75,0.11), " ", "Enter value less than [@Column6]")</f>
        <v xml:space="preserve"> </v>
      </c>
      <c r="N74">
        <f>SUM(Table3934[[#This Row],[Column10]],Table3934[[#This Row],[Column12]])</f>
        <v>26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SUM(Table3934[[#This Row],[Column6]],Table3934[[#This Row],[Column7]])</f>
        <v>160</v>
      </c>
      <c r="K75" s="36"/>
      <c r="L75" s="40"/>
      <c r="N75">
        <f>SUM(N71:N74)</f>
        <v>82</v>
      </c>
      <c r="P75" s="4">
        <f>N75/$A$74</f>
        <v>0.51249999999999996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70</v>
      </c>
      <c r="K77" s="28"/>
      <c r="L77" s="28">
        <f>SUM(N65:N68)</f>
        <v>31</v>
      </c>
      <c r="M77" s="28"/>
      <c r="N77" s="28">
        <f>SUM(N71:N74)</f>
        <v>82</v>
      </c>
      <c r="O77" s="28"/>
      <c r="P77" s="32">
        <f>SUM(Table3934[[#This Row],[Column10]:[Column15]])/A77</f>
        <v>0.45750000000000002</v>
      </c>
    </row>
    <row r="79" spans="1:16" ht="26.25" x14ac:dyDescent="0.4">
      <c r="A79" s="48" t="s">
        <v>49</v>
      </c>
      <c r="B79" s="48"/>
      <c r="C79" s="48"/>
      <c r="D79" s="48"/>
      <c r="E79" s="48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436</v>
      </c>
      <c r="F85" s="11">
        <f>SUM(J5:J8,J11:J14,J17:J20,J29:J32,J35:J38,J41:J44,J47:J50,J59:J62,J65:J68,J71:J74)</f>
        <v>281</v>
      </c>
      <c r="G85" s="11">
        <f>SUM(L5:L8,L11:L14,L17:L20,L29:L32,L35:L38,L41:L44,L47:L50,L59:L62,L65:L68,L71:L74)</f>
        <v>155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0.54500000000000004</v>
      </c>
      <c r="F88" s="4">
        <f>F85/F82</f>
        <v>0.59559135226791016</v>
      </c>
      <c r="G88" s="4">
        <f>G85/G82</f>
        <v>0.47227300426569158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4F011-F139-4C69-94A9-4528D66EDDD3}">
  <dimension ref="A1:S88"/>
  <sheetViews>
    <sheetView topLeftCell="A55" workbookViewId="0">
      <selection activeCell="L74" sqref="L74"/>
    </sheetView>
  </sheetViews>
  <sheetFormatPr defaultRowHeight="15" x14ac:dyDescent="0.25"/>
  <cols>
    <col min="1" max="1" width="26.140625" bestFit="1" customWidth="1"/>
    <col min="2" max="2" width="20.85546875" bestFit="1" customWidth="1"/>
    <col min="3" max="3" width="18.85546875" bestFit="1" customWidth="1"/>
    <col min="4" max="4" width="3.140625" customWidth="1"/>
    <col min="5" max="5" width="2.7109375" customWidth="1"/>
    <col min="6" max="6" width="16" bestFit="1" customWidth="1"/>
    <col min="7" max="7" width="14.7109375" bestFit="1" customWidth="1"/>
    <col min="8" max="8" width="12.42578125" customWidth="1"/>
    <col min="9" max="9" width="14" bestFit="1" customWidth="1"/>
    <col min="10" max="10" width="15.7109375" bestFit="1" customWidth="1"/>
    <col min="11" max="11" width="31.5703125" bestFit="1" customWidth="1"/>
    <col min="12" max="12" width="13.85546875" bestFit="1" customWidth="1"/>
    <col min="13" max="13" width="31.5703125" bestFit="1" customWidth="1"/>
    <col min="14" max="14" width="13.28515625" bestFit="1" customWidth="1"/>
    <col min="16" max="16" width="13.42578125" bestFit="1" customWidth="1"/>
  </cols>
  <sheetData>
    <row r="1" spans="1:19" ht="26.25" x14ac:dyDescent="0.4">
      <c r="A1" s="48" t="s">
        <v>1</v>
      </c>
      <c r="B1" s="48"/>
      <c r="C1" s="48"/>
      <c r="D1" s="48"/>
      <c r="E1" s="48"/>
      <c r="F1" s="48"/>
      <c r="G1" s="48"/>
      <c r="H1" s="48"/>
      <c r="S1" s="1"/>
    </row>
    <row r="3" spans="1:19" x14ac:dyDescent="0.25">
      <c r="A3" s="33" t="s">
        <v>307</v>
      </c>
      <c r="B3" s="33" t="s">
        <v>309</v>
      </c>
      <c r="C3" s="33" t="s">
        <v>310</v>
      </c>
      <c r="D3" s="33"/>
      <c r="E3" s="33"/>
      <c r="F3" s="33" t="s">
        <v>2</v>
      </c>
      <c r="G3" s="33" t="s">
        <v>3</v>
      </c>
      <c r="H3" s="33" t="s">
        <v>44</v>
      </c>
      <c r="I3" s="33"/>
      <c r="J3" s="33" t="s">
        <v>305</v>
      </c>
      <c r="K3" s="33" t="s">
        <v>313</v>
      </c>
      <c r="L3" s="33" t="s">
        <v>306</v>
      </c>
      <c r="M3" s="33" t="s">
        <v>314</v>
      </c>
      <c r="N3" s="33" t="s">
        <v>16</v>
      </c>
      <c r="O3" s="33"/>
      <c r="P3" s="33" t="s">
        <v>4</v>
      </c>
    </row>
    <row r="4" spans="1:19" x14ac:dyDescent="0.25">
      <c r="B4" s="2">
        <f>SUM(A5:A8)/A82</f>
        <v>0.1</v>
      </c>
      <c r="C4" s="44" t="s">
        <v>19</v>
      </c>
      <c r="D4" s="44"/>
    </row>
    <row r="5" spans="1:19" x14ac:dyDescent="0.25">
      <c r="A5">
        <v>20</v>
      </c>
      <c r="C5" t="s">
        <v>36</v>
      </c>
      <c r="F5" s="11">
        <f>SUMPRODUCT(Table2838[[#This Row],[Column1]],0.5)</f>
        <v>10</v>
      </c>
      <c r="G5" s="11">
        <f>SUMPRODUCT(Table2838[[#This Row],[Column1]],0.5)</f>
        <v>10</v>
      </c>
      <c r="H5">
        <f>SUM(F5+G5)</f>
        <v>20</v>
      </c>
      <c r="J5">
        <v>8</v>
      </c>
      <c r="K5" t="str">
        <f>IF(Table2838[[#This Row],[Column10]] &lt;= Table2838[[#This Row],[Column6]], " ", "Enter value less than [@Column6]")</f>
        <v xml:space="preserve"> </v>
      </c>
      <c r="L5">
        <v>8</v>
      </c>
      <c r="M5" t="str">
        <f>IF(Table2838[[#This Row],[Column11]] &lt;= Table2838[[#This Row],[Column7]], " ", "Enter value less than [@Column7]")</f>
        <v xml:space="preserve"> </v>
      </c>
      <c r="N5">
        <f>SUM(J5+L5)</f>
        <v>16</v>
      </c>
      <c r="P5" s="4">
        <f>N5/A5</f>
        <v>0.8</v>
      </c>
    </row>
    <row r="6" spans="1:19" x14ac:dyDescent="0.25">
      <c r="A6">
        <v>20</v>
      </c>
      <c r="C6" t="s">
        <v>36</v>
      </c>
      <c r="F6" s="11">
        <f>SUMPRODUCT(Table2838[[#This Row],[Column1]],0.5)</f>
        <v>10</v>
      </c>
      <c r="G6" s="11">
        <f>SUMPRODUCT(Table2838[[#This Row],[Column1]],0.5)</f>
        <v>10</v>
      </c>
      <c r="H6">
        <f>SUM(F6+G6)</f>
        <v>20</v>
      </c>
      <c r="J6">
        <v>8</v>
      </c>
      <c r="K6" t="str">
        <f>IF(Table2838[[#This Row],[Column10]] &lt;= Table2838[[#This Row],[Column6]], " ", "Enter value less than [@Column6]")</f>
        <v xml:space="preserve"> </v>
      </c>
      <c r="L6">
        <v>8</v>
      </c>
      <c r="M6" t="str">
        <f>IF(Table2838[[#This Row],[Column11]] &lt;= Table2838[[#This Row],[Column7]], " ", "Enter value less than [@Column7]")</f>
        <v xml:space="preserve"> </v>
      </c>
      <c r="N6">
        <f>SUM(J6+L6)</f>
        <v>16</v>
      </c>
      <c r="P6" s="4">
        <f>N6/A6</f>
        <v>0.8</v>
      </c>
    </row>
    <row r="7" spans="1:19" x14ac:dyDescent="0.25">
      <c r="A7">
        <v>20</v>
      </c>
      <c r="C7" t="s">
        <v>36</v>
      </c>
      <c r="F7" s="11">
        <f>SUMPRODUCT(Table2838[[#This Row],[Column1]],0.5)</f>
        <v>10</v>
      </c>
      <c r="G7" s="11">
        <f>SUMPRODUCT(Table2838[[#This Row],[Column1]],0.5)</f>
        <v>10</v>
      </c>
      <c r="H7">
        <f>SUM(F7+G7)</f>
        <v>20</v>
      </c>
      <c r="J7">
        <v>8</v>
      </c>
      <c r="K7" t="str">
        <f>IF(Table2838[[#This Row],[Column10]] &lt;= Table2838[[#This Row],[Column6]], " ", "Enter value less than [@Column6]")</f>
        <v xml:space="preserve"> </v>
      </c>
      <c r="L7">
        <v>8</v>
      </c>
      <c r="M7" t="str">
        <f>IF(Table2838[[#This Row],[Column11]] &lt;= Table2838[[#This Row],[Column7]], " ", "Enter value less than [@Column7]")</f>
        <v xml:space="preserve"> </v>
      </c>
      <c r="N7">
        <f>SUM(J7+L7)</f>
        <v>16</v>
      </c>
      <c r="P7" s="4">
        <f>N7/A7</f>
        <v>0.8</v>
      </c>
    </row>
    <row r="8" spans="1:19" x14ac:dyDescent="0.25">
      <c r="A8">
        <v>20</v>
      </c>
      <c r="C8" t="s">
        <v>36</v>
      </c>
      <c r="F8" s="11">
        <f>SUMPRODUCT(Table2838[[#This Row],[Column1]],0.5)</f>
        <v>10</v>
      </c>
      <c r="G8" s="11">
        <f>SUMPRODUCT(Table2838[[#This Row],[Column1]],0.5)</f>
        <v>10</v>
      </c>
      <c r="H8">
        <f>SUM(F8+G8)</f>
        <v>20</v>
      </c>
      <c r="J8">
        <v>8</v>
      </c>
      <c r="K8" t="str">
        <f>IF(Table2838[[#This Row],[Column10]] &lt;= Table2838[[#This Row],[Column6]], " ", "Enter value less than [@Column6]")</f>
        <v xml:space="preserve"> </v>
      </c>
      <c r="L8">
        <v>8</v>
      </c>
      <c r="M8" t="str">
        <f>IF(Table2838[[#This Row],[Column11]] &lt;= Table2838[[#This Row],[Column7]], " ", "Enter value less than [@Column7]")</f>
        <v xml:space="preserve"> </v>
      </c>
      <c r="N8">
        <f>SUM(J8+L8)</f>
        <v>16</v>
      </c>
      <c r="P8" s="4">
        <f>N8/A8</f>
        <v>0.8</v>
      </c>
    </row>
    <row r="10" spans="1:19" x14ac:dyDescent="0.25">
      <c r="B10" s="2">
        <f>SUM(A11:A14)/A82</f>
        <v>0.1</v>
      </c>
      <c r="C10" s="44" t="s">
        <v>18</v>
      </c>
      <c r="D10" s="44"/>
    </row>
    <row r="11" spans="1:19" x14ac:dyDescent="0.25">
      <c r="A11">
        <v>20</v>
      </c>
      <c r="C11" t="s">
        <v>36</v>
      </c>
      <c r="F11" s="11">
        <f>SUMPRODUCT(Table2838[[#This Row],[Column1]],0.5)</f>
        <v>10</v>
      </c>
      <c r="G11" s="11">
        <f>SUMPRODUCT(Table2838[[#This Row],[Column1]],0.5)</f>
        <v>10</v>
      </c>
      <c r="H11">
        <f>SUM(F11+G11)</f>
        <v>20</v>
      </c>
      <c r="J11">
        <v>8</v>
      </c>
      <c r="K11" t="str">
        <f>IF(Table2838[[#This Row],[Column10]] &lt;= Table2838[[#This Row],[Column6]], " ", "Enter value less than [@Column6]")</f>
        <v xml:space="preserve"> </v>
      </c>
      <c r="L11">
        <v>8</v>
      </c>
      <c r="M11" t="str">
        <f>IF(Table2838[[#This Row],[Column11]] &lt;= Table2838[[#This Row],[Column7]], " ", "Enter value less than [@Column7]")</f>
        <v xml:space="preserve"> </v>
      </c>
      <c r="N11">
        <f>SUM(J11+L11)</f>
        <v>16</v>
      </c>
      <c r="P11" s="4">
        <f>N11/A11</f>
        <v>0.8</v>
      </c>
    </row>
    <row r="12" spans="1:19" x14ac:dyDescent="0.25">
      <c r="A12">
        <v>20</v>
      </c>
      <c r="C12" t="s">
        <v>36</v>
      </c>
      <c r="F12" s="11">
        <f>SUMPRODUCT(Table2838[[#This Row],[Column1]],0.5)</f>
        <v>10</v>
      </c>
      <c r="G12" s="11">
        <f>SUMPRODUCT(Table2838[[#This Row],[Column1]],0.5)</f>
        <v>10</v>
      </c>
      <c r="H12">
        <f>SUM(F12+G12)</f>
        <v>20</v>
      </c>
      <c r="J12">
        <v>8</v>
      </c>
      <c r="K12" t="str">
        <f>IF(Table2838[[#This Row],[Column6]] &lt;= 10, " ", "Enter value less than 10")</f>
        <v xml:space="preserve"> </v>
      </c>
      <c r="L12">
        <v>8</v>
      </c>
      <c r="M12" t="str">
        <f>IF(Table2838[[#This Row],[Column11]] &lt;= Table2838[[#This Row],[Column7]], " ", "Enter value less than [@Column7]")</f>
        <v xml:space="preserve"> </v>
      </c>
      <c r="N12">
        <f>SUM(J12+L12)</f>
        <v>16</v>
      </c>
      <c r="P12" s="4">
        <f>N12/A12</f>
        <v>0.8</v>
      </c>
    </row>
    <row r="13" spans="1:19" x14ac:dyDescent="0.25">
      <c r="A13">
        <v>20</v>
      </c>
      <c r="C13" t="s">
        <v>36</v>
      </c>
      <c r="F13" s="11">
        <f>SUMPRODUCT(Table2838[[#This Row],[Column1]],0.5)</f>
        <v>10</v>
      </c>
      <c r="G13" s="11">
        <f>SUMPRODUCT(Table2838[[#This Row],[Column1]],0.5)</f>
        <v>10</v>
      </c>
      <c r="H13">
        <f>SUM(F13+G13)</f>
        <v>20</v>
      </c>
      <c r="J13">
        <v>8</v>
      </c>
      <c r="K13" t="str">
        <f>IF(Table2838[[#This Row],[Column6]] &lt;= 10, " ", "Enter value less than 10")</f>
        <v xml:space="preserve"> </v>
      </c>
      <c r="L13">
        <v>8</v>
      </c>
      <c r="M13" t="str">
        <f>IF(Table2838[[#This Row],[Column11]] &lt;= Table2838[[#This Row],[Column7]], " ", "Enter value less than [@Column7]")</f>
        <v xml:space="preserve"> </v>
      </c>
      <c r="N13">
        <f>SUM(J13+L13)</f>
        <v>16</v>
      </c>
      <c r="P13" s="4">
        <f>N13/A13</f>
        <v>0.8</v>
      </c>
    </row>
    <row r="14" spans="1:19" x14ac:dyDescent="0.25">
      <c r="A14">
        <v>20</v>
      </c>
      <c r="C14" t="s">
        <v>36</v>
      </c>
      <c r="F14" s="11">
        <f>SUMPRODUCT(Table2838[[#This Row],[Column1]],0.5)</f>
        <v>10</v>
      </c>
      <c r="G14" s="11">
        <f>SUMPRODUCT(Table2838[[#This Row],[Column1]],0.5)</f>
        <v>10</v>
      </c>
      <c r="H14">
        <f>SUM(F14+G14)</f>
        <v>20</v>
      </c>
      <c r="J14">
        <v>8</v>
      </c>
      <c r="L14">
        <v>8</v>
      </c>
      <c r="M14" t="str">
        <f>IF(Table2838[[#This Row],[Column11]] &lt;= Table2838[[#This Row],[Column7]], " ", "Enter value less than [@Column7]")</f>
        <v xml:space="preserve"> </v>
      </c>
      <c r="N14">
        <f>SUM(J14+L14)</f>
        <v>16</v>
      </c>
      <c r="P14" s="4">
        <f>N14/A14</f>
        <v>0.8</v>
      </c>
    </row>
    <row r="16" spans="1:19" x14ac:dyDescent="0.25">
      <c r="B16" s="2">
        <f>SUM(A17:A20)/A82</f>
        <v>0.05</v>
      </c>
      <c r="C16" s="44" t="s">
        <v>20</v>
      </c>
      <c r="D16" s="44"/>
    </row>
    <row r="17" spans="1:17" x14ac:dyDescent="0.25">
      <c r="A17">
        <v>10</v>
      </c>
      <c r="C17" t="s">
        <v>36</v>
      </c>
      <c r="F17">
        <v>0</v>
      </c>
      <c r="G17">
        <v>10</v>
      </c>
      <c r="H17">
        <f>SUM(F17+G17)</f>
        <v>10</v>
      </c>
      <c r="J17">
        <v>0</v>
      </c>
      <c r="K17" t="str">
        <f>IF(Table2838[[#This Row],[Column10]] &lt;= Table2838[[#This Row],[Column6]], " ", "Enter value less than [@Column6]")</f>
        <v xml:space="preserve"> </v>
      </c>
      <c r="L17">
        <v>8</v>
      </c>
      <c r="M17" t="str">
        <f>IF(Table2838[[#This Row],[Column11]] &lt;= Table2838[[#This Row],[Column7]], " ", "Enter value less than [@Column7]")</f>
        <v xml:space="preserve"> </v>
      </c>
      <c r="N17">
        <f>L17</f>
        <v>8</v>
      </c>
      <c r="P17" s="4">
        <f>N17/A17</f>
        <v>0.8</v>
      </c>
    </row>
    <row r="18" spans="1:17" x14ac:dyDescent="0.25">
      <c r="A18">
        <v>10</v>
      </c>
      <c r="C18" t="s">
        <v>36</v>
      </c>
      <c r="F18">
        <v>0</v>
      </c>
      <c r="G18">
        <v>10</v>
      </c>
      <c r="H18">
        <f>SUM(F18+G18)</f>
        <v>10</v>
      </c>
      <c r="J18">
        <v>0</v>
      </c>
      <c r="K18" t="str">
        <f>IF(Table2838[[#This Row],[Column10]] &lt;= Table2838[[#This Row],[Column6]], " ", "Enter value less than [@Column6]")</f>
        <v xml:space="preserve"> </v>
      </c>
      <c r="L18">
        <v>8</v>
      </c>
      <c r="M18" t="str">
        <f>IF(Table2838[[#This Row],[Column11]] &lt;= Table2838[[#This Row],[Column7]], " ", "Enter value less than [@Column7]")</f>
        <v xml:space="preserve"> </v>
      </c>
      <c r="N18">
        <f>L18</f>
        <v>8</v>
      </c>
      <c r="P18" s="4">
        <f>N18/A18</f>
        <v>0.8</v>
      </c>
    </row>
    <row r="19" spans="1:17" x14ac:dyDescent="0.25">
      <c r="A19">
        <v>10</v>
      </c>
      <c r="C19" t="s">
        <v>36</v>
      </c>
      <c r="F19">
        <v>0</v>
      </c>
      <c r="G19">
        <v>10</v>
      </c>
      <c r="H19">
        <f>SUM(F19+G19)</f>
        <v>10</v>
      </c>
      <c r="J19">
        <v>0</v>
      </c>
      <c r="K19" t="str">
        <f>IF(Table2838[[#This Row],[Column10]] &lt;= Table2838[[#This Row],[Column6]], " ", "Enter value less than [@Column6]")</f>
        <v xml:space="preserve"> </v>
      </c>
      <c r="L19">
        <v>8</v>
      </c>
      <c r="M19" t="str">
        <f>IF(Table2838[[#This Row],[Column11]] &lt;= Table2838[[#This Row],[Column7]], " ", "Enter value less than [@Column7]")</f>
        <v xml:space="preserve"> </v>
      </c>
      <c r="N19">
        <f>L19</f>
        <v>8</v>
      </c>
      <c r="P19" s="4">
        <f>N19/A19</f>
        <v>0.8</v>
      </c>
    </row>
    <row r="20" spans="1:17" x14ac:dyDescent="0.25">
      <c r="A20">
        <v>10</v>
      </c>
      <c r="C20" t="s">
        <v>36</v>
      </c>
      <c r="F20">
        <v>0</v>
      </c>
      <c r="G20">
        <v>10</v>
      </c>
      <c r="H20">
        <f>SUM(F20+G20)</f>
        <v>10</v>
      </c>
      <c r="J20">
        <v>0</v>
      </c>
      <c r="K20" t="str">
        <f>IF(Table2838[[#This Row],[Column10]] &lt;= Table2838[[#This Row],[Column6]], " ", "Enter value less than [@Column6]")</f>
        <v xml:space="preserve"> </v>
      </c>
      <c r="L20">
        <v>8</v>
      </c>
      <c r="M20" t="str">
        <f>IF(Table2838[[#This Row],[Column11]] &lt;= Table2838[[#This Row],[Column7]], " ", "Enter value less than [@Column7]")</f>
        <v xml:space="preserve"> </v>
      </c>
      <c r="N20" s="3">
        <f>L20</f>
        <v>8</v>
      </c>
      <c r="P20" s="4">
        <f>N20/A20</f>
        <v>0.8</v>
      </c>
    </row>
    <row r="21" spans="1:17" ht="15.75" thickBot="1" x14ac:dyDescent="0.3"/>
    <row r="22" spans="1:17" x14ac:dyDescent="0.25">
      <c r="A22" t="s">
        <v>21</v>
      </c>
      <c r="J22" s="25" t="s">
        <v>37</v>
      </c>
      <c r="K22" s="26" t="str">
        <f>IF(Table2838[[#This Row],[Column6]] &lt;= 10, " ", "Enter value less than 10")</f>
        <v xml:space="preserve"> </v>
      </c>
      <c r="L22" s="26" t="s">
        <v>38</v>
      </c>
      <c r="M22" s="26"/>
      <c r="N22" s="26" t="s">
        <v>39</v>
      </c>
      <c r="O22" s="26"/>
      <c r="P22" s="29" t="s">
        <v>31</v>
      </c>
    </row>
    <row r="23" spans="1:17" ht="15.75" thickBot="1" x14ac:dyDescent="0.3">
      <c r="A23">
        <f>SUM(A5:A20)</f>
        <v>200</v>
      </c>
      <c r="J23" s="27">
        <f>SUM(N5:N8)</f>
        <v>64</v>
      </c>
      <c r="K23" s="28" t="str">
        <f>IF(Table2838[[#This Row],[Column6]] &lt;= 10, " ", "Enter value less than 10")</f>
        <v xml:space="preserve"> </v>
      </c>
      <c r="L23" s="28">
        <f>SUM(N11:N14)</f>
        <v>64</v>
      </c>
      <c r="M23" s="28"/>
      <c r="N23" s="28">
        <f>SUM(N17:N20)</f>
        <v>32</v>
      </c>
      <c r="O23" s="28"/>
      <c r="P23" s="30">
        <f>(SUM(N5:N8)+SUM(N11:N14)+SUM(N17:N20))/A23</f>
        <v>0.8</v>
      </c>
    </row>
    <row r="25" spans="1:17" ht="26.25" x14ac:dyDescent="0.4">
      <c r="A25" s="48" t="s">
        <v>5</v>
      </c>
      <c r="B25" s="48"/>
      <c r="C25" s="48"/>
      <c r="D25" s="48"/>
      <c r="E25" s="48"/>
      <c r="F25" s="48"/>
      <c r="G25" s="48"/>
      <c r="H25" s="48"/>
    </row>
    <row r="26" spans="1:17" ht="15" customHeight="1" x14ac:dyDescent="0.4">
      <c r="D26" s="1"/>
      <c r="F26" s="1"/>
    </row>
    <row r="27" spans="1:17" x14ac:dyDescent="0.25">
      <c r="A27" s="33" t="s">
        <v>307</v>
      </c>
      <c r="B27" s="33" t="s">
        <v>309</v>
      </c>
      <c r="C27" s="33"/>
      <c r="D27" s="33"/>
      <c r="E27" s="33"/>
      <c r="F27" s="33" t="s">
        <v>2</v>
      </c>
      <c r="G27" s="33" t="s">
        <v>7</v>
      </c>
      <c r="H27" s="33" t="s">
        <v>44</v>
      </c>
      <c r="I27" s="33"/>
      <c r="J27" s="33" t="s">
        <v>305</v>
      </c>
      <c r="K27" s="33" t="s">
        <v>313</v>
      </c>
      <c r="L27" s="33" t="s">
        <v>306</v>
      </c>
      <c r="M27" s="33" t="s">
        <v>314</v>
      </c>
      <c r="N27" s="33" t="s">
        <v>16</v>
      </c>
      <c r="O27" s="33"/>
      <c r="P27" s="37" t="s">
        <v>8</v>
      </c>
      <c r="Q27" s="38"/>
    </row>
    <row r="28" spans="1:17" x14ac:dyDescent="0.25">
      <c r="B28" s="34">
        <f t="shared" ref="B28" si="0">SUM(A29:A32)/A82</f>
        <v>7.4999999999999997E-2</v>
      </c>
      <c r="C28" s="44" t="s">
        <v>9</v>
      </c>
      <c r="D28" s="44"/>
      <c r="K28" t="str">
        <f>IF(Table1737[[#This Row],[Column16]] &lt;= 7, " ", "Enter value less than 7")</f>
        <v xml:space="preserve"> </v>
      </c>
      <c r="M28" t="str">
        <f>IF(Table1737[[#This Row],[Column10]] &lt;= 3, " ", "Enter value less than 3")</f>
        <v xml:space="preserve"> </v>
      </c>
      <c r="P28" s="5"/>
    </row>
    <row r="29" spans="1:17" x14ac:dyDescent="0.25">
      <c r="A29">
        <v>15</v>
      </c>
      <c r="B29" s="34"/>
      <c r="C29" t="s">
        <v>36</v>
      </c>
      <c r="F29">
        <f>SUMPRODUCT(Table1737[[#This Row],[Column1]],0.8)</f>
        <v>12</v>
      </c>
      <c r="G29">
        <f>SUMPRODUCT(Table1737[[#This Row],[Column1]],0.2)</f>
        <v>3</v>
      </c>
      <c r="H29">
        <f>SUM(F29+G29)</f>
        <v>15</v>
      </c>
      <c r="J29">
        <v>12</v>
      </c>
      <c r="K29" t="str">
        <f>IF(Table1737[[#This Row],[Column16]] &lt;= Table1737[[#This Row],[Column6]], " ", "Enter value less than [@Column6]")</f>
        <v xml:space="preserve"> </v>
      </c>
      <c r="L29">
        <v>3</v>
      </c>
      <c r="M29" t="str">
        <f>IF(Table1737[[#This Row],[Column10]] &lt;= Table1737[[#This Row],[Column7]], " ", "Enter value less than [@Column7]")</f>
        <v xml:space="preserve"> </v>
      </c>
      <c r="N29" s="11">
        <f>SUM(Table1737[[#This Row],[Column16]]+Table1737[[#This Row],[Column10]])</f>
        <v>15</v>
      </c>
      <c r="P29" s="39">
        <f>N30/A30</f>
        <v>0.73333333333333328</v>
      </c>
    </row>
    <row r="30" spans="1:17" x14ac:dyDescent="0.25">
      <c r="A30">
        <v>15</v>
      </c>
      <c r="B30" s="34"/>
      <c r="C30" t="s">
        <v>36</v>
      </c>
      <c r="F30">
        <f>SUMPRODUCT(Table1737[[#This Row],[Column1]],0.8)</f>
        <v>12</v>
      </c>
      <c r="G30">
        <f>SUMPRODUCT(Table1737[[#This Row],[Column1]],0.2)</f>
        <v>3</v>
      </c>
      <c r="H30">
        <f t="shared" ref="H30:H32" si="1">SUM(F30+G30)</f>
        <v>15</v>
      </c>
      <c r="J30">
        <v>8</v>
      </c>
      <c r="K30" t="str">
        <f>IF(Table1737[[#This Row],[Column16]] &lt;= Table1737[[#This Row],[Column6]], " ", "Enter value less than [@Column6]")</f>
        <v xml:space="preserve"> </v>
      </c>
      <c r="L30">
        <v>3</v>
      </c>
      <c r="M30" t="str">
        <f>IF(Table1737[[#This Row],[Column10]] &lt;= Table1737[[#This Row],[Column7]], " ", "Enter value less than [@Column7]")</f>
        <v xml:space="preserve"> </v>
      </c>
      <c r="N30" s="11">
        <f>SUM(Table1737[[#This Row],[Column16]]+Table1737[[#This Row],[Column10]])</f>
        <v>11</v>
      </c>
      <c r="P30" s="39">
        <f>N31/A31</f>
        <v>0.73333333333333328</v>
      </c>
    </row>
    <row r="31" spans="1:17" x14ac:dyDescent="0.25">
      <c r="A31">
        <v>15</v>
      </c>
      <c r="B31" s="34"/>
      <c r="C31" t="s">
        <v>36</v>
      </c>
      <c r="F31">
        <f>SUMPRODUCT(Table1737[[#This Row],[Column1]],0.8)</f>
        <v>12</v>
      </c>
      <c r="G31">
        <f>SUMPRODUCT(Table1737[[#This Row],[Column1]],0.2)</f>
        <v>3</v>
      </c>
      <c r="H31">
        <f t="shared" si="1"/>
        <v>15</v>
      </c>
      <c r="J31">
        <v>8</v>
      </c>
      <c r="K31" t="str">
        <f>IF(Table1737[[#This Row],[Column16]] &lt;= Table1737[[#This Row],[Column6]], " ", "Enter value less than [@Column6]")</f>
        <v xml:space="preserve"> </v>
      </c>
      <c r="L31">
        <v>3</v>
      </c>
      <c r="M31" t="str">
        <f>IF(Table1737[[#This Row],[Column10]] &lt;= Table1737[[#This Row],[Column7]], " ", "Enter value less than [@Column7]")</f>
        <v xml:space="preserve"> </v>
      </c>
      <c r="N31" s="11">
        <f>SUM(Table1737[[#This Row],[Column16]]+Table1737[[#This Row],[Column10]])</f>
        <v>11</v>
      </c>
      <c r="P31" s="39">
        <f>N31/A31</f>
        <v>0.73333333333333328</v>
      </c>
    </row>
    <row r="32" spans="1:17" x14ac:dyDescent="0.25">
      <c r="A32">
        <v>15</v>
      </c>
      <c r="B32" s="34"/>
      <c r="C32" t="s">
        <v>36</v>
      </c>
      <c r="F32">
        <f>SUMPRODUCT(Table1737[[#This Row],[Column1]],0.8)</f>
        <v>12</v>
      </c>
      <c r="G32">
        <f>SUMPRODUCT(Table1737[[#This Row],[Column1]],0.2)</f>
        <v>3</v>
      </c>
      <c r="H32">
        <f t="shared" si="1"/>
        <v>15</v>
      </c>
      <c r="J32">
        <v>8</v>
      </c>
      <c r="K32" t="str">
        <f>IF(Table1737[[#This Row],[Column16]] &lt;= Table1737[[#This Row],[Column6]], " ", "Enter value less than [@Column6]")</f>
        <v xml:space="preserve"> </v>
      </c>
      <c r="L32">
        <v>3</v>
      </c>
      <c r="M32" t="str">
        <f>IF(Table1737[[#This Row],[Column10]] &lt;= Table1737[[#This Row],[Column7]], " ", "Enter value less than [@Column7]")</f>
        <v xml:space="preserve"> </v>
      </c>
      <c r="N32" s="11">
        <f>SUM(Table1737[[#This Row],[Column16]]+Table1737[[#This Row],[Column10]])</f>
        <v>11</v>
      </c>
      <c r="P32" s="39">
        <f>N32/A32</f>
        <v>0.73333333333333328</v>
      </c>
    </row>
    <row r="33" spans="1:16" x14ac:dyDescent="0.25">
      <c r="B33" s="34"/>
      <c r="N33" s="11"/>
      <c r="P33" s="5"/>
    </row>
    <row r="34" spans="1:16" x14ac:dyDescent="0.25">
      <c r="B34" s="34">
        <f>SUM(A35:A38)/A82</f>
        <v>7.4999999999999997E-2</v>
      </c>
      <c r="C34" s="44" t="s">
        <v>10</v>
      </c>
      <c r="D34" s="44"/>
      <c r="N34" s="11"/>
      <c r="P34" s="5"/>
    </row>
    <row r="35" spans="1:16" x14ac:dyDescent="0.25">
      <c r="A35">
        <v>15</v>
      </c>
      <c r="B35" s="34"/>
      <c r="C35" t="s">
        <v>36</v>
      </c>
      <c r="F35" s="11">
        <f>SUMPRODUCT(Table1737[[#This Row],[Column1]],0.53)</f>
        <v>7.95</v>
      </c>
      <c r="G35" s="11">
        <f>SUMPRODUCT(Table1737[[#This Row],[Column1]],0.47)</f>
        <v>7.05</v>
      </c>
      <c r="H35">
        <f>F35+G35</f>
        <v>15</v>
      </c>
      <c r="J35">
        <v>8</v>
      </c>
      <c r="K35" t="str">
        <f>IF(Table1737[[#This Row],[Column16]] &lt;= SUMPRODUCT(Table1737[[#This Row],[Column1]],0.54), " ", "Enter value less than [@Column6]")</f>
        <v xml:space="preserve"> </v>
      </c>
      <c r="L35">
        <v>7</v>
      </c>
      <c r="M35" t="str">
        <f>IF(Table1737[[#This Row],[Column10]] &lt;= Table1737[[#This Row],[Column7]], " ", "Enter value less than [@Column7]")</f>
        <v xml:space="preserve"> </v>
      </c>
      <c r="N35" s="11">
        <f>SUM(Table1737[[#This Row],[Column16]]+Table1737[[#This Row],[Column10]])</f>
        <v>15</v>
      </c>
      <c r="P35" s="39">
        <f>N35/A35</f>
        <v>1</v>
      </c>
    </row>
    <row r="36" spans="1:16" x14ac:dyDescent="0.25">
      <c r="A36">
        <v>15</v>
      </c>
      <c r="B36" s="34"/>
      <c r="C36" t="s">
        <v>36</v>
      </c>
      <c r="F36" s="11">
        <f>SUMPRODUCT(Table1737[[#This Row],[Column1]],0.53)</f>
        <v>7.95</v>
      </c>
      <c r="G36" s="11">
        <f>SUMPRODUCT(Table1737[[#This Row],[Column1]],0.47)</f>
        <v>7.05</v>
      </c>
      <c r="H36">
        <f>F36+G36</f>
        <v>15</v>
      </c>
      <c r="J36">
        <v>8</v>
      </c>
      <c r="K36" t="str">
        <f>IF(Table1737[[#This Row],[Column16]] &lt;= SUMPRODUCT(Table1737[[#This Row],[Column1]],0.54), " ", "Enter value less than [@Column6]")</f>
        <v xml:space="preserve"> </v>
      </c>
      <c r="L36">
        <v>7</v>
      </c>
      <c r="M36" t="str">
        <f>IF(Table1737[[#This Row],[Column10]] &lt;= Table1737[[#This Row],[Column7]], " ", "Enter value less than [@Column7]")</f>
        <v xml:space="preserve"> </v>
      </c>
      <c r="N36" s="11">
        <f>SUM(Table1737[[#This Row],[Column16]]+Table1737[[#This Row],[Column10]])</f>
        <v>15</v>
      </c>
      <c r="P36" s="39">
        <f>N36/A36</f>
        <v>1</v>
      </c>
    </row>
    <row r="37" spans="1:16" x14ac:dyDescent="0.25">
      <c r="A37">
        <v>15</v>
      </c>
      <c r="B37" s="34"/>
      <c r="C37" t="s">
        <v>36</v>
      </c>
      <c r="F37" s="11">
        <f>SUMPRODUCT(Table1737[[#This Row],[Column1]],0.53)</f>
        <v>7.95</v>
      </c>
      <c r="G37" s="11">
        <f>SUMPRODUCT(Table1737[[#This Row],[Column1]],0.47)</f>
        <v>7.05</v>
      </c>
      <c r="H37">
        <f>F37+G37</f>
        <v>15</v>
      </c>
      <c r="J37">
        <v>8</v>
      </c>
      <c r="K37" t="str">
        <f>IF(Table1737[[#This Row],[Column16]] &lt;= SUMPRODUCT(Table1737[[#This Row],[Column1]],0.54), " ", "Enter value less than [@Column6]")</f>
        <v xml:space="preserve"> </v>
      </c>
      <c r="L37">
        <v>7</v>
      </c>
      <c r="M37" t="str">
        <f>IF(Table1737[[#This Row],[Column10]] &lt;= Table1737[[#This Row],[Column7]], " ", "Enter value less than [@Column7]")</f>
        <v xml:space="preserve"> </v>
      </c>
      <c r="N37" s="11">
        <f>SUM(Table1737[[#This Row],[Column16]]+Table1737[[#This Row],[Column10]])</f>
        <v>15</v>
      </c>
      <c r="P37" s="39">
        <f>N37/A37</f>
        <v>1</v>
      </c>
    </row>
    <row r="38" spans="1:16" x14ac:dyDescent="0.25">
      <c r="A38">
        <v>15</v>
      </c>
      <c r="B38" s="34"/>
      <c r="C38" t="s">
        <v>36</v>
      </c>
      <c r="F38" s="11">
        <f>SUMPRODUCT(Table1737[[#This Row],[Column1]],0.53)</f>
        <v>7.95</v>
      </c>
      <c r="G38" s="11">
        <f>SUMPRODUCT(Table1737[[#This Row],[Column1]],0.47)</f>
        <v>7.05</v>
      </c>
      <c r="H38">
        <f>F38+G38</f>
        <v>15</v>
      </c>
      <c r="J38">
        <v>8</v>
      </c>
      <c r="K38" t="str">
        <f>IF(Table1737[[#This Row],[Column16]] &lt;= SUMPRODUCT(Table1737[[#This Row],[Column1]],0.54), " ", "Enter value less than [@Column6]")</f>
        <v xml:space="preserve"> </v>
      </c>
      <c r="L38">
        <v>7</v>
      </c>
      <c r="M38" t="str">
        <f>IF(Table1737[[#This Row],[Column10]] &lt;= Table1737[[#This Row],[Column7]], " ", "Enter value less than [@Column7]")</f>
        <v xml:space="preserve"> </v>
      </c>
      <c r="N38" s="11">
        <f>SUM(Table1737[[#This Row],[Column16]]+Table1737[[#This Row],[Column10]])</f>
        <v>15</v>
      </c>
      <c r="P38" s="39">
        <f>N38/A38</f>
        <v>1</v>
      </c>
    </row>
    <row r="39" spans="1:16" x14ac:dyDescent="0.25">
      <c r="B39" s="34"/>
      <c r="N39" s="11"/>
      <c r="P39" s="39"/>
    </row>
    <row r="40" spans="1:16" x14ac:dyDescent="0.25">
      <c r="B40" s="43">
        <f>SUM(A41:A44)/A82</f>
        <v>0.05</v>
      </c>
      <c r="C40" s="44" t="s">
        <v>11</v>
      </c>
      <c r="D40" s="44"/>
      <c r="N40" s="11"/>
      <c r="P40" s="39"/>
    </row>
    <row r="41" spans="1:16" x14ac:dyDescent="0.25">
      <c r="A41">
        <v>10</v>
      </c>
      <c r="B41" s="43"/>
      <c r="C41" t="s">
        <v>36</v>
      </c>
      <c r="F41">
        <f>SUMPRODUCT(Table1737[[#This Row],[Column1]],0.5)</f>
        <v>5</v>
      </c>
      <c r="G41">
        <f>SUMPRODUCT(Table1737[[#This Row],[Column1]],0.5)</f>
        <v>5</v>
      </c>
      <c r="H41">
        <f>F41+G41</f>
        <v>10</v>
      </c>
      <c r="J41">
        <v>5</v>
      </c>
      <c r="K41" t="str">
        <f>IF(Table1737[[#This Row],[Column16]] &lt;= Table1737[[#This Row],[Column6]], " ", "Enter value less than [@Column6]")</f>
        <v xml:space="preserve"> </v>
      </c>
      <c r="L41">
        <v>3</v>
      </c>
      <c r="M41" t="str">
        <f>IF(Table1737[[#This Row],[Column10]] &lt;= Table1737[[#This Row],[Column7]], " ", "Enter value less than [@Column7]")</f>
        <v xml:space="preserve"> </v>
      </c>
      <c r="N41" s="11">
        <f>SUM(Table1737[[#This Row],[Column16]]+Table1737[[#This Row],[Column10]])</f>
        <v>8</v>
      </c>
      <c r="P41" s="39">
        <f>N41/A41</f>
        <v>0.8</v>
      </c>
    </row>
    <row r="42" spans="1:16" x14ac:dyDescent="0.25">
      <c r="A42">
        <v>10</v>
      </c>
      <c r="B42" s="43"/>
      <c r="C42" t="s">
        <v>36</v>
      </c>
      <c r="F42">
        <f>SUMPRODUCT(Table1737[[#This Row],[Column1]],0.5)</f>
        <v>5</v>
      </c>
      <c r="G42">
        <f>SUMPRODUCT(Table1737[[#This Row],[Column1]],0.5)</f>
        <v>5</v>
      </c>
      <c r="H42">
        <f>F42+G42</f>
        <v>10</v>
      </c>
      <c r="J42">
        <v>5</v>
      </c>
      <c r="K42" t="str">
        <f>IF(Table1737[[#This Row],[Column16]] &lt;= Table1737[[#This Row],[Column6]], " ", "Enter value less than [@Column6]")</f>
        <v xml:space="preserve"> </v>
      </c>
      <c r="L42">
        <v>3</v>
      </c>
      <c r="M42" t="str">
        <f>IF(Table1737[[#This Row],[Column10]] &lt;= Table1737[[#This Row],[Column7]], " ", "Enter value less than [@Column7]")</f>
        <v xml:space="preserve"> </v>
      </c>
      <c r="N42" s="11">
        <f>SUM(Table1737[[#This Row],[Column16]]+Table1737[[#This Row],[Column10]])</f>
        <v>8</v>
      </c>
      <c r="P42" s="39">
        <f>N42/A42</f>
        <v>0.8</v>
      </c>
    </row>
    <row r="43" spans="1:16" x14ac:dyDescent="0.25">
      <c r="A43">
        <v>10</v>
      </c>
      <c r="B43" s="43"/>
      <c r="C43" t="s">
        <v>36</v>
      </c>
      <c r="F43">
        <f>SUMPRODUCT(Table1737[[#This Row],[Column1]],0.7)</f>
        <v>7</v>
      </c>
      <c r="G43">
        <f>SUMPRODUCT(Table1737[[#This Row],[Column1]],0.3)</f>
        <v>3</v>
      </c>
      <c r="H43">
        <f>F43+G43</f>
        <v>10</v>
      </c>
      <c r="J43">
        <v>5</v>
      </c>
      <c r="K43" t="str">
        <f>IF(Table1737[[#This Row],[Column16]] &lt;= Table1737[[#This Row],[Column6]], " ", "Enter value less than [@Column6]")</f>
        <v xml:space="preserve"> </v>
      </c>
      <c r="L43">
        <v>3</v>
      </c>
      <c r="M43" t="str">
        <f>IF(Table1737[[#This Row],[Column10]] &lt;= Table1737[[#This Row],[Column7]], " ", "Enter value less than [@Column7]")</f>
        <v xml:space="preserve"> </v>
      </c>
      <c r="N43" s="11">
        <f>SUM(Table1737[[#This Row],[Column16]]+Table1737[[#This Row],[Column10]])</f>
        <v>8</v>
      </c>
      <c r="P43" s="39">
        <f>N43/A43</f>
        <v>0.8</v>
      </c>
    </row>
    <row r="44" spans="1:16" x14ac:dyDescent="0.25">
      <c r="A44">
        <v>10</v>
      </c>
      <c r="B44" s="43"/>
      <c r="C44" t="s">
        <v>36</v>
      </c>
      <c r="F44">
        <f>SUMPRODUCT(Table1737[[#This Row],[Column1]],0.7)</f>
        <v>7</v>
      </c>
      <c r="G44">
        <f>SUMPRODUCT(Table1737[[#This Row],[Column1]],0.3)</f>
        <v>3</v>
      </c>
      <c r="H44">
        <f>F44+G44</f>
        <v>10</v>
      </c>
      <c r="J44">
        <v>5</v>
      </c>
      <c r="K44" t="str">
        <f>IF(Table1737[[#This Row],[Column16]] &lt;= Table1737[[#This Row],[Column6]], " ", "Enter value less than [@Column6]")</f>
        <v xml:space="preserve"> </v>
      </c>
      <c r="L44">
        <v>3</v>
      </c>
      <c r="M44" t="str">
        <f>IF(Table1737[[#This Row],[Column10]] &lt;= Table1737[[#This Row],[Column7]], " ", "Enter value less than [@Column7]")</f>
        <v xml:space="preserve"> </v>
      </c>
      <c r="N44" s="11">
        <f>SUM(Table1737[[#This Row],[Column16]]+Table1737[[#This Row],[Column10]])</f>
        <v>8</v>
      </c>
      <c r="P44" s="39">
        <f>N44/A44</f>
        <v>0.8</v>
      </c>
    </row>
    <row r="45" spans="1:16" x14ac:dyDescent="0.25">
      <c r="B45" s="43"/>
      <c r="M45" t="str">
        <f>IF(Table1737[[#This Row],[Column10]] &lt;= 3, " ", "Enter value less than 3")</f>
        <v xml:space="preserve"> </v>
      </c>
      <c r="N45" s="11"/>
      <c r="P45" s="39"/>
    </row>
    <row r="46" spans="1:16" x14ac:dyDescent="0.25">
      <c r="B46" s="43">
        <f>SUM(A47:A50)/A82</f>
        <v>0.05</v>
      </c>
      <c r="C46" s="44" t="s">
        <v>12</v>
      </c>
      <c r="D46" s="44"/>
      <c r="M46" t="str">
        <f>IF(Table1737[[#This Row],[Column10]] &lt;= 3, " ", "Enter value less than 3")</f>
        <v xml:space="preserve"> </v>
      </c>
      <c r="N46" s="11"/>
      <c r="P46" s="39"/>
    </row>
    <row r="47" spans="1:16" x14ac:dyDescent="0.25">
      <c r="A47">
        <v>10</v>
      </c>
      <c r="B47" s="34"/>
      <c r="C47" t="s">
        <v>36</v>
      </c>
      <c r="F47">
        <f>SUMPRODUCT(Table1737[[#This Row],[Column1]],0.7)</f>
        <v>7</v>
      </c>
      <c r="G47">
        <f>SUMPRODUCT(Table1737[[#This Row],[Column1]],0.3)</f>
        <v>3</v>
      </c>
      <c r="H47">
        <f>F47+G47</f>
        <v>10</v>
      </c>
      <c r="J47">
        <v>5</v>
      </c>
      <c r="K47" t="str">
        <f>IF(Table1737[[#This Row],[Column16]] &lt;= Table1737[[#This Row],[Column6]], " ", "Enter value less than [@Column6]")</f>
        <v xml:space="preserve"> </v>
      </c>
      <c r="L47">
        <v>3</v>
      </c>
      <c r="M47" t="str">
        <f>IF(Table1737[[#This Row],[Column10]] &lt;= Table1737[[#This Row],[Column7]], " ", "Enter value less than [@Column7]")</f>
        <v xml:space="preserve"> </v>
      </c>
      <c r="N47" s="11">
        <f>SUM(Table1737[[#This Row],[Column16]],Table1737[[#This Row],[Column10]])</f>
        <v>8</v>
      </c>
      <c r="P47" s="39">
        <f>N47/A47</f>
        <v>0.8</v>
      </c>
    </row>
    <row r="48" spans="1:16" x14ac:dyDescent="0.25">
      <c r="A48">
        <v>10</v>
      </c>
      <c r="B48" s="34"/>
      <c r="C48" t="s">
        <v>36</v>
      </c>
      <c r="F48">
        <f>SUMPRODUCT(Table1737[[#This Row],[Column1]],0.7)</f>
        <v>7</v>
      </c>
      <c r="G48">
        <f>SUMPRODUCT(Table1737[[#This Row],[Column1]],0.3)</f>
        <v>3</v>
      </c>
      <c r="H48">
        <f>F48+G48</f>
        <v>10</v>
      </c>
      <c r="J48">
        <v>5</v>
      </c>
      <c r="K48" t="str">
        <f>IF(Table1737[[#This Row],[Column16]] &lt;= Table1737[[#This Row],[Column6]], " ", "Enter value less than [@Column6]")</f>
        <v xml:space="preserve"> </v>
      </c>
      <c r="L48">
        <v>3</v>
      </c>
      <c r="M48" t="str">
        <f>IF(Table1737[[#This Row],[Column10]] &lt;= Table1737[[#This Row],[Column7]], " ", "Enter value less than [@Column7]")</f>
        <v xml:space="preserve"> </v>
      </c>
      <c r="N48" s="11">
        <f>SUM(Table1737[[#This Row],[Column16]],Table1737[[#This Row],[Column10]])</f>
        <v>8</v>
      </c>
      <c r="P48" s="39">
        <f>N48/A48</f>
        <v>0.8</v>
      </c>
    </row>
    <row r="49" spans="1:16" x14ac:dyDescent="0.25">
      <c r="A49">
        <v>10</v>
      </c>
      <c r="B49" s="34"/>
      <c r="C49" t="s">
        <v>36</v>
      </c>
      <c r="F49">
        <f>SUMPRODUCT(Table1737[[#This Row],[Column1]],0.7)</f>
        <v>7</v>
      </c>
      <c r="G49">
        <f>SUMPRODUCT(Table1737[[#This Row],[Column1]],0.3)</f>
        <v>3</v>
      </c>
      <c r="H49">
        <f>F49+G49</f>
        <v>10</v>
      </c>
      <c r="J49">
        <v>5</v>
      </c>
      <c r="K49" t="str">
        <f>IF(Table1737[[#This Row],[Column16]] &lt;= Table1737[[#This Row],[Column6]], " ", "Enter value less than [@Column6]")</f>
        <v xml:space="preserve"> </v>
      </c>
      <c r="L49">
        <v>3</v>
      </c>
      <c r="M49" t="str">
        <f>IF(Table1737[[#This Row],[Column10]] &lt;= Table1737[[#This Row],[Column7]], " ", "Enter value less than [@Column7]")</f>
        <v xml:space="preserve"> </v>
      </c>
      <c r="N49" s="11">
        <f>SUM(Table1737[[#This Row],[Column16]],Table1737[[#This Row],[Column10]])</f>
        <v>8</v>
      </c>
      <c r="P49" s="39">
        <f>N49/A49</f>
        <v>0.8</v>
      </c>
    </row>
    <row r="50" spans="1:16" ht="15.75" thickBot="1" x14ac:dyDescent="0.3">
      <c r="A50">
        <v>10</v>
      </c>
      <c r="B50" s="34"/>
      <c r="C50" t="s">
        <v>36</v>
      </c>
      <c r="F50">
        <f>SUMPRODUCT(Table1737[[#This Row],[Column1]],0.7)</f>
        <v>7</v>
      </c>
      <c r="G50">
        <f>SUMPRODUCT(Table1737[[#This Row],[Column1]],0.3)</f>
        <v>3</v>
      </c>
      <c r="H50">
        <f>F50+G50</f>
        <v>10</v>
      </c>
      <c r="J50">
        <v>5</v>
      </c>
      <c r="K50" t="str">
        <f>IF(Table1737[[#This Row],[Column16]] &lt;= Table1737[[#This Row],[Column6]], " ", "Enter value less than [@Column6]")</f>
        <v xml:space="preserve"> </v>
      </c>
      <c r="L50">
        <v>3</v>
      </c>
      <c r="M50" t="str">
        <f>IF(Table1737[[#This Row],[Column10]] &lt;= Table1737[[#This Row],[Column7]], " ", "Enter value less than [@Column7]")</f>
        <v xml:space="preserve"> </v>
      </c>
      <c r="N50" s="11">
        <f>SUM(Table1737[[#This Row],[Column16]],Table1737[[#This Row],[Column10]])</f>
        <v>8</v>
      </c>
      <c r="P50" s="39">
        <f>N50/A50</f>
        <v>0.8</v>
      </c>
    </row>
    <row r="51" spans="1:16" x14ac:dyDescent="0.25">
      <c r="A51" t="s">
        <v>22</v>
      </c>
      <c r="I51" s="25" t="s">
        <v>40</v>
      </c>
      <c r="J51" s="26" t="s">
        <v>41</v>
      </c>
      <c r="K51" s="26" t="s">
        <v>42</v>
      </c>
      <c r="L51" s="26" t="s">
        <v>43</v>
      </c>
      <c r="M51" s="26"/>
      <c r="N51" s="29" t="s">
        <v>31</v>
      </c>
    </row>
    <row r="52" spans="1:16" ht="15.75" thickBot="1" x14ac:dyDescent="0.3">
      <c r="A52">
        <f>SUM(A29:A50)</f>
        <v>200</v>
      </c>
      <c r="I52" s="45">
        <f>SUM(N29:N32)</f>
        <v>48</v>
      </c>
      <c r="J52" s="46">
        <f>SUM(N35:N38)</f>
        <v>60</v>
      </c>
      <c r="K52" s="46">
        <f>SUM(N41:N44)</f>
        <v>32</v>
      </c>
      <c r="L52" s="46">
        <f>SUM(N47:N50)</f>
        <v>32</v>
      </c>
      <c r="M52" s="28"/>
      <c r="N52" s="30">
        <f>SUM(I52:L52)/A52</f>
        <v>0.86</v>
      </c>
    </row>
    <row r="54" spans="1:16" ht="15" customHeight="1" x14ac:dyDescent="0.25">
      <c r="A54" s="48" t="s">
        <v>23</v>
      </c>
      <c r="B54" s="48"/>
      <c r="C54" s="48"/>
      <c r="D54" s="48"/>
      <c r="E54" s="48"/>
      <c r="F54" s="48"/>
      <c r="G54" s="48"/>
      <c r="H54" s="48"/>
    </row>
    <row r="55" spans="1:16" ht="15" customHeight="1" x14ac:dyDescent="0.25">
      <c r="A55" s="48"/>
      <c r="B55" s="48"/>
      <c r="C55" s="48"/>
      <c r="D55" s="48"/>
      <c r="E55" s="48"/>
      <c r="F55" s="48"/>
      <c r="G55" s="48"/>
      <c r="H55" s="48"/>
    </row>
    <row r="57" spans="1:16" x14ac:dyDescent="0.25">
      <c r="A57" s="33" t="s">
        <v>308</v>
      </c>
      <c r="B57" s="33" t="s">
        <v>309</v>
      </c>
      <c r="C57" s="33"/>
      <c r="D57" s="33"/>
      <c r="E57" s="33"/>
      <c r="F57" s="33" t="s">
        <v>2</v>
      </c>
      <c r="G57" s="33" t="s">
        <v>7</v>
      </c>
      <c r="H57" s="33" t="s">
        <v>44</v>
      </c>
      <c r="I57" s="33"/>
      <c r="J57" s="33" t="s">
        <v>305</v>
      </c>
      <c r="K57" s="33" t="s">
        <v>313</v>
      </c>
      <c r="L57" s="33" t="s">
        <v>306</v>
      </c>
      <c r="M57" s="33" t="s">
        <v>314</v>
      </c>
      <c r="N57" s="33" t="s">
        <v>16</v>
      </c>
      <c r="O57" s="33"/>
      <c r="P57" s="33" t="s">
        <v>8</v>
      </c>
    </row>
    <row r="58" spans="1:16" x14ac:dyDescent="0.25">
      <c r="B58" s="2">
        <f>SUM(A62)/$A82</f>
        <v>0.15</v>
      </c>
      <c r="C58" s="44" t="s">
        <v>24</v>
      </c>
      <c r="D58" s="44"/>
      <c r="F58" s="11"/>
      <c r="G58" s="11"/>
      <c r="H58" s="11"/>
    </row>
    <row r="59" spans="1:16" x14ac:dyDescent="0.25">
      <c r="B59" s="2"/>
      <c r="C59" t="s">
        <v>45</v>
      </c>
      <c r="F59" s="11">
        <f>SUMPRODUCT($F$63,0.05)</f>
        <v>3.9000000000000004</v>
      </c>
      <c r="G59" s="36">
        <f>SUMPRODUCT($G$63,0.45)</f>
        <v>18.900000000000002</v>
      </c>
      <c r="H59" s="36">
        <f>SUM(Table3939[[#This Row],[Column6]],Table3939[[#This Row],[Column7]])</f>
        <v>22.800000000000004</v>
      </c>
      <c r="I59" s="36"/>
      <c r="J59" s="36">
        <v>4</v>
      </c>
      <c r="K59" s="36" t="str">
        <f>IF(Table3939[[#This Row],[Column10]] &lt;= SUMPRODUCT($F$63,0.06), " ", "Enter value less than [@Column6]")</f>
        <v xml:space="preserve"> </v>
      </c>
      <c r="L59">
        <v>18</v>
      </c>
      <c r="M59" s="36" t="str">
        <f>IF(Table3939[[#This Row],[Column12]] &lt;= SUMPRODUCT($G$63,0.46), " ", "Enter value less than [@Column6]")</f>
        <v xml:space="preserve"> </v>
      </c>
      <c r="N59">
        <f>SUM(Table3939[[#This Row],[Column10]],Table3939[[#This Row],[Column12]])</f>
        <v>22</v>
      </c>
    </row>
    <row r="60" spans="1:16" x14ac:dyDescent="0.25">
      <c r="B60" s="2"/>
      <c r="C60" t="s">
        <v>46</v>
      </c>
      <c r="F60" s="11">
        <f>SUMPRODUCT($F$63,0.1)</f>
        <v>7.8000000000000007</v>
      </c>
      <c r="G60" s="36">
        <f>SUMPRODUCT($G$63,0.4)</f>
        <v>16.8</v>
      </c>
      <c r="H60" s="36">
        <f>SUM(Table3939[[#This Row],[Column6]],Table3939[[#This Row],[Column7]])</f>
        <v>24.6</v>
      </c>
      <c r="I60" s="36"/>
      <c r="J60" s="36">
        <v>7</v>
      </c>
      <c r="K60" s="36" t="str">
        <f>IF(Table3939[[#This Row],[Column10]] &lt;= SUMPRODUCT($F$63,0.11), " ", "Enter value less than [@Column6]")</f>
        <v xml:space="preserve"> </v>
      </c>
      <c r="L60">
        <v>17</v>
      </c>
      <c r="M60" s="36" t="str">
        <f>IF(Table3939[[#This Row],[Column12]] &lt;= SUMPRODUCT($G$63,0.41), " ", "Enter value less than [@Column6]")</f>
        <v xml:space="preserve"> </v>
      </c>
      <c r="N60">
        <f>SUM(Table3939[[#This Row],[Column10]],Table3939[[#This Row],[Column12]])</f>
        <v>24</v>
      </c>
    </row>
    <row r="61" spans="1:16" x14ac:dyDescent="0.25">
      <c r="B61" s="2"/>
      <c r="C61" t="s">
        <v>47</v>
      </c>
      <c r="F61" s="11">
        <f>SUMPRODUCT($F$63,0.45)</f>
        <v>35.1</v>
      </c>
      <c r="G61" s="36">
        <f>SUMPRODUCT($G$63,0.05)</f>
        <v>2.1</v>
      </c>
      <c r="H61" s="36">
        <f>SUM(Table3939[[#This Row],[Column6]],Table3939[[#This Row],[Column7]])</f>
        <v>37.200000000000003</v>
      </c>
      <c r="I61" s="36"/>
      <c r="J61" s="36">
        <v>23</v>
      </c>
      <c r="K61" s="36" t="str">
        <f>IF(Table3939[[#This Row],[Column10]] &lt;= SUMPRODUCT($F$63,0.46), " ", "Enter value less than [@Column6]")</f>
        <v xml:space="preserve"> </v>
      </c>
      <c r="L61">
        <v>2</v>
      </c>
      <c r="M61" s="36" t="str">
        <f>IF(Table3939[[#This Row],[Column12]] &lt;= SUMPRODUCT($G$63,0.06), " ", "Enter value less than [@Column6]")</f>
        <v xml:space="preserve"> </v>
      </c>
      <c r="N61">
        <f>SUM(Table3939[[#This Row],[Column10]],Table3939[[#This Row],[Column12]])</f>
        <v>25</v>
      </c>
    </row>
    <row r="62" spans="1:16" x14ac:dyDescent="0.25">
      <c r="A62">
        <v>120</v>
      </c>
      <c r="C62" t="s">
        <v>25</v>
      </c>
      <c r="F62" s="11">
        <f>SUMPRODUCT($F$63,0.4)</f>
        <v>31.200000000000003</v>
      </c>
      <c r="G62" s="36">
        <f>SUMPRODUCT($G$63,0.1)</f>
        <v>4.2</v>
      </c>
      <c r="H62" s="36">
        <f>SUM(Table3939[[#This Row],[Column6]],Table3939[[#This Row],[Column7]])</f>
        <v>35.400000000000006</v>
      </c>
      <c r="I62" s="36"/>
      <c r="J62" s="36">
        <v>30</v>
      </c>
      <c r="K62" s="36" t="str">
        <f>IF(Table3939[[#This Row],[Column10]] &lt;= SUMPRODUCT($F$63,0.41), " ", "Enter value less than [@Column6]")</f>
        <v xml:space="preserve"> </v>
      </c>
      <c r="L62">
        <v>2</v>
      </c>
      <c r="M62" s="36" t="str">
        <f>IF(Table3939[[#This Row],[Column12]] &lt;= SUMPRODUCT($G$63,0.11), " ", "Enter value less than [@Column6]")</f>
        <v xml:space="preserve"> </v>
      </c>
      <c r="N62">
        <f>SUM(Table3939[[#This Row],[Column10]],Table3939[[#This Row],[Column12]])</f>
        <v>32</v>
      </c>
      <c r="P62" s="4"/>
    </row>
    <row r="63" spans="1:16" x14ac:dyDescent="0.25">
      <c r="F63" s="11">
        <f>SUMPRODUCT($A$62,0.65)</f>
        <v>78</v>
      </c>
      <c r="G63" s="11">
        <f>SUMPRODUCT($A$62,0.35)</f>
        <v>42</v>
      </c>
      <c r="H63" s="36">
        <f>SUM(Table3939[[#This Row],[Column6]],Table3939[[#This Row],[Column7]])</f>
        <v>120</v>
      </c>
      <c r="I63" s="36"/>
      <c r="J63" s="36">
        <f>SUM(J59:J62)</f>
        <v>64</v>
      </c>
      <c r="K63" s="36" t="str">
        <f>IF(Table3939[[#This Row],[Column10]] &lt;= SUMPRODUCT($A$62,0.66), " ", "Enter value less than [@Column6]")</f>
        <v xml:space="preserve"> </v>
      </c>
      <c r="L63">
        <f>SUM(L59:L62)</f>
        <v>39</v>
      </c>
      <c r="M63" s="36" t="str">
        <f>IF(Table3939[[#This Row],[Column12]] &lt;= SUMPRODUCT($A$68,0.36), " ", "Enter value less than [@Column6]")</f>
        <v xml:space="preserve"> </v>
      </c>
      <c r="N63">
        <f>SUM(Table3939[[#This Row],[Column10]],Table3939[[#This Row],[Column12]])</f>
        <v>103</v>
      </c>
      <c r="P63" s="4">
        <f>N63/$A$62</f>
        <v>0.85833333333333328</v>
      </c>
    </row>
    <row r="64" spans="1:16" x14ac:dyDescent="0.25">
      <c r="B64" s="2">
        <f>SUM(A68)/$A82</f>
        <v>0.15</v>
      </c>
      <c r="C64" s="44" t="s">
        <v>26</v>
      </c>
      <c r="D64" s="44"/>
      <c r="F64" s="11"/>
      <c r="G64" s="11"/>
      <c r="H64" s="11"/>
      <c r="I64" s="36"/>
      <c r="J64" s="36"/>
      <c r="K64" s="36"/>
      <c r="M64" s="36"/>
    </row>
    <row r="65" spans="1:16" x14ac:dyDescent="0.25">
      <c r="B65" s="2"/>
      <c r="C65" t="s">
        <v>45</v>
      </c>
      <c r="F65" s="11">
        <f>SUMPRODUCT($F$69,0.05)</f>
        <v>3.9000000000000004</v>
      </c>
      <c r="G65" s="36">
        <f>SUMPRODUCT($G$69,0.45)</f>
        <v>18.900000000000002</v>
      </c>
      <c r="H65" s="36">
        <f>SUM(Table3939[[#This Row],[Column6]],Table3939[[#This Row],[Column7]])</f>
        <v>22.800000000000004</v>
      </c>
      <c r="I65" s="36"/>
      <c r="J65" s="36">
        <v>3</v>
      </c>
      <c r="K65" s="36" t="str">
        <f>IF(Table3939[[#This Row],[Column10]] &lt;= SUMPRODUCT($F$69,0.06), " ", "Enter value less than [@Column6]")</f>
        <v xml:space="preserve"> </v>
      </c>
      <c r="L65">
        <v>15</v>
      </c>
      <c r="M65" s="36" t="str">
        <f>IF(Table3939[[#This Row],[Column12]] &lt;= SUMPRODUCT($G$69,0.46), " ", "Enter value less than [@Column6]")</f>
        <v xml:space="preserve"> </v>
      </c>
      <c r="N65">
        <f>SUM(Table3939[[#This Row],[Column10]],Table3939[[#This Row],[Column12]])</f>
        <v>18</v>
      </c>
    </row>
    <row r="66" spans="1:16" x14ac:dyDescent="0.25">
      <c r="B66" s="2"/>
      <c r="C66" t="s">
        <v>46</v>
      </c>
      <c r="F66" s="11">
        <f>SUMPRODUCT($F$69,0.1)</f>
        <v>7.8000000000000007</v>
      </c>
      <c r="G66" s="36">
        <f>SUMPRODUCT($G$69,0.4)</f>
        <v>16.8</v>
      </c>
      <c r="H66" s="36">
        <f>SUM(Table3939[[#This Row],[Column6]],Table3939[[#This Row],[Column7]])</f>
        <v>24.6</v>
      </c>
      <c r="I66" s="36"/>
      <c r="J66" s="36">
        <v>5</v>
      </c>
      <c r="K66" s="36" t="str">
        <f>IF(Table3939[[#This Row],[Column10]] &lt;= SUMPRODUCT($F$69,0.1), " ", "Enter value less than [@Column6]")</f>
        <v xml:space="preserve"> </v>
      </c>
      <c r="L66">
        <v>12</v>
      </c>
      <c r="M66" s="36" t="str">
        <f>IF(Table3939[[#This Row],[Column12]] &lt;= SUMPRODUCT($G$69,0.41), " ", "Enter value less than [@Column6]")</f>
        <v xml:space="preserve"> </v>
      </c>
      <c r="N66">
        <f>SUM(Table3939[[#This Row],[Column10]],Table3939[[#This Row],[Column12]])</f>
        <v>17</v>
      </c>
    </row>
    <row r="67" spans="1:16" x14ac:dyDescent="0.25">
      <c r="B67" s="2"/>
      <c r="C67" t="s">
        <v>48</v>
      </c>
      <c r="F67" s="11">
        <f>SUMPRODUCT($F$69,0.45)</f>
        <v>35.1</v>
      </c>
      <c r="G67" s="36">
        <f>SUMPRODUCT($G$69,0.05)</f>
        <v>2.1</v>
      </c>
      <c r="H67" s="36">
        <f>SUM(Table3939[[#This Row],[Column6]],Table3939[[#This Row],[Column7]])</f>
        <v>37.200000000000003</v>
      </c>
      <c r="I67" s="36"/>
      <c r="J67" s="36">
        <v>31</v>
      </c>
      <c r="K67" s="36" t="str">
        <f>IF(Table3939[[#This Row],[Column10]] &lt;= SUMPRODUCT($F$69,0.46), " ", "Enter value less than [@Column6]")</f>
        <v xml:space="preserve"> </v>
      </c>
      <c r="L67">
        <v>2</v>
      </c>
      <c r="M67" s="36" t="str">
        <f>IF(Table3939[[#This Row],[Column12]] &lt;= SUMPRODUCT($G$69,0.06), " ", "Enter value less than [@Column6]")</f>
        <v xml:space="preserve"> </v>
      </c>
      <c r="N67">
        <f>SUM(Table3939[[#This Row],[Column10]],Table3939[[#This Row],[Column12]])</f>
        <v>33</v>
      </c>
    </row>
    <row r="68" spans="1:16" x14ac:dyDescent="0.25">
      <c r="A68">
        <v>120</v>
      </c>
      <c r="C68" t="s">
        <v>27</v>
      </c>
      <c r="F68" s="11">
        <f>SUMPRODUCT($F$69,0.4)</f>
        <v>31.200000000000003</v>
      </c>
      <c r="G68" s="36">
        <f>SUMPRODUCT($G$69,0.1)</f>
        <v>4.2</v>
      </c>
      <c r="H68" s="36">
        <f>SUM(Table3939[[#This Row],[Column6]],Table3939[[#This Row],[Column7]])</f>
        <v>35.400000000000006</v>
      </c>
      <c r="I68" s="36"/>
      <c r="J68" s="36">
        <v>28</v>
      </c>
      <c r="K68" s="36" t="str">
        <f>IF(Table3939[[#This Row],[Column10]] &lt;= SUMPRODUCT($F$69,0.41), " ", "Enter value less than [@Column6]")</f>
        <v xml:space="preserve"> </v>
      </c>
      <c r="L68">
        <v>4</v>
      </c>
      <c r="M68" s="36" t="str">
        <f>IF(Table3939[[#This Row],[Column12]] &lt;= SUMPRODUCT($G$69,0.11), " ", "Enter value less than [@Column6]")</f>
        <v xml:space="preserve"> </v>
      </c>
      <c r="N68">
        <f>SUM(Table3939[[#This Row],[Column10]],Table3939[[#This Row],[Column12]])</f>
        <v>32</v>
      </c>
      <c r="P68" s="4"/>
    </row>
    <row r="69" spans="1:16" x14ac:dyDescent="0.25">
      <c r="F69" s="11">
        <f>SUMPRODUCT($A$68,0.65)</f>
        <v>78</v>
      </c>
      <c r="G69" s="11">
        <f>SUMPRODUCT($A$68,0.35)</f>
        <v>42</v>
      </c>
      <c r="H69" s="36">
        <f>SUM(Table3939[[#This Row],[Column6]],Table3939[[#This Row],[Column7]])</f>
        <v>120</v>
      </c>
      <c r="I69" s="36"/>
      <c r="J69" s="36">
        <f>SUM(J65:J68)</f>
        <v>67</v>
      </c>
      <c r="K69" s="36" t="str">
        <f>IF(Table3939[[#This Row],[Column10]] &lt;= SUMPRODUCT($A$68,0.66), " ", "Enter value less than [@Column6]")</f>
        <v xml:space="preserve"> </v>
      </c>
      <c r="L69">
        <f>SUM(L65:L68)</f>
        <v>33</v>
      </c>
      <c r="M69" s="36" t="str">
        <f>IF(Table3939[[#This Row],[Column12]] &lt;= SUMPRODUCT($A$68,0.36), " ", "Enter value less than [@Column6]")</f>
        <v xml:space="preserve"> </v>
      </c>
      <c r="N69">
        <f>SUM(N65:N68)</f>
        <v>100</v>
      </c>
      <c r="P69" s="4">
        <f>N69/$A$68</f>
        <v>0.83333333333333337</v>
      </c>
    </row>
    <row r="70" spans="1:16" x14ac:dyDescent="0.25">
      <c r="B70" s="2">
        <f>SUM(A74)/$A82</f>
        <v>0.2</v>
      </c>
      <c r="C70" s="44" t="s">
        <v>28</v>
      </c>
      <c r="D70" s="44"/>
      <c r="F70" s="11"/>
      <c r="G70" s="11"/>
      <c r="H70" s="11"/>
      <c r="I70" s="36"/>
      <c r="J70" s="36"/>
      <c r="K70" s="36"/>
      <c r="M70" s="36"/>
    </row>
    <row r="71" spans="1:16" x14ac:dyDescent="0.25">
      <c r="B71" s="2"/>
      <c r="C71" t="s">
        <v>45</v>
      </c>
      <c r="F71" s="11">
        <f>SUMPRODUCT($F$75,0.05)</f>
        <v>5.2</v>
      </c>
      <c r="G71" s="36">
        <f>SUMPRODUCT($G$75,0.45)</f>
        <v>25.2</v>
      </c>
      <c r="H71" s="36">
        <f>SUM(Table3939[[#This Row],[Column6]],Table3939[[#This Row],[Column7]])</f>
        <v>30.4</v>
      </c>
      <c r="I71" s="36"/>
      <c r="J71" s="36">
        <v>5</v>
      </c>
      <c r="K71" s="36" t="str">
        <f>IF(Table3939[[#This Row],[Column10]] &lt;= SUMPRODUCT($F$75,0.06), " ", "Enter value less than [@Column6]")</f>
        <v xml:space="preserve"> </v>
      </c>
      <c r="L71">
        <v>22</v>
      </c>
      <c r="M71" s="36" t="str">
        <f>IF(Table3939[[#This Row],[Column12]] &lt;= SUMPRODUCT($G$75,0.46), " ", "Enter value less than [@Column6]")</f>
        <v xml:space="preserve"> </v>
      </c>
      <c r="N71">
        <f>SUM(Table3939[[#This Row],[Column10]],Table3939[[#This Row],[Column12]])</f>
        <v>27</v>
      </c>
    </row>
    <row r="72" spans="1:16" x14ac:dyDescent="0.25">
      <c r="B72" s="2"/>
      <c r="C72" t="s">
        <v>46</v>
      </c>
      <c r="F72" s="11">
        <f>SUMPRODUCT($F$75,0.1)</f>
        <v>10.4</v>
      </c>
      <c r="G72" s="36">
        <f>SUMPRODUCT($G$75,0.4)</f>
        <v>22.400000000000002</v>
      </c>
      <c r="H72" s="36">
        <f>SUM(Table3939[[#This Row],[Column6]],Table3939[[#This Row],[Column7]])</f>
        <v>32.800000000000004</v>
      </c>
      <c r="I72" s="36"/>
      <c r="J72" s="36">
        <v>8</v>
      </c>
      <c r="K72" s="36" t="str">
        <f>IF(Table3939[[#This Row],[Column10]] &lt;= SUMPRODUCT($F$75,0.11), " ", "Enter value less than [@Column6]")</f>
        <v xml:space="preserve"> </v>
      </c>
      <c r="L72">
        <v>15</v>
      </c>
      <c r="M72" s="36" t="str">
        <f>IF(Table3939[[#This Row],[Column12]] &lt;= SUMPRODUCT($G$75,0.41), " ", "Enter value less than [@Column6]")</f>
        <v xml:space="preserve"> </v>
      </c>
      <c r="N72">
        <f>SUM(Table3939[[#This Row],[Column10]],Table3939[[#This Row],[Column12]])</f>
        <v>23</v>
      </c>
    </row>
    <row r="73" spans="1:16" x14ac:dyDescent="0.25">
      <c r="B73" s="2"/>
      <c r="C73" t="s">
        <v>48</v>
      </c>
      <c r="F73" s="11">
        <f>SUMPRODUCT($F$75,0.45)</f>
        <v>46.800000000000004</v>
      </c>
      <c r="G73" s="36">
        <f>SUMPRODUCT($G$75,0.05)</f>
        <v>2.8000000000000003</v>
      </c>
      <c r="H73" s="36">
        <f>SUM(Table3939[[#This Row],[Column6]],Table3939[[#This Row],[Column7]])</f>
        <v>49.6</v>
      </c>
      <c r="I73" s="36"/>
      <c r="J73" s="36">
        <v>34</v>
      </c>
      <c r="K73" s="36" t="str">
        <f>IF(Table3939[[#This Row],[Column10]] &lt;= SUMPRODUCT($F$75,0.46), " ", "Enter value less than [@Column6]")</f>
        <v xml:space="preserve"> </v>
      </c>
      <c r="L73">
        <v>3</v>
      </c>
      <c r="M73" s="36" t="str">
        <f>IF(Table3939[[#This Row],[Column12]] &lt;= SUMPRODUCT($G$75,0.06), " ", "Enter value less than [@Column6]")</f>
        <v xml:space="preserve"> </v>
      </c>
      <c r="N73">
        <f>SUM(Table3939[[#This Row],[Column10]],Table3939[[#This Row],[Column12]])</f>
        <v>37</v>
      </c>
    </row>
    <row r="74" spans="1:16" x14ac:dyDescent="0.25">
      <c r="A74">
        <v>160</v>
      </c>
      <c r="C74" t="s">
        <v>29</v>
      </c>
      <c r="F74" s="11">
        <f>SUMPRODUCT($F$75,0.4)</f>
        <v>41.6</v>
      </c>
      <c r="G74" s="36">
        <f>SUMPRODUCT($G$75,0.1)</f>
        <v>5.6000000000000005</v>
      </c>
      <c r="H74" s="36">
        <f>SUM(Table3939[[#This Row],[Column6]],Table3939[[#This Row],[Column7]])</f>
        <v>47.2</v>
      </c>
      <c r="I74" s="36"/>
      <c r="J74" s="36">
        <v>23</v>
      </c>
      <c r="K74" s="36" t="str">
        <f>IF(Table3939[[#This Row],[Column10]] &lt;= SUMPRODUCT($F$75,0.41), " ", "Enter value less than [@Column6]")</f>
        <v xml:space="preserve"> </v>
      </c>
      <c r="L74">
        <v>5</v>
      </c>
      <c r="M74" s="36" t="str">
        <f>IF(Table3939[[#This Row],[Column12]] &lt;= SUMPRODUCT($G$75,0.11), " ", "Enter value less than [@Column6]")</f>
        <v xml:space="preserve"> </v>
      </c>
      <c r="N74">
        <f>SUM(Table3939[[#This Row],[Column10]],Table3939[[#This Row],[Column12]])</f>
        <v>28</v>
      </c>
      <c r="P74" s="4"/>
    </row>
    <row r="75" spans="1:16" ht="15.75" thickBot="1" x14ac:dyDescent="0.3">
      <c r="F75" s="11">
        <f>SUMPRODUCT($A$74,0.65)</f>
        <v>104</v>
      </c>
      <c r="G75" s="11">
        <f>SUMPRODUCT($A$74,0.35)</f>
        <v>56</v>
      </c>
      <c r="H75" s="11">
        <f>SUM(Table3939[[#This Row],[Column6]],Table3939[[#This Row],[Column7]])</f>
        <v>160</v>
      </c>
      <c r="K75" s="36"/>
      <c r="L75" s="40"/>
      <c r="N75">
        <f>SUM(N71:N74)</f>
        <v>115</v>
      </c>
      <c r="P75" s="4">
        <f>N75/$A$74</f>
        <v>0.71875</v>
      </c>
    </row>
    <row r="76" spans="1:16" x14ac:dyDescent="0.25">
      <c r="A76" t="s">
        <v>30</v>
      </c>
      <c r="F76" s="11"/>
      <c r="G76" s="11"/>
      <c r="H76" s="11"/>
      <c r="J76" s="25" t="s">
        <v>315</v>
      </c>
      <c r="K76" s="26"/>
      <c r="L76" s="26" t="s">
        <v>26</v>
      </c>
      <c r="M76" s="26"/>
      <c r="N76" s="26" t="s">
        <v>28</v>
      </c>
      <c r="O76" s="26"/>
      <c r="P76" s="31" t="s">
        <v>31</v>
      </c>
    </row>
    <row r="77" spans="1:16" ht="15.75" thickBot="1" x14ac:dyDescent="0.3">
      <c r="A77">
        <f>SUM(A62:A74)</f>
        <v>400</v>
      </c>
      <c r="F77" s="11"/>
      <c r="G77" s="11"/>
      <c r="H77" s="11"/>
      <c r="J77" s="27">
        <f>SUM(N59:N62)</f>
        <v>103</v>
      </c>
      <c r="K77" s="28"/>
      <c r="L77" s="28">
        <f>SUM(N65:N68)</f>
        <v>100</v>
      </c>
      <c r="M77" s="28"/>
      <c r="N77" s="28">
        <f>SUM(N71:N74)</f>
        <v>115</v>
      </c>
      <c r="O77" s="28"/>
      <c r="P77" s="32">
        <f>SUM(Table3939[[#This Row],[Column10]:[Column15]])/A77</f>
        <v>0.79500000000000004</v>
      </c>
    </row>
    <row r="79" spans="1:16" ht="26.25" x14ac:dyDescent="0.4">
      <c r="A79" s="48" t="s">
        <v>49</v>
      </c>
      <c r="B79" s="48"/>
      <c r="C79" s="48"/>
      <c r="D79" s="48"/>
      <c r="E79" s="48"/>
    </row>
    <row r="81" spans="1:9" x14ac:dyDescent="0.25">
      <c r="A81" t="s">
        <v>33</v>
      </c>
      <c r="F81" t="s">
        <v>50</v>
      </c>
      <c r="G81" t="s">
        <v>51</v>
      </c>
      <c r="H81" t="s">
        <v>55</v>
      </c>
      <c r="I81" t="s">
        <v>56</v>
      </c>
    </row>
    <row r="82" spans="1:9" x14ac:dyDescent="0.25">
      <c r="A82">
        <f>A77+A52+A23</f>
        <v>800</v>
      </c>
      <c r="F82" s="11">
        <f>SUM(F5:F8,F11:F14,F17:F20,F29:F32,F35:F38,F41:F44,F47:F50,F59:F62,F65:F68,F71:F74)</f>
        <v>471.79999999999995</v>
      </c>
      <c r="G82" s="11">
        <f>SUM(G5:G8,G11:G14,G17:G20,G29:G32,G35:G38,G41:G44,G47:G50,G59:G62,G65:G68,G71:G74)</f>
        <v>328.20000000000005</v>
      </c>
      <c r="H82" s="43">
        <f>F82/A82</f>
        <v>0.58975</v>
      </c>
      <c r="I82" s="4">
        <f>G82/A82</f>
        <v>0.41025000000000006</v>
      </c>
    </row>
    <row r="84" spans="1:9" x14ac:dyDescent="0.25">
      <c r="A84" t="s">
        <v>34</v>
      </c>
      <c r="F84" t="s">
        <v>52</v>
      </c>
      <c r="G84" t="s">
        <v>52</v>
      </c>
    </row>
    <row r="85" spans="1:9" x14ac:dyDescent="0.25">
      <c r="A85" s="41">
        <f>SUM(J23:N23,I52:L52,J77:N77)</f>
        <v>650</v>
      </c>
      <c r="F85" s="11">
        <f>SUM(J5:J8,J11:J14,J17:J20,J29:J32,J35:J38,J41:J44,J47:J50,J59:J62,J65:J68,J71:J74)</f>
        <v>373</v>
      </c>
      <c r="G85" s="11">
        <f>SUM(L5:L8,L11:L14,L17:L20,L29:L32,L35:L38,L41:L44,L47:L50,L59:L62,L65:L68,L71:L74)</f>
        <v>277</v>
      </c>
    </row>
    <row r="87" spans="1:9" x14ac:dyDescent="0.25">
      <c r="A87" t="s">
        <v>35</v>
      </c>
      <c r="F87" t="s">
        <v>53</v>
      </c>
      <c r="G87" t="s">
        <v>54</v>
      </c>
    </row>
    <row r="88" spans="1:9" x14ac:dyDescent="0.25">
      <c r="A88" s="42">
        <f>A85/A82</f>
        <v>0.8125</v>
      </c>
      <c r="F88" s="4">
        <f>F85/F82</f>
        <v>0.79058923272573134</v>
      </c>
      <c r="G88" s="4">
        <f>G85/G82</f>
        <v>0.84399756246191338</v>
      </c>
    </row>
  </sheetData>
  <mergeCells count="4">
    <mergeCell ref="A1:H1"/>
    <mergeCell ref="A25:H25"/>
    <mergeCell ref="A54:H55"/>
    <mergeCell ref="A79:E79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Sheet1</vt:lpstr>
      <vt:lpstr>Sheet2</vt:lpstr>
      <vt:lpstr>Student 1</vt:lpstr>
      <vt:lpstr>Student 2</vt:lpstr>
      <vt:lpstr>Student 3</vt:lpstr>
      <vt:lpstr>Student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Crissi Stuckey</dc:creator>
  <cp:lastModifiedBy>Brooks Sherod</cp:lastModifiedBy>
  <cp:lastPrinted>2023-04-13T19:37:04Z</cp:lastPrinted>
  <dcterms:created xsi:type="dcterms:W3CDTF">2023-04-08T16:19:12Z</dcterms:created>
  <dcterms:modified xsi:type="dcterms:W3CDTF">2024-05-07T00:27:48Z</dcterms:modified>
</cp:coreProperties>
</file>